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EC\DPR\12.08.2026\"/>
    </mc:Choice>
  </mc:AlternateContent>
  <xr:revisionPtr revIDLastSave="0" documentId="13_ncr:1_{38F17825-C4FE-44E8-9305-07635CAB8449}" xr6:coauthVersionLast="47" xr6:coauthVersionMax="47" xr10:uidLastSave="{00000000-0000-0000-0000-000000000000}"/>
  <bookViews>
    <workbookView xWindow="-120" yWindow="-120" windowWidth="20730" windowHeight="11040" firstSheet="38" activeTab="40"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Erection -Jammu" sheetId="69" r:id="rId23"/>
    <sheet name="Vertical Chart -JS Line Jammu " sheetId="65" state="hidden" r:id="rId24"/>
    <sheet name="Sheet17" sheetId="90" state="hidden" r:id="rId25"/>
    <sheet name="Stringing JS-Jammu" sheetId="99" r:id="rId26"/>
    <sheet name="Foundation -KS Line" sheetId="60" r:id="rId27"/>
    <sheet name="Erection -SK" sheetId="76" r:id="rId28"/>
    <sheet name="Sheet7" sheetId="71" state="hidden" r:id="rId29"/>
    <sheet name="Sheet8" sheetId="73" state="hidden" r:id="rId30"/>
    <sheet name="Material Status SK" sheetId="104" r:id="rId31"/>
    <sheet name="Stringing SK" sheetId="103" r:id="rId32"/>
    <sheet name="LILO" sheetId="70" r:id="rId33"/>
    <sheet name="Erection-Punjab" sheetId="72" r:id="rId34"/>
    <sheet name="Vertical Chart -JS Line Punjab" sheetId="64" state="hidden" r:id="rId35"/>
    <sheet name="Sheet9" sheetId="75" state="hidden" r:id="rId36"/>
    <sheet name="ROW Front vs Progress" sheetId="63" state="hidden" r:id="rId37"/>
    <sheet name="Foundation -JS Line- Punjab" sheetId="59" r:id="rId38"/>
    <sheet name="Pile FDN" sheetId="98" r:id="rId39"/>
    <sheet name="Hindrance" sheetId="49" r:id="rId40"/>
    <sheet name="Final Checking." sheetId="102" r:id="rId41"/>
    <sheet name="Manpower" sheetId="52" r:id="rId42"/>
    <sheet name="Sheet20" sheetId="101" r:id="rId43"/>
    <sheet name="Stubs JS" sheetId="94" state="hidden" r:id="rId44"/>
    <sheet name="Stubs SK" sheetId="95" state="hidden" r:id="rId45"/>
    <sheet name="Towers JS" sheetId="96" state="hidden" r:id="rId46"/>
    <sheet name="Towers SK" sheetId="97" state="hidden" r:id="rId47"/>
    <sheet name="Sum" sheetId="92" state="hidden" r:id="rId48"/>
    <sheet name="Sheet18" sheetId="91" state="hidden" r:id="rId49"/>
    <sheet name="JS-Supply Stubs" sheetId="86" state="hidden" r:id="rId50"/>
    <sheet name="JS Supply Towers" sheetId="87" state="hidden" r:id="rId51"/>
    <sheet name="SK Supply Stubs" sheetId="88" state="hidden" r:id="rId52"/>
    <sheet name="SK Supply Towers" sheetId="89" state="hidden" r:id="rId53"/>
    <sheet name="Sheet11" sheetId="78" state="hidden" r:id="rId54"/>
    <sheet name="Planned Vs Actual -FDN" sheetId="51" state="hidden" r:id="rId55"/>
    <sheet name="Supply Status" sheetId="66" state="hidden" r:id="rId56"/>
    <sheet name="Material Status-Jammu-Punjab" sheetId="45" state="hidden" r:id="rId57"/>
    <sheet name="Material Status-Punjab" sheetId="62" state="hidden" r:id="rId58"/>
    <sheet name="Earthing (PKG-F)" sheetId="18" state="hidden" r:id="rId59"/>
    <sheet name="Earthing (PKG-G)" sheetId="7" state="hidden" r:id="rId60"/>
    <sheet name="Revetment Pkg-G" sheetId="37" state="hidden" r:id="rId61"/>
    <sheet name=" Benching Status-F" sheetId="33" state="hidden" r:id="rId62"/>
    <sheet name=" Benching Status-G" sheetId="26" state="hidden" r:id="rId63"/>
    <sheet name="Earthing Pkg -G Ist section" sheetId="17" state="hidden" r:id="rId64"/>
    <sheet name="Earthing balance" sheetId="35" state="hidden" r:id="rId65"/>
    <sheet name="Tack Welding - PKG-G" sheetId="11" state="hidden" r:id="rId66"/>
    <sheet name="Tack Welding - PKG-F" sheetId="24" state="hidden" r:id="rId67"/>
    <sheet name="Painting - PKG-G" sheetId="12" state="hidden" r:id="rId68"/>
    <sheet name="Painting - PKG-F" sheetId="25" state="hidden" r:id="rId69"/>
    <sheet name="Eretion - PKG-G" sheetId="4" state="hidden" r:id="rId70"/>
    <sheet name="Eretion - PKG-F" sheetId="22" state="hidden" r:id="rId71"/>
    <sheet name="Sheet1" sheetId="6" state="hidden" r:id="rId72"/>
    <sheet name="JMC 27.9.23" sheetId="8" state="hidden" r:id="rId73"/>
    <sheet name="Jumpering-G" sheetId="28" state="hidden" r:id="rId74"/>
    <sheet name="Insulator Hoisting - F" sheetId="29" state="hidden" r:id="rId75"/>
    <sheet name="Insulator Hoisting - G" sheetId="21" state="hidden" r:id="rId76"/>
    <sheet name="Jumpering-F" sheetId="36" state="hidden" r:id="rId77"/>
    <sheet name="Stringing - PKG-F" sheetId="34" state="hidden" r:id="rId78"/>
    <sheet name="Stringing - PKG-G" sheetId="27" state="hidden" r:id="rId79"/>
    <sheet name="OPGW PKG-G" sheetId="39" state="hidden" r:id="rId80"/>
    <sheet name="OPGW PKG-F" sheetId="41" state="hidden" r:id="rId81"/>
    <sheet name="Crossing" sheetId="23" state="hidden" r:id="rId82"/>
    <sheet name="Clear locs shared by client" sheetId="38" state="hidden" r:id="rId83"/>
  </sheets>
  <externalReferences>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 localSheetId="4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0"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0"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0"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0"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0"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0"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0"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0"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0"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0"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0"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0"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0"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0"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0"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0"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0"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0"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0"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0"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0"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0"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0"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0"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0"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0"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0" hidden="1">{#N/A,#N/A,TRUE,"toc";#N/A,#N/A,TRUE,"general";#N/A,#N/A,TRUE,"compressive";#N/A,#N/A,TRUE,"lateral";#N/A,#N/A,TRUE,"shallow"}</definedName>
    <definedName name="________CU600" hidden="1">{#N/A,#N/A,TRUE,"toc";#N/A,#N/A,TRUE,"general";#N/A,#N/A,TRUE,"compressive";#N/A,#N/A,TRUE,"lateral";#N/A,#N/A,TRUE,"shallow"}</definedName>
    <definedName name="________dec05" localSheetId="40"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0" hidden="1">{"'PROFITABILITY'!$A$1:$F$45"}</definedName>
    <definedName name="________Nov2007" hidden="1">{"'PROFITABILITY'!$A$1:$F$45"}</definedName>
    <definedName name="________OP2">#REF!</definedName>
    <definedName name="________PM123" localSheetId="40"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0"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0"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0"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0"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0"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0"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0"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0"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0"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0"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0"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0"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0"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0"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0"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0"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0"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0"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0"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0"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0"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0"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0"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0"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0"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0"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0"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0"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0" hidden="1">{"'PROFITABILITY'!$A$1:$F$45"}</definedName>
    <definedName name="__Nov2007" hidden="1">{"'PROFITABILITY'!$A$1:$F$45"}</definedName>
    <definedName name="__np3">#REF!</definedName>
    <definedName name="__ns1" localSheetId="40"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0"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0" hidden="1">{#N/A,#N/A,FALSE,"CCTV"}</definedName>
    <definedName name="_41aa1_" hidden="1">{#N/A,#N/A,FALSE,"CCTV"}</definedName>
    <definedName name="_4321">#REF!</definedName>
    <definedName name="_4aa1_" localSheetId="40"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0"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0"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0"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58" hidden="1">'Earthing (PKG-F)'!$A$4:$M$209</definedName>
    <definedName name="_xlnm._FilterDatabase" localSheetId="59" hidden="1">'Earthing (PKG-G)'!$A$4:$N$267</definedName>
    <definedName name="_xlnm._FilterDatabase" localSheetId="22" hidden="1">'Erection -Jammu'!$A$6:$O$112</definedName>
    <definedName name="_xlnm._FilterDatabase" localSheetId="27" hidden="1">'Erection -SK'!$A$6:$M$39</definedName>
    <definedName name="_xlnm._FilterDatabase" localSheetId="33" hidden="1">'Erection-Punjab'!$A$6:$O$154</definedName>
    <definedName name="_xlnm._FilterDatabase" localSheetId="70" hidden="1">'Eretion - PKG-F'!$B$4:$N$189</definedName>
    <definedName name="_xlnm._FilterDatabase" localSheetId="69" hidden="1">'Eretion - PKG-G'!$B$4:$J$224</definedName>
    <definedName name="_xlnm._FilterDatabase" localSheetId="2" hidden="1">'Fdn (Pkg -G Section -I)'!$D$4:$D$12</definedName>
    <definedName name="_xlnm._FilterDatabase" localSheetId="37" hidden="1">'Foundation -JS Line- Punjab'!$A$5:$Q$245</definedName>
    <definedName name="_xlnm._FilterDatabase" localSheetId="21" hidden="1">'Foundation JS-Line -Jammu'!$A$6:$T$127</definedName>
    <definedName name="_xlnm._FilterDatabase" localSheetId="26" hidden="1">'Foundation -KS Line'!$A$6:$R$96</definedName>
    <definedName name="_xlnm._FilterDatabase" localSheetId="39" hidden="1">Hindrance!$A$2:$I$56</definedName>
    <definedName name="_xlnm._FilterDatabase" localSheetId="50" hidden="1">'JS Supply Towers'!$A$2:$K$32</definedName>
    <definedName name="_xlnm._FilterDatabase" localSheetId="32" hidden="1">LILO!$A$6:$Q$19</definedName>
    <definedName name="_xlnm._FilterDatabase" localSheetId="30" hidden="1">'Material Status SK'!$A$3:$O$29</definedName>
    <definedName name="_xlnm._FilterDatabase" localSheetId="68" hidden="1">'Painting - PKG-F'!$J$4:$J$78</definedName>
    <definedName name="_xlnm._FilterDatabase" localSheetId="67" hidden="1">'Painting - PKG-G'!$J$4:$J$121</definedName>
    <definedName name="_xlnm._FilterDatabase" localSheetId="38" hidden="1">'Pile FDN'!$A$5:$H$6</definedName>
    <definedName name="_xlnm._FilterDatabase" localSheetId="54" hidden="1">'Planned Vs Actual -FDN'!$B$10:$P$30</definedName>
    <definedName name="_xlnm._FilterDatabase" localSheetId="7" hidden="1">ROW!$A$6:$G$247</definedName>
    <definedName name="_xlnm._FilterDatabase" localSheetId="28" hidden="1">Sheet7!$B$3:$I$59</definedName>
    <definedName name="_xlnm._FilterDatabase" localSheetId="35" hidden="1">Sheet9!$D$2:$I$32</definedName>
    <definedName name="_xlnm._FilterDatabase" localSheetId="51" hidden="1">'SK Supply Stubs'!$A$2:$G$44</definedName>
    <definedName name="_xlnm._FilterDatabase" localSheetId="52" hidden="1">'SK Supply Towers'!$A$2:$G$52</definedName>
    <definedName name="_xlnm._FilterDatabase" localSheetId="44" hidden="1">'Stubs SK'!$A$2:$H$45</definedName>
    <definedName name="_xlnm._FilterDatabase" localSheetId="16" hidden="1">'Survey-Summary'!$G$27:$L$43</definedName>
    <definedName name="_xlnm._FilterDatabase" localSheetId="66" hidden="1">'Tack Welding - PKG-F'!$J$4:$J$85</definedName>
    <definedName name="_xlnm._FilterDatabase" localSheetId="65" hidden="1">'Tack Welding - PKG-G'!$I$4:$I$135</definedName>
    <definedName name="_xlnm._FilterDatabase" localSheetId="9" hidden="1">'TB-605'!#REF!</definedName>
    <definedName name="_xlnm._FilterDatabase" localSheetId="45" hidden="1">'Towers JS'!$A$2:$L$33</definedName>
    <definedName name="_xlnm._FilterDatabase" localSheetId="46" hidden="1">'Towers SK'!$A$2:$G$52</definedName>
    <definedName name="_xlnm._FilterDatabase" localSheetId="23" hidden="1">'Vertical Chart -JS Line Jammu '!$A$7:$R$257</definedName>
    <definedName name="_xlnm._FilterDatabase" localSheetId="34"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0"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0" hidden="1">{"'Sheet1'!$A$4386:$N$4591"}</definedName>
    <definedName name="_PM123" hidden="1">{"'Sheet1'!$A$4386:$N$4591"}</definedName>
    <definedName name="_PO2">#REF!</definedName>
    <definedName name="_pp" localSheetId="40"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0"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0"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0" hidden="1">{"form-D1",#N/A,FALSE,"FORM-D1";"form-D1_amt",#N/A,FALSE,"FORM-D1"}</definedName>
    <definedName name="aab" hidden="1">{"form-D1",#N/A,FALSE,"FORM-D1";"form-D1_amt",#N/A,FALSE,"FORM-D1"}</definedName>
    <definedName name="aab_1">NA()</definedName>
    <definedName name="aac" localSheetId="40" hidden="1">{"'PROFITABILITY'!$A$1:$F$45"}</definedName>
    <definedName name="aac" hidden="1">{"'PROFITABILITY'!$A$1:$F$45"}</definedName>
    <definedName name="aadf" hidden="1">#REF!</definedName>
    <definedName name="aaffa" localSheetId="40"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0" hidden="1">{"'PROFITABILITY'!$A$1:$F$45"}</definedName>
    <definedName name="aav" hidden="1">{"'PROFITABILITY'!$A$1:$F$45"}</definedName>
    <definedName name="aAXX1">#REF!</definedName>
    <definedName name="ab">#REF!</definedName>
    <definedName name="aba" localSheetId="40"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0" hidden="1">{"'PROFITABILITY'!$A$1:$F$45"}</definedName>
    <definedName name="abc" hidden="1">{"'PROFITABILITY'!$A$1:$F$45"}</definedName>
    <definedName name="aBC_1">#REF!</definedName>
    <definedName name="ABCD">#REF!</definedName>
    <definedName name="abcde">#REF!</definedName>
    <definedName name="abcdefg" localSheetId="40"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0"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0">(PeriodInActual*(#REF!&gt;0))*PeriodInPlan</definedName>
    <definedName name="Actual">(PeriodInActual*(#REF!&gt;0))*PeriodInPlan</definedName>
    <definedName name="ActualBeyond" localSheetId="40">PeriodInActual*(#REF!&gt;0)</definedName>
    <definedName name="ActualBeyond">PeriodInActual*(#REF!&gt;0)</definedName>
    <definedName name="AD" localSheetId="40" hidden="1">{"'Sheet1'!$A$4386:$N$4591"}</definedName>
    <definedName name="AD" hidden="1">{"'Sheet1'!$A$4386:$N$4591"}</definedName>
    <definedName name="ada" localSheetId="4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0"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0"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0"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0"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0"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0"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0" hidden="1">{"form-D1",#N/A,FALSE,"FORM-D1";"form-D1_amt",#N/A,FALSE,"FORM-D1"}</definedName>
    <definedName name="ajslk" hidden="1">{"form-D1",#N/A,FALSE,"FORM-D1";"form-D1_amt",#N/A,FALSE,"FORM-D1"}</definedName>
    <definedName name="AK">INDEX(#REF!,MATCH(#REF!,#REF!,0))</definedName>
    <definedName name="aks">#REF!</definedName>
    <definedName name="aksj" localSheetId="40"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0"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0"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0"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0" hidden="1">{"form-D1",#N/A,FALSE,"FORM-D1";"form-D1_amt",#N/A,FALSE,"FORM-D1"}</definedName>
    <definedName name="asjk" hidden="1">{"form-D1",#N/A,FALSE,"FORM-D1";"form-D1_amt",#N/A,FALSE,"FORM-D1"}</definedName>
    <definedName name="ass" hidden="1">#REF!</definedName>
    <definedName name="assa"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0"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0"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0" hidden="1">{"'PROFITABILITY'!$A$1:$F$45"}</definedName>
    <definedName name="bb" hidden="1">{"'PROFITABILITY'!$A$1:$F$45"}</definedName>
    <definedName name="bbb" localSheetId="40"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0"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0"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0"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0" hidden="1">{"form-D1",#N/A,FALSE,"FORM-D1";"form-D1_amt",#N/A,FALSE,"FORM-D1"}</definedName>
    <definedName name="cc" hidden="1">{"form-D1",#N/A,FALSE,"FORM-D1";"form-D1_amt",#N/A,FALSE,"FORM-D1"}</definedName>
    <definedName name="CCB">#REF!</definedName>
    <definedName name="CCC" localSheetId="40"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0" hidden="1">{"Execavation",#N/A,FALSE,"furniture (employer)"}</definedName>
    <definedName name="Cl.Preforma" hidden="1">{"Execavation",#N/A,FALSE,"furniture (employer)"}</definedName>
    <definedName name="cl33kv">#REF!</definedName>
    <definedName name="CLAIMB" localSheetId="40" hidden="1">{"Execavation",#N/A,FALSE,"furniture (employer)"}</definedName>
    <definedName name="CLAIMB" hidden="1">{"Execavation",#N/A,FALSE,"furniture (employer)"}</definedName>
    <definedName name="CLAIMSB" localSheetId="40"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0"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0"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0"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0"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0"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 localSheetId="40">City&amp;" "&amp;State</definedName>
    <definedName name="dADadaD">City&amp;" "&amp;State</definedName>
    <definedName name="DAdsaD" hidden="1">#REF!</definedName>
    <definedName name="dam">#REF!</definedName>
    <definedName name="Dampers" localSheetId="40"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0"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0" hidden="1">{"'PROFITABILITY'!$A$1:$F$45"}</definedName>
    <definedName name="DELTA" hidden="1">{"'PROFITABILITY'!$A$1:$F$45"}</definedName>
    <definedName name="DELTA1" localSheetId="40"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0"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0" hidden="1">{"'장비'!$A$3:$M$12"}</definedName>
    <definedName name="dfaf" hidden="1">{"'장비'!$A$3:$M$12"}</definedName>
    <definedName name="DFD" localSheetId="40" hidden="1">{"'PROFITABILITY'!$A$1:$F$45"}</definedName>
    <definedName name="DFD" hidden="1">{"'PROFITABILITY'!$A$1:$F$45"}</definedName>
    <definedName name="dfd_1">#REF!</definedName>
    <definedName name="dfdf">[36]Report!#REF!</definedName>
    <definedName name="dfdfdfd" localSheetId="40" hidden="1">{"'PROFITABILITY'!$A$1:$F$45"}</definedName>
    <definedName name="dfdfdfd" hidden="1">{"'PROFITABILITY'!$A$1:$F$45"}</definedName>
    <definedName name="dfdfs" localSheetId="40"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0"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0"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0"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0"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0"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0"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0"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0" hidden="1">{"'PROFITABILITY'!$A$1:$F$45"}</definedName>
    <definedName name="eee" hidden="1">{"'PROFITABILITY'!$A$1:$F$45"}</definedName>
    <definedName name="EEEE" localSheetId="40"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0"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0"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0" hidden="1">{"'PROFITABILITY'!$A$1:$F$45"}</definedName>
    <definedName name="ewer" hidden="1">{"'PROFITABILITY'!$A$1:$F$45"}</definedName>
    <definedName name="ewre" hidden="1">#REF!</definedName>
    <definedName name="EWWW" localSheetId="40"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0"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0"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0"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0"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0"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0"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0"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0"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0"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0"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0"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0"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0" hidden="1">{"'PROFITABILITY'!$A$1:$F$45"}</definedName>
    <definedName name="ggg" hidden="1">{"'PROFITABILITY'!$A$1:$F$45"}</definedName>
    <definedName name="GGGG">#REF!</definedName>
    <definedName name="ggt">#REF!</definedName>
    <definedName name="GH">INDEX(#REF!,MATCH(#REF!,#REF!,0))</definedName>
    <definedName name="ghmgm" localSheetId="40" hidden="1">{"'PROFITABILITY'!$A$1:$F$45"}</definedName>
    <definedName name="ghmgm" hidden="1">{"'PROFITABILITY'!$A$1:$F$45"}</definedName>
    <definedName name="GI">INDEX(#REF!,MATCH(#REF!,#REF!,0))</definedName>
    <definedName name="girder.span">#REF!</definedName>
    <definedName name="GIUI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0"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0"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0" hidden="1">{"'PROFITABILITY'!$A$1:$F$45"}</definedName>
    <definedName name="hfh" hidden="1">{"'PROFITABILITY'!$A$1:$F$45"}</definedName>
    <definedName name="hfi">#REF!</definedName>
    <definedName name="hfjtyu" localSheetId="40" hidden="1">{"'PROFITABILITY'!$A$1:$F$45"}</definedName>
    <definedName name="hfjtyu" hidden="1">{"'PROFITABILITY'!$A$1:$F$45"}</definedName>
    <definedName name="HG">INDEX(#REF!,MATCH(#REF!,#REF!,0))</definedName>
    <definedName name="HGDFGD"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0"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0"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0"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0" hidden="1">{"'PROFITABILITY'!$A$1:$F$45"}</definedName>
    <definedName name="html" hidden="1">{"'PROFITABILITY'!$A$1:$F$45"}</definedName>
    <definedName name="HTML_CodePage" hidden="1">1252</definedName>
    <definedName name="HTML_Control" localSheetId="40" hidden="1">{"'PROFITABILITY'!$A$1:$F$45"}</definedName>
    <definedName name="HTML_Control" hidden="1">{"'PROFITABILITY'!$A$1:$F$45"}</definedName>
    <definedName name="HTML_Control_1" localSheetId="40" hidden="1">{"'PROFITABILITY'!$A$1:$F$45"}</definedName>
    <definedName name="HTML_Control_1" hidden="1">{"'PROFITABILITY'!$A$1:$F$45"}</definedName>
    <definedName name="HTML_control2" localSheetId="40"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0"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0"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0"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0"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0" hidden="1">{"form-D1",#N/A,FALSE,"FORM-D1";"form-D1_amt",#N/A,FALSE,"FORM-D1"}</definedName>
    <definedName name="jjjj" hidden="1">{"form-D1",#N/A,FALSE,"FORM-D1";"form-D1_amt",#N/A,FALSE,"FORM-D1"}</definedName>
    <definedName name="jjjjjj" localSheetId="40" hidden="1">{"form-D1",#N/A,FALSE,"FORM-D1";"form-D1_amt",#N/A,FALSE,"FORM-D1"}</definedName>
    <definedName name="jjjjjj" hidden="1">{"form-D1",#N/A,FALSE,"FORM-D1";"form-D1_amt",#N/A,FALSE,"FORM-D1"}</definedName>
    <definedName name="jjjjjjjjj" localSheetId="40" hidden="1">{"form-D1",#N/A,FALSE,"FORM-D1";"form-D1_amt",#N/A,FALSE,"FORM-D1"}</definedName>
    <definedName name="jjjjjjjjj" hidden="1">{"form-D1",#N/A,FALSE,"FORM-D1";"form-D1_amt",#N/A,FALSE,"FORM-D1"}</definedName>
    <definedName name="jjjjjjjjjjjj" localSheetId="40"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0"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0" hidden="1">{"form-D1",#N/A,FALSE,"FORM-D1";"form-D1_amt",#N/A,FALSE,"FORM-D1"}</definedName>
    <definedName name="KAMAL" hidden="1">{"form-D1",#N/A,FALSE,"FORM-D1";"form-D1_amt",#N/A,FALSE,"FORM-D1"}</definedName>
    <definedName name="kaml" localSheetId="40"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0"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0" hidden="1">{"'PROFITABILITY'!$A$1:$F$45"}</definedName>
    <definedName name="kkkk" hidden="1">{"'PROFITABILITY'!$A$1:$F$45"}</definedName>
    <definedName name="kkkkk">#REF!</definedName>
    <definedName name="kklhl" localSheetId="40"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0" hidden="1">{"'PROFITABILITY'!$A$1:$F$45"}</definedName>
    <definedName name="kltp" hidden="1">{"'PROFITABILITY'!$A$1:$F$45"}</definedName>
    <definedName name="Km">#REF!</definedName>
    <definedName name="Km___0">#REF!</definedName>
    <definedName name="Km___13">#REF!</definedName>
    <definedName name="kmrc"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0"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0" hidden="1">{"'PROFITABILITY'!$A$1:$F$45"}</definedName>
    <definedName name="kususdd" hidden="1">{"'PROFITABILITY'!$A$1:$F$45"}</definedName>
    <definedName name="kvs" localSheetId="4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0"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0"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3">[0]!City&amp;" "&amp;State</definedName>
    <definedName name="Location" localSheetId="40">City&amp;" "&amp;State</definedName>
    <definedName name="Location" localSheetId="38">[0]!City&amp;"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0" hidden="1">{"form-D1",#N/A,FALSE,"FORM-D1";"form-D1_amt",#N/A,FALSE,"FORM-D1"}</definedName>
    <definedName name="lohari" hidden="1">{"form-D1",#N/A,FALSE,"FORM-D1";"form-D1_amt",#N/A,FALSE,"FORM-D1"}</definedName>
    <definedName name="loi">#REF!</definedName>
    <definedName name="look">#REF!</definedName>
    <definedName name="Lot" localSheetId="40"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0" hidden="1">{"form-D1",#N/A,FALSE,"FORM-D1";"form-D1_amt",#N/A,FALSE,"FORM-D1"}</definedName>
    <definedName name="mani" hidden="1">{"form-D1",#N/A,FALSE,"FORM-D1";"form-D1_amt",#N/A,FALSE,"FORM-D1"}</definedName>
    <definedName name="Manish" localSheetId="40"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0"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0"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0"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0"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0"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0"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0" hidden="1">{#N/A,#N/A,FALSE,"COVER1.XLS ";#N/A,#N/A,FALSE,"RACT1.XLS";#N/A,#N/A,FALSE,"RACT2.XLS";#N/A,#N/A,FALSE,"ECCMP";#N/A,#N/A,FALSE,"WELDER.XLS"}</definedName>
    <definedName name="PPPPPP" hidden="1">{#N/A,#N/A,FALSE,"COVER1.XLS ";#N/A,#N/A,FALSE,"RACT1.XLS";#N/A,#N/A,FALSE,"RACT2.XLS";#N/A,#N/A,FALSE,"ECCMP";#N/A,#N/A,FALSE,"WELDER.XLS"}</definedName>
    <definedName name="PR"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0"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50">'JS Supply Towers'!$A$1:$K$32</definedName>
    <definedName name="_xlnm.Print_Area" localSheetId="41">Manpower!$B$1:$BT$27</definedName>
    <definedName name="_xlnm.Print_Area" localSheetId="7">ROW!$A$6:$E$131</definedName>
    <definedName name="_xlnm.Print_Area" localSheetId="52">'SK Supply Towers'!$A$1:$G$52</definedName>
    <definedName name="_xlnm.Print_Area" localSheetId="25">'Stringing JS-Jammu'!$A$1:$P$17</definedName>
    <definedName name="_xlnm.Print_Area" localSheetId="16">'Survey-Summary'!$A$1:$M$22</definedName>
    <definedName name="_xlnm.Print_Area" localSheetId="9">'TB-605'!$A$1:$P$22</definedName>
    <definedName name="_xlnm.Print_Area" localSheetId="45">'Towers JS'!$A$1:$L$33</definedName>
    <definedName name="_xlnm.Print_Area" localSheetId="46">'Towers SK'!$A$1:$G$52</definedName>
    <definedName name="_xlnm.Print_Area" localSheetId="23">'Vertical Chart -JS Line Jammu '!$A$6:$R$256</definedName>
    <definedName name="_xlnm.Print_Area" localSheetId="34">'Vertical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3">'Vertical Chart -JS Line Jammu '!$6:$7</definedName>
    <definedName name="_xlnm.Print_Titles" localSheetId="34">'Vertical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0"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0"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0" hidden="1">{"'Sheet1'!$A$4386:$N$4591"}</definedName>
    <definedName name="raaa" hidden="1">{"'Sheet1'!$A$4386:$N$4591"}</definedName>
    <definedName name="RAB_GI_Mranggen">#REF!</definedName>
    <definedName name="Rac">#REF!</definedName>
    <definedName name="RAD">#REF!</definedName>
    <definedName name="Radio" localSheetId="40" hidden="1">{"'PROFITABILITY'!$A$1:$F$45"}</definedName>
    <definedName name="Radio" hidden="1">{"'PROFITABILITY'!$A$1:$F$45"}</definedName>
    <definedName name="RaftD">#REF!</definedName>
    <definedName name="RaftSlbThk">#REF!</definedName>
    <definedName name="raghu">#REF!</definedName>
    <definedName name="rahee" localSheetId="40" hidden="1">{#N/A,#N/A,FALSE,"CCTV"}</definedName>
    <definedName name="rahee" hidden="1">{#N/A,#N/A,FALSE,"CCTV"}</definedName>
    <definedName name="rahee2" localSheetId="40" hidden="1">{#N/A,#N/A,FALSE,"CCTV"}</definedName>
    <definedName name="rahee2" hidden="1">{#N/A,#N/A,FALSE,"CCTV"}</definedName>
    <definedName name="Rahul">#REF!</definedName>
    <definedName name="Rahul1">#REF!</definedName>
    <definedName name="RAIL">#REF!</definedName>
    <definedName name="Raj" localSheetId="40"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0"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0"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0"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0"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0" hidden="1">{"'PROFITABILITY'!$A$1:$F$45"}</definedName>
    <definedName name="rjrj" hidden="1">{"'PROFITABILITY'!$A$1:$F$45"}</definedName>
    <definedName name="rjrjj" localSheetId="40"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0" hidden="1">{"'PROFITABILITY'!$A$1:$F$45"}</definedName>
    <definedName name="rttj" hidden="1">{"'PROFITABILITY'!$A$1:$F$45"}</definedName>
    <definedName name="rttrt" localSheetId="40"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0"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0" hidden="1">{"'PROFITABILITY'!$A$1:$F$45"}</definedName>
    <definedName name="s_1" hidden="1">{"'PROFITABILITY'!$A$1:$F$45"}</definedName>
    <definedName name="S_41" localSheetId="40"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0"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0"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0"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0"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0" hidden="1">{"'PROFITABILITY'!$A$1:$F$45"}</definedName>
    <definedName name="SDGDSHGD" hidden="1">{"'PROFITABILITY'!$A$1:$F$45"}</definedName>
    <definedName name="SDGSDG" localSheetId="40" hidden="1">{"'PROFITABILITY'!$A$1:$F$45"}</definedName>
    <definedName name="SDGSDG" hidden="1">{"'PROFITABILITY'!$A$1:$F$45"}</definedName>
    <definedName name="SDGSG" localSheetId="40"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0"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0"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0" hidden="1">{"form-D1",#N/A,FALSE,"FORM-D1";"form-D1_amt",#N/A,FALSE,"FORM-D1"}</definedName>
    <definedName name="slab" hidden="1">{"form-D1",#N/A,FALSE,"FORM-D1";"form-D1_amt",#N/A,FALSE,"FORM-D1"}</definedName>
    <definedName name="slab_p" localSheetId="40"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0"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0"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0" hidden="1">{"form-D1",#N/A,FALSE,"FORM-D1";"form-D1_amt",#N/A,FALSE,"FORM-D1"}</definedName>
    <definedName name="sssssssssssss" hidden="1">{"form-D1",#N/A,FALSE,"FORM-D1";"form-D1_amt",#N/A,FALSE,"FORM-D1"}</definedName>
    <definedName name="sssssssssssssas" localSheetId="40"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0"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0"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0"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0"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0" hidden="1">{"'TP-SUMMARY'!$I$11:$K$11"}</definedName>
    <definedName name="tree" hidden="1">{"'TP-SUMMARY'!$I$11:$K$11"}</definedName>
    <definedName name="Tres">#REF!</definedName>
    <definedName name="tres4">#REF!</definedName>
    <definedName name="trolley">#REF!</definedName>
    <definedName name="trrrrrrrrrrrrr" localSheetId="40"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0"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0" hidden="1">{"'Sheet1'!$A$4386:$N$4591"}</definedName>
    <definedName name="vggfd" hidden="1">{"'Sheet1'!$A$4386:$N$4591"}</definedName>
    <definedName name="vgwer">#REF!</definedName>
    <definedName name="vibroroller">#REF!</definedName>
    <definedName name="view" localSheetId="40"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0"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0" hidden="1">{"'Sheet1'!$A$4386:$N$4591"}</definedName>
    <definedName name="water_funds" hidden="1">{"'Sheet1'!$A$4386:$N$4591"}</definedName>
    <definedName name="Wc">#REF!</definedName>
    <definedName name="wcl">#REF!</definedName>
    <definedName name="WCT">#REF!</definedName>
    <definedName name="wds" localSheetId="40" hidden="1">{"Cost Summary",#N/A,FALSE,"B";"Cost Detail 1",#N/A,FALSE,"C";"Cost Detail 2",#N/A,FALSE,"C"}</definedName>
    <definedName name="wds" hidden="1">{"Cost Summary",#N/A,FALSE,"B";"Cost Detail 1",#N/A,FALSE,"C";"Cost Detail 2",#N/A,FALSE,"C"}</definedName>
    <definedName name="wdwewe">#REF!</definedName>
    <definedName name="WE" localSheetId="40"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0"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0" hidden="1">{#N/A,#N/A,FALSE,"COVER1.XLS ";#N/A,#N/A,FALSE,"RACT1.XLS";#N/A,#N/A,FALSE,"RACT2.XLS";#N/A,#N/A,FALSE,"ECCMP";#N/A,#N/A,FALSE,"WELDER.XLS"}</definedName>
    <definedName name="wr" hidden="1">{#N/A,#N/A,FALSE,"COVER1.XLS ";#N/A,#N/A,FALSE,"RACT1.XLS";#N/A,#N/A,FALSE,"RACT2.XLS";#N/A,#N/A,FALSE,"ECCMP";#N/A,#N/A,FALSE,"WELDER.XLS"}</definedName>
    <definedName name="wrd" localSheetId="40" hidden="1">{#N/A,#N/A,FALSE,"WRSUMMARY";#N/A,#N/A,FALSE,"ANNEX-1";#N/A,#N/A,FALSE,"ANNEX-2";#N/A,#N/A,FALSE,"ANNEX-3";#N/A,#N/A,FALSE,"WORKING"}</definedName>
    <definedName name="wrd" hidden="1">{#N/A,#N/A,FALSE,"WRSUMMARY";#N/A,#N/A,FALSE,"ANNEX-1";#N/A,#N/A,FALSE,"ANNEX-2";#N/A,#N/A,FALSE,"ANNEX-3";#N/A,#N/A,FALSE,"WORKING"}</definedName>
    <definedName name="WRITE" localSheetId="40" hidden="1">{#N/A,#N/A,FALSE,"CCTV"}</definedName>
    <definedName name="WRITE" hidden="1">{#N/A,#N/A,FALSE,"CCTV"}</definedName>
    <definedName name="wrn"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0" hidden="1">{#N/A,#N/A,FALSE,"17MAY";#N/A,#N/A,FALSE,"24MAY"}</definedName>
    <definedName name="wrn.1." hidden="1">{#N/A,#N/A,FALSE,"17MAY";#N/A,#N/A,FALSE,"24MAY"}</definedName>
    <definedName name="wrn.abc." localSheetId="40" hidden="1">{"Execavation",#N/A,FALSE,"furniture (employer)"}</definedName>
    <definedName name="wrn.abc." hidden="1">{"Execavation",#N/A,FALSE,"furniture (employer)"}</definedName>
    <definedName name="wrn.BM." localSheetId="40" hidden="1">{#N/A,#N/A,FALSE,"CCTV"}</definedName>
    <definedName name="wrn.BM." hidden="1">{#N/A,#N/A,FALSE,"CCTV"}</definedName>
    <definedName name="wrn.budget." localSheetId="40" hidden="1">{"form-D1",#N/A,FALSE,"FORM-D1";"form-D1_amt",#N/A,FALSE,"FORM-D1"}</definedName>
    <definedName name="wrn.budget." hidden="1">{"form-D1",#N/A,FALSE,"FORM-D1";"form-D1_amt",#N/A,FALSE,"FORM-D1"}</definedName>
    <definedName name="wrn.budget._1">NA()</definedName>
    <definedName name="wrn.Co." localSheetId="40" hidden="1">{#N/A,#N/A,TRUE,"GW-Cond";#N/A,#N/A,TRUE,"HW"}</definedName>
    <definedName name="wrn.Co." hidden="1">{#N/A,#N/A,TRUE,"GW-Cond";#N/A,#N/A,TRUE,"HW"}</definedName>
    <definedName name="wrn.Complete._.Cost._.Sheet."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0"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0" hidden="1">{"Cost Summary",#N/A,FALSE,"B";"Cost Detail 1",#N/A,FALSE,"C";"Cost Detail 2",#N/A,FALSE,"C"}</definedName>
    <definedName name="wrn.Cost._.Summary." hidden="1">{"Cost Summary",#N/A,FALSE,"B";"Cost Detail 1",#N/A,FALSE,"C";"Cost Detail 2",#N/A,FALSE,"C"}</definedName>
    <definedName name="wrn.costprint." localSheetId="4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0"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0"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0" hidden="1">{#N/A,#N/A,TRUE,"STEEL";#N/A,#N/A,TRUE,"OUTSIDE FAB.";#N/A,#N/A,TRUE,"WIP";#N/A,#N/A,TRUE,"FINISHED GOODS";#N/A,#N/A,TRUE,"SCRAP"}</definedName>
    <definedName name="wrn.Monthly._.Report." hidden="1">{#N/A,#N/A,TRUE,"STEEL";#N/A,#N/A,TRUE,"OUTSIDE FAB.";#N/A,#N/A,TRUE,"WIP";#N/A,#N/A,TRUE,"FINISHED GOODS";#N/A,#N/A,TRUE,"SCRAP"}</definedName>
    <definedName name="wrn.piping."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0" hidden="1">{"PLANNING",#N/A,FALSE,"A"}</definedName>
    <definedName name="wrn.PLANNING." hidden="1">{"PLANNING",#N/A,FALSE,"A"}</definedName>
    <definedName name="wrn.RCC."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0" hidden="1">{#N/A,#N/A,FALSE,"COVER.XLS";#N/A,#N/A,FALSE,"RACT1.XLS";#N/A,#N/A,FALSE,"RACT2.XLS";#N/A,#N/A,FALSE,"ECCMP";#N/A,#N/A,FALSE,"WELDER.XLS"}</definedName>
    <definedName name="wrn.report." hidden="1">{#N/A,#N/A,FALSE,"COVER.XLS";#N/A,#N/A,FALSE,"RACT1.XLS";#N/A,#N/A,FALSE,"RACT2.XLS";#N/A,#N/A,FALSE,"ECCMP";#N/A,#N/A,FALSE,"WELDER.XLS"}</definedName>
    <definedName name="wrn.RPLINS." localSheetId="4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0" hidden="1">{#N/A,#N/A,FALSE,"COVER1.XLS ";#N/A,#N/A,FALSE,"RACT1.XLS";#N/A,#N/A,FALSE,"RACT2.XLS";#N/A,#N/A,FALSE,"ECCMP";#N/A,#N/A,FALSE,"WELDER.XLS"}</definedName>
    <definedName name="wrn.summary." hidden="1">{#N/A,#N/A,FALSE,"COVER1.XLS ";#N/A,#N/A,FALSE,"RACT1.XLS";#N/A,#N/A,FALSE,"RACT2.XLS";#N/A,#N/A,FALSE,"ECCMP";#N/A,#N/A,FALSE,"WELDER.XLS"}</definedName>
    <definedName name="wrn.test." localSheetId="40" hidden="1">{#N/A,#N/A,FALSE,"Motor List"}</definedName>
    <definedName name="wrn.test." hidden="1">{#N/A,#N/A,FALSE,"Motor List"}</definedName>
    <definedName name="wrn.Test._.Report." localSheetId="40" hidden="1">{#N/A,#N/A,FALSE,"DATA D.I.";#N/A,#N/A,FALSE,"DATA C.I."}</definedName>
    <definedName name="wrn.Test._.Report." hidden="1">{#N/A,#N/A,FALSE,"DATA D.I.";#N/A,#N/A,FALSE,"DATA C.I."}</definedName>
    <definedName name="wrn.WEEKLY." localSheetId="40"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0"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0" hidden="1">{"'PROFITABILITY'!$A$1:$F$45"}</definedName>
    <definedName name="yyy" hidden="1">{"'PROFITABILITY'!$A$1:$F$45"}</definedName>
    <definedName name="yyy1" localSheetId="40" hidden="1">{"'PROFITABILITY'!$A$1:$F$45"}</definedName>
    <definedName name="yyy1" hidden="1">{"'PROFITABILITY'!$A$1:$F$45"}</definedName>
    <definedName name="yyyyyyyyyyy">#REF!</definedName>
    <definedName name="z" localSheetId="40"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0"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0" hidden="1">{"'장비'!$A$3:$M$12"}</definedName>
    <definedName name="추가분" hidden="1">{"'장비'!$A$3:$M$12"}</definedName>
    <definedName name="토목">#REF!</definedName>
    <definedName name="토목1">#REF!</definedName>
    <definedName name="토목변경" localSheetId="40" hidden="1">{"'장비'!$A$3:$M$12"}</definedName>
    <definedName name="토목변경" hidden="1">{"'장비'!$A$3:$M$12"}</definedName>
    <definedName name="토목실행예산" localSheetId="40" hidden="1">{"'장비'!$A$3:$M$12"}</definedName>
    <definedName name="토목실행예산" hidden="1">{"'장비'!$A$3:$M$12"}</definedName>
    <definedName name="토목조정분" localSheetId="40"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104" l="1"/>
  <c r="A20" i="104"/>
  <c r="A21" i="104"/>
  <c r="A22" i="104"/>
  <c r="A23" i="104"/>
  <c r="A24" i="104"/>
  <c r="A25" i="104"/>
  <c r="A26" i="104"/>
  <c r="A27" i="104" s="1"/>
  <c r="A28" i="104" s="1"/>
  <c r="I27" i="52"/>
  <c r="K26" i="104"/>
  <c r="K24" i="104"/>
  <c r="K20" i="104"/>
  <c r="K19" i="104"/>
  <c r="K18" i="104"/>
  <c r="K17" i="104"/>
  <c r="K9" i="104"/>
  <c r="D17" i="99"/>
  <c r="A61" i="49"/>
  <c r="A60" i="49"/>
  <c r="A5" i="104"/>
  <c r="A6" i="104" l="1"/>
  <c r="A7" i="104" s="1"/>
  <c r="A8" i="104" s="1"/>
  <c r="A9" i="104" s="1"/>
  <c r="A10" i="104" s="1"/>
  <c r="A11" i="104" s="1"/>
  <c r="A12" i="104" s="1"/>
  <c r="A13" i="104" s="1"/>
  <c r="A14" i="104" s="1"/>
  <c r="A15" i="104" s="1"/>
  <c r="A16" i="104" s="1"/>
  <c r="A17" i="104" s="1"/>
  <c r="A18" i="104" s="1"/>
  <c r="A29" i="104" s="1"/>
  <c r="E59" i="42"/>
  <c r="U56" i="42" l="1"/>
  <c r="U55" i="42"/>
  <c r="E57" i="42" l="1"/>
  <c r="P58" i="42" l="1"/>
  <c r="P56" i="42"/>
  <c r="P55" i="42"/>
  <c r="P54" i="42" s="1"/>
  <c r="M10" i="42" l="1"/>
  <c r="L10" i="42"/>
  <c r="G23" i="104" l="1"/>
  <c r="G29" i="104"/>
  <c r="G28" i="104"/>
  <c r="G27" i="104"/>
  <c r="G26" i="104"/>
  <c r="G25" i="104"/>
  <c r="G24" i="104"/>
  <c r="G20" i="104"/>
  <c r="G19" i="104"/>
  <c r="G18" i="104"/>
  <c r="G17" i="104"/>
  <c r="G16" i="104"/>
  <c r="G14" i="104"/>
  <c r="G13" i="104"/>
  <c r="G12" i="104"/>
  <c r="G11" i="104"/>
  <c r="G10" i="104"/>
  <c r="G9" i="104"/>
  <c r="G8" i="104"/>
  <c r="G7" i="104"/>
  <c r="G6" i="104"/>
  <c r="G5" i="104"/>
  <c r="G22" i="104"/>
  <c r="G21" i="104"/>
  <c r="G4" i="104"/>
  <c r="B10" i="42" l="1"/>
  <c r="E58" i="49"/>
  <c r="A162" i="72"/>
  <c r="G3" i="102"/>
  <c r="G4" i="102"/>
  <c r="G5" i="102"/>
  <c r="D7" i="103"/>
  <c r="L12" i="42" l="1"/>
  <c r="A161" i="72"/>
  <c r="E56" i="42"/>
  <c r="A59" i="49"/>
  <c r="F19" i="52" l="1"/>
  <c r="E27" i="52"/>
  <c r="A58" i="49"/>
  <c r="G4" i="101"/>
  <c r="G5" i="101" s="1"/>
  <c r="G6" i="101" s="1"/>
  <c r="G7" i="101" s="1"/>
  <c r="G8" i="101" s="1"/>
  <c r="G9" i="101" s="1"/>
  <c r="G10" i="101" s="1"/>
  <c r="G11" i="101" s="1"/>
  <c r="G12" i="101" s="1"/>
  <c r="G13" i="101" s="1"/>
  <c r="G14" i="101" s="1"/>
  <c r="G15" i="101" s="1"/>
  <c r="G16" i="101" s="1"/>
  <c r="G17" i="101" s="1"/>
  <c r="G18" i="101" s="1"/>
  <c r="G19" i="101" s="1"/>
  <c r="G20" i="101" s="1"/>
  <c r="G21" i="101" s="1"/>
  <c r="G22" i="101" s="1"/>
  <c r="G23" i="101" s="1"/>
  <c r="G24" i="101" s="1"/>
  <c r="G25" i="101" s="1"/>
  <c r="G26" i="101" s="1"/>
  <c r="G27" i="101" s="1"/>
  <c r="G28" i="101" s="1"/>
  <c r="G29" i="101" s="1"/>
  <c r="G30" i="101" s="1"/>
  <c r="G31" i="101" s="1"/>
  <c r="G32" i="101" s="1"/>
  <c r="G33" i="101" s="1"/>
  <c r="G34" i="101" s="1"/>
  <c r="G35" i="101" s="1"/>
  <c r="G36" i="101" s="1"/>
  <c r="G37" i="101" s="1"/>
  <c r="G38" i="101" s="1"/>
  <c r="G39" i="101" s="1"/>
  <c r="G40" i="101" s="1"/>
  <c r="G41" i="101" s="1"/>
  <c r="G42" i="101" s="1"/>
  <c r="G43" i="101" s="1"/>
  <c r="G44" i="101" s="1"/>
  <c r="G45" i="101" s="1"/>
  <c r="G46" i="101" s="1"/>
  <c r="E7" i="102"/>
  <c r="D7" i="102"/>
  <c r="J4" i="102"/>
  <c r="B4" i="102"/>
  <c r="B5" i="102" s="1"/>
  <c r="B6" i="102" s="1"/>
  <c r="F26" i="52"/>
  <c r="H23" i="42"/>
  <c r="G13" i="42"/>
  <c r="A57" i="49"/>
  <c r="D63" i="42"/>
  <c r="D62" i="42"/>
  <c r="E54" i="49"/>
  <c r="E19" i="70"/>
  <c r="G12" i="42"/>
  <c r="S23" i="42"/>
  <c r="C57" i="42"/>
  <c r="U51" i="42"/>
  <c r="U50" i="42"/>
  <c r="G10" i="42"/>
  <c r="L13" i="42"/>
  <c r="E18" i="70"/>
  <c r="D64" i="42"/>
  <c r="D56" i="42"/>
  <c r="D55" i="42"/>
  <c r="D13" i="42"/>
  <c r="E17" i="70"/>
  <c r="A160" i="72"/>
  <c r="A159" i="72"/>
  <c r="E16" i="70"/>
  <c r="A158" i="72"/>
  <c r="A157" i="72"/>
  <c r="A156" i="72"/>
  <c r="A155" i="72"/>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3" i="52"/>
  <c r="E15" i="70"/>
  <c r="E14" i="70"/>
  <c r="B8" i="99"/>
  <c r="B9" i="99" s="1"/>
  <c r="B10" i="99" s="1"/>
  <c r="B11"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J8" i="42" s="1"/>
  <c r="A8" i="70"/>
  <c r="A9" i="70" s="1"/>
  <c r="A10" i="70" s="1"/>
  <c r="A11" i="70" s="1"/>
  <c r="A12" i="70" s="1"/>
  <c r="A13" i="70" s="1"/>
  <c r="A14" i="70" s="1"/>
  <c r="A15" i="70" s="1"/>
  <c r="A16" i="70" s="1"/>
  <c r="A17" i="70" s="1"/>
  <c r="A18" i="70" s="1"/>
  <c r="A19" i="70" s="1"/>
  <c r="E12" i="70"/>
  <c r="E11" i="70"/>
  <c r="E7" i="42"/>
  <c r="F7" i="42"/>
  <c r="E8" i="42"/>
  <c r="E9" i="42"/>
  <c r="E10" i="42"/>
  <c r="E11" i="42"/>
  <c r="E12" i="42"/>
  <c r="G7" i="102" l="1"/>
  <c r="F7" i="102"/>
  <c r="J23" i="42"/>
  <c r="K23" i="42" s="1"/>
  <c r="H13" i="42"/>
  <c r="J13" i="42" s="1"/>
  <c r="K13" i="42" s="1"/>
  <c r="Q23" i="42"/>
  <c r="Q13" i="42" s="1"/>
  <c r="B12" i="99"/>
  <c r="B13" i="99" s="1"/>
  <c r="B14" i="99" s="1"/>
  <c r="B15" i="99" s="1"/>
  <c r="B16" i="99" s="1"/>
  <c r="B17" i="99" s="1"/>
  <c r="C13" i="42"/>
  <c r="I13" i="42" s="1"/>
  <c r="I23" i="42"/>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A23" i="76" l="1"/>
  <c r="A24" i="76" s="1"/>
  <c r="A25" i="76" s="1"/>
  <c r="A26" i="76" s="1"/>
  <c r="A27" i="76" s="1"/>
  <c r="A28" i="76" s="1"/>
  <c r="A29" i="76" s="1"/>
  <c r="A30" i="76" s="1"/>
  <c r="A31" i="76" s="1"/>
  <c r="A32" i="76" s="1"/>
  <c r="O4" i="64"/>
  <c r="A33" i="76" l="1"/>
  <c r="A34" i="76" s="1"/>
  <c r="A35" i="76" s="1"/>
  <c r="A36" i="76" s="1"/>
  <c r="A37" i="76" s="1"/>
  <c r="A38" i="76" s="1"/>
  <c r="A39" i="76" s="1"/>
  <c r="I1" i="76"/>
  <c r="J19" i="49" l="1"/>
  <c r="J19" i="66"/>
  <c r="L8" i="42"/>
  <c r="M8" i="42"/>
  <c r="L9" i="42"/>
  <c r="M9" i="42"/>
  <c r="L11" i="42"/>
  <c r="M11" i="42"/>
  <c r="L7" i="42"/>
  <c r="H9" i="42"/>
  <c r="H10" i="42"/>
  <c r="G11" i="42"/>
  <c r="H11" i="42"/>
  <c r="H12" i="42"/>
  <c r="H7" i="42"/>
  <c r="G7" i="42"/>
  <c r="B8" i="42"/>
  <c r="C8" i="42"/>
  <c r="D8" i="42"/>
  <c r="B9" i="42"/>
  <c r="C9" i="42"/>
  <c r="D9"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K20" i="42" l="1"/>
  <c r="A35" i="69"/>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A111" i="69" s="1"/>
  <c r="A112"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 i="59"/>
  <c r="A9" i="59" s="1"/>
  <c r="I8" i="67"/>
  <c r="H8" i="67"/>
  <c r="J16" i="67"/>
  <c r="G8" i="67"/>
  <c r="F8" i="67"/>
  <c r="A84" i="60" l="1"/>
  <c r="A85" i="60" s="1"/>
  <c r="K214" i="64"/>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A86" i="60" l="1"/>
  <c r="A87" i="60" s="1"/>
  <c r="A88" i="60" s="1"/>
  <c r="A89" i="60" s="1"/>
  <c r="A90" i="60" s="1"/>
  <c r="A91" i="60" s="1"/>
  <c r="A92" i="60" s="1"/>
  <c r="A93" i="60" s="1"/>
  <c r="A94" i="60" s="1"/>
  <c r="A95" i="60" s="1"/>
  <c r="A96" i="60" s="1"/>
  <c r="J257" i="65"/>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A244" i="59" s="1"/>
  <c r="A245"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I38" i="42"/>
  <c r="J37" i="42"/>
  <c r="K37" i="42" s="1"/>
  <c r="I37" i="42"/>
  <c r="K35" i="42"/>
  <c r="I35" i="42"/>
  <c r="J22" i="42"/>
  <c r="K22" i="42" s="1"/>
  <c r="J21" i="42"/>
  <c r="K21" i="42" s="1"/>
  <c r="K19" i="42"/>
  <c r="J17" i="42"/>
  <c r="I22" i="42"/>
  <c r="I21" i="42"/>
  <c r="I20" i="42"/>
  <c r="P20" i="42" s="1"/>
  <c r="I19" i="42"/>
  <c r="P19" i="42" s="1"/>
  <c r="I17" i="42"/>
  <c r="K36" i="42"/>
  <c r="I36" i="42"/>
  <c r="P36" i="42" s="1"/>
  <c r="K38" i="42" l="1"/>
  <c r="P49" i="42"/>
  <c r="P39" i="42"/>
  <c r="P40" i="42"/>
  <c r="P21" i="42"/>
  <c r="P11" i="42" s="1"/>
  <c r="P22" i="42"/>
  <c r="P45" i="42"/>
  <c r="P8" i="42" s="1"/>
  <c r="P37" i="42"/>
  <c r="P38" i="42"/>
  <c r="P46" i="42"/>
  <c r="K47" i="42"/>
  <c r="P47" i="42"/>
  <c r="K17" i="42"/>
  <c r="K18" i="42"/>
  <c r="P9" i="42" l="1"/>
  <c r="P12" i="42"/>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<sst xmlns="http://schemas.openxmlformats.org/spreadsheetml/2006/main" count="24376" uniqueCount="3821">
  <si>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</si>
  <si>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</si>
  <si>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</si>
  <si>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</si>
  <si>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</si>
  <si>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</si>
  <si>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</si>
  <si>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</si>
  <si>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</si>
  <si>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</si>
  <si>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</si>
  <si>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</si>
  <si>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</si>
  <si>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</si>
  <si>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</si>
  <si>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</si>
  <si>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</si>
  <si>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</si>
  <si>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</si>
  <si>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</si>
  <si>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</si>
  <si>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</si>
  <si>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</si>
  <si>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</si>
  <si>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</si>
  <si>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</si>
  <si>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</si>
  <si>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</si>
  <si>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</si>
  <si>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</si>
  <si>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</si>
  <si>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</si>
  <si>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</si>
  <si>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</si>
  <si>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</si>
  <si>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</si>
  <si>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</si>
  <si>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</si>
  <si>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</si>
  <si>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</si>
  <si>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</si>
  <si>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</si>
  <si>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</si>
  <si>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</si>
  <si>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</si>
  <si>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</si>
  <si>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</si>
  <si>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</si>
  <si>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</si>
  <si>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</si>
  <si>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</si>
  <si>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</si>
  <si>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</si>
  <si>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</si>
  <si>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</si>
  <si>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</si>
  <si>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</si>
  <si>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</si>
  <si>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</si>
  <si>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</si>
  <si>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</si>
  <si>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</si>
  <si>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</si>
  <si>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</si>
  <si>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</si>
  <si>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</si>
  <si>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</si>
  <si>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</si>
  <si>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</si>
  <si>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</si>
  <si>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</si>
  <si>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</si>
  <si>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</si>
  <si>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</si>
  <si>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</si>
  <si>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</si>
  <si>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</si>
  <si>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</si>
  <si>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</si>
  <si>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</si>
  <si>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</si>
  <si>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</si>
  <si>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</si>
  <si>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</si>
  <si>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</si>
  <si>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</si>
  <si>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</si>
  <si>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</si>
  <si>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</si>
  <si>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</si>
  <si>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</si>
  <si>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</si>
  <si>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</si>
  <si>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</si>
  <si>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</si>
  <si>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</si>
  <si>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</si>
  <si>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</si>
  <si>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</si>
  <si>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</si>
  <si>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</si>
  <si>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</si>
  <si>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</si>
  <si>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</si>
  <si>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</si>
  <si>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</si>
  <si>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</si>
  <si>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</si>
  <si>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</si>
  <si>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</si>
  <si>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</si>
  <si>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</si>
  <si>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</si>
  <si>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</si>
  <si>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</si>
  <si>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</si>
  <si>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</si>
  <si>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</si>
  <si>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</si>
  <si>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</si>
  <si>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</si>
  <si>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</si>
  <si>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</si>
  <si>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</si>
  <si>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</si>
  <si>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</si>
  <si>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</si>
  <si>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</si>
  <si>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</si>
  <si>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</si>
  <si>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</si>
  <si>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</si>
  <si>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</si>
  <si>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</si>
  <si>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</si>
  <si>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</si>
  <si>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</si>
  <si>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</si>
  <si>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</si>
  <si>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</si>
  <si>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</si>
  <si>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</si>
  <si>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</si>
  <si>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</si>
  <si>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</si>
  <si>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</si>
  <si>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</si>
  <si>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</si>
  <si>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</si>
  <si>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</si>
  <si>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</si>
  <si>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</si>
  <si>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</si>
  <si>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</si>
  <si>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</si>
  <si>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</si>
  <si>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</si>
  <si>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</si>
  <si>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</si>
  <si>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</si>
  <si>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</si>
  <si>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</si>
  <si>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</si>
  <si>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</si>
  <si>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</si>
  <si>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</si>
  <si>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</si>
  <si>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</si>
  <si>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</si>
  <si>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</si>
  <si>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</si>
  <si>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</si>
  <si>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</si>
  <si>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</si>
  <si>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</si>
  <si>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</si>
  <si>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</si>
  <si>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</si>
  <si>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</si>
  <si>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</si>
  <si>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</si>
  <si>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</si>
  <si>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</si>
  <si>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</si>
  <si>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</si>
  <si>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</si>
  <si>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</si>
  <si>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</si>
  <si>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</si>
  <si>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</si>
  <si>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</si>
  <si>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</si>
  <si>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</si>
  <si>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</si>
  <si>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</si>
  <si>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</si>
  <si>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</si>
  <si>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</si>
  <si>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</si>
  <si>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</si>
  <si>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</si>
  <si>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</si>
  <si>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</si>
  <si>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</si>
  <si>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</si>
  <si>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</si>
  <si>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</si>
  <si>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</si>
  <si>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</si>
  <si>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</si>
  <si>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</si>
  <si>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</si>
  <si>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</si>
  <si>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</si>
  <si>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</si>
  <si>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</si>
  <si>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</si>
  <si>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</si>
  <si>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</si>
  <si>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</si>
  <si>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</si>
  <si>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</si>
  <si>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</si>
  <si>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</si>
  <si>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</si>
  <si>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</si>
  <si>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</si>
  <si>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</si>
  <si>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</si>
  <si>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</si>
  <si>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</si>
  <si>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</si>
  <si>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</si>
  <si>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</si>
  <si>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</si>
  <si>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</si>
  <si>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</si>
  <si>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</si>
  <si>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</si>
  <si>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</si>
  <si>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</si>
  <si>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</si>
  <si>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</si>
  <si>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</si>
  <si>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</si>
  <si>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</si>
  <si>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</si>
  <si>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</si>
  <si>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</si>
  <si>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</si>
  <si>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</si>
  <si>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</si>
  <si>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</si>
  <si>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</si>
  <si>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</si>
  <si>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</si>
  <si>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</si>
  <si>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</si>
  <si>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</si>
  <si>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</si>
  <si>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</si>
  <si>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</si>
  <si>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</si>
  <si>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</si>
  <si>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</si>
  <si>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</si>
  <si>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</si>
  <si>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</si>
  <si>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</si>
  <si>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</si>
  <si>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</si>
  <si>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</si>
  <si>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</si>
  <si>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</si>
  <si>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</si>
  <si>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</si>
  <si>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</si>
  <si>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</si>
  <si>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</si>
  <si>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</si>
  <si>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</si>
  <si>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</si>
  <si>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</si>
  <si>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</si>
  <si>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</si>
  <si>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</si>
  <si>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</si>
  <si>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</si>
  <si>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</si>
  <si>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</si>
  <si>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</si>
  <si>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</si>
  <si>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</si>
  <si>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</si>
  <si>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</si>
  <si>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</si>
  <si>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</si>
  <si>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</si>
  <si>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</si>
  <si>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</si>
  <si>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</si>
  <si>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</si>
  <si>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</si>
  <si>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</si>
  <si>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</si>
  <si>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</si>
  <si>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</si>
  <si>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</si>
  <si>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</si>
  <si>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</si>
  <si>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</si>
  <si>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</si>
  <si>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</si>
  <si>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</si>
  <si>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</si>
  <si>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</si>
  <si>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</si>
  <si>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</si>
  <si>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</si>
  <si>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</si>
  <si>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</si>
  <si>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</si>
  <si>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</si>
  <si>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</si>
  <si>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</si>
  <si>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</si>
  <si>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</si>
  <si>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</si>
  <si>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</si>
  <si>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</si>
  <si>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</si>
  <si>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</si>
  <si>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</si>
  <si>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</si>
  <si>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</si>
  <si>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</si>
  <si>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</si>
  <si>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</si>
  <si>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</si>
  <si>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</si>
  <si>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</si>
  <si>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</si>
  <si>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</si>
  <si>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</si>
  <si>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</si>
  <si>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</si>
  <si>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</si>
  <si>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</si>
  <si>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</si>
  <si>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</si>
  <si>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</si>
  <si>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</si>
  <si>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</si>
  <si>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</si>
  <si>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</si>
  <si>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</si>
  <si>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</si>
  <si>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</si>
  <si>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</si>
  <si>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</si>
  <si>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</si>
  <si>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</si>
  <si>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</si>
  <si>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</si>
  <si>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</si>
  <si>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</si>
  <si>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</si>
  <si>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</si>
  <si>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</si>
  <si>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</si>
  <si>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</si>
  <si>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</si>
  <si>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</si>
  <si>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</si>
  <si>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</si>
  <si>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</si>
  <si>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</si>
  <si>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</si>
  <si>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</si>
  <si>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</si>
  <si>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</si>
  <si>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</si>
  <si>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</si>
  <si>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</si>
  <si>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</si>
  <si>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</si>
  <si>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</si>
  <si>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</si>
  <si>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</si>
  <si>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</si>
  <si>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</si>
  <si>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</si>
  <si>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</si>
  <si>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</si>
  <si>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</si>
  <si>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</si>
  <si>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</si>
  <si>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</si>
  <si>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</si>
  <si>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</si>
  <si>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</si>
  <si>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</si>
  <si>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</si>
  <si>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</si>
  <si>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</si>
  <si>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</si>
  <si>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</si>
  <si>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</si>
  <si>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</si>
  <si>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</si>
  <si>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</si>
  <si>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</si>
  <si>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</si>
  <si>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</si>
  <si>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</si>
  <si>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</si>
  <si>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</si>
  <si>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</si>
  <si>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</si>
  <si>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</si>
  <si>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</si>
  <si>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</si>
  <si>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</si>
  <si>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</si>
  <si>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</si>
  <si>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</si>
  <si>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</si>
  <si>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</si>
  <si>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</si>
  <si>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</si>
  <si>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</si>
  <si>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</si>
  <si>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</si>
  <si>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</si>
  <si>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</si>
  <si>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</si>
  <si>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</si>
  <si>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</si>
  <si>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</si>
  <si>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</si>
  <si>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</si>
  <si>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</si>
  <si>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</si>
  <si>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</si>
  <si>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</si>
  <si>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</si>
  <si>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</si>
  <si>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</si>
  <si>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</si>
  <si>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</si>
  <si>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</si>
  <si>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</si>
  <si>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</si>
  <si>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</si>
  <si>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</si>
  <si>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</si>
  <si>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</si>
  <si>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</si>
  <si>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</si>
  <si>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</si>
  <si>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</si>
  <si>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</si>
  <si>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</si>
  <si>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</si>
  <si>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</si>
  <si>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</si>
  <si>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</si>
  <si>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</si>
  <si>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</si>
  <si>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</si>
  <si>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</si>
  <si>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</si>
  <si>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</si>
  <si>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</si>
  <si>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</si>
  <si>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</si>
  <si>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</si>
  <si>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</si>
  <si>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</si>
  <si>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</si>
  <si>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</si>
  <si>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</si>
  <si>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</si>
  <si>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</si>
  <si>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</si>
  <si>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</si>
  <si>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</si>
  <si>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</si>
  <si>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</si>
  <si>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</si>
  <si>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</si>
  <si>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</si>
  <si>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</si>
  <si>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</si>
  <si>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</si>
  <si>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</si>
  <si>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</si>
  <si>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</si>
  <si>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</si>
  <si>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</si>
  <si>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</si>
  <si>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</si>
  <si>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</si>
  <si>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</si>
  <si>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</si>
  <si>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</si>
  <si>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</si>
  <si>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</si>
  <si>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</si>
  <si>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</si>
  <si>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</si>
  <si>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</si>
  <si>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</si>
  <si>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</si>
  <si>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</si>
  <si>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</si>
  <si>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</si>
  <si>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</si>
  <si>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</si>
  <si>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</si>
  <si>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</si>
  <si>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</si>
  <si>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</si>
  <si>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</si>
  <si>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</si>
  <si>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</si>
  <si>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</si>
  <si>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</si>
  <si>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</si>
  <si>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</si>
  <si>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</si>
  <si>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</si>
  <si>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</si>
  <si>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</si>
  <si>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</si>
  <si>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</si>
  <si>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</si>
  <si>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</si>
  <si>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</si>
  <si>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</si>
  <si>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</si>
  <si>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</si>
  <si>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</si>
  <si>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</si>
  <si>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</si>
  <si>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</si>
  <si>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</si>
  <si>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</si>
  <si>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</si>
  <si>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</si>
  <si>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</si>
  <si>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</si>
  <si>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</si>
  <si>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</si>
  <si>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</si>
  <si>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</si>
  <si>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</si>
  <si>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</si>
  <si>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</si>
  <si>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</si>
  <si>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</si>
  <si>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</si>
  <si>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</si>
  <si>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</si>
  <si>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</si>
  <si>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</si>
  <si>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</si>
  <si>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</si>
  <si>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</si>
  <si>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</si>
  <si>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</si>
  <si>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</si>
  <si>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</si>
  <si>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</si>
  <si>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</si>
  <si>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</si>
  <si>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</si>
  <si>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</si>
  <si>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</si>
  <si>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</si>
  <si>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</si>
  <si>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</si>
  <si>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</si>
  <si>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</si>
  <si>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</si>
  <si>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</si>
  <si>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</si>
  <si>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</si>
  <si>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</si>
  <si>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</si>
  <si>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</si>
  <si>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</si>
  <si>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</si>
  <si>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</si>
  <si>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</si>
  <si>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</si>
  <si>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</si>
  <si>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</si>
  <si>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</si>
  <si>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</si>
  <si>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</si>
  <si>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</si>
  <si>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</si>
  <si>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</si>
  <si>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</si>
  <si>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</si>
  <si>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</si>
  <si>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</si>
  <si>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</si>
  <si>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</si>
  <si>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</si>
  <si>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</si>
  <si>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</si>
  <si>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</si>
  <si>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</si>
  <si>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</si>
  <si>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</si>
  <si>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</si>
  <si>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</si>
  <si>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</si>
  <si>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</si>
  <si>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</si>
  <si>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</si>
  <si>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</si>
  <si>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</si>
  <si>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</si>
  <si>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</si>
  <si>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</si>
  <si>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</si>
  <si>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</si>
  <si>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</si>
  <si>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</si>
  <si>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</si>
  <si>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</si>
  <si>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</si>
  <si>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</si>
  <si>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</si>
  <si>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</si>
  <si>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</si>
  <si>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</si>
  <si>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</si>
  <si>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</si>
  <si>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</si>
  <si>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</si>
  <si>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</si>
  <si>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</si>
  <si>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</si>
  <si>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</si>
  <si>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</si>
  <si>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</si>
  <si>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</si>
  <si>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</si>
  <si>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</si>
  <si>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</si>
  <si>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</si>
  <si>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</si>
  <si>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</si>
  <si>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</si>
  <si>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</si>
  <si>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</si>
  <si>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</si>
  <si>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</si>
  <si>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</si>
  <si>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</si>
  <si>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</si>
  <si>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</si>
  <si>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</si>
  <si>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</si>
  <si>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</si>
  <si>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</si>
  <si>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</si>
  <si>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</si>
  <si>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</si>
  <si>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</si>
  <si>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</si>
  <si>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</si>
  <si>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</si>
  <si>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</si>
  <si>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</si>
  <si>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</si>
  <si>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</si>
  <si>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</si>
  <si>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</si>
  <si>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</si>
  <si>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</si>
  <si>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</si>
  <si>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</si>
  <si>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</si>
  <si>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</si>
  <si>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</si>
  <si>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</si>
  <si>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</si>
  <si>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</si>
  <si>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</si>
  <si>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</si>
  <si>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</si>
  <si>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</si>
  <si>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</si>
  <si>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</si>
  <si>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</si>
  <si>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</si>
  <si>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</si>
  <si>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</si>
  <si>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</si>
  <si>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</si>
  <si>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</si>
  <si>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</si>
  <si>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</si>
  <si>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</si>
  <si>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</si>
  <si>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</si>
  <si>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</si>
  <si>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</si>
  <si>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</si>
  <si>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</si>
  <si>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</si>
  <si>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</si>
  <si>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</si>
  <si>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</si>
  <si>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</si>
  <si>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</si>
  <si>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</si>
  <si>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</si>
  <si>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</si>
  <si>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</si>
  <si>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</si>
  <si>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</si>
  <si>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</si>
  <si>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</si>
  <si>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</si>
  <si>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</si>
  <si>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</si>
  <si>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</si>
  <si>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</si>
  <si>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</si>
  <si>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</si>
  <si>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</si>
  <si>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</si>
  <si>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</si>
  <si>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</si>
  <si>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</si>
  <si>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</si>
  <si>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</si>
  <si>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</si>
  <si>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</si>
  <si>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</si>
  <si>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</si>
  <si>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</si>
  <si>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</si>
  <si>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</si>
  <si>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</si>
  <si>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</si>
  <si>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</si>
  <si>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</si>
  <si>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</si>
  <si>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</si>
  <si>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</si>
  <si>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</si>
  <si>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</si>
  <si>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</si>
  <si>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</si>
  <si>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</si>
  <si>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</si>
  <si>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</si>
  <si>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</si>
  <si>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</si>
  <si>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</si>
  <si>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</si>
  <si>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</si>
  <si>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</si>
  <si>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</si>
  <si>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</si>
  <si>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</si>
  <si>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</si>
  <si>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</si>
  <si>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</si>
  <si>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</si>
  <si>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</si>
  <si>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</si>
  <si>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</si>
  <si>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</si>
  <si>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</si>
  <si>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</si>
  <si>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</si>
  <si>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</si>
  <si>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</si>
  <si>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</si>
  <si>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</si>
  <si>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</si>
  <si>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</si>
  <si>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</si>
  <si>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</si>
  <si>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</si>
  <si>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</si>
  <si>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</si>
  <si>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</si>
  <si>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</si>
  <si>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</si>
  <si>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</si>
  <si>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</si>
  <si>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</si>
  <si>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</si>
  <si>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</si>
  <si>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</si>
  <si>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</si>
  <si>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</si>
  <si>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</si>
  <si>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</si>
  <si>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</si>
  <si>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</si>
  <si>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</si>
  <si>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</si>
  <si>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</si>
  <si>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</si>
  <si>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</si>
  <si>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</si>
  <si>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</si>
  <si>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</si>
  <si>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</si>
  <si>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</si>
  <si>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</si>
  <si>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</si>
  <si>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</si>
  <si>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</si>
  <si>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</si>
  <si>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</si>
  <si>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</si>
  <si>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</si>
  <si>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</si>
  <si>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</si>
  <si>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</si>
  <si>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</si>
  <si>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</si>
  <si>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</si>
  <si>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</si>
  <si>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</si>
  <si>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</si>
  <si>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</si>
  <si>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</si>
  <si>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</si>
  <si>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</si>
  <si>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</si>
  <si>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</si>
  <si>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</si>
  <si>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</si>
  <si>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</si>
  <si>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</si>
  <si>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</si>
  <si>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</si>
  <si>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</si>
  <si>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</si>
  <si>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</si>
  <si>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</si>
  <si>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</si>
  <si>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</si>
  <si>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</si>
  <si>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</si>
  <si>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</si>
  <si>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</si>
  <si>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</si>
  <si>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</si>
  <si>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</si>
  <si>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</si>
  <si>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</si>
  <si>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</si>
  <si>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</si>
  <si>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</si>
  <si>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</si>
  <si>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</si>
  <si>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</si>
  <si>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</si>
  <si>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</si>
  <si>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</si>
  <si>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</si>
  <si>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</si>
  <si>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</si>
  <si>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</si>
  <si>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</si>
  <si>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</si>
  <si>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</si>
  <si>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</si>
  <si>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</si>
  <si>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</si>
  <si>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</si>
  <si>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</si>
  <si>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</si>
  <si>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</si>
  <si>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</si>
  <si>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</si>
  <si>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</si>
  <si>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</si>
  <si>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</si>
  <si>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</si>
  <si>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</si>
  <si>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</si>
  <si>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</si>
  <si>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</si>
  <si>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</si>
  <si>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</si>
  <si>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</si>
  <si>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</si>
  <si>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</si>
  <si>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</si>
  <si>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</si>
  <si>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</si>
  <si>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</si>
  <si>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</si>
  <si>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</si>
  <si>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</si>
  <si>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</si>
  <si>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</si>
  <si>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</si>
  <si>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</si>
  <si>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</si>
  <si>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</si>
  <si>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</si>
  <si>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</si>
  <si>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</si>
  <si>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</si>
  <si>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</si>
  <si>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</si>
  <si>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</si>
  <si>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</si>
  <si>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</si>
  <si>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</si>
  <si>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</si>
  <si>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</si>
  <si>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</si>
  <si>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</si>
  <si>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</si>
  <si>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</si>
  <si>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</si>
  <si>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</si>
  <si>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</si>
  <si>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</si>
  <si>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</si>
  <si>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</si>
  <si>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</si>
  <si>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</si>
  <si>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</si>
  <si>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</si>
  <si>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</si>
  <si>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</si>
  <si>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</si>
  <si>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</si>
  <si>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</si>
  <si>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</si>
  <si>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</si>
  <si>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</si>
  <si>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</si>
  <si>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</si>
  <si>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</si>
  <si>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</si>
  <si>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</si>
  <si>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</si>
  <si>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</si>
  <si>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</si>
  <si>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</si>
  <si>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</si>
  <si>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</si>
  <si>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</si>
  <si>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</si>
  <si>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</si>
  <si>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</si>
  <si>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</si>
  <si>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</si>
  <si>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</si>
  <si>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</si>
  <si>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</si>
  <si>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</si>
  <si>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</si>
  <si>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</si>
  <si>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</si>
  <si>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</si>
  <si>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</si>
  <si>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</si>
  <si>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</si>
  <si>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</si>
  <si>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</si>
  <si>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</si>
  <si>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</si>
  <si>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</si>
  <si>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</si>
  <si>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</si>
  <si>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</si>
  <si>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</si>
  <si>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</si>
  <si>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</si>
  <si>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</si>
  <si>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</si>
  <si>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</si>
  <si>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</si>
  <si>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</si>
  <si>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</si>
  <si>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</si>
  <si>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</si>
  <si>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</si>
  <si>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</si>
  <si>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</si>
  <si>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</si>
  <si>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</si>
  <si>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</si>
  <si>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</si>
  <si>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</si>
  <si>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</si>
  <si>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</si>
  <si>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</si>
  <si>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</si>
  <si>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</si>
  <si>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</si>
  <si>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</si>
  <si>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</si>
  <si>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</si>
  <si>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</si>
  <si>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</si>
  <si>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</si>
  <si>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</si>
  <si>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</si>
  <si>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</si>
  <si>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</si>
  <si>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</si>
  <si>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</si>
  <si>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</si>
  <si>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</si>
  <si>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</si>
  <si>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</si>
  <si>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</si>
  <si>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</si>
  <si>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</si>
  <si>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</si>
  <si>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</si>
  <si>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</si>
  <si>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</si>
  <si>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</si>
  <si>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</si>
  <si>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</si>
  <si>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</si>
  <si>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</si>
  <si>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</si>
  <si>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</si>
  <si>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</si>
  <si>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</si>
  <si>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</si>
  <si>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</si>
  <si>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</si>
  <si>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</si>
  <si>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</si>
  <si>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</si>
  <si>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</si>
  <si>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</si>
  <si>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</si>
  <si>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</si>
  <si>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</si>
  <si>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</si>
  <si>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</si>
  <si>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</si>
  <si>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</si>
  <si>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</si>
  <si>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</si>
  <si>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</si>
  <si>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</si>
  <si>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</si>
  <si>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</si>
  <si>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</si>
  <si>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</si>
  <si>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</si>
  <si>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</si>
  <si>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</si>
  <si>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</si>
  <si>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</si>
  <si>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</si>
  <si>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</si>
  <si>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</si>
  <si>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</si>
  <si>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</si>
  <si>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</si>
  <si>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</si>
  <si>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</si>
  <si>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</si>
  <si>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</si>
  <si>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</si>
  <si>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</si>
  <si>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</si>
  <si>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</si>
  <si>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</si>
  <si>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</si>
  <si>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</si>
  <si>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</si>
  <si>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</si>
  <si>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</si>
  <si>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</si>
  <si>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</si>
  <si>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</si>
  <si>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</si>
  <si>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</si>
  <si>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</si>
  <si>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</si>
  <si>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</si>
  <si>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</si>
  <si>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</si>
  <si>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</si>
  <si>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</si>
  <si>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</si>
  <si>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</si>
  <si>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</si>
  <si>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</si>
  <si>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</si>
  <si>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</si>
  <si>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</si>
  <si>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</si>
  <si>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</si>
  <si>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</si>
  <si>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</si>
  <si>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</si>
  <si>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</si>
  <si>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</si>
  <si>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</si>
  <si>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</si>
  <si>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</si>
  <si>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</si>
  <si>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</si>
  <si>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</si>
  <si>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</si>
  <si>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</si>
  <si>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</si>
  <si>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</si>
  <si>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</si>
  <si>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</si>
  <si>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</si>
  <si>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</si>
  <si>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</si>
  <si>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</si>
  <si>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</si>
  <si>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</si>
  <si>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</si>
  <si>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</si>
  <si>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</si>
  <si>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</si>
  <si>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</si>
  <si>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</si>
  <si>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</si>
  <si>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</si>
  <si>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</si>
  <si>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</si>
  <si>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</si>
  <si>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</si>
  <si>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</si>
  <si>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</si>
  <si>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</si>
  <si>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</si>
  <si>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</si>
  <si>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</si>
  <si>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</si>
  <si>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</si>
  <si>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</si>
  <si>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</si>
  <si>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</si>
  <si>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</si>
  <si>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</si>
  <si>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</si>
  <si>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</si>
  <si>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</si>
  <si>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</si>
  <si>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</si>
  <si>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</si>
  <si>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</si>
  <si>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</si>
  <si>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</si>
  <si>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</si>
  <si>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</si>
  <si>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</si>
  <si>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</si>
  <si>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</si>
  <si>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</si>
  <si>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</si>
  <si>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</si>
  <si>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</si>
  <si>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</si>
  <si>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</si>
  <si>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</si>
  <si>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</si>
  <si>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</si>
  <si>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</si>
  <si>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</si>
  <si>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</si>
  <si>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</si>
  <si>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</si>
  <si>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</si>
  <si>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</si>
  <si>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</si>
  <si>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</si>
  <si>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</si>
  <si>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</si>
  <si>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</si>
  <si>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</si>
  <si>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</si>
  <si>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</si>
  <si>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</si>
  <si>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</si>
  <si>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</si>
  <si>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</si>
  <si>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</si>
  <si>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</si>
  <si>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</si>
  <si>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</si>
  <si>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</si>
  <si>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</si>
  <si>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</si>
  <si>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</si>
  <si>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</si>
  <si>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</si>
  <si>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</si>
  <si>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</si>
  <si>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</si>
  <si>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</si>
  <si>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</si>
  <si>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</si>
  <si>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</si>
  <si>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</si>
  <si>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</si>
  <si>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</si>
  <si>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</si>
  <si>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</si>
  <si>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</si>
  <si>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</si>
  <si>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</si>
  <si>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</si>
  <si>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</si>
  <si>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</si>
  <si>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</si>
  <si>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</si>
  <si>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</si>
  <si>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</si>
  <si>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</si>
  <si>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</si>
  <si>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</si>
  <si>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</si>
  <si>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</si>
  <si>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</si>
  <si>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</si>
  <si>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</si>
  <si>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</si>
  <si>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</si>
  <si>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</si>
  <si>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</si>
  <si>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</si>
  <si>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</si>
  <si>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</si>
  <si>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</si>
  <si>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</si>
  <si>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</si>
  <si>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</si>
  <si>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</si>
  <si>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</si>
  <si>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</si>
  <si>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</si>
  <si>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</si>
  <si>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</si>
  <si>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</si>
  <si>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</si>
  <si>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</si>
  <si>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</si>
  <si>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</si>
  <si>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</si>
  <si>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</si>
  <si>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</si>
  <si>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</si>
  <si>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</si>
  <si>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</si>
  <si>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</si>
  <si>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</si>
  <si>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</si>
  <si>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</si>
  <si>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</si>
  <si>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</si>
  <si>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</si>
  <si>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</si>
  <si>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</si>
  <si>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</si>
  <si>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</si>
  <si>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</si>
  <si>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</si>
  <si>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</si>
  <si>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</si>
  <si>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</si>
  <si>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</si>
  <si>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</si>
  <si>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</si>
  <si>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</si>
  <si>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</si>
  <si>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</si>
  <si>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</si>
  <si>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</si>
  <si>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</si>
  <si>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</si>
  <si>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</si>
  <si>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</si>
  <si>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</si>
  <si>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</si>
  <si>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</si>
  <si>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</si>
  <si>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</si>
  <si>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</si>
  <si>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</si>
  <si>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</si>
  <si>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</si>
  <si>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</si>
  <si>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</si>
  <si>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</si>
  <si>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</si>
  <si>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</si>
  <si>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</si>
  <si>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</si>
  <si>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</si>
  <si>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</si>
  <si>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</si>
  <si>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</si>
  <si>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</si>
  <si>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</si>
  <si>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</si>
  <si>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</si>
  <si>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</si>
  <si>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</si>
  <si>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</si>
  <si>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</si>
  <si>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</si>
  <si>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</si>
  <si>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</si>
  <si>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</si>
  <si>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</si>
  <si>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</si>
  <si>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</si>
  <si>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</si>
  <si>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</si>
  <si>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</si>
  <si>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</si>
  <si>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</si>
  <si>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</si>
  <si>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</si>
  <si>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</si>
  <si>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</si>
  <si>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</si>
  <si>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</si>
  <si>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</si>
  <si>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</si>
  <si>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</si>
  <si>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</si>
  <si>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</si>
  <si>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</si>
  <si>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</si>
  <si>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</si>
  <si>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</si>
  <si>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</si>
  <si>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</si>
  <si>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</si>
  <si>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</si>
  <si>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</si>
  <si>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</si>
  <si>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</si>
  <si>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</si>
  <si>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</si>
  <si>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</si>
  <si>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</si>
  <si>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</si>
  <si>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</si>
  <si>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</si>
  <si>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</si>
  <si>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</si>
  <si>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</si>
  <si>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</si>
  <si>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</si>
  <si>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</si>
  <si>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</si>
  <si>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</si>
  <si>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</si>
  <si>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</si>
  <si>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</si>
  <si>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</si>
  <si>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</si>
  <si>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</si>
  <si>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</si>
  <si>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</si>
  <si>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</si>
  <si>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</si>
  <si>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</si>
  <si>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</si>
  <si>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</si>
  <si>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</si>
  <si>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</si>
  <si>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</si>
  <si>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</si>
  <si>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</si>
  <si>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</si>
  <si>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</si>
  <si>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</si>
  <si>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</si>
  <si>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</si>
  <si>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</si>
  <si>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</si>
  <si>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</si>
  <si>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</si>
  <si>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</si>
  <si>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</si>
  <si>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</si>
  <si>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</si>
  <si>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</si>
  <si>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</si>
  <si>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</si>
  <si>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</si>
  <si>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</si>
  <si>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</si>
  <si>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</si>
  <si>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</si>
  <si>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</si>
  <si>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</si>
  <si>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</si>
  <si>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</si>
  <si>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</si>
  <si>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</si>
  <si>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</si>
  <si>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</si>
  <si>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</si>
  <si>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</si>
  <si>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</si>
  <si>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</si>
  <si>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</si>
  <si>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</si>
  <si>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</si>
  <si>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</si>
  <si>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</si>
  <si>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</si>
  <si>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</si>
  <si>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</si>
  <si>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</si>
  <si>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</si>
  <si>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</si>
  <si>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</si>
  <si>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</si>
  <si>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</si>
  <si>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</si>
  <si>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</si>
  <si>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</si>
  <si>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</si>
  <si>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</si>
  <si>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</si>
  <si>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</si>
  <si>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</si>
  <si>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</si>
  <si>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</si>
  <si>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</si>
  <si>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</si>
  <si>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</si>
  <si>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</si>
  <si>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</si>
  <si>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</si>
  <si>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</si>
  <si>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</si>
  <si>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</si>
  <si>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</si>
  <si>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</si>
  <si>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</si>
  <si>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</si>
  <si>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</si>
  <si>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</si>
  <si>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</si>
  <si>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</si>
  <si>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</si>
  <si>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</si>
  <si>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</si>
  <si>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</si>
  <si>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</si>
  <si>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</si>
  <si>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</si>
  <si>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</si>
  <si>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</si>
  <si>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</si>
  <si>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</si>
  <si>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</si>
  <si>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</si>
  <si>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</si>
  <si>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</si>
  <si>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</si>
  <si>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</si>
  <si>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</si>
  <si>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</si>
  <si>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</si>
  <si>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</si>
  <si>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</si>
  <si>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</si>
  <si>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</si>
  <si>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</si>
  <si>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</si>
  <si>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</si>
  <si>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</si>
  <si>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</si>
  <si>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</si>
  <si>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</si>
  <si>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</si>
  <si>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</si>
  <si>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</si>
  <si>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</si>
  <si>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</si>
  <si>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</si>
  <si>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</si>
  <si>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</si>
  <si>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</si>
  <si>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</si>
  <si>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</si>
  <si>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</si>
  <si>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</si>
  <si>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</si>
  <si>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</si>
  <si>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</si>
  <si>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</si>
  <si>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</si>
  <si>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</si>
  <si>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</si>
  <si>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</si>
  <si>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</si>
  <si>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</si>
  <si>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</si>
  <si>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</si>
  <si>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</si>
  <si>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</si>
  <si>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</si>
  <si>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</si>
  <si>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</si>
  <si>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</si>
  <si>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</si>
  <si>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</si>
  <si>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</si>
  <si>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</si>
  <si>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</si>
  <si>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</si>
  <si>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</si>
  <si>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</si>
  <si>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</si>
  <si>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</si>
  <si>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</si>
  <si>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</si>
  <si>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</si>
  <si>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</si>
  <si>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</si>
  <si>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</si>
  <si>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</si>
  <si>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</si>
  <si>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</si>
  <si>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</si>
  <si>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</si>
  <si>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</si>
  <si>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</si>
  <si>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</si>
  <si>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</si>
  <si>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</si>
  <si>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</si>
  <si>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</si>
  <si>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</si>
  <si>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</si>
  <si>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</si>
  <si>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</si>
  <si>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</si>
  <si>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</si>
  <si>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</si>
  <si>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</si>
  <si>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</si>
  <si>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</si>
  <si>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</si>
  <si>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</si>
  <si>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</si>
  <si>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</si>
  <si>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</si>
  <si>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</si>
  <si>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</si>
  <si>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</si>
  <si>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</si>
  <si>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</si>
  <si>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</si>
  <si>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</si>
  <si>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</si>
  <si>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</si>
  <si>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</si>
  <si>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</si>
  <si>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</si>
  <si>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</si>
  <si>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</si>
  <si>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</si>
  <si>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</si>
  <si>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</si>
  <si>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</si>
  <si>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</si>
  <si>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</si>
  <si>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</si>
  <si>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</si>
  <si>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</si>
  <si>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</si>
  <si>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</si>
  <si>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</si>
  <si>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</si>
  <si>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</si>
  <si>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</si>
  <si>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</si>
  <si>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</si>
  <si>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</si>
  <si>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</si>
  <si>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</si>
  <si>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</si>
  <si>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</si>
  <si>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</si>
  <si>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</si>
  <si>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</si>
  <si>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</si>
  <si>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</si>
  <si>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</si>
  <si>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</si>
  <si>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</si>
  <si>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</si>
  <si>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</si>
  <si>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</si>
  <si>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</si>
  <si>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</si>
  <si>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</si>
  <si>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</si>
  <si>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</si>
  <si>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</si>
  <si>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</si>
  <si>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</si>
  <si>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</si>
  <si>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</si>
  <si>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</si>
  <si>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</si>
  <si>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</si>
  <si>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</si>
  <si>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</si>
  <si>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</si>
  <si>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</si>
  <si>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</si>
  <si>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</si>
  <si>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</si>
  <si>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</si>
  <si>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</si>
  <si>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</si>
  <si>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</si>
  <si>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</si>
  <si>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</si>
  <si>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</si>
  <si>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</si>
  <si>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</si>
  <si>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</si>
  <si>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</si>
  <si>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</si>
  <si>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</si>
  <si>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</si>
  <si>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</si>
  <si>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</si>
  <si>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</si>
  <si>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</si>
  <si>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</si>
  <si>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</si>
  <si>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</si>
  <si>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</si>
  <si>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</si>
  <si>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</si>
  <si>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</si>
  <si>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</si>
  <si>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</si>
  <si>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</si>
  <si>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</si>
  <si>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</si>
  <si>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</si>
  <si>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</si>
  <si>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</si>
  <si>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</si>
  <si>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</si>
  <si>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</si>
  <si>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</si>
  <si>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</si>
  <si>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</si>
  <si>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</si>
  <si>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</si>
  <si>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</si>
  <si>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</si>
  <si>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</si>
  <si>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</si>
  <si>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</si>
  <si>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</si>
  <si>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</si>
  <si>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</si>
  <si>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</si>
  <si>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</si>
  <si>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</si>
  <si>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</si>
  <si>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</si>
  <si>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</si>
  <si>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</si>
  <si>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</si>
  <si>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</si>
  <si>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</si>
  <si>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</si>
  <si>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</si>
  <si>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</si>
  <si>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</si>
  <si>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</si>
  <si>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</si>
  <si>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</si>
  <si>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</si>
  <si>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</si>
  <si>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</si>
  <si>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</si>
  <si>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</si>
  <si>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</si>
  <si>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</si>
  <si>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</si>
  <si>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</si>
  <si>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</si>
  <si>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</si>
  <si>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</si>
  <si>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</si>
  <si>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</si>
  <si>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</si>
  <si>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</si>
  <si>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</si>
  <si>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</si>
  <si>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</si>
  <si>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</si>
  <si>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</si>
  <si>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</si>
  <si>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</si>
  <si>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</si>
  <si>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</si>
  <si>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</si>
  <si>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</si>
  <si>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</si>
  <si>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</si>
  <si>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</si>
  <si>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</si>
  <si>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</si>
  <si>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</si>
  <si>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</si>
  <si>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</si>
  <si>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</si>
  <si>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</si>
  <si>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</si>
  <si>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</si>
  <si>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</si>
  <si>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</si>
  <si>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</si>
  <si>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</si>
  <si>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</si>
  <si>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</si>
  <si>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</si>
  <si>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</si>
  <si>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</si>
  <si>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</si>
  <si>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</si>
  <si>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</si>
  <si>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</si>
  <si>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</si>
  <si>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</si>
  <si>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</si>
  <si>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</si>
  <si>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</si>
  <si>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</si>
  <si>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</si>
  <si>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</si>
  <si>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</si>
  <si>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</si>
  <si>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</si>
  <si>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</si>
  <si>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</si>
  <si>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</si>
  <si>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</si>
  <si>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</si>
  <si>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</si>
  <si>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</si>
  <si>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</si>
  <si>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</si>
  <si>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</si>
  <si>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</si>
  <si>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</si>
  <si>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</si>
  <si>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</si>
  <si>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</si>
  <si>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</si>
  <si>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</si>
  <si>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</si>
  <si>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</si>
  <si>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</si>
  <si>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</si>
  <si>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</si>
  <si>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</si>
  <si>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</si>
  <si>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</si>
  <si>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</si>
  <si>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</si>
  <si>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</si>
  <si>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</si>
  <si>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</si>
  <si>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</si>
  <si>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</si>
  <si>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</si>
  <si>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</si>
  <si>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</si>
  <si>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</si>
  <si>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</si>
  <si>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</si>
  <si>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</si>
  <si>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</si>
  <si>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</si>
  <si>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</si>
  <si>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</si>
  <si>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</si>
  <si>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</si>
  <si>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</si>
  <si>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</si>
  <si>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</si>
  <si>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</si>
  <si>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</si>
  <si>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</si>
  <si>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</si>
  <si>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</si>
  <si>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</si>
  <si>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</si>
  <si>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</si>
  <si>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</si>
  <si>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</si>
  <si>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</si>
  <si>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</si>
  <si>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</si>
  <si>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</si>
  <si>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</si>
  <si>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</si>
  <si>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</si>
  <si>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</si>
  <si>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</si>
  <si>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</si>
  <si>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</si>
  <si>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</si>
  <si>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</si>
  <si>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</si>
  <si>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</si>
  <si>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</si>
  <si>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</si>
  <si>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</si>
  <si>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</si>
  <si>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</si>
  <si>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</si>
  <si>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</si>
  <si>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</si>
  <si>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</si>
  <si>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</si>
  <si>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</si>
  <si>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</si>
  <si>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</si>
  <si>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</si>
  <si>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</si>
  <si>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</si>
  <si>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</si>
  <si>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</si>
  <si>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</si>
  <si>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</si>
  <si>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</si>
  <si>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</si>
  <si>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</si>
  <si>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</si>
  <si>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</si>
  <si>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</si>
  <si>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</si>
  <si>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</si>
  <si>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</si>
  <si>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</si>
  <si>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</si>
  <si>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</si>
  <si>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</si>
  <si>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</si>
  <si>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</si>
  <si>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</si>
  <si>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</si>
  <si>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</si>
  <si>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</si>
  <si>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</si>
  <si>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</si>
  <si>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</si>
  <si>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</si>
  <si>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</si>
  <si>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</si>
  <si>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</si>
  <si>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</si>
  <si>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</si>
  <si>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</si>
  <si>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</si>
  <si>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</si>
  <si>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</si>
  <si>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</si>
  <si>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</si>
  <si>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</si>
  <si>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</si>
  <si>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</si>
  <si>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</si>
  <si>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</si>
  <si>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</si>
  <si>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</si>
  <si>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</si>
  <si>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</si>
  <si>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</si>
  <si>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</si>
  <si>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</si>
  <si>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</si>
  <si>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</si>
  <si>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</si>
  <si>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</si>
  <si>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</si>
  <si>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</si>
  <si>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</si>
  <si>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</si>
  <si>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</si>
  <si>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</si>
  <si>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</si>
  <si>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</si>
  <si>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</si>
  <si>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</si>
  <si>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</si>
  <si>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</si>
  <si>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</si>
  <si>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</si>
  <si>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</si>
  <si>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</si>
  <si>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</si>
  <si>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</si>
  <si>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</si>
  <si>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</si>
  <si>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</si>
  <si>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</si>
  <si>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</si>
  <si>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</si>
  <si>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</si>
  <si>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</si>
  <si>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</si>
  <si>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</si>
  <si>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</si>
  <si>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</si>
  <si>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</si>
  <si>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</si>
  <si>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</si>
  <si>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</si>
  <si>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</si>
  <si>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</si>
  <si>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</si>
  <si>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</si>
  <si>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</si>
  <si>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</si>
  <si>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</si>
  <si>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</si>
  <si>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</si>
  <si>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</si>
  <si>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</si>
  <si>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</si>
  <si>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</si>
  <si>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</si>
  <si>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</si>
  <si>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</si>
  <si>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</si>
  <si>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</si>
  <si>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</si>
  <si>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</si>
  <si>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</si>
  <si>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</si>
  <si>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</si>
  <si>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</si>
  <si>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</si>
  <si>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</si>
  <si>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</si>
  <si>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</si>
  <si>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</si>
  <si>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</si>
  <si>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</si>
  <si>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</si>
  <si>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</si>
  <si>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</si>
  <si>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</si>
  <si>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</si>
  <si>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</si>
  <si>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</si>
  <si>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</si>
  <si>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</si>
  <si>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</si>
  <si>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</si>
  <si>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</si>
  <si>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</si>
  <si>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</si>
  <si>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</si>
  <si>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</si>
  <si>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</si>
  <si>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</si>
  <si>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</si>
  <si>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</si>
  <si>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</si>
  <si>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</si>
  <si>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</si>
  <si>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</si>
  <si>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</si>
  <si>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</si>
  <si>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</si>
  <si>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</si>
  <si>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</si>
  <si>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</si>
  <si>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</si>
  <si>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</si>
  <si>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</si>
  <si>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</si>
  <si>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</si>
  <si>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</si>
  <si>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</si>
  <si>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</si>
  <si>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</si>
  <si>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</si>
  <si>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</si>
  <si>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</si>
  <si>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</si>
  <si>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</si>
  <si>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</si>
  <si>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</si>
  <si>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</si>
  <si>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</si>
  <si>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</si>
  <si>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</si>
  <si>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</si>
  <si>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</si>
  <si>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</si>
  <si>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</si>
  <si>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</si>
  <si>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</si>
  <si>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</si>
  <si>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</si>
  <si>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</si>
  <si>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</si>
  <si>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</si>
  <si>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</si>
  <si>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</si>
  <si>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</si>
  <si>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</si>
  <si>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</si>
  <si>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</si>
  <si>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</si>
  <si>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</si>
  <si>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</si>
  <si>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</si>
  <si>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</si>
  <si>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</si>
  <si>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</si>
  <si>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</si>
  <si>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</si>
  <si>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</si>
  <si>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</si>
  <si>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</si>
  <si>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</si>
  <si>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</si>
  <si>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</si>
  <si>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</si>
  <si>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</si>
  <si>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</si>
  <si>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</si>
  <si>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</si>
  <si>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</si>
  <si>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</si>
  <si>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</si>
  <si>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</si>
  <si>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</si>
  <si>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</si>
  <si>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</si>
  <si>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</si>
  <si>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</si>
  <si>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</si>
  <si>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</si>
  <si>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</si>
  <si>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</si>
  <si>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</si>
  <si>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</si>
  <si>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</si>
  <si>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</si>
  <si>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</si>
  <si>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</si>
  <si>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</si>
  <si>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</si>
  <si>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</si>
  <si>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</si>
  <si>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</si>
  <si>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</si>
  <si>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</si>
  <si>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</si>
  <si>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</si>
  <si>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</si>
  <si>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</si>
  <si>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</si>
  <si>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</si>
  <si>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</si>
  <si>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</si>
  <si>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</si>
  <si>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</si>
  <si>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</si>
  <si>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</si>
  <si>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</si>
  <si>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</si>
  <si>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</si>
  <si>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</si>
  <si>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</si>
  <si>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</si>
  <si>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</si>
  <si>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</si>
  <si>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</si>
  <si>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</si>
  <si>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</si>
  <si>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</si>
  <si>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</si>
  <si>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</si>
  <si>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</si>
  <si>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</si>
  <si>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</si>
  <si>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</si>
  <si>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</si>
  <si>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</si>
  <si>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</si>
  <si>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</si>
  <si>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</si>
  <si>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</si>
  <si>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</si>
  <si>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</si>
  <si>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</si>
  <si>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</si>
  <si>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</si>
  <si>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</si>
  <si>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</si>
  <si>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</si>
  <si>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</si>
  <si>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</si>
  <si>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</si>
  <si>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</si>
  <si>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</si>
  <si>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</si>
  <si>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</si>
  <si>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</si>
  <si>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</si>
  <si>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</si>
  <si>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</si>
  <si>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</si>
  <si>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</si>
  <si>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</si>
  <si>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</si>
  <si>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</si>
  <si>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</si>
  <si>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</si>
  <si>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</si>
  <si>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</si>
  <si>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</si>
  <si>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</si>
  <si>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</si>
  <si>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</si>
  <si>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</si>
  <si>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</si>
  <si>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</si>
  <si>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</si>
  <si>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</si>
  <si>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</si>
  <si>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</si>
  <si>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</si>
  <si>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</si>
  <si>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</si>
  <si>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</si>
  <si>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</si>
  <si>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</si>
  <si>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</si>
  <si>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</si>
  <si>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</si>
  <si>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</si>
  <si>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</si>
  <si>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</si>
  <si>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</si>
  <si>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</si>
  <si>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</si>
  <si>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</si>
  <si>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</si>
  <si>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</si>
  <si>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</si>
  <si>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</si>
  <si>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</si>
  <si>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</si>
  <si>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</si>
  <si>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</si>
  <si>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</si>
  <si>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</si>
  <si>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</si>
  <si>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</si>
  <si>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</si>
  <si>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</si>
  <si>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</si>
  <si>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</si>
  <si>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</si>
  <si>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</si>
  <si>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</si>
  <si>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</si>
  <si>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</si>
  <si>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</si>
  <si>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</si>
  <si>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</si>
  <si>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</si>
  <si>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</si>
  <si>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</si>
  <si>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</si>
  <si>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</si>
  <si>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</si>
  <si>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</si>
  <si>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</si>
  <si>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</si>
  <si>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</si>
  <si>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</si>
  <si>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</si>
  <si>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</si>
  <si>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</si>
  <si>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</si>
  <si>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</si>
  <si>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</si>
  <si>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</si>
  <si>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</si>
  <si>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</si>
  <si>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</si>
  <si>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</si>
  <si>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</si>
  <si>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</si>
  <si>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</si>
  <si>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</si>
  <si>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</si>
  <si>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</si>
  <si>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</si>
  <si>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</si>
  <si>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</si>
  <si>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</si>
  <si>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</si>
  <si>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</si>
  <si>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</si>
  <si>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</si>
  <si>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</si>
  <si>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</si>
  <si>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</si>
  <si>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</si>
  <si>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</si>
  <si>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</si>
  <si>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</si>
  <si>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</si>
  <si>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</si>
  <si>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</si>
  <si>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</si>
  <si>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</si>
  <si>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</si>
  <si>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</si>
  <si>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</si>
  <si>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</si>
  <si>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</si>
  <si>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</si>
  <si>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</si>
  <si>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</si>
  <si>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</si>
  <si>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</si>
  <si>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</si>
  <si>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</si>
  <si>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</si>
  <si>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</si>
  <si>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</si>
  <si>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</si>
  <si>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</si>
  <si>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</si>
  <si>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</si>
  <si>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</si>
  <si>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</si>
  <si>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</si>
  <si>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</si>
  <si>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</si>
  <si>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</si>
  <si>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</si>
  <si>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</si>
  <si>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</si>
  <si>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</si>
  <si>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</si>
  <si>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</si>
  <si>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</si>
  <si>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</si>
  <si>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</si>
  <si>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</si>
  <si>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</si>
  <si>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</si>
  <si>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</si>
  <si>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</si>
  <si>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</si>
  <si>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</si>
  <si>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</si>
  <si>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</si>
  <si>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</si>
  <si>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</si>
  <si>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</si>
  <si>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</si>
  <si>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</si>
  <si>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</si>
  <si>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</si>
  <si>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</si>
  <si>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</si>
  <si>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</si>
  <si>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</si>
  <si>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</si>
  <si>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</si>
  <si>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</si>
  <si>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</si>
  <si>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</si>
  <si>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</si>
  <si>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</si>
  <si>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</si>
  <si>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</si>
  <si>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</si>
  <si>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</si>
  <si>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</si>
  <si>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</si>
  <si>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</si>
  <si>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</si>
  <si>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</si>
  <si>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</si>
  <si>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</si>
  <si>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</si>
  <si>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</si>
  <si>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</si>
  <si>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</si>
  <si>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</si>
  <si>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</si>
  <si>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</si>
  <si>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</si>
  <si>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</si>
  <si>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</si>
  <si>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</si>
  <si>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</si>
  <si>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</si>
  <si>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</si>
  <si>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</si>
  <si>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</si>
  <si>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</si>
  <si>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</si>
  <si>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</si>
  <si>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</si>
  <si>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</si>
  <si>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</si>
  <si>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</si>
  <si>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</si>
  <si>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</si>
  <si>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</si>
  <si>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</si>
  <si>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</si>
  <si>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</si>
  <si>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</si>
  <si>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</si>
  <si>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</si>
  <si>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</si>
  <si>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</si>
  <si>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</si>
  <si>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</si>
  <si>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</si>
  <si>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</si>
  <si>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</si>
  <si>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</si>
  <si>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</si>
  <si>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</si>
  <si>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</si>
  <si>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</si>
  <si>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</si>
  <si>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</si>
  <si>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</si>
  <si>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</si>
  <si>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</si>
  <si>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</si>
  <si>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</si>
  <si>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</si>
  <si>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</si>
  <si>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</si>
  <si>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</si>
  <si>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</si>
  <si>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</si>
  <si>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</si>
  <si>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</si>
  <si>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</si>
  <si>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</si>
  <si>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</si>
  <si>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</si>
  <si>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</si>
  <si>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</si>
  <si>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</si>
  <si>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</si>
  <si>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</si>
  <si>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</si>
  <si>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</si>
  <si>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</si>
  <si>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</si>
  <si>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</si>
  <si>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</si>
  <si>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</si>
  <si>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</si>
  <si>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</si>
  <si>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</si>
  <si>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</si>
  <si>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</si>
  <si>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</si>
  <si>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</si>
  <si>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</si>
  <si>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</si>
  <si>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</si>
  <si>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</si>
  <si>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</si>
  <si>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</si>
  <si>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</si>
  <si>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</si>
  <si>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</si>
  <si>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</si>
  <si>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</si>
  <si>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</si>
  <si>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</si>
  <si>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</si>
  <si>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</si>
  <si>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</si>
  <si>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</si>
  <si>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</si>
  <si>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</si>
  <si>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</si>
  <si>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</si>
  <si>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</si>
  <si>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</si>
  <si>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</si>
  <si>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</si>
  <si>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</si>
  <si>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</si>
  <si>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</si>
  <si>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</si>
  <si>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</si>
  <si>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</si>
  <si>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</si>
  <si>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</si>
  <si>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</si>
  <si>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</si>
  <si>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</si>
  <si>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</si>
  <si>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</si>
  <si>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</si>
  <si>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</si>
  <si>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</si>
  <si>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</si>
  <si>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</si>
  <si>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</si>
  <si>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</si>
  <si>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</si>
  <si>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</si>
  <si>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</si>
  <si>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</si>
  <si>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</si>
  <si>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</si>
  <si>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</si>
  <si>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</si>
  <si>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</si>
  <si>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</si>
  <si>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</si>
  <si>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</si>
  <si>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</si>
  <si>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</si>
  <si>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</si>
  <si>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</si>
  <si>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</si>
  <si>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</si>
  <si>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</si>
  <si>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</si>
  <si>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</si>
  <si>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</si>
  <si>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</si>
  <si>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</si>
  <si>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</si>
  <si>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</si>
  <si>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</si>
  <si>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</si>
  <si>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</si>
  <si>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</si>
  <si>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</si>
  <si>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</si>
  <si>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</si>
  <si>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</si>
  <si>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</si>
  <si>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</si>
  <si>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</si>
  <si>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</si>
  <si>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</si>
  <si>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</si>
  <si>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</si>
  <si>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</si>
  <si>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</si>
  <si>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</si>
  <si>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</si>
  <si>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</si>
  <si>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</si>
  <si>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</si>
  <si>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</si>
  <si>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</si>
  <si>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</si>
  <si>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</si>
  <si>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</si>
  <si>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</si>
  <si>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</si>
  <si>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</si>
  <si>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</si>
  <si>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</si>
  <si>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</si>
  <si>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</si>
  <si>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</si>
  <si>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</si>
  <si>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</si>
  <si>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</si>
  <si>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</si>
  <si>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</si>
  <si>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</si>
  <si>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</si>
  <si>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</si>
  <si>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</si>
  <si>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</si>
  <si>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</si>
  <si>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</si>
  <si>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</si>
  <si>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</si>
  <si>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</si>
  <si>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</si>
  <si>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</si>
  <si>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</si>
  <si>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</si>
  <si>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</si>
  <si>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</si>
  <si>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</si>
  <si>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</si>
  <si>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</si>
  <si>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</si>
  <si>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</si>
  <si>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</si>
  <si>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</si>
  <si>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</si>
  <si>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</si>
  <si>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</si>
  <si>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</si>
  <si>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</si>
  <si>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</si>
  <si>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</si>
  <si>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</si>
  <si>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</si>
  <si>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</si>
  <si>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</si>
  <si>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</si>
  <si>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</si>
  <si>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</si>
  <si>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</si>
  <si>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</si>
  <si>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</si>
  <si>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</si>
  <si>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</si>
  <si>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</si>
  <si>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</si>
  <si>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</si>
  <si>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</si>
  <si>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</si>
  <si>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</si>
  <si>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</si>
  <si>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</si>
  <si>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</si>
  <si>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</si>
  <si>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</si>
  <si>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</si>
  <si>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</si>
  <si>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</si>
  <si>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</si>
  <si>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</si>
  <si>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</si>
  <si>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</si>
  <si>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</si>
  <si>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</si>
  <si>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</si>
  <si>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</si>
  <si>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</si>
  <si>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</si>
  <si>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</si>
  <si>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</si>
  <si>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</si>
  <si>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</si>
  <si>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</si>
  <si>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</si>
  <si>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</si>
  <si>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</si>
  <si>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</si>
  <si>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</si>
  <si>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</si>
  <si>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</si>
  <si>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</si>
  <si>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</si>
  <si>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</si>
  <si>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</si>
  <si>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</si>
  <si>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</si>
  <si>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</si>
  <si>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</si>
  <si>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</si>
  <si>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</si>
  <si>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</si>
  <si>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</si>
  <si>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</si>
  <si>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</si>
  <si>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</si>
  <si>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</si>
  <si>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</si>
  <si>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</si>
  <si>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</si>
  <si>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</si>
  <si>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</si>
  <si>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</si>
  <si>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</si>
  <si>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</si>
  <si>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</si>
  <si>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</si>
  <si>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</si>
  <si>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</si>
  <si>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</si>
  <si>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</si>
  <si>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</si>
  <si>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</si>
  <si>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</si>
  <si>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</si>
  <si>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</si>
  <si>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</si>
  <si>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</si>
  <si>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</si>
  <si>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</si>
  <si>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</si>
  <si>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</si>
  <si>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</si>
  <si>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</si>
  <si>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</si>
  <si>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</si>
  <si>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</si>
  <si>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</si>
  <si>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</si>
  <si>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</si>
  <si>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</si>
  <si>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</si>
  <si>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</si>
  <si>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</si>
  <si>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</si>
  <si>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</si>
  <si>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</si>
  <si>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</si>
  <si>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</si>
  <si>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</si>
  <si>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</si>
  <si>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</si>
  <si>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</si>
  <si>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</si>
  <si>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</si>
  <si>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</si>
  <si>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</si>
  <si>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</si>
  <si>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</si>
  <si>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</si>
  <si>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</si>
  <si>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</si>
  <si>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</si>
  <si>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</si>
  <si>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</si>
  <si>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</si>
  <si>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</si>
  <si>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</si>
  <si>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</si>
  <si>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</si>
  <si>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</si>
  <si>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</si>
  <si>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</si>
  <si>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</si>
  <si>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</si>
  <si>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</si>
  <si>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</si>
  <si>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</si>
  <si>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</si>
  <si>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</si>
  <si>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</si>
  <si>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</si>
  <si>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</si>
  <si>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</si>
  <si>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</si>
  <si>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</si>
  <si>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</si>
  <si>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</si>
  <si>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</si>
  <si>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</si>
  <si>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</si>
  <si>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</si>
  <si>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</si>
  <si>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</si>
  <si>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</si>
  <si>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</si>
  <si>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</si>
  <si>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</si>
  <si>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</si>
  <si>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</si>
  <si>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</si>
  <si>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</si>
  <si>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</si>
  <si>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</si>
  <si>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</si>
  <si>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</si>
  <si>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</si>
  <si>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</si>
  <si>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</si>
  <si>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</si>
  <si>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</si>
  <si>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</si>
  <si>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</si>
  <si>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</si>
  <si>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</si>
  <si>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</si>
  <si>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</si>
  <si>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</si>
  <si>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</si>
  <si>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</si>
  <si>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</si>
  <si>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</si>
  <si>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</si>
  <si>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</si>
  <si>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</si>
  <si>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</si>
  <si>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</si>
  <si>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</si>
  <si>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</si>
  <si>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</si>
  <si>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</si>
  <si>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</si>
  <si>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</si>
  <si>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</si>
  <si>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</si>
  <si>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</si>
  <si>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</si>
  <si>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</si>
  <si>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</si>
  <si>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</si>
  <si>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</si>
  <si>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</si>
  <si>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</si>
  <si>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</si>
  <si>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</si>
  <si>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</si>
  <si>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</si>
  <si>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</si>
  <si>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</si>
  <si>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</si>
  <si>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</si>
  <si>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</si>
  <si>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</si>
  <si>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</si>
  <si>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</si>
  <si>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</si>
  <si>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</si>
  <si>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</si>
  <si>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</si>
  <si>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</si>
  <si>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</si>
  <si>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</si>
  <si>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</si>
  <si>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</si>
  <si>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</si>
  <si>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</si>
  <si>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</si>
  <si>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</si>
  <si>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</si>
  <si>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</si>
  <si>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</si>
  <si>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</si>
  <si>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</si>
  <si>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</si>
  <si>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</si>
  <si>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</si>
  <si>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</si>
  <si>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</si>
  <si>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</si>
  <si>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</si>
  <si>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</si>
  <si>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</si>
  <si>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</si>
  <si>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</si>
  <si>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</si>
  <si>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</si>
  <si>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</si>
  <si>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</si>
  <si>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</si>
  <si>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</si>
  <si>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</si>
  <si>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</si>
  <si>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</si>
  <si>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</si>
  <si>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</si>
  <si>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</si>
  <si>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</si>
  <si>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</si>
  <si>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</si>
  <si>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</si>
  <si>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</si>
  <si>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</si>
  <si>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</si>
  <si>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</si>
  <si>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</si>
  <si>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</si>
  <si>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</si>
  <si>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</si>
  <si>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</si>
  <si>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</si>
  <si>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</si>
  <si>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</si>
  <si>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</si>
  <si>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</si>
  <si>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</si>
  <si>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</si>
  <si>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</si>
  <si>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</si>
  <si>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</si>
  <si>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</si>
  <si>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</si>
  <si>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</si>
  <si>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</si>
  <si>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</si>
  <si>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</si>
  <si>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</si>
  <si>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</si>
  <si>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</si>
  <si>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</si>
  <si>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</si>
  <si>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</si>
  <si>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</si>
  <si>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</si>
  <si>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</si>
  <si>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</si>
  <si>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</si>
  <si>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</si>
  <si>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</si>
  <si>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</si>
  <si>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</si>
  <si>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</si>
  <si>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</si>
  <si>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</si>
  <si>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</si>
  <si>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</si>
  <si>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</si>
  <si>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</si>
  <si>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</si>
  <si>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</si>
  <si>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</si>
  <si>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</si>
  <si>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</si>
  <si>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</si>
  <si>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</si>
  <si>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</si>
  <si>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</si>
  <si>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</si>
  <si>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</si>
  <si>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</si>
  <si>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</si>
  <si>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</si>
  <si>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</si>
  <si>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</si>
  <si>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</si>
  <si>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</si>
  <si>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</si>
  <si>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</si>
  <si>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</si>
  <si>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</si>
  <si>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</si>
  <si>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</si>
  <si>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</si>
  <si>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</si>
  <si>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</si>
  <si>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</si>
  <si>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</si>
  <si>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</si>
  <si>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</si>
  <si>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</si>
  <si>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</si>
  <si>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</si>
  <si>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</si>
  <si>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</si>
  <si>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</si>
  <si>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</si>
  <si>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</si>
  <si>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</si>
  <si>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</si>
  <si>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</si>
  <si>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</si>
  <si>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</si>
  <si>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</si>
  <si>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</si>
  <si>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</si>
  <si>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</si>
  <si>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</si>
  <si>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</si>
  <si>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</si>
  <si>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</si>
  <si>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</si>
  <si>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</si>
  <si>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</si>
  <si>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</si>
  <si>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</si>
  <si>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</si>
  <si>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</si>
  <si>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</si>
  <si>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</si>
  <si>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</si>
  <si>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</si>
  <si>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</si>
  <si>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</si>
  <si>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</si>
  <si>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</si>
  <si>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</si>
  <si>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</si>
  <si>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</si>
  <si>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</si>
  <si>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</si>
  <si>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</si>
  <si>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</si>
  <si>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</si>
  <si>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</si>
  <si>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</si>
  <si>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</si>
  <si>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</si>
  <si>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</si>
  <si>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</si>
  <si>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</si>
  <si>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</si>
  <si>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</si>
  <si>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</si>
  <si>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</si>
  <si>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</si>
  <si>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</si>
  <si>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</si>
  <si>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</si>
  <si>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</si>
  <si>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</si>
  <si>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</si>
  <si>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</si>
  <si>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</si>
  <si>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</si>
  <si>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</si>
  <si>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</si>
  <si>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</si>
  <si>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</si>
  <si>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</si>
  <si>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</si>
  <si>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</si>
  <si>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</si>
  <si>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</si>
  <si>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</si>
  <si>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</si>
  <si>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</si>
  <si>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</si>
  <si>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</si>
  <si>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</si>
  <si>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</si>
  <si>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</si>
  <si>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</si>
  <si>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</si>
  <si>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</si>
  <si>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</si>
  <si>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</si>
  <si>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</si>
  <si>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</si>
  <si>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</si>
  <si>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</si>
  <si>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</si>
  <si>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</si>
  <si>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</si>
  <si>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</si>
  <si>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</si>
  <si>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</si>
  <si>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</si>
  <si>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</si>
  <si>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</si>
  <si>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</si>
  <si>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</si>
  <si>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</si>
  <si>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</si>
  <si>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</si>
  <si>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</si>
  <si>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</si>
  <si>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</si>
  <si>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</si>
  <si>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</si>
  <si>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</si>
  <si>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</si>
  <si>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</si>
  <si>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</si>
  <si>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</si>
  <si>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</si>
  <si>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</si>
  <si>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</si>
  <si>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</si>
  <si>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</si>
  <si>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</si>
  <si>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</si>
  <si>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</si>
  <si>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</si>
  <si>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</si>
  <si>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</si>
  <si>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</si>
  <si>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</si>
  <si>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</si>
  <si>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</si>
  <si>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</si>
  <si>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</si>
  <si>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</si>
  <si>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</si>
  <si>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</si>
  <si>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</si>
  <si>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</si>
  <si>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</si>
  <si>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</si>
  <si>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</si>
  <si>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</si>
  <si>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</si>
  <si>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</si>
  <si>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</si>
  <si>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</si>
  <si>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</si>
  <si>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</si>
  <si>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</si>
  <si>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</si>
  <si>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</si>
  <si>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</si>
  <si>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</si>
  <si>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</si>
  <si>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</si>
  <si>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</si>
  <si>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</si>
  <si>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</si>
  <si>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</si>
  <si>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</si>
  <si>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</si>
  <si>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</si>
  <si>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</si>
  <si>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</si>
  <si>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</si>
  <si>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</si>
  <si>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</si>
  <si>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</si>
  <si>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</si>
  <si>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</si>
  <si>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</si>
  <si>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</si>
  <si>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</si>
  <si>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</si>
  <si>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</si>
  <si>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</si>
  <si>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</si>
  <si>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</si>
  <si>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</si>
  <si>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</si>
  <si>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</si>
  <si>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</si>
  <si>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</si>
  <si>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</si>
  <si>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</si>
  <si>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</si>
  <si>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</si>
  <si>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</si>
  <si>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</si>
  <si>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</si>
  <si>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</si>
  <si>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</si>
  <si>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</si>
  <si>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</si>
  <si>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</si>
  <si>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</si>
  <si>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</si>
  <si>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</si>
  <si>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</si>
  <si>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</si>
  <si>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</si>
  <si>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</si>
  <si>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</si>
  <si>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</si>
  <si>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</si>
  <si>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</si>
  <si>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</si>
  <si>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</si>
  <si>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</si>
  <si>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</si>
  <si>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</si>
  <si>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</si>
  <si>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</si>
  <si>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</si>
  <si>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</si>
  <si>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</si>
  <si>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</si>
  <si>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</si>
  <si>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</si>
  <si>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</si>
  <si>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</si>
  <si>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</si>
  <si>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</si>
  <si>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</si>
  <si>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</si>
  <si>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</si>
  <si>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</si>
  <si>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</si>
  <si>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</si>
  <si>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</si>
  <si>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</si>
  <si>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</si>
  <si>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</si>
  <si>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</si>
  <si>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</si>
  <si>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</si>
  <si>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</si>
  <si>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</si>
  <si>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</si>
  <si>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</si>
  <si>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</si>
  <si>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</si>
  <si>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</si>
  <si>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</si>
  <si>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</si>
  <si>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</si>
  <si>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</si>
  <si>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</si>
  <si>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</si>
  <si>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</si>
  <si>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</si>
  <si>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</si>
  <si>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</si>
  <si>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</si>
  <si>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</si>
  <si>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</si>
  <si>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</si>
  <si>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</si>
  <si>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</si>
  <si>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</si>
  <si>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</si>
  <si>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</si>
  <si>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</si>
  <si>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</si>
  <si>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</si>
  <si>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</si>
  <si>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</si>
  <si>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</si>
  <si>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</si>
  <si>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</si>
  <si>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</si>
  <si>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</si>
  <si>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</si>
  <si>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</si>
  <si>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</si>
  <si>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</si>
  <si>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</si>
  <si>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</si>
  <si>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</si>
  <si>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</si>
  <si>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</si>
  <si>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</si>
  <si>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</si>
  <si>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</si>
  <si>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</si>
  <si>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</si>
  <si>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</si>
  <si>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</si>
  <si>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</si>
  <si>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</si>
  <si>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</si>
  <si>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</si>
  <si>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</si>
  <si>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</si>
  <si>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</si>
  <si>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</si>
  <si>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</si>
  <si>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</si>
  <si>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</si>
  <si>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</si>
  <si>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</si>
  <si>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</si>
  <si>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</si>
  <si>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</si>
  <si>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</si>
  <si>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</si>
  <si>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</si>
  <si>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</si>
  <si>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</si>
  <si>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</si>
  <si>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</si>
  <si>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</si>
  <si>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</si>
  <si>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</si>
  <si>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</si>
  <si>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</si>
  <si>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</si>
  <si>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</si>
  <si>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</si>
  <si>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</si>
  <si>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</si>
  <si>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</si>
  <si>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</si>
  <si>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</si>
  <si>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</si>
  <si>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</si>
  <si>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</si>
  <si>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</si>
  <si>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</si>
  <si>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</si>
  <si>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</si>
  <si>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</si>
  <si>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</si>
  <si>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</si>
  <si>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</si>
  <si>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</si>
  <si>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</si>
  <si>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</si>
  <si>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</si>
  <si>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</si>
  <si>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</si>
  <si>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</si>
  <si>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</si>
  <si>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</si>
  <si>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</si>
  <si>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</si>
  <si>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</si>
  <si>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</si>
  <si>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</si>
  <si>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</si>
  <si>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</si>
  <si>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</si>
  <si>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</si>
  <si>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</si>
  <si>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</si>
  <si>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</si>
  <si>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</si>
  <si>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</si>
  <si>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</si>
  <si>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</si>
  <si>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</si>
  <si>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</si>
  <si>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</si>
  <si>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</si>
  <si>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</si>
  <si>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</si>
  <si>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</si>
  <si>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</si>
  <si>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</si>
  <si>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</si>
  <si>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</si>
  <si>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</si>
  <si>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</si>
  <si>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</si>
  <si>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</si>
  <si>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</si>
  <si>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</si>
  <si>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</si>
  <si>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</si>
  <si>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</si>
  <si>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</si>
  <si>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</si>
  <si>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</si>
  <si>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</si>
  <si>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</si>
  <si>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</si>
  <si>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</si>
  <si>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</si>
  <si>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</si>
  <si>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</si>
  <si>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</si>
  <si>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</si>
  <si>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</si>
  <si>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</si>
  <si>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</si>
  <si>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</si>
  <si>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</si>
  <si>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</si>
  <si>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</si>
  <si>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</si>
  <si>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</si>
  <si>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</si>
  <si>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</si>
  <si>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</si>
  <si>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</si>
  <si>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</si>
  <si>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</si>
  <si>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</si>
  <si>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</si>
  <si>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</si>
  <si>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</si>
  <si>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</si>
  <si>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</si>
  <si>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</si>
  <si>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</si>
  <si>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</si>
  <si>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</si>
  <si>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</si>
  <si>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</si>
  <si>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</si>
  <si>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</si>
  <si>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</si>
  <si>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</si>
  <si>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</si>
  <si>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</si>
  <si>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</si>
  <si>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</si>
  <si>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</si>
  <si>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</si>
  <si>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</si>
  <si>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</si>
  <si>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</si>
  <si>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</si>
  <si>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</si>
  <si>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</si>
  <si>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</si>
  <si>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</si>
  <si>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</si>
  <si>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</si>
  <si>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</si>
  <si>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</si>
  <si>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</si>
  <si>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</si>
  <si>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</si>
  <si>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</si>
  <si>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</si>
  <si>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</si>
  <si>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</si>
  <si>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</si>
  <si>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</si>
  <si>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</si>
  <si>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</si>
  <si>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</si>
  <si>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</si>
  <si>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</si>
  <si>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</si>
  <si>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</si>
  <si>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</si>
  <si>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</si>
  <si>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</si>
  <si>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</si>
  <si>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</si>
  <si>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</si>
  <si>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</si>
  <si>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</si>
  <si>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</si>
  <si>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</si>
  <si>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</si>
  <si>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</si>
  <si>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</si>
  <si>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</si>
  <si>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</si>
  <si>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</si>
  <si>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</si>
  <si>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</si>
  <si>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</si>
  <si>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</si>
  <si>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</si>
  <si>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</si>
  <si>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</si>
  <si>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</si>
  <si>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</si>
  <si>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</si>
  <si>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</si>
  <si>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</si>
  <si>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</si>
  <si>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</si>
  <si>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</si>
  <si>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</si>
  <si>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</si>
  <si>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</si>
  <si>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</si>
  <si>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</si>
  <si>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</si>
  <si>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</si>
  <si>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</si>
  <si>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</si>
  <si>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</si>
  <si>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</si>
  <si>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</si>
  <si>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</si>
  <si>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</si>
  <si>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</si>
  <si>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</si>
  <si>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</si>
  <si>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</si>
  <si>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</si>
  <si>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</si>
  <si>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</si>
  <si>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</si>
  <si>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</si>
  <si>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</si>
  <si>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</si>
  <si>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</si>
  <si>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</si>
  <si>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</si>
  <si>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</si>
  <si>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</si>
  <si>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</si>
  <si>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</si>
  <si>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</si>
  <si>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</si>
  <si>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</si>
  <si>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</si>
  <si>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</si>
  <si>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</si>
  <si>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</si>
  <si>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</si>
  <si>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</si>
  <si>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</si>
  <si>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</si>
  <si>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</si>
  <si>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</si>
  <si>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</si>
  <si>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</si>
  <si>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</si>
  <si>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</si>
  <si>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</si>
  <si>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</si>
  <si>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</si>
  <si>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</si>
  <si>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</si>
  <si>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</si>
  <si>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</si>
  <si>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</si>
  <si>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</si>
  <si>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</si>
  <si>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</si>
  <si>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</si>
  <si>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</si>
  <si>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</si>
  <si>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</si>
  <si>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</si>
  <si>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</si>
  <si>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</si>
  <si>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</si>
  <si>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</si>
  <si>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</si>
  <si>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</si>
  <si>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</si>
  <si>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</si>
  <si>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</si>
  <si>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</si>
  <si>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</si>
  <si>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</si>
  <si>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</si>
  <si>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</si>
  <si>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</si>
  <si>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</si>
  <si>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</si>
  <si>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</si>
  <si>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</si>
  <si>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</si>
  <si>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</si>
  <si>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</si>
  <si>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</si>
  <si>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</si>
  <si>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</si>
  <si>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</si>
  <si>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</si>
  <si>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</si>
  <si>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</si>
  <si>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</si>
  <si>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</si>
  <si>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</si>
  <si>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</si>
  <si>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</si>
  <si>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</si>
  <si>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</si>
  <si>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</si>
  <si>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</si>
  <si>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</si>
  <si>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</si>
  <si>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</si>
  <si>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</si>
  <si>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</si>
  <si>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</si>
  <si>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</si>
  <si>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</si>
  <si>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</si>
  <si>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</si>
  <si>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</si>
  <si>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</si>
  <si>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</si>
  <si>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</si>
  <si>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</si>
  <si>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</si>
  <si>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</si>
  <si>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</si>
  <si>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</si>
  <si>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</si>
  <si>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</si>
  <si>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</si>
  <si>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</si>
  <si>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</si>
  <si>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</si>
  <si>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</si>
  <si>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</si>
  <si>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</si>
  <si>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</si>
  <si>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</si>
  <si>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</si>
  <si>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</si>
  <si>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</si>
  <si>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</si>
  <si>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</si>
  <si>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</si>
  <si>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</si>
  <si>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</si>
  <si>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</si>
  <si>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</si>
  <si>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</si>
  <si>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</si>
  <si>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</si>
  <si>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</si>
  <si>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</si>
  <si>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</si>
  <si>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</si>
  <si>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</si>
  <si>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</si>
  <si>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</si>
  <si>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</si>
  <si>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</si>
  <si>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</si>
  <si>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</si>
  <si>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</si>
  <si>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</si>
  <si>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</si>
  <si>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</si>
  <si>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</si>
  <si>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</si>
  <si>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</si>
  <si>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</si>
  <si>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</si>
  <si>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</si>
  <si>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</si>
  <si>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</si>
  <si>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</si>
  <si>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</si>
  <si>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</si>
  <si>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</si>
  <si>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</si>
  <si>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</si>
  <si>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</si>
  <si>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</si>
  <si>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</si>
  <si>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</si>
  <si>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</si>
  <si>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</si>
  <si>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</si>
  <si>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</si>
  <si>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</si>
  <si>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</si>
  <si>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</si>
  <si>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</si>
  <si>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</si>
  <si>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</si>
  <si>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</si>
  <si>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</si>
  <si>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</si>
  <si>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</si>
  <si>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</si>
  <si>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</si>
  <si>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</si>
  <si>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</si>
  <si>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</si>
  <si>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</si>
  <si>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</si>
  <si>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</si>
  <si>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</si>
  <si>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</si>
  <si>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</si>
  <si>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</si>
  <si>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</si>
  <si>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</si>
  <si>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</si>
  <si>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</si>
  <si>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</si>
  <si>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</si>
  <si>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</si>
  <si>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</si>
  <si>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</si>
  <si>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</si>
  <si>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</si>
  <si>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</si>
  <si>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</si>
  <si>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</si>
  <si>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</si>
  <si>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</si>
  <si>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</si>
  <si>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</si>
  <si>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</si>
  <si>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</si>
  <si>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</si>
  <si>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</si>
  <si>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</si>
  <si>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</si>
  <si>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</si>
  <si>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</si>
  <si>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</si>
  <si>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</si>
  <si>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</si>
  <si>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</si>
  <si>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</si>
  <si>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</si>
  <si>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</si>
  <si>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</si>
  <si>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</si>
  <si>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</si>
  <si>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</si>
  <si>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</si>
  <si>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</si>
  <si>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</si>
  <si>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</si>
  <si>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</si>
  <si>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</si>
  <si>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</si>
  <si>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</si>
  <si>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</si>
  <si>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</si>
  <si>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</si>
  <si>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</si>
  <si>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</si>
  <si>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</si>
  <si>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</si>
  <si>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</si>
  <si>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</si>
  <si>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Final Checking Completed</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</si>
  <si>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</si>
  <si>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</si>
  <si>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</si>
  <si>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</si>
  <si>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</si>
  <si>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</si>
  <si>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</si>
  <si>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</si>
  <si>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</si>
  <si>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</si>
  <si>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</si>
  <si>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</si>
  <si>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Balwant Singh</t>
  </si>
  <si>
    <t>L2 for present Month
(Revised)</t>
  </si>
  <si>
    <t>Material Shifting</t>
  </si>
  <si>
    <t>Neelkant</t>
  </si>
  <si>
    <t>Splice Net</t>
  </si>
  <si>
    <t>AP3</t>
  </si>
  <si>
    <t>Prem Latha-1</t>
  </si>
  <si>
    <t>Prem Latha-2</t>
  </si>
  <si>
    <t>Premlatha-1</t>
  </si>
  <si>
    <t>Premlatha-2</t>
  </si>
  <si>
    <t>Anannya Traders</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</si>
  <si>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</si>
  <si>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</si>
  <si>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</si>
  <si>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</si>
  <si>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</si>
  <si>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</si>
  <si>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</si>
  <si>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</si>
  <si>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</si>
  <si>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</si>
  <si>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</si>
  <si>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</si>
  <si>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</si>
  <si>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</si>
  <si>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</si>
  <si>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</si>
  <si>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</si>
  <si>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</si>
  <si>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Concreting Date</t>
  </si>
  <si>
    <t>KDR Engineering-2</t>
  </si>
  <si>
    <t>Kauleshwar Mahato</t>
  </si>
  <si>
    <t>Musludin</t>
  </si>
  <si>
    <t>AP182</t>
  </si>
  <si>
    <t>Harsh</t>
  </si>
  <si>
    <t>Yogesh</t>
  </si>
  <si>
    <t>1st section</t>
  </si>
  <si>
    <t>B6</t>
  </si>
  <si>
    <t>B7</t>
  </si>
  <si>
    <t>B8</t>
  </si>
  <si>
    <t>B9</t>
  </si>
  <si>
    <t>B10</t>
  </si>
  <si>
    <t>Pit B</t>
  </si>
  <si>
    <t>Rains</t>
  </si>
  <si>
    <t>Open</t>
  </si>
  <si>
    <t>DDM+40+0</t>
  </si>
  <si>
    <t>400kV D/C Samba Jalandhar T/L
(Punjab Portion)</t>
  </si>
  <si>
    <t>Due to paddy cultivation foundation /erection works hampered</t>
  </si>
  <si>
    <t>Paddy Cultivaion</t>
  </si>
  <si>
    <t>S.no</t>
  </si>
  <si>
    <t>Location no</t>
  </si>
  <si>
    <t>DOS</t>
  </si>
  <si>
    <t>DoC</t>
  </si>
  <si>
    <t>19/0</t>
  </si>
  <si>
    <t>31/0</t>
  </si>
  <si>
    <t>30/0</t>
  </si>
  <si>
    <t>Final Checking for JS_J</t>
  </si>
  <si>
    <t>400kV D/C Samba Jalandhar T/L</t>
  </si>
  <si>
    <t>Due to ROW work on hold for loc: 50A/6</t>
  </si>
  <si>
    <t>Pit A,B,C,D- Excavation Completed</t>
  </si>
  <si>
    <t>Final Checking-41 Towers done</t>
  </si>
  <si>
    <t>L2 till 
Aug-26</t>
  </si>
  <si>
    <t>Qty Supplied till Aug-26</t>
  </si>
  <si>
    <t>400kV D/C Samba Kishenpur T/L</t>
  </si>
  <si>
    <t>Due to ROW issues material shifting work hampered at loc: AP86
Erection</t>
  </si>
  <si>
    <t>Gap with respect to revised L2 - Cummilative till Aug-26</t>
  </si>
  <si>
    <t>Gap with respect to monthly plan for the month Aug-26</t>
  </si>
  <si>
    <t>A1</t>
  </si>
  <si>
    <t>A2</t>
  </si>
  <si>
    <t>A3</t>
  </si>
  <si>
    <t>A4</t>
  </si>
  <si>
    <t>A5</t>
  </si>
  <si>
    <t>Pit A</t>
  </si>
  <si>
    <t>400 kV D/C Samba-Jalandhar
400 kV D/C Samba-Kishenpur</t>
  </si>
  <si>
    <t>Due to intermittent heavy rainfall works hampered</t>
  </si>
  <si>
    <t>1FDN+1PILE</t>
  </si>
  <si>
    <t>Nogyotech</t>
  </si>
  <si>
    <t>Gopal Associates</t>
  </si>
  <si>
    <t>3&amp;4</t>
  </si>
  <si>
    <t>Erection Completed</t>
  </si>
  <si>
    <t>Work Under Progress</t>
  </si>
  <si>
    <t>Work done in loc- Jul-26</t>
  </si>
  <si>
    <t>Samba Jalandhar-Jammu</t>
  </si>
  <si>
    <t>Budhi Yadav</t>
  </si>
  <si>
    <t>AP21, AP29, AP17, 15/3, 15/2</t>
  </si>
  <si>
    <t>Samba Jalandhar- Punjab</t>
  </si>
  <si>
    <t>Amar Singh</t>
  </si>
  <si>
    <t>15/1, 29/2, 29/3, AP28, 27/1</t>
  </si>
  <si>
    <t>Samba Kishenpur</t>
  </si>
  <si>
    <t>Abhay Kumar Singh</t>
  </si>
  <si>
    <t>Aryan Const</t>
  </si>
  <si>
    <t>AP46, AP47, 46/1, 46/2, 46/3, 46/4, 46/5</t>
  </si>
  <si>
    <t>80/0</t>
  </si>
  <si>
    <t>77/0</t>
  </si>
  <si>
    <t>117/0</t>
  </si>
  <si>
    <t>95/0</t>
  </si>
  <si>
    <t>94/0</t>
  </si>
  <si>
    <t>96/O</t>
  </si>
  <si>
    <t>93/0</t>
  </si>
  <si>
    <t>102/0</t>
  </si>
  <si>
    <t>103/0</t>
  </si>
  <si>
    <t>104/0</t>
  </si>
  <si>
    <t>98/0</t>
  </si>
  <si>
    <t>99/0</t>
  </si>
  <si>
    <t>100/0</t>
  </si>
  <si>
    <t>129/0</t>
  </si>
  <si>
    <t>DOC</t>
  </si>
  <si>
    <t>Final Checking for JS_P</t>
  </si>
  <si>
    <t>Pit A- RC WIP</t>
  </si>
  <si>
    <t>Pit A- RR Wall Completed on 7-8-2026</t>
  </si>
  <si>
    <t>Pit A- Excavation WIP</t>
  </si>
  <si>
    <t>Approach Road Work WIP</t>
  </si>
  <si>
    <t>Pit A,B- Casting Completed
Pit C,D- Casting upto frustrum</t>
  </si>
  <si>
    <t>Pit C- Casting upto 1st part chimney
Pit B- Casting Completed
Pit D- Prop Setting</t>
  </si>
  <si>
    <t>Pit B,C- Excavation WIP</t>
  </si>
  <si>
    <t>Approach Road Making WIP</t>
  </si>
  <si>
    <t>5&amp;6</t>
  </si>
  <si>
    <t>Maa Constructions gang at Loc: AP79 - Farmers not allowing to use approach road for material shifting</t>
  </si>
  <si>
    <t>Md.Jaleell</t>
  </si>
  <si>
    <t>4 Stringing + 1 Hotline</t>
  </si>
  <si>
    <t>1 Drone Team</t>
  </si>
  <si>
    <t>4 Stringing + 1 Hotline+1 Drone Team</t>
  </si>
  <si>
    <t>Pit A,B,C-Casting Completed
Pit D- Casting upto Pyramid</t>
  </si>
  <si>
    <t>Pit A, B - Excavation WIP</t>
  </si>
  <si>
    <t>400 kV D/C Samba-Jalandhar
400 kV D/C Samba-Kishenpur LILO</t>
  </si>
  <si>
    <t xml:space="preserve">Pit A, B, D -Excavation WIP
Material Shifting WIP
</t>
  </si>
  <si>
    <t>Pit A, D, C - Excavation WIP</t>
  </si>
  <si>
    <t>Pit A, B, - Excavation WIP
Material Shifting WIP</t>
  </si>
  <si>
    <t>Pit B,D - Excavation Completed</t>
  </si>
  <si>
    <t>Work done in Aug-26</t>
  </si>
  <si>
    <t>Working Loc-Aug-26</t>
  </si>
  <si>
    <t>Due to intermittent rainfall works hampered</t>
  </si>
  <si>
    <t>3rd section</t>
  </si>
  <si>
    <t>Pit D - Casting upto frustrum
Pit B,C- Excavation Completed                                                            Pit A - Steel Binding</t>
  </si>
  <si>
    <t>Pit B,C - Excavation (Dewatering)
Work on hold due to rains and approach road issue</t>
  </si>
  <si>
    <t>Pit A, C - Excavation Completed</t>
  </si>
  <si>
    <r>
      <t xml:space="preserve">Pit A,B- Casting Completd
Pit D-Casting upto </t>
    </r>
    <r>
      <rPr>
        <b/>
        <sz val="10"/>
        <color theme="1"/>
        <rFont val="Cambria"/>
        <family val="1"/>
        <scheme val="major"/>
      </rPr>
      <t>Pyramid</t>
    </r>
    <r>
      <rPr>
        <sz val="10"/>
        <color theme="1"/>
        <rFont val="Cambria"/>
        <family val="1"/>
        <scheme val="major"/>
      </rPr>
      <t xml:space="preserve">
Pit C- Excavation</t>
    </r>
  </si>
  <si>
    <t>Gopal Associates (Hot Line Gang)</t>
  </si>
  <si>
    <t>AP25-AP27</t>
  </si>
  <si>
    <t>Nogyo Tec (Drawn)</t>
  </si>
  <si>
    <t>Marking WIP</t>
  </si>
  <si>
    <t>Pit - C - PCC Done</t>
  </si>
  <si>
    <t>2nd section</t>
  </si>
  <si>
    <t>5th Section</t>
  </si>
  <si>
    <t>Due to heavy rainfall works hampered</t>
  </si>
  <si>
    <t>Material Headloading Mode</t>
  </si>
  <si>
    <t>Tractor / Manual</t>
  </si>
  <si>
    <t>Tower Erection Plan- Aug-26</t>
  </si>
  <si>
    <t>Material Shifting 
from Store in %</t>
  </si>
  <si>
    <t>Material Shifting 
from Site to Loc in %</t>
  </si>
  <si>
    <t xml:space="preserve">  400 kV Kishenpur-Samba D/C line(Quad) - Wind Zone - 5-Jammu Portion</t>
  </si>
  <si>
    <t>Kauleshwar</t>
  </si>
  <si>
    <t>DPR</t>
  </si>
  <si>
    <t>Samba</t>
  </si>
  <si>
    <t>Quadian</t>
  </si>
  <si>
    <t>Total Received Conductor</t>
  </si>
  <si>
    <t>New Received</t>
  </si>
  <si>
    <t>Tractor</t>
  </si>
  <si>
    <t>Dumper/ Tractor</t>
  </si>
  <si>
    <t>Dispatched</t>
  </si>
  <si>
    <t>At 04:00 PM</t>
  </si>
  <si>
    <t>Date :- 12.08.2026</t>
  </si>
  <si>
    <t>Pit C- Casting upto step box
Pit D- Bar Binding WIP</t>
  </si>
  <si>
    <t>Pit A,B,D- Excavation WIP</t>
  </si>
  <si>
    <t>Pit A- Casting Completed
Pit C- Casting 1st part chimney
Pit B - Excavation Completed
Pit D - Casting 1st part chimney</t>
  </si>
  <si>
    <t xml:space="preserve">Pit A-Casting upto Pyramid
Pit B,C,D - Excavation WIP
</t>
  </si>
  <si>
    <t>Pit C,D - Excavation WIP -Manually                                      Pit A- Prop Setting                                                                                Pit B- PCC Done
Material Shifting WIP</t>
  </si>
  <si>
    <t xml:space="preserve">Pit D- Excavation Completed                                                 Pit A - Steel Binding WIP
</t>
  </si>
  <si>
    <t>Cage 1</t>
  </si>
  <si>
    <t>Conductor Payingout and Rough Sag Completed of top RHS</t>
  </si>
  <si>
    <t>No Work Due to ROW</t>
  </si>
  <si>
    <t>Due to ROW work on hold for loc: 50A/5 (Tower Erection)</t>
  </si>
  <si>
    <t>29/0, 30/0, 30/1, 31/0, 16/0</t>
  </si>
  <si>
    <t>45/1, 45/2, 44/3</t>
  </si>
  <si>
    <t>43/4, 44/0, AP45</t>
  </si>
  <si>
    <t>Back Stay WIP</t>
  </si>
  <si>
    <t>Top Phase Paying Out</t>
  </si>
  <si>
    <t>Excavation WIP</t>
  </si>
  <si>
    <t>Cage 2</t>
  </si>
  <si>
    <t>MD Zalil</t>
  </si>
  <si>
    <t>Pit B- Casting Completed
Pit A- Casting upto Chimney                                Pit D- Casting upto Pyramid                                      Pit C- Prop Setting &amp; PCC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</si>
</sst>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6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
      <b/>
      <i/>
      <sz val="10"/>
      <color rgb="FF4E515E"/>
      <name val="Cambria"/>
      <family val="1"/>
      <scheme val="major"/>
    </font>
    <font>
      <sz val="10"/>
      <color theme="1"/>
      <name val="Calibri"/>
      <charset val="134"/>
    </font>
    <font>
      <b/>
      <sz val="9"/>
      <color theme="1"/>
      <name val="Calibri"/>
      <charset val="134"/>
    </font>
    <font>
      <sz val="9"/>
      <color theme="1"/>
      <name val="Calibri"/>
      <charset val="134"/>
    </font>
    <font>
      <b/>
      <sz val="10"/>
      <color theme="1"/>
      <name val="Calibri"/>
      <charset val="134"/>
    </font>
  </fonts>
  <fills count="51">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rgb="FFA6C9EC"/>
        <bgColor rgb="FF000000"/>
      </patternFill>
    </fill>
    <fill>
      <patternFill patternType="solid">
        <fgColor theme="3" tint="0.749992370372631"/>
        <bgColor indexed="64"/>
      </patternFill>
    </fill>
    <fill>
      <patternFill patternType="solid">
        <fgColor theme="4" tint="0.39997558519241921"/>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4">
    <xf numFmtId="0" fontId="0" fillId="0" borderId="0"/>
    <xf numFmtId="9" fontId="203" fillId="0" borderId="0" applyFont="0" applyFill="0" applyBorder="0" applyAlignment="0" applyProtection="0"/>
    <xf numFmtId="0" fontId="203" fillId="0" borderId="0"/>
    <xf numFmtId="164" fontId="203" fillId="0" borderId="0"/>
    <xf numFmtId="164" fontId="203" fillId="0" borderId="0"/>
    <xf numFmtId="164" fontId="203" fillId="0" borderId="0"/>
    <xf numFmtId="164" fontId="203" fillId="0" borderId="0"/>
    <xf numFmtId="0" fontId="172" fillId="0" borderId="0"/>
    <xf numFmtId="0" fontId="203" fillId="0" borderId="0"/>
    <xf numFmtId="0" fontId="202" fillId="0" borderId="0" applyProtection="0"/>
    <xf numFmtId="0" fontId="172" fillId="0" borderId="0"/>
    <xf numFmtId="0" fontId="172" fillId="0" borderId="0"/>
    <xf numFmtId="0" fontId="203" fillId="0" borderId="0"/>
    <xf numFmtId="0" fontId="149"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9" fontId="203" fillId="0" borderId="0" applyFont="0" applyFill="0" applyBorder="0" applyAlignment="0" applyProtection="0"/>
    <xf numFmtId="9" fontId="203" fillId="0" borderId="0" applyFont="0" applyFill="0" applyBorder="0" applyAlignment="0" applyProtection="0"/>
    <xf numFmtId="9" fontId="203" fillId="0" borderId="0" applyFont="0" applyFill="0" applyBorder="0" applyAlignment="0" applyProtection="0"/>
    <xf numFmtId="0" fontId="113" fillId="0" borderId="0"/>
    <xf numFmtId="0" fontId="112" fillId="0" borderId="0"/>
    <xf numFmtId="176" fontId="112" fillId="0" borderId="0" applyFont="0" applyFill="0" applyBorder="0" applyAlignment="0" applyProtection="0"/>
    <xf numFmtId="0" fontId="172" fillId="0" borderId="0"/>
    <xf numFmtId="0" fontId="111" fillId="0" borderId="0"/>
    <xf numFmtId="43" fontId="172" fillId="0" borderId="0" applyFont="0" applyFill="0" applyBorder="0" applyAlignment="0" applyProtection="0"/>
    <xf numFmtId="43" fontId="232" fillId="0" borderId="0" applyFont="0" applyFill="0" applyBorder="0" applyAlignment="0" applyProtection="0"/>
    <xf numFmtId="0" fontId="110" fillId="0" borderId="0"/>
    <xf numFmtId="0" fontId="109" fillId="0" borderId="0"/>
    <xf numFmtId="0" fontId="108" fillId="0" borderId="0"/>
    <xf numFmtId="0" fontId="104" fillId="0" borderId="0"/>
    <xf numFmtId="0" fontId="235" fillId="41" borderId="0" applyNumberFormat="0" applyBorder="0" applyAlignment="0" applyProtection="0"/>
    <xf numFmtId="43" fontId="94" fillId="0" borderId="0" applyFont="0" applyFill="0" applyBorder="0" applyAlignment="0" applyProtection="0"/>
    <xf numFmtId="0" fontId="93" fillId="0" borderId="0"/>
    <xf numFmtId="0" fontId="88" fillId="0" borderId="0"/>
    <xf numFmtId="176" fontId="88" fillId="0" borderId="0" applyFont="0" applyFill="0" applyBorder="0" applyAlignment="0" applyProtection="0"/>
    <xf numFmtId="9" fontId="88" fillId="0" borderId="0" applyFont="0" applyFill="0" applyBorder="0" applyAlignment="0" applyProtection="0"/>
    <xf numFmtId="0" fontId="172" fillId="0" borderId="0">
      <alignment vertical="center"/>
    </xf>
    <xf numFmtId="176" fontId="172" fillId="0" borderId="0" applyFont="0" applyFill="0" applyBorder="0" applyAlignment="0" applyProtection="0">
      <alignment vertical="center"/>
    </xf>
    <xf numFmtId="0" fontId="46" fillId="0" borderId="0"/>
    <xf numFmtId="43" fontId="46" fillId="0" borderId="0" applyFont="0" applyFill="0" applyBorder="0" applyAlignment="0" applyProtection="0"/>
    <xf numFmtId="0" fontId="46" fillId="0" borderId="0"/>
    <xf numFmtId="0" fontId="46" fillId="0" borderId="0"/>
    <xf numFmtId="0" fontId="46" fillId="0" borderId="0"/>
    <xf numFmtId="164" fontId="46" fillId="0" borderId="0"/>
    <xf numFmtId="164" fontId="46" fillId="0" borderId="0"/>
    <xf numFmtId="164" fontId="46" fillId="0" borderId="0"/>
    <xf numFmtId="164"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0" fontId="46" fillId="0" borderId="0"/>
    <xf numFmtId="0" fontId="46" fillId="0" borderId="0"/>
    <xf numFmtId="176"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43" fontId="46" fillId="0" borderId="0" applyFont="0" applyFill="0" applyBorder="0" applyAlignment="0" applyProtection="0"/>
    <xf numFmtId="0" fontId="46" fillId="0" borderId="0"/>
    <xf numFmtId="0" fontId="46" fillId="0" borderId="0"/>
    <xf numFmtId="176" fontId="46" fillId="0" borderId="0" applyFont="0" applyFill="0" applyBorder="0" applyAlignment="0" applyProtection="0"/>
    <xf numFmtId="9" fontId="46" fillId="0" borderId="0" applyFont="0" applyFill="0" applyBorder="0" applyAlignment="0" applyProtection="0"/>
    <xf numFmtId="0" fontId="172" fillId="0" borderId="0">
      <alignment vertical="center"/>
    </xf>
    <xf numFmtId="0" fontId="35" fillId="0" borderId="0"/>
    <xf numFmtId="0" fontId="11" fillId="0" borderId="0"/>
  </cellStyleXfs>
  <cellXfs count="1831">
    <xf numFmtId="0" fontId="0" fillId="0" borderId="0" xfId="0"/>
    <xf numFmtId="0" fontId="137" fillId="0" borderId="0" xfId="0" applyFont="1"/>
    <xf numFmtId="0" fontId="0" fillId="0" borderId="0" xfId="0" applyAlignment="1">
      <alignment horizontal="center"/>
    </xf>
    <xf numFmtId="0" fontId="144" fillId="2" borderId="0" xfId="18" applyFont="1" applyFill="1" applyAlignment="1">
      <alignment horizontal="center" vertical="center" wrapText="1"/>
    </xf>
    <xf numFmtId="0" fontId="144" fillId="2" borderId="0" xfId="18" applyFont="1" applyFill="1" applyAlignment="1">
      <alignment horizontal="center" vertical="center"/>
    </xf>
    <xf numFmtId="0" fontId="137" fillId="2" borderId="8" xfId="0" applyFont="1" applyFill="1" applyBorder="1" applyAlignment="1">
      <alignment horizontal="center" vertical="center"/>
    </xf>
    <xf numFmtId="0" fontId="144" fillId="2" borderId="0" xfId="18" applyFont="1" applyFill="1"/>
    <xf numFmtId="0" fontId="145" fillId="2" borderId="0" xfId="18" applyFont="1" applyFill="1" applyAlignment="1">
      <alignment horizontal="center"/>
    </xf>
    <xf numFmtId="0" fontId="144" fillId="2" borderId="0" xfId="18" applyFont="1" applyFill="1" applyAlignment="1">
      <alignment horizontal="center"/>
    </xf>
    <xf numFmtId="0" fontId="146" fillId="0" borderId="8" xfId="0" applyFont="1" applyBorder="1" applyAlignment="1">
      <alignment horizontal="center"/>
    </xf>
    <xf numFmtId="0" fontId="146" fillId="0" borderId="8" xfId="0" applyFont="1" applyBorder="1" applyAlignment="1">
      <alignment horizontal="center" vertical="center"/>
    </xf>
    <xf numFmtId="2" fontId="146"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37" fillId="0" borderId="8" xfId="0" applyFont="1" applyBorder="1" applyAlignment="1">
      <alignment horizontal="center"/>
    </xf>
    <xf numFmtId="0" fontId="144" fillId="2" borderId="0" xfId="0" applyFont="1" applyFill="1" applyAlignment="1">
      <alignment horizontal="center" vertical="center"/>
    </xf>
    <xf numFmtId="0" fontId="144" fillId="2" borderId="8" xfId="0" applyFont="1" applyFill="1" applyBorder="1" applyAlignment="1">
      <alignment horizontal="center" vertical="center"/>
    </xf>
    <xf numFmtId="0" fontId="148" fillId="8" borderId="8" xfId="13" applyFont="1" applyFill="1" applyBorder="1" applyAlignment="1">
      <alignment horizontal="center" vertical="top" wrapText="1"/>
    </xf>
    <xf numFmtId="1" fontId="150" fillId="0" borderId="8" xfId="13" applyNumberFormat="1" applyFont="1" applyBorder="1" applyAlignment="1">
      <alignment horizontal="center" vertical="top" shrinkToFit="1"/>
    </xf>
    <xf numFmtId="0" fontId="148" fillId="0" borderId="8" xfId="13" applyFont="1" applyBorder="1" applyAlignment="1">
      <alignment horizontal="center" vertical="top" wrapText="1"/>
    </xf>
    <xf numFmtId="0" fontId="148" fillId="6" borderId="8" xfId="13" applyFont="1" applyFill="1" applyBorder="1" applyAlignment="1">
      <alignment horizontal="center" vertical="top" wrapText="1"/>
    </xf>
    <xf numFmtId="0" fontId="149" fillId="0" borderId="8" xfId="13" applyBorder="1" applyAlignment="1">
      <alignment horizontal="left" wrapText="1"/>
    </xf>
    <xf numFmtId="0" fontId="0" fillId="6" borderId="8" xfId="0" applyFill="1" applyBorder="1"/>
    <xf numFmtId="0" fontId="144" fillId="0" borderId="0" xfId="18" applyFont="1" applyAlignment="1">
      <alignment horizontal="center" vertical="center" wrapText="1"/>
    </xf>
    <xf numFmtId="0" fontId="0" fillId="0" borderId="7" xfId="0" applyBorder="1" applyAlignment="1">
      <alignment horizontal="center"/>
    </xf>
    <xf numFmtId="0" fontId="146" fillId="0" borderId="38" xfId="0" applyFont="1" applyBorder="1" applyAlignment="1">
      <alignment horizontal="center" vertical="center"/>
    </xf>
    <xf numFmtId="0" fontId="146" fillId="0" borderId="16" xfId="0" applyFont="1" applyBorder="1" applyAlignment="1">
      <alignment horizontal="center" vertical="center"/>
    </xf>
    <xf numFmtId="0" fontId="146" fillId="6" borderId="39" xfId="0" applyFont="1" applyFill="1" applyBorder="1" applyAlignment="1">
      <alignment horizontal="center" vertical="center"/>
    </xf>
    <xf numFmtId="0" fontId="146" fillId="6" borderId="28" xfId="0" applyFont="1" applyFill="1" applyBorder="1" applyAlignment="1">
      <alignment horizontal="left" vertical="center"/>
    </xf>
    <xf numFmtId="0" fontId="0" fillId="6" borderId="40" xfId="0" applyFill="1" applyBorder="1" applyAlignment="1">
      <alignment horizontal="center" vertical="center"/>
    </xf>
    <xf numFmtId="0" fontId="147"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51" fillId="0" borderId="41" xfId="0" applyFont="1" applyBorder="1" applyAlignment="1">
      <alignment vertical="center" wrapText="1"/>
    </xf>
    <xf numFmtId="14" fontId="152"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52" fillId="0" borderId="7" xfId="0" applyNumberFormat="1" applyFont="1" applyBorder="1" applyAlignment="1">
      <alignment horizontal="center" vertical="center" wrapText="1"/>
    </xf>
    <xf numFmtId="0" fontId="151" fillId="12" borderId="41" xfId="0" applyFont="1" applyFill="1" applyBorder="1" applyAlignment="1">
      <alignment vertical="center" wrapText="1"/>
    </xf>
    <xf numFmtId="0" fontId="146" fillId="6" borderId="35" xfId="0" applyFont="1" applyFill="1" applyBorder="1" applyAlignment="1">
      <alignment horizontal="center" vertical="center"/>
    </xf>
    <xf numFmtId="0" fontId="146"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47"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47"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53" fillId="12" borderId="19" xfId="0" applyFont="1" applyFill="1" applyBorder="1" applyAlignment="1">
      <alignment vertical="center" wrapText="1"/>
    </xf>
    <xf numFmtId="14" fontId="0" fillId="0" borderId="7" xfId="0" applyNumberFormat="1" applyBorder="1" applyAlignment="1">
      <alignment horizontal="center" vertical="center"/>
    </xf>
    <xf numFmtId="0" fontId="147" fillId="6" borderId="36" xfId="0" applyFont="1" applyFill="1" applyBorder="1" applyAlignment="1">
      <alignment horizontal="center" vertical="center"/>
    </xf>
    <xf numFmtId="0" fontId="147"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47" fillId="0" borderId="16" xfId="0" applyFont="1" applyBorder="1" applyAlignment="1">
      <alignment horizontal="center" vertical="center"/>
    </xf>
    <xf numFmtId="0" fontId="138" fillId="13" borderId="10" xfId="0" applyFont="1" applyFill="1" applyBorder="1" applyAlignment="1">
      <alignment horizontal="center" vertical="center"/>
    </xf>
    <xf numFmtId="0" fontId="146" fillId="13" borderId="32" xfId="0" applyFont="1" applyFill="1" applyBorder="1" applyAlignment="1">
      <alignment horizontal="center" vertical="center"/>
    </xf>
    <xf numFmtId="0" fontId="146"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52" fillId="0" borderId="19" xfId="0" applyFont="1" applyBorder="1" applyAlignment="1">
      <alignment vertical="center" wrapText="1"/>
    </xf>
    <xf numFmtId="0" fontId="152"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54" fillId="0" borderId="37" xfId="0" applyFont="1" applyBorder="1" applyAlignment="1">
      <alignment horizontal="center" vertical="center"/>
    </xf>
    <xf numFmtId="0" fontId="154"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54" fillId="0" borderId="38" xfId="0" applyFont="1" applyBorder="1" applyAlignment="1">
      <alignment horizontal="center" vertical="center"/>
    </xf>
    <xf numFmtId="0" fontId="154"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54" fillId="0" borderId="30" xfId="0" applyFont="1" applyBorder="1" applyAlignment="1">
      <alignment horizontal="center" vertical="center"/>
    </xf>
    <xf numFmtId="0" fontId="154" fillId="0" borderId="8" xfId="0" applyFont="1" applyBorder="1" applyAlignment="1">
      <alignment horizontal="center" vertical="center"/>
    </xf>
    <xf numFmtId="14" fontId="154"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54" fillId="0" borderId="42" xfId="0" applyFont="1" applyBorder="1" applyAlignment="1">
      <alignment horizontal="center" vertical="center"/>
    </xf>
    <xf numFmtId="0" fontId="154" fillId="0" borderId="7" xfId="0" applyFont="1" applyBorder="1" applyAlignment="1">
      <alignment horizontal="center" vertical="center"/>
    </xf>
    <xf numFmtId="0" fontId="0" fillId="0" borderId="30" xfId="0" applyBorder="1"/>
    <xf numFmtId="14" fontId="154"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55" fillId="0" borderId="0" xfId="0" applyFont="1" applyAlignment="1">
      <alignment horizontal="center" vertical="center"/>
    </xf>
    <xf numFmtId="0" fontId="155" fillId="0" borderId="3" xfId="0" applyFont="1" applyBorder="1"/>
    <xf numFmtId="0" fontId="155" fillId="0" borderId="0" xfId="0" applyFont="1"/>
    <xf numFmtId="0" fontId="139" fillId="0" borderId="0" xfId="0" applyFont="1" applyAlignment="1">
      <alignment horizontal="left"/>
    </xf>
    <xf numFmtId="0" fontId="139" fillId="15" borderId="8" xfId="0" applyFont="1" applyFill="1" applyBorder="1" applyAlignment="1">
      <alignment horizontal="center" vertical="center" wrapText="1"/>
    </xf>
    <xf numFmtId="0" fontId="139" fillId="15" borderId="8" xfId="0" applyFont="1" applyFill="1" applyBorder="1" applyAlignment="1">
      <alignment vertical="center" wrapText="1"/>
    </xf>
    <xf numFmtId="0" fontId="155" fillId="0" borderId="8" xfId="0" applyFont="1" applyBorder="1" applyAlignment="1">
      <alignment horizontal="center"/>
    </xf>
    <xf numFmtId="16" fontId="0" fillId="16" borderId="8" xfId="0" applyNumberFormat="1" applyFill="1" applyBorder="1" applyAlignment="1">
      <alignment horizontal="center"/>
    </xf>
    <xf numFmtId="16" fontId="155" fillId="16" borderId="8" xfId="0" applyNumberFormat="1" applyFont="1" applyFill="1" applyBorder="1" applyAlignment="1">
      <alignment horizontal="center"/>
    </xf>
    <xf numFmtId="166" fontId="0" fillId="0" borderId="8" xfId="0" applyNumberFormat="1" applyBorder="1" applyAlignment="1">
      <alignment horizontal="center"/>
    </xf>
    <xf numFmtId="166" fontId="155" fillId="0" borderId="8" xfId="0" applyNumberFormat="1" applyFont="1" applyBorder="1" applyAlignment="1">
      <alignment horizontal="center"/>
    </xf>
    <xf numFmtId="0" fontId="0" fillId="5" borderId="8" xfId="0" applyFill="1" applyBorder="1" applyAlignment="1">
      <alignment horizontal="center"/>
    </xf>
    <xf numFmtId="0" fontId="155" fillId="5" borderId="8" xfId="0" applyFont="1" applyFill="1" applyBorder="1" applyAlignment="1">
      <alignment horizontal="center"/>
    </xf>
    <xf numFmtId="16" fontId="155" fillId="17" borderId="8" xfId="0" applyNumberFormat="1" applyFont="1" applyFill="1" applyBorder="1" applyAlignment="1">
      <alignment horizontal="center"/>
    </xf>
    <xf numFmtId="0" fontId="155" fillId="0" borderId="8" xfId="0" applyFont="1" applyBorder="1"/>
    <xf numFmtId="0" fontId="156" fillId="0" borderId="0" xfId="0" applyFont="1"/>
    <xf numFmtId="1" fontId="143" fillId="0" borderId="8" xfId="10" applyNumberFormat="1" applyFont="1" applyBorder="1" applyAlignment="1">
      <alignment horizontal="center" vertical="center" wrapText="1"/>
    </xf>
    <xf numFmtId="167" fontId="143" fillId="0" borderId="8" xfId="10" applyNumberFormat="1" applyFont="1" applyBorder="1" applyAlignment="1">
      <alignment horizontal="center" vertical="center" wrapText="1"/>
    </xf>
    <xf numFmtId="168" fontId="143" fillId="0" borderId="8" xfId="10" applyNumberFormat="1" applyFont="1" applyBorder="1" applyAlignment="1">
      <alignment horizontal="center" vertical="center" wrapText="1"/>
    </xf>
    <xf numFmtId="0" fontId="157" fillId="0" borderId="8" xfId="10" applyFont="1" applyBorder="1" applyAlignment="1">
      <alignment horizontal="center" vertical="center" wrapText="1"/>
    </xf>
    <xf numFmtId="0" fontId="143" fillId="5" borderId="8" xfId="10" applyFont="1" applyFill="1" applyBorder="1" applyAlignment="1">
      <alignment horizontal="center" vertical="center"/>
    </xf>
    <xf numFmtId="168" fontId="143" fillId="0" borderId="8" xfId="10" applyNumberFormat="1" applyFont="1" applyBorder="1" applyAlignment="1">
      <alignment horizontal="center" vertical="center"/>
    </xf>
    <xf numFmtId="0" fontId="143" fillId="0" borderId="8" xfId="10" applyFont="1" applyBorder="1" applyAlignment="1">
      <alignment horizontal="center" vertical="center"/>
    </xf>
    <xf numFmtId="0" fontId="143" fillId="2" borderId="8" xfId="10" applyFont="1" applyFill="1" applyBorder="1" applyAlignment="1">
      <alignment horizontal="center" vertical="center"/>
    </xf>
    <xf numFmtId="0" fontId="143" fillId="5" borderId="44" xfId="10" applyFont="1" applyFill="1" applyBorder="1" applyAlignment="1">
      <alignment horizontal="center" vertical="center"/>
    </xf>
    <xf numFmtId="0" fontId="143"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44" fillId="2" borderId="8" xfId="18" applyFont="1" applyFill="1" applyBorder="1" applyAlignment="1">
      <alignment horizontal="center"/>
    </xf>
    <xf numFmtId="0" fontId="0" fillId="6" borderId="7" xfId="0" applyFill="1" applyBorder="1" applyAlignment="1">
      <alignment horizontal="center"/>
    </xf>
    <xf numFmtId="0" fontId="144" fillId="2" borderId="8" xfId="18" applyFont="1" applyFill="1" applyBorder="1" applyAlignment="1">
      <alignment horizontal="center" vertical="center"/>
    </xf>
    <xf numFmtId="0" fontId="0" fillId="5" borderId="8" xfId="0" applyFill="1" applyBorder="1" applyAlignment="1">
      <alignment horizontal="center" vertical="center"/>
    </xf>
    <xf numFmtId="167" fontId="143" fillId="6" borderId="15" xfId="10" applyNumberFormat="1" applyFont="1" applyFill="1" applyBorder="1" applyAlignment="1">
      <alignment horizontal="center" vertical="center" wrapText="1"/>
    </xf>
    <xf numFmtId="167" fontId="143" fillId="6" borderId="8" xfId="10" applyNumberFormat="1" applyFont="1" applyFill="1" applyBorder="1" applyAlignment="1">
      <alignment horizontal="center" vertical="center" wrapText="1"/>
    </xf>
    <xf numFmtId="168" fontId="143" fillId="6" borderId="8" xfId="10" applyNumberFormat="1" applyFont="1" applyFill="1" applyBorder="1" applyAlignment="1">
      <alignment horizontal="center" vertical="center"/>
    </xf>
    <xf numFmtId="168" fontId="143" fillId="6" borderId="15" xfId="10" applyNumberFormat="1" applyFont="1" applyFill="1" applyBorder="1" applyAlignment="1">
      <alignment horizontal="center" vertical="center"/>
    </xf>
    <xf numFmtId="0" fontId="143" fillId="6" borderId="15" xfId="10" applyFont="1" applyFill="1" applyBorder="1" applyAlignment="1">
      <alignment horizontal="center" vertical="center"/>
    </xf>
    <xf numFmtId="1" fontId="158" fillId="0" borderId="8" xfId="10" applyNumberFormat="1" applyFont="1" applyBorder="1" applyAlignment="1">
      <alignment horizontal="center" vertical="center" wrapText="1"/>
    </xf>
    <xf numFmtId="0" fontId="158" fillId="0" borderId="8" xfId="10" applyFont="1" applyBorder="1" applyAlignment="1">
      <alignment horizontal="center" vertical="center"/>
    </xf>
    <xf numFmtId="167" fontId="158" fillId="0" borderId="8" xfId="10" applyNumberFormat="1" applyFont="1" applyBorder="1" applyAlignment="1">
      <alignment horizontal="center" vertical="center" wrapText="1"/>
    </xf>
    <xf numFmtId="168" fontId="158" fillId="0" borderId="8" xfId="10" applyNumberFormat="1" applyFont="1" applyBorder="1" applyAlignment="1">
      <alignment horizontal="center" vertical="center"/>
    </xf>
    <xf numFmtId="0" fontId="157" fillId="6" borderId="8" xfId="10" applyFont="1" applyFill="1" applyBorder="1" applyAlignment="1">
      <alignment horizontal="center" vertical="center" wrapText="1"/>
    </xf>
    <xf numFmtId="0" fontId="143" fillId="6" borderId="8" xfId="10" applyFont="1" applyFill="1" applyBorder="1" applyAlignment="1">
      <alignment horizontal="center" vertical="center"/>
    </xf>
    <xf numFmtId="0" fontId="143" fillId="0" borderId="44" xfId="10" applyFont="1" applyBorder="1" applyAlignment="1">
      <alignment horizontal="center" vertical="center"/>
    </xf>
    <xf numFmtId="0" fontId="158" fillId="0" borderId="8" xfId="10" applyFont="1" applyBorder="1" applyAlignment="1">
      <alignment horizontal="center" vertical="center" wrapText="1"/>
    </xf>
    <xf numFmtId="49" fontId="143" fillId="0" borderId="8" xfId="10" applyNumberFormat="1" applyFont="1" applyBorder="1" applyAlignment="1">
      <alignment horizontal="center" vertical="center" wrapText="1"/>
    </xf>
    <xf numFmtId="49" fontId="143" fillId="0" borderId="8" xfId="10" applyNumberFormat="1" applyFont="1" applyBorder="1" applyAlignment="1">
      <alignment horizontal="center" vertical="center"/>
    </xf>
    <xf numFmtId="0" fontId="157" fillId="0" borderId="0" xfId="10" applyFont="1" applyAlignment="1">
      <alignment vertical="center" wrapText="1"/>
    </xf>
    <xf numFmtId="0" fontId="143" fillId="0" borderId="0" xfId="10" applyFont="1" applyAlignment="1">
      <alignment vertical="center"/>
    </xf>
    <xf numFmtId="168" fontId="143" fillId="0" borderId="0" xfId="10" applyNumberFormat="1" applyFont="1" applyAlignment="1">
      <alignment horizontal="center" vertical="center"/>
    </xf>
    <xf numFmtId="0" fontId="143" fillId="0" borderId="0" xfId="10" applyFont="1" applyAlignment="1">
      <alignment horizontal="center" vertical="center"/>
    </xf>
    <xf numFmtId="0" fontId="142" fillId="0" borderId="0" xfId="10" applyFont="1" applyAlignment="1">
      <alignment horizontal="left" vertical="center"/>
    </xf>
    <xf numFmtId="0" fontId="142" fillId="0" borderId="0" xfId="10" applyFont="1" applyAlignment="1">
      <alignment vertical="center"/>
    </xf>
    <xf numFmtId="0" fontId="159" fillId="0" borderId="0" xfId="10" applyFont="1" applyAlignment="1">
      <alignment vertical="center"/>
    </xf>
    <xf numFmtId="168" fontId="159" fillId="0" borderId="0" xfId="10" applyNumberFormat="1" applyFont="1" applyAlignment="1">
      <alignment horizontal="center" vertical="center"/>
    </xf>
    <xf numFmtId="0" fontId="159" fillId="0" borderId="0" xfId="10" applyFont="1" applyAlignment="1">
      <alignment horizontal="center" vertical="center"/>
    </xf>
    <xf numFmtId="0" fontId="140" fillId="0" borderId="0" xfId="10" applyFont="1" applyAlignment="1">
      <alignment vertical="center"/>
    </xf>
    <xf numFmtId="0" fontId="140" fillId="0" borderId="0" xfId="10" applyFont="1" applyAlignment="1">
      <alignment horizontal="left" vertical="center"/>
    </xf>
    <xf numFmtId="0" fontId="140" fillId="0" borderId="0" xfId="10" applyFont="1" applyAlignment="1">
      <alignment horizontal="left" vertical="center" wrapText="1"/>
    </xf>
    <xf numFmtId="168" fontId="140" fillId="0" borderId="0" xfId="10" applyNumberFormat="1" applyFont="1" applyAlignment="1">
      <alignment horizontal="center" vertical="center" wrapText="1"/>
    </xf>
    <xf numFmtId="0" fontId="140" fillId="0" borderId="0" xfId="10" applyFont="1" applyAlignment="1">
      <alignment horizontal="center" vertical="center" wrapText="1"/>
    </xf>
    <xf numFmtId="0" fontId="160" fillId="0" borderId="0" xfId="10" applyFont="1" applyAlignment="1">
      <alignment vertical="center"/>
    </xf>
    <xf numFmtId="168" fontId="160" fillId="0" borderId="0" xfId="10" applyNumberFormat="1" applyFont="1" applyAlignment="1">
      <alignment horizontal="center" vertical="center"/>
    </xf>
    <xf numFmtId="0" fontId="160" fillId="0" borderId="0" xfId="10" applyFont="1" applyAlignment="1">
      <alignment horizontal="center" vertical="center"/>
    </xf>
    <xf numFmtId="0" fontId="143" fillId="0" borderId="8" xfId="10" applyFont="1" applyBorder="1" applyAlignment="1">
      <alignment vertical="center"/>
    </xf>
    <xf numFmtId="0" fontId="144" fillId="0" borderId="8" xfId="18" applyFont="1" applyBorder="1" applyAlignment="1">
      <alignment horizontal="center"/>
    </xf>
    <xf numFmtId="0" fontId="143" fillId="5" borderId="7" xfId="10" applyFont="1" applyFill="1" applyBorder="1" applyAlignment="1">
      <alignment horizontal="center" vertical="center"/>
    </xf>
    <xf numFmtId="0" fontId="144" fillId="2" borderId="7" xfId="18" applyFont="1" applyFill="1" applyBorder="1" applyAlignment="1">
      <alignment horizontal="center"/>
    </xf>
    <xf numFmtId="166" fontId="143" fillId="0" borderId="0" xfId="10" applyNumberFormat="1" applyFont="1" applyAlignment="1">
      <alignment vertical="center"/>
    </xf>
    <xf numFmtId="0" fontId="144" fillId="6" borderId="8" xfId="18" applyFont="1" applyFill="1" applyBorder="1" applyAlignment="1">
      <alignment horizontal="center" vertical="center"/>
    </xf>
    <xf numFmtId="0" fontId="143" fillId="0" borderId="7" xfId="10" applyFont="1" applyBorder="1" applyAlignment="1">
      <alignment vertical="center"/>
    </xf>
    <xf numFmtId="0" fontId="143" fillId="0" borderId="12" xfId="10" applyFont="1" applyBorder="1" applyAlignment="1">
      <alignment horizontal="center" vertical="center"/>
    </xf>
    <xf numFmtId="17" fontId="143" fillId="6" borderId="8" xfId="10" applyNumberFormat="1" applyFont="1" applyFill="1" applyBorder="1" applyAlignment="1">
      <alignment horizontal="center" vertical="center"/>
    </xf>
    <xf numFmtId="1" fontId="143" fillId="0" borderId="7" xfId="10" applyNumberFormat="1" applyFont="1" applyBorder="1" applyAlignment="1">
      <alignment horizontal="center" vertical="center" wrapText="1"/>
    </xf>
    <xf numFmtId="168" fontId="143" fillId="0" borderId="7" xfId="10" applyNumberFormat="1" applyFont="1" applyBorder="1" applyAlignment="1">
      <alignment horizontal="center" vertical="center"/>
    </xf>
    <xf numFmtId="166" fontId="157" fillId="0" borderId="8" xfId="10" applyNumberFormat="1" applyFont="1" applyBorder="1" applyAlignment="1">
      <alignment horizontal="center" vertical="center"/>
    </xf>
    <xf numFmtId="0" fontId="157" fillId="5" borderId="8" xfId="10" applyFont="1" applyFill="1" applyBorder="1" applyAlignment="1">
      <alignment horizontal="center" vertical="center" wrapText="1"/>
    </xf>
    <xf numFmtId="17" fontId="143" fillId="6" borderId="7" xfId="10" applyNumberFormat="1" applyFont="1" applyFill="1" applyBorder="1" applyAlignment="1">
      <alignment horizontal="center" vertical="center" wrapText="1"/>
    </xf>
    <xf numFmtId="168" fontId="143" fillId="2" borderId="8" xfId="10" applyNumberFormat="1" applyFont="1" applyFill="1" applyBorder="1" applyAlignment="1">
      <alignment horizontal="center" vertical="center"/>
    </xf>
    <xf numFmtId="0" fontId="144" fillId="6" borderId="8" xfId="0" applyFont="1" applyFill="1" applyBorder="1" applyAlignment="1">
      <alignment horizontal="center" vertical="center"/>
    </xf>
    <xf numFmtId="0" fontId="144" fillId="6" borderId="0" xfId="0" applyFont="1" applyFill="1" applyAlignment="1">
      <alignment horizontal="center" vertical="center"/>
    </xf>
    <xf numFmtId="0" fontId="143" fillId="18" borderId="8" xfId="10" applyFont="1" applyFill="1" applyBorder="1" applyAlignment="1">
      <alignment horizontal="center" vertical="center"/>
    </xf>
    <xf numFmtId="0" fontId="143" fillId="6" borderId="7" xfId="10" applyFont="1" applyFill="1" applyBorder="1" applyAlignment="1">
      <alignment horizontal="center" vertical="center"/>
    </xf>
    <xf numFmtId="0" fontId="143" fillId="4" borderId="8" xfId="10" applyFont="1" applyFill="1" applyBorder="1" applyAlignment="1">
      <alignment horizontal="center" vertical="center"/>
    </xf>
    <xf numFmtId="0" fontId="143" fillId="4" borderId="8" xfId="10" applyFont="1" applyFill="1" applyBorder="1" applyAlignment="1">
      <alignment vertical="center" wrapText="1"/>
    </xf>
    <xf numFmtId="168" fontId="143" fillId="19" borderId="8" xfId="10" applyNumberFormat="1" applyFont="1" applyFill="1" applyBorder="1" applyAlignment="1">
      <alignment horizontal="center" vertical="center"/>
    </xf>
    <xf numFmtId="0" fontId="143" fillId="0" borderId="11" xfId="10" applyFont="1" applyBorder="1" applyAlignment="1">
      <alignment horizontal="center" vertical="center"/>
    </xf>
    <xf numFmtId="0" fontId="143" fillId="6" borderId="0" xfId="10" applyFont="1" applyFill="1" applyAlignment="1">
      <alignment horizontal="center" vertical="center"/>
    </xf>
    <xf numFmtId="0" fontId="157" fillId="0" borderId="7" xfId="10" applyFont="1" applyBorder="1" applyAlignment="1">
      <alignment horizontal="center" vertical="center" wrapText="1"/>
    </xf>
    <xf numFmtId="0" fontId="143" fillId="0" borderId="32" xfId="10" applyFont="1" applyBorder="1" applyAlignment="1">
      <alignment vertical="center"/>
    </xf>
    <xf numFmtId="0" fontId="143" fillId="20" borderId="8" xfId="10" applyFont="1" applyFill="1" applyBorder="1" applyAlignment="1">
      <alignment horizontal="center" vertical="center"/>
    </xf>
    <xf numFmtId="16" fontId="143" fillId="6" borderId="8" xfId="10" applyNumberFormat="1" applyFont="1" applyFill="1" applyBorder="1" applyAlignment="1">
      <alignment horizontal="center" vertical="center"/>
    </xf>
    <xf numFmtId="0" fontId="143" fillId="5" borderId="0" xfId="10" applyFont="1" applyFill="1" applyAlignment="1">
      <alignment horizontal="center" vertical="center"/>
    </xf>
    <xf numFmtId="0" fontId="143" fillId="0" borderId="11" xfId="10" applyFont="1" applyBorder="1" applyAlignment="1">
      <alignment vertical="center"/>
    </xf>
    <xf numFmtId="0" fontId="143" fillId="0" borderId="12" xfId="10" applyFont="1" applyBorder="1" applyAlignment="1">
      <alignment vertical="center"/>
    </xf>
    <xf numFmtId="0" fontId="143" fillId="0" borderId="15" xfId="10" applyFont="1" applyBorder="1" applyAlignment="1">
      <alignment vertical="center"/>
    </xf>
    <xf numFmtId="16" fontId="143" fillId="6" borderId="0" xfId="10" applyNumberFormat="1" applyFont="1" applyFill="1" applyAlignment="1">
      <alignment vertical="center"/>
    </xf>
    <xf numFmtId="0" fontId="143" fillId="2" borderId="0" xfId="10" applyFont="1" applyFill="1" applyAlignment="1">
      <alignment vertical="center"/>
    </xf>
    <xf numFmtId="0" fontId="143" fillId="0" borderId="15" xfId="10" applyFont="1" applyBorder="1" applyAlignment="1">
      <alignment horizontal="center" vertical="center"/>
    </xf>
    <xf numFmtId="0" fontId="158" fillId="0" borderId="0" xfId="10" applyFont="1" applyAlignment="1">
      <alignment vertical="center"/>
    </xf>
    <xf numFmtId="168" fontId="143" fillId="0" borderId="15" xfId="10" applyNumberFormat="1" applyFont="1" applyBorder="1" applyAlignment="1">
      <alignment horizontal="center" vertical="center"/>
    </xf>
    <xf numFmtId="0" fontId="143" fillId="2" borderId="7" xfId="10" applyFont="1" applyFill="1" applyBorder="1" applyAlignment="1">
      <alignment horizontal="center" vertical="center"/>
    </xf>
    <xf numFmtId="0" fontId="161" fillId="2" borderId="0" xfId="10" applyFont="1" applyFill="1" applyAlignment="1">
      <alignment vertical="center"/>
    </xf>
    <xf numFmtId="0" fontId="161" fillId="0" borderId="0" xfId="10" applyFont="1" applyAlignment="1">
      <alignment vertical="center"/>
    </xf>
    <xf numFmtId="17" fontId="143" fillId="6" borderId="7" xfId="10" applyNumberFormat="1" applyFont="1" applyFill="1" applyBorder="1" applyAlignment="1">
      <alignment horizontal="center" vertical="center"/>
    </xf>
    <xf numFmtId="0" fontId="143" fillId="21" borderId="8" xfId="0" applyFont="1" applyFill="1" applyBorder="1" applyAlignment="1">
      <alignment horizontal="center" vertical="center"/>
    </xf>
    <xf numFmtId="0" fontId="143" fillId="0" borderId="8" xfId="0" applyFont="1" applyBorder="1" applyAlignment="1">
      <alignment horizontal="center" vertical="center"/>
    </xf>
    <xf numFmtId="0" fontId="140" fillId="0" borderId="8" xfId="10" applyFont="1" applyBorder="1" applyAlignment="1">
      <alignment horizontal="center" vertical="center"/>
    </xf>
    <xf numFmtId="0" fontId="162" fillId="22" borderId="8" xfId="0" applyFont="1" applyFill="1" applyBorder="1" applyAlignment="1">
      <alignment horizontal="center" vertical="center"/>
    </xf>
    <xf numFmtId="0" fontId="147" fillId="0" borderId="8" xfId="10" applyFont="1" applyBorder="1" applyAlignment="1">
      <alignment horizontal="center" vertical="center"/>
    </xf>
    <xf numFmtId="168" fontId="147" fillId="0" borderId="8" xfId="10" applyNumberFormat="1" applyFont="1" applyBorder="1" applyAlignment="1">
      <alignment horizontal="center" vertical="center"/>
    </xf>
    <xf numFmtId="168" fontId="147" fillId="0" borderId="0" xfId="10" applyNumberFormat="1" applyFont="1" applyAlignment="1">
      <alignment horizontal="center" vertical="center"/>
    </xf>
    <xf numFmtId="0" fontId="161" fillId="0" borderId="0" xfId="10" applyFont="1" applyAlignment="1">
      <alignment horizontal="center" vertical="center"/>
    </xf>
    <xf numFmtId="0" fontId="158" fillId="0" borderId="0" xfId="10" applyFont="1" applyAlignment="1">
      <alignment vertical="center" wrapText="1"/>
    </xf>
    <xf numFmtId="0" fontId="157" fillId="0" borderId="0" xfId="10" applyFont="1" applyAlignment="1">
      <alignment horizontal="center" vertical="center" wrapText="1"/>
    </xf>
    <xf numFmtId="0" fontId="144" fillId="5" borderId="8" xfId="0" applyFont="1" applyFill="1" applyBorder="1" applyAlignment="1">
      <alignment horizontal="center" vertical="center"/>
    </xf>
    <xf numFmtId="0" fontId="140" fillId="5" borderId="8" xfId="10" applyFont="1" applyFill="1" applyBorder="1" applyAlignment="1">
      <alignment horizontal="center" vertical="center"/>
    </xf>
    <xf numFmtId="0" fontId="141" fillId="2" borderId="8" xfId="0" applyFont="1" applyFill="1" applyBorder="1" applyAlignment="1">
      <alignment horizontal="center" vertical="center"/>
    </xf>
    <xf numFmtId="0" fontId="141" fillId="5" borderId="8" xfId="0" applyFont="1" applyFill="1" applyBorder="1" applyAlignment="1">
      <alignment horizontal="center" vertical="center"/>
    </xf>
    <xf numFmtId="0" fontId="137" fillId="2" borderId="8" xfId="0" applyFont="1" applyFill="1" applyBorder="1" applyAlignment="1">
      <alignment horizontal="center"/>
    </xf>
    <xf numFmtId="49" fontId="163" fillId="19" borderId="16" xfId="0" applyNumberFormat="1" applyFont="1" applyFill="1" applyBorder="1" applyAlignment="1">
      <alignment horizontal="center" vertical="center" wrapText="1"/>
    </xf>
    <xf numFmtId="1" fontId="163" fillId="19" borderId="16" xfId="0" applyNumberFormat="1" applyFont="1" applyFill="1" applyBorder="1" applyAlignment="1">
      <alignment horizontal="center" vertical="center" wrapText="1"/>
    </xf>
    <xf numFmtId="49" fontId="163" fillId="10" borderId="3" xfId="0" applyNumberFormat="1" applyFont="1" applyFill="1" applyBorder="1" applyAlignment="1">
      <alignment vertical="center" wrapText="1"/>
    </xf>
    <xf numFmtId="49" fontId="163" fillId="10" borderId="0" xfId="0" applyNumberFormat="1" applyFont="1" applyFill="1" applyAlignment="1">
      <alignment vertical="center" wrapText="1"/>
    </xf>
    <xf numFmtId="0" fontId="163" fillId="10" borderId="0" xfId="0" applyFont="1" applyFill="1" applyAlignment="1">
      <alignment horizontal="center" vertical="center" wrapText="1"/>
    </xf>
    <xf numFmtId="49" fontId="164"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65"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65" fillId="6" borderId="8" xfId="0" applyNumberFormat="1" applyFont="1" applyFill="1" applyBorder="1" applyAlignment="1">
      <alignment horizontal="center" vertical="center" wrapText="1"/>
    </xf>
    <xf numFmtId="0" fontId="166" fillId="6" borderId="8" xfId="0" applyFont="1" applyFill="1" applyBorder="1" applyAlignment="1">
      <alignment horizontal="center" vertical="center" wrapText="1"/>
    </xf>
    <xf numFmtId="49" fontId="166" fillId="9" borderId="8" xfId="0" applyNumberFormat="1" applyFont="1" applyFill="1" applyBorder="1" applyAlignment="1">
      <alignment horizontal="center" vertical="center" wrapText="1"/>
    </xf>
    <xf numFmtId="49" fontId="165" fillId="0" borderId="8" xfId="0" applyNumberFormat="1" applyFont="1" applyBorder="1" applyAlignment="1">
      <alignment horizontal="center" vertical="center" wrapText="1"/>
    </xf>
    <xf numFmtId="2" fontId="166" fillId="0" borderId="8" xfId="0" applyNumberFormat="1" applyFont="1" applyBorder="1" applyAlignment="1">
      <alignment horizontal="center" vertical="center" wrapText="1"/>
    </xf>
    <xf numFmtId="0" fontId="166" fillId="0" borderId="8" xfId="0" applyFont="1" applyBorder="1" applyAlignment="1">
      <alignment horizontal="center" vertical="center" wrapText="1"/>
    </xf>
    <xf numFmtId="2" fontId="165" fillId="6" borderId="8" xfId="0" applyNumberFormat="1" applyFont="1" applyFill="1" applyBorder="1" applyAlignment="1">
      <alignment horizontal="center" vertical="center" wrapText="1"/>
    </xf>
    <xf numFmtId="2" fontId="165" fillId="9" borderId="8" xfId="0" applyNumberFormat="1" applyFont="1" applyFill="1" applyBorder="1" applyAlignment="1">
      <alignment horizontal="center" vertical="center" wrapText="1"/>
    </xf>
    <xf numFmtId="2" fontId="165" fillId="0" borderId="8" xfId="0" applyNumberFormat="1" applyFont="1" applyBorder="1" applyAlignment="1">
      <alignment horizontal="center" vertical="center" wrapText="1"/>
    </xf>
    <xf numFmtId="49" fontId="166" fillId="0" borderId="8" xfId="0" applyNumberFormat="1" applyFont="1" applyBorder="1" applyAlignment="1">
      <alignment horizontal="center" vertical="center" wrapText="1"/>
    </xf>
    <xf numFmtId="0" fontId="167" fillId="6" borderId="8" xfId="0" applyFont="1" applyFill="1" applyBorder="1" applyAlignment="1">
      <alignment horizontal="center" vertical="center"/>
    </xf>
    <xf numFmtId="0" fontId="167" fillId="9" borderId="8" xfId="0" applyFont="1" applyFill="1" applyBorder="1" applyAlignment="1">
      <alignment horizontal="center" vertical="center"/>
    </xf>
    <xf numFmtId="2" fontId="166" fillId="6" borderId="8" xfId="0" applyNumberFormat="1" applyFont="1" applyFill="1" applyBorder="1" applyAlignment="1">
      <alignment horizontal="center" vertical="center" wrapText="1"/>
    </xf>
    <xf numFmtId="0" fontId="165" fillId="9" borderId="8" xfId="0" applyFont="1" applyFill="1" applyBorder="1" applyAlignment="1">
      <alignment horizontal="center" vertical="center"/>
    </xf>
    <xf numFmtId="0" fontId="165" fillId="0" borderId="8" xfId="0" applyFont="1" applyBorder="1" applyAlignment="1">
      <alignment horizontal="center" vertical="center"/>
    </xf>
    <xf numFmtId="49" fontId="163" fillId="19" borderId="26" xfId="0" applyNumberFormat="1" applyFont="1" applyFill="1" applyBorder="1" applyAlignment="1">
      <alignment horizontal="center" vertical="center" wrapText="1"/>
    </xf>
    <xf numFmtId="49" fontId="163" fillId="10" borderId="17" xfId="0" applyNumberFormat="1" applyFont="1" applyFill="1" applyBorder="1" applyAlignment="1">
      <alignment vertical="center" wrapText="1"/>
    </xf>
    <xf numFmtId="166" fontId="146" fillId="10" borderId="0" xfId="0" applyNumberFormat="1" applyFont="1" applyFill="1" applyAlignment="1">
      <alignment horizontal="center" vertical="center"/>
    </xf>
    <xf numFmtId="49" fontId="163" fillId="10" borderId="44" xfId="0" applyNumberFormat="1" applyFont="1" applyFill="1" applyBorder="1" applyAlignment="1">
      <alignment horizontal="center" vertical="center" wrapText="1"/>
    </xf>
    <xf numFmtId="49" fontId="163" fillId="10" borderId="33" xfId="0" applyNumberFormat="1" applyFont="1" applyFill="1" applyBorder="1" applyAlignment="1">
      <alignment vertical="center" wrapText="1"/>
    </xf>
    <xf numFmtId="0" fontId="163" fillId="10" borderId="33" xfId="0" applyFont="1" applyFill="1" applyBorder="1" applyAlignment="1">
      <alignment horizontal="center" vertical="center" wrapText="1"/>
    </xf>
    <xf numFmtId="166" fontId="164" fillId="9" borderId="8" xfId="0" applyNumberFormat="1" applyFont="1" applyFill="1" applyBorder="1" applyAlignment="1">
      <alignment horizontal="center" vertical="center"/>
    </xf>
    <xf numFmtId="49" fontId="165" fillId="9" borderId="33" xfId="0" applyNumberFormat="1" applyFont="1" applyFill="1" applyBorder="1" applyAlignment="1">
      <alignment horizontal="center" vertical="center" wrapText="1"/>
    </xf>
    <xf numFmtId="166" fontId="168" fillId="6" borderId="8" xfId="0" applyNumberFormat="1" applyFont="1" applyFill="1" applyBorder="1" applyAlignment="1">
      <alignment horizontal="center" vertical="center"/>
    </xf>
    <xf numFmtId="166" fontId="164" fillId="0" borderId="8" xfId="0" applyNumberFormat="1" applyFont="1" applyBorder="1" applyAlignment="1">
      <alignment horizontal="center" vertical="center"/>
    </xf>
    <xf numFmtId="49" fontId="165" fillId="0" borderId="33" xfId="0" applyNumberFormat="1" applyFont="1" applyBorder="1" applyAlignment="1">
      <alignment horizontal="center" vertical="center" wrapText="1"/>
    </xf>
    <xf numFmtId="166" fontId="168" fillId="9" borderId="8" xfId="0" applyNumberFormat="1" applyFont="1" applyFill="1" applyBorder="1" applyAlignment="1">
      <alignment horizontal="center" vertical="center"/>
    </xf>
    <xf numFmtId="166" fontId="168" fillId="0" borderId="8" xfId="0" applyNumberFormat="1" applyFont="1" applyBorder="1" applyAlignment="1">
      <alignment horizontal="center" vertical="center"/>
    </xf>
    <xf numFmtId="0" fontId="146" fillId="6" borderId="8" xfId="0" applyFont="1" applyFill="1" applyBorder="1" applyAlignment="1">
      <alignment horizontal="center" vertical="center"/>
    </xf>
    <xf numFmtId="166" fontId="146" fillId="6" borderId="8" xfId="0" applyNumberFormat="1" applyFont="1" applyFill="1" applyBorder="1" applyAlignment="1">
      <alignment horizontal="center" vertical="center"/>
    </xf>
    <xf numFmtId="166" fontId="164" fillId="6" borderId="8" xfId="0" applyNumberFormat="1" applyFont="1" applyFill="1" applyBorder="1" applyAlignment="1">
      <alignment horizontal="center" vertical="center"/>
    </xf>
    <xf numFmtId="0" fontId="164" fillId="6" borderId="8" xfId="0" applyFont="1" applyFill="1" applyBorder="1" applyAlignment="1">
      <alignment horizontal="center" vertical="center"/>
    </xf>
    <xf numFmtId="2" fontId="164" fillId="6" borderId="8" xfId="0" applyNumberFormat="1" applyFont="1" applyFill="1" applyBorder="1" applyAlignment="1">
      <alignment horizontal="center" vertical="center"/>
    </xf>
    <xf numFmtId="0" fontId="168" fillId="6" borderId="8" xfId="0" applyFont="1" applyFill="1" applyBorder="1" applyAlignment="1">
      <alignment horizontal="center" vertical="center"/>
    </xf>
    <xf numFmtId="0" fontId="164" fillId="0" borderId="8" xfId="0" applyFont="1" applyBorder="1" applyAlignment="1">
      <alignment horizontal="center" vertical="center"/>
    </xf>
    <xf numFmtId="0" fontId="164" fillId="9" borderId="8" xfId="0" applyFont="1" applyFill="1" applyBorder="1" applyAlignment="1">
      <alignment horizontal="center" vertical="center"/>
    </xf>
    <xf numFmtId="2" fontId="164" fillId="9" borderId="8" xfId="0" applyNumberFormat="1" applyFont="1" applyFill="1" applyBorder="1" applyAlignment="1">
      <alignment horizontal="center" vertical="center"/>
    </xf>
    <xf numFmtId="0" fontId="168" fillId="9" borderId="8" xfId="0" applyFont="1" applyFill="1" applyBorder="1" applyAlignment="1">
      <alignment horizontal="center" vertical="center"/>
    </xf>
    <xf numFmtId="2" fontId="168" fillId="6" borderId="8" xfId="0" applyNumberFormat="1" applyFont="1" applyFill="1" applyBorder="1" applyAlignment="1">
      <alignment horizontal="center" vertical="center"/>
    </xf>
    <xf numFmtId="0" fontId="164" fillId="4" borderId="8" xfId="0" applyFont="1" applyFill="1" applyBorder="1" applyAlignment="1">
      <alignment horizontal="center" vertical="center"/>
    </xf>
    <xf numFmtId="2" fontId="164" fillId="4" borderId="8" xfId="0" applyNumberFormat="1" applyFont="1" applyFill="1" applyBorder="1" applyAlignment="1">
      <alignment horizontal="center" vertical="center"/>
    </xf>
    <xf numFmtId="0" fontId="168" fillId="4" borderId="8" xfId="0" applyFont="1" applyFill="1" applyBorder="1" applyAlignment="1">
      <alignment horizontal="center" vertical="center"/>
    </xf>
    <xf numFmtId="0" fontId="164" fillId="0" borderId="33" xfId="0" applyFont="1" applyBorder="1" applyAlignment="1">
      <alignment horizontal="center" vertical="center"/>
    </xf>
    <xf numFmtId="2" fontId="165" fillId="9" borderId="33" xfId="0" applyNumberFormat="1" applyFont="1" applyFill="1" applyBorder="1" applyAlignment="1">
      <alignment horizontal="center" vertical="center" wrapText="1"/>
    </xf>
    <xf numFmtId="0" fontId="166" fillId="9" borderId="33" xfId="0" applyFont="1" applyFill="1" applyBorder="1" applyAlignment="1">
      <alignment horizontal="center" vertical="center" wrapText="1"/>
    </xf>
    <xf numFmtId="49" fontId="165" fillId="5" borderId="8" xfId="0" applyNumberFormat="1" applyFont="1" applyFill="1" applyBorder="1" applyAlignment="1">
      <alignment horizontal="center" vertical="center" wrapText="1"/>
    </xf>
    <xf numFmtId="2" fontId="165" fillId="5" borderId="8" xfId="0" applyNumberFormat="1" applyFont="1" applyFill="1" applyBorder="1" applyAlignment="1">
      <alignment horizontal="center" vertical="center" wrapText="1"/>
    </xf>
    <xf numFmtId="0" fontId="166" fillId="5" borderId="8" xfId="0" applyFont="1" applyFill="1" applyBorder="1" applyAlignment="1">
      <alignment horizontal="center" vertical="center" wrapText="1"/>
    </xf>
    <xf numFmtId="166" fontId="166" fillId="0" borderId="8" xfId="0" applyNumberFormat="1" applyFont="1" applyBorder="1" applyAlignment="1">
      <alignment horizontal="center" vertical="center" wrapText="1"/>
    </xf>
    <xf numFmtId="0" fontId="168" fillId="0" borderId="8" xfId="0" applyFont="1" applyBorder="1" applyAlignment="1">
      <alignment horizontal="center" vertical="center"/>
    </xf>
    <xf numFmtId="166" fontId="165" fillId="0" borderId="8" xfId="0" applyNumberFormat="1" applyFont="1" applyBorder="1" applyAlignment="1">
      <alignment horizontal="center" vertical="center" wrapText="1"/>
    </xf>
    <xf numFmtId="166" fontId="165" fillId="9" borderId="8" xfId="0" applyNumberFormat="1" applyFont="1" applyFill="1" applyBorder="1" applyAlignment="1">
      <alignment horizontal="center" vertical="center" wrapText="1"/>
    </xf>
    <xf numFmtId="0" fontId="166" fillId="9" borderId="8" xfId="0" applyFont="1" applyFill="1" applyBorder="1" applyAlignment="1">
      <alignment horizontal="center" vertical="center" wrapText="1"/>
    </xf>
    <xf numFmtId="2" fontId="166" fillId="9" borderId="8" xfId="0" applyNumberFormat="1" applyFont="1" applyFill="1" applyBorder="1" applyAlignment="1">
      <alignment horizontal="center" vertical="center" wrapText="1"/>
    </xf>
    <xf numFmtId="166" fontId="165" fillId="0" borderId="33" xfId="0" applyNumberFormat="1" applyFont="1" applyBorder="1" applyAlignment="1">
      <alignment horizontal="center" vertical="center" wrapText="1"/>
    </xf>
    <xf numFmtId="2" fontId="166" fillId="0" borderId="33" xfId="0" applyNumberFormat="1" applyFont="1" applyBorder="1" applyAlignment="1">
      <alignment horizontal="center" vertical="center" wrapText="1"/>
    </xf>
    <xf numFmtId="0" fontId="166" fillId="0" borderId="33" xfId="0" applyFont="1" applyBorder="1" applyAlignment="1">
      <alignment horizontal="center" vertical="center" wrapText="1"/>
    </xf>
    <xf numFmtId="0" fontId="165" fillId="5" borderId="8" xfId="0" applyFont="1" applyFill="1" applyBorder="1" applyAlignment="1">
      <alignment horizontal="center" vertical="center"/>
    </xf>
    <xf numFmtId="166" fontId="165" fillId="5" borderId="33" xfId="0" applyNumberFormat="1" applyFont="1" applyFill="1" applyBorder="1" applyAlignment="1">
      <alignment horizontal="center" vertical="center" wrapText="1"/>
    </xf>
    <xf numFmtId="2" fontId="165" fillId="5" borderId="33" xfId="0" applyNumberFormat="1" applyFont="1" applyFill="1" applyBorder="1" applyAlignment="1">
      <alignment horizontal="center" vertical="center" wrapText="1"/>
    </xf>
    <xf numFmtId="0" fontId="166" fillId="5" borderId="33" xfId="0" applyFont="1" applyFill="1" applyBorder="1" applyAlignment="1">
      <alignment horizontal="center" vertical="center" wrapText="1"/>
    </xf>
    <xf numFmtId="2" fontId="165" fillId="0" borderId="33" xfId="0" applyNumberFormat="1" applyFont="1" applyBorder="1" applyAlignment="1">
      <alignment horizontal="center" vertical="center" wrapText="1"/>
    </xf>
    <xf numFmtId="49" fontId="166" fillId="6" borderId="8" xfId="0" applyNumberFormat="1" applyFont="1" applyFill="1" applyBorder="1" applyAlignment="1">
      <alignment horizontal="center" vertical="center" wrapText="1"/>
    </xf>
    <xf numFmtId="166" fontId="168" fillId="4" borderId="8" xfId="0" applyNumberFormat="1" applyFont="1" applyFill="1" applyBorder="1" applyAlignment="1">
      <alignment horizontal="center" vertical="center"/>
    </xf>
    <xf numFmtId="49" fontId="165" fillId="4" borderId="8" xfId="0" applyNumberFormat="1" applyFont="1" applyFill="1" applyBorder="1" applyAlignment="1">
      <alignment horizontal="center" vertical="center" wrapText="1"/>
    </xf>
    <xf numFmtId="166" fontId="164" fillId="4" borderId="8" xfId="0" applyNumberFormat="1" applyFont="1" applyFill="1" applyBorder="1" applyAlignment="1">
      <alignment horizontal="center" vertical="center"/>
    </xf>
    <xf numFmtId="166" fontId="168" fillId="9" borderId="33" xfId="0" applyNumberFormat="1" applyFont="1" applyFill="1" applyBorder="1" applyAlignment="1">
      <alignment horizontal="center" vertical="center"/>
    </xf>
    <xf numFmtId="169" fontId="165" fillId="9" borderId="33" xfId="0" applyNumberFormat="1" applyFont="1" applyFill="1" applyBorder="1" applyAlignment="1">
      <alignment horizontal="center" vertical="center" wrapText="1"/>
    </xf>
    <xf numFmtId="14" fontId="165" fillId="9" borderId="33" xfId="0" applyNumberFormat="1" applyFont="1" applyFill="1" applyBorder="1" applyAlignment="1">
      <alignment horizontal="center" vertical="center" wrapText="1"/>
    </xf>
    <xf numFmtId="166" fontId="168" fillId="5" borderId="8" xfId="0" applyNumberFormat="1" applyFont="1" applyFill="1" applyBorder="1" applyAlignment="1">
      <alignment horizontal="center" vertical="center"/>
    </xf>
    <xf numFmtId="169" fontId="165" fillId="5" borderId="8" xfId="0" applyNumberFormat="1" applyFont="1" applyFill="1" applyBorder="1" applyAlignment="1">
      <alignment horizontal="center" vertical="center" wrapText="1"/>
    </xf>
    <xf numFmtId="169" fontId="165" fillId="0" borderId="8" xfId="0" applyNumberFormat="1" applyFont="1" applyBorder="1" applyAlignment="1">
      <alignment horizontal="center" vertical="center" wrapText="1"/>
    </xf>
    <xf numFmtId="169" fontId="165" fillId="9" borderId="8" xfId="0" applyNumberFormat="1" applyFont="1" applyFill="1" applyBorder="1" applyAlignment="1">
      <alignment horizontal="center" vertical="center" wrapText="1"/>
    </xf>
    <xf numFmtId="166" fontId="168" fillId="0" borderId="33" xfId="0" applyNumberFormat="1" applyFont="1" applyBorder="1" applyAlignment="1">
      <alignment horizontal="center" vertical="center"/>
    </xf>
    <xf numFmtId="169" fontId="165" fillId="0" borderId="33" xfId="0" applyNumberFormat="1" applyFont="1" applyBorder="1" applyAlignment="1">
      <alignment horizontal="center" vertical="center" wrapText="1"/>
    </xf>
    <xf numFmtId="166" fontId="168" fillId="5" borderId="33" xfId="0" applyNumberFormat="1" applyFont="1" applyFill="1" applyBorder="1" applyAlignment="1">
      <alignment horizontal="center" vertical="center"/>
    </xf>
    <xf numFmtId="49" fontId="165" fillId="5" borderId="33" xfId="0" applyNumberFormat="1" applyFont="1" applyFill="1" applyBorder="1" applyAlignment="1">
      <alignment horizontal="center" vertical="center" wrapText="1"/>
    </xf>
    <xf numFmtId="169" fontId="165" fillId="5" borderId="33" xfId="0" applyNumberFormat="1" applyFont="1" applyFill="1" applyBorder="1" applyAlignment="1">
      <alignment horizontal="center" vertical="center" wrapText="1"/>
    </xf>
    <xf numFmtId="166" fontId="165" fillId="9" borderId="33" xfId="0" applyNumberFormat="1" applyFont="1" applyFill="1" applyBorder="1" applyAlignment="1">
      <alignment horizontal="center" vertical="center" wrapText="1"/>
    </xf>
    <xf numFmtId="49" fontId="165" fillId="6" borderId="33" xfId="0" applyNumberFormat="1" applyFont="1" applyFill="1" applyBorder="1" applyAlignment="1">
      <alignment horizontal="center" vertical="center" wrapText="1"/>
    </xf>
    <xf numFmtId="166" fontId="166" fillId="0" borderId="33" xfId="0" applyNumberFormat="1" applyFont="1" applyBorder="1" applyAlignment="1">
      <alignment horizontal="center" vertical="center" wrapText="1"/>
    </xf>
    <xf numFmtId="0" fontId="164" fillId="9" borderId="33" xfId="0" applyFont="1" applyFill="1" applyBorder="1" applyAlignment="1">
      <alignment horizontal="center" vertical="center"/>
    </xf>
    <xf numFmtId="0" fontId="165" fillId="9" borderId="33" xfId="0" applyFont="1" applyFill="1" applyBorder="1" applyAlignment="1">
      <alignment horizontal="center" vertical="center"/>
    </xf>
    <xf numFmtId="166" fontId="164" fillId="9" borderId="33" xfId="0" applyNumberFormat="1" applyFont="1" applyFill="1" applyBorder="1" applyAlignment="1">
      <alignment horizontal="center" vertical="center"/>
    </xf>
    <xf numFmtId="2" fontId="164" fillId="9" borderId="33" xfId="0" applyNumberFormat="1" applyFont="1" applyFill="1" applyBorder="1" applyAlignment="1">
      <alignment horizontal="center" vertical="center"/>
    </xf>
    <xf numFmtId="0" fontId="168" fillId="9" borderId="33" xfId="0" applyFont="1" applyFill="1" applyBorder="1" applyAlignment="1">
      <alignment horizontal="center" vertical="center"/>
    </xf>
    <xf numFmtId="2" fontId="164" fillId="0" borderId="8" xfId="0" applyNumberFormat="1" applyFont="1" applyBorder="1" applyAlignment="1">
      <alignment horizontal="center" vertical="center"/>
    </xf>
    <xf numFmtId="0" fontId="164" fillId="5" borderId="8" xfId="0" applyFont="1" applyFill="1" applyBorder="1" applyAlignment="1">
      <alignment horizontal="center" vertical="center"/>
    </xf>
    <xf numFmtId="166" fontId="164" fillId="5" borderId="8" xfId="0" applyNumberFormat="1" applyFont="1" applyFill="1" applyBorder="1" applyAlignment="1">
      <alignment horizontal="center" vertical="center"/>
    </xf>
    <xf numFmtId="2" fontId="164" fillId="5" borderId="8" xfId="0" applyNumberFormat="1" applyFont="1" applyFill="1" applyBorder="1" applyAlignment="1">
      <alignment horizontal="center" vertical="center"/>
    </xf>
    <xf numFmtId="0" fontId="168" fillId="5" borderId="8" xfId="0" applyFont="1" applyFill="1" applyBorder="1" applyAlignment="1">
      <alignment horizontal="center" vertical="center"/>
    </xf>
    <xf numFmtId="2" fontId="168" fillId="5" borderId="8" xfId="0" applyNumberFormat="1" applyFont="1" applyFill="1" applyBorder="1" applyAlignment="1">
      <alignment horizontal="center" vertical="center"/>
    </xf>
    <xf numFmtId="0" fontId="146" fillId="9" borderId="19" xfId="0" applyFont="1" applyFill="1" applyBorder="1" applyAlignment="1">
      <alignment horizontal="center" vertical="center"/>
    </xf>
    <xf numFmtId="49" fontId="165" fillId="11" borderId="33" xfId="0" applyNumberFormat="1" applyFont="1" applyFill="1" applyBorder="1" applyAlignment="1">
      <alignment horizontal="center" vertical="center" wrapText="1"/>
    </xf>
    <xf numFmtId="169" fontId="164" fillId="0" borderId="8" xfId="0" applyNumberFormat="1" applyFont="1" applyBorder="1" applyAlignment="1">
      <alignment horizontal="center" vertical="center"/>
    </xf>
    <xf numFmtId="14" fontId="164" fillId="0" borderId="33" xfId="0" applyNumberFormat="1" applyFont="1" applyBorder="1" applyAlignment="1">
      <alignment horizontal="center" vertical="center"/>
    </xf>
    <xf numFmtId="166" fontId="166" fillId="0" borderId="8" xfId="0" applyNumberFormat="1" applyFont="1" applyBorder="1" applyAlignment="1">
      <alignment horizontal="center" vertical="center"/>
    </xf>
    <xf numFmtId="166" fontId="166" fillId="5" borderId="8" xfId="0" applyNumberFormat="1" applyFont="1" applyFill="1" applyBorder="1" applyAlignment="1">
      <alignment horizontal="center" vertical="center"/>
    </xf>
    <xf numFmtId="169" fontId="164" fillId="5" borderId="8" xfId="0" applyNumberFormat="1" applyFont="1" applyFill="1" applyBorder="1" applyAlignment="1">
      <alignment horizontal="center" vertical="center"/>
    </xf>
    <xf numFmtId="14" fontId="164" fillId="5" borderId="33" xfId="0" applyNumberFormat="1" applyFont="1" applyFill="1" applyBorder="1" applyAlignment="1">
      <alignment horizontal="center" vertical="center"/>
    </xf>
    <xf numFmtId="166" fontId="146" fillId="9" borderId="19" xfId="0" applyNumberFormat="1" applyFont="1" applyFill="1" applyBorder="1" applyAlignment="1">
      <alignment horizontal="center" vertical="center"/>
    </xf>
    <xf numFmtId="166" fontId="146" fillId="9" borderId="8" xfId="0" applyNumberFormat="1" applyFont="1" applyFill="1" applyBorder="1" applyAlignment="1">
      <alignment horizontal="center" vertical="center"/>
    </xf>
    <xf numFmtId="0" fontId="164" fillId="9" borderId="15" xfId="0" applyFont="1" applyFill="1" applyBorder="1" applyAlignment="1">
      <alignment horizontal="center" vertical="center"/>
    </xf>
    <xf numFmtId="169" fontId="164" fillId="9" borderId="8" xfId="0" applyNumberFormat="1" applyFont="1" applyFill="1" applyBorder="1" applyAlignment="1">
      <alignment horizontal="center" vertical="center"/>
    </xf>
    <xf numFmtId="14" fontId="164" fillId="5" borderId="8" xfId="0" applyNumberFormat="1" applyFont="1" applyFill="1" applyBorder="1" applyAlignment="1">
      <alignment horizontal="center" vertical="center"/>
    </xf>
    <xf numFmtId="0" fontId="164" fillId="5" borderId="33" xfId="0" applyFont="1" applyFill="1" applyBorder="1" applyAlignment="1">
      <alignment horizontal="center" vertical="center"/>
    </xf>
    <xf numFmtId="49" fontId="163" fillId="19" borderId="7" xfId="0" applyNumberFormat="1" applyFont="1" applyFill="1" applyBorder="1" applyAlignment="1">
      <alignment horizontal="center" vertical="center" wrapText="1"/>
    </xf>
    <xf numFmtId="1" fontId="163" fillId="19" borderId="7" xfId="0" applyNumberFormat="1" applyFont="1" applyFill="1" applyBorder="1" applyAlignment="1">
      <alignment horizontal="center" vertical="center" wrapText="1"/>
    </xf>
    <xf numFmtId="49" fontId="163" fillId="10" borderId="8" xfId="0" applyNumberFormat="1" applyFont="1" applyFill="1" applyBorder="1" applyAlignment="1">
      <alignment vertical="center" wrapText="1"/>
    </xf>
    <xf numFmtId="0" fontId="163" fillId="10" borderId="8" xfId="0" applyFont="1" applyFill="1" applyBorder="1" applyAlignment="1">
      <alignment horizontal="center" vertical="center" wrapText="1"/>
    </xf>
    <xf numFmtId="0" fontId="165" fillId="0" borderId="33" xfId="0" applyFont="1" applyBorder="1" applyAlignment="1">
      <alignment horizontal="center" vertical="center" wrapText="1"/>
    </xf>
    <xf numFmtId="1" fontId="165" fillId="9" borderId="33" xfId="0" applyNumberFormat="1" applyFont="1" applyFill="1" applyBorder="1" applyAlignment="1">
      <alignment horizontal="center" vertical="center" wrapText="1"/>
    </xf>
    <xf numFmtId="1" fontId="165" fillId="0" borderId="8" xfId="0" applyNumberFormat="1" applyFont="1" applyBorder="1" applyAlignment="1">
      <alignment horizontal="center" vertical="center" wrapText="1"/>
    </xf>
    <xf numFmtId="0" fontId="165" fillId="0" borderId="8" xfId="0" applyFont="1" applyBorder="1" applyAlignment="1">
      <alignment horizontal="center" vertical="center" wrapText="1"/>
    </xf>
    <xf numFmtId="1" fontId="166" fillId="9" borderId="8" xfId="0" applyNumberFormat="1" applyFont="1" applyFill="1" applyBorder="1" applyAlignment="1">
      <alignment horizontal="center" vertical="center" wrapText="1"/>
    </xf>
    <xf numFmtId="1" fontId="166" fillId="6" borderId="8" xfId="0" applyNumberFormat="1" applyFont="1" applyFill="1" applyBorder="1" applyAlignment="1">
      <alignment horizontal="center" vertical="center" wrapText="1"/>
    </xf>
    <xf numFmtId="1" fontId="166" fillId="0" borderId="8" xfId="0" applyNumberFormat="1" applyFont="1" applyBorder="1" applyAlignment="1">
      <alignment horizontal="center" vertical="center" wrapText="1"/>
    </xf>
    <xf numFmtId="49" fontId="164" fillId="0" borderId="33" xfId="0" applyNumberFormat="1" applyFont="1" applyBorder="1" applyAlignment="1">
      <alignment horizontal="center" vertical="center"/>
    </xf>
    <xf numFmtId="2" fontId="166" fillId="9" borderId="33" xfId="0" applyNumberFormat="1" applyFont="1" applyFill="1" applyBorder="1" applyAlignment="1">
      <alignment horizontal="center" vertical="center" wrapText="1"/>
    </xf>
    <xf numFmtId="1" fontId="166" fillId="9" borderId="33" xfId="0" applyNumberFormat="1" applyFont="1" applyFill="1" applyBorder="1" applyAlignment="1">
      <alignment horizontal="center" vertical="center" wrapText="1"/>
    </xf>
    <xf numFmtId="166" fontId="166" fillId="5" borderId="8" xfId="0" applyNumberFormat="1" applyFont="1" applyFill="1" applyBorder="1" applyAlignment="1">
      <alignment horizontal="center" vertical="center" wrapText="1"/>
    </xf>
    <xf numFmtId="49" fontId="163" fillId="19" borderId="13" xfId="0" applyNumberFormat="1" applyFont="1" applyFill="1" applyBorder="1" applyAlignment="1">
      <alignment horizontal="center" vertical="center" wrapText="1"/>
    </xf>
    <xf numFmtId="166" fontId="146" fillId="10" borderId="8" xfId="0" applyNumberFormat="1" applyFont="1" applyFill="1" applyBorder="1" applyAlignment="1">
      <alignment horizontal="center" vertical="center"/>
    </xf>
    <xf numFmtId="49" fontId="163" fillId="10" borderId="8" xfId="0" applyNumberFormat="1" applyFont="1" applyFill="1" applyBorder="1" applyAlignment="1">
      <alignment horizontal="center" vertical="center" wrapText="1"/>
    </xf>
    <xf numFmtId="49" fontId="166" fillId="5" borderId="8" xfId="0" applyNumberFormat="1" applyFont="1" applyFill="1" applyBorder="1" applyAlignment="1">
      <alignment horizontal="center" vertical="center" wrapText="1"/>
    </xf>
    <xf numFmtId="166" fontId="165"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66" fillId="13" borderId="8" xfId="0" applyNumberFormat="1" applyFont="1" applyFill="1" applyBorder="1" applyAlignment="1">
      <alignment horizontal="center" vertical="center" wrapText="1"/>
    </xf>
    <xf numFmtId="2" fontId="166" fillId="5" borderId="8" xfId="0" applyNumberFormat="1" applyFont="1" applyFill="1" applyBorder="1" applyAlignment="1">
      <alignment horizontal="center" vertical="center" wrapText="1"/>
    </xf>
    <xf numFmtId="0" fontId="164" fillId="23" borderId="33" xfId="0" applyFont="1" applyFill="1" applyBorder="1" applyAlignment="1">
      <alignment horizontal="center" vertical="center"/>
    </xf>
    <xf numFmtId="49" fontId="165" fillId="11" borderId="8" xfId="0" applyNumberFormat="1" applyFont="1" applyFill="1" applyBorder="1" applyAlignment="1">
      <alignment horizontal="center" vertical="center" wrapText="1"/>
    </xf>
    <xf numFmtId="166" fontId="166" fillId="9" borderId="8" xfId="0" applyNumberFormat="1" applyFont="1" applyFill="1" applyBorder="1" applyAlignment="1">
      <alignment horizontal="center" vertical="center" wrapText="1"/>
    </xf>
    <xf numFmtId="14" fontId="165" fillId="5" borderId="33" xfId="0" applyNumberFormat="1" applyFont="1" applyFill="1" applyBorder="1" applyAlignment="1">
      <alignment horizontal="center" vertical="center" wrapText="1"/>
    </xf>
    <xf numFmtId="0" fontId="164" fillId="23" borderId="8" xfId="0" applyFont="1" applyFill="1" applyBorder="1" applyAlignment="1">
      <alignment horizontal="center" vertical="center"/>
    </xf>
    <xf numFmtId="0" fontId="171" fillId="0" borderId="8" xfId="0" applyFont="1" applyBorder="1" applyAlignment="1">
      <alignment horizontal="center" vertical="center" wrapText="1"/>
    </xf>
    <xf numFmtId="0" fontId="169" fillId="0" borderId="8" xfId="0" applyFont="1" applyBorder="1" applyAlignment="1">
      <alignment vertical="center" wrapText="1"/>
    </xf>
    <xf numFmtId="0" fontId="169" fillId="0" borderId="8" xfId="0" applyFont="1" applyBorder="1" applyAlignment="1">
      <alignment horizontal="center" vertical="center"/>
    </xf>
    <xf numFmtId="0" fontId="172" fillId="0" borderId="8" xfId="0" applyFont="1" applyBorder="1" applyAlignment="1">
      <alignment horizontal="left" vertical="center"/>
    </xf>
    <xf numFmtId="0" fontId="169" fillId="0" borderId="8" xfId="0" applyFont="1" applyBorder="1"/>
    <xf numFmtId="14" fontId="172" fillId="0" borderId="8" xfId="0" applyNumberFormat="1" applyFont="1" applyBorder="1" applyAlignment="1">
      <alignment horizontal="left" vertical="center"/>
    </xf>
    <xf numFmtId="166" fontId="169" fillId="0" borderId="8" xfId="0" applyNumberFormat="1" applyFont="1" applyBorder="1" applyAlignment="1">
      <alignment horizontal="center" vertical="center"/>
    </xf>
    <xf numFmtId="16" fontId="149" fillId="0" borderId="8" xfId="0" applyNumberFormat="1" applyFont="1" applyBorder="1" applyAlignment="1">
      <alignment horizontal="left" vertical="center"/>
    </xf>
    <xf numFmtId="0" fontId="144" fillId="0" borderId="8" xfId="2" applyFont="1" applyBorder="1" applyAlignment="1">
      <alignment horizontal="left" vertical="center"/>
    </xf>
    <xf numFmtId="14" fontId="149" fillId="0" borderId="8" xfId="0" applyNumberFormat="1" applyFont="1" applyBorder="1" applyAlignment="1">
      <alignment horizontal="left" vertical="center"/>
    </xf>
    <xf numFmtId="166" fontId="149" fillId="0" borderId="8" xfId="0" applyNumberFormat="1" applyFont="1" applyBorder="1" applyAlignment="1">
      <alignment horizontal="center" vertical="center"/>
    </xf>
    <xf numFmtId="0" fontId="170" fillId="0" borderId="15" xfId="0" applyFont="1" applyBorder="1" applyAlignment="1">
      <alignment horizontal="right" vertical="center"/>
    </xf>
    <xf numFmtId="166" fontId="173" fillId="0" borderId="8" xfId="0" applyNumberFormat="1" applyFont="1" applyBorder="1" applyAlignment="1">
      <alignment horizontal="center" vertical="center"/>
    </xf>
    <xf numFmtId="166" fontId="170" fillId="0" borderId="8" xfId="0" applyNumberFormat="1" applyFont="1" applyBorder="1" applyAlignment="1">
      <alignment horizontal="center" vertical="center"/>
    </xf>
    <xf numFmtId="0" fontId="169" fillId="0" borderId="8" xfId="0" applyFont="1" applyBorder="1" applyAlignment="1">
      <alignment horizontal="center" vertical="center" wrapText="1"/>
    </xf>
    <xf numFmtId="166" fontId="174" fillId="0" borderId="8" xfId="0" applyNumberFormat="1" applyFont="1" applyBorder="1" applyAlignment="1">
      <alignment horizontal="center" vertical="center"/>
    </xf>
    <xf numFmtId="166" fontId="175" fillId="0" borderId="8" xfId="0" applyNumberFormat="1" applyFont="1" applyBorder="1" applyAlignment="1">
      <alignment horizontal="center" vertical="center"/>
    </xf>
    <xf numFmtId="166" fontId="173" fillId="6" borderId="8" xfId="0" applyNumberFormat="1" applyFont="1" applyFill="1" applyBorder="1" applyAlignment="1">
      <alignment horizontal="center" vertical="center"/>
    </xf>
    <xf numFmtId="0" fontId="143" fillId="0" borderId="0" xfId="10" applyFont="1" applyAlignment="1">
      <alignment horizontal="center" vertical="center" wrapText="1"/>
    </xf>
    <xf numFmtId="14" fontId="143" fillId="0" borderId="0" xfId="10" applyNumberFormat="1" applyFont="1" applyAlignment="1">
      <alignment horizontal="center" vertical="center"/>
    </xf>
    <xf numFmtId="0" fontId="176" fillId="25" borderId="8" xfId="0" applyFont="1" applyFill="1" applyBorder="1" applyAlignment="1">
      <alignment horizontal="center" vertical="center" wrapText="1" readingOrder="1"/>
    </xf>
    <xf numFmtId="0" fontId="162" fillId="25" borderId="8" xfId="0" applyFont="1" applyFill="1" applyBorder="1" applyAlignment="1">
      <alignment horizontal="center" vertical="center" wrapText="1" readingOrder="1"/>
    </xf>
    <xf numFmtId="0" fontId="162" fillId="0" borderId="8" xfId="0" applyFont="1" applyBorder="1" applyAlignment="1">
      <alignment horizontal="center" vertical="center" wrapText="1" readingOrder="1"/>
    </xf>
    <xf numFmtId="16" fontId="162" fillId="0" borderId="8" xfId="0" applyNumberFormat="1" applyFont="1" applyBorder="1" applyAlignment="1">
      <alignment horizontal="center" vertical="center" wrapText="1" readingOrder="1"/>
    </xf>
    <xf numFmtId="0" fontId="162" fillId="5" borderId="8" xfId="0" applyFont="1" applyFill="1" applyBorder="1" applyAlignment="1">
      <alignment horizontal="center" vertical="center" wrapText="1" readingOrder="1"/>
    </xf>
    <xf numFmtId="0" fontId="162" fillId="5" borderId="7" xfId="0" applyFont="1" applyFill="1" applyBorder="1" applyAlignment="1">
      <alignment horizontal="center" vertical="center" wrapText="1" readingOrder="1"/>
    </xf>
    <xf numFmtId="0" fontId="177" fillId="26" borderId="0" xfId="0" applyFont="1" applyFill="1"/>
    <xf numFmtId="0" fontId="177" fillId="26" borderId="0" xfId="0" applyFont="1" applyFill="1" applyAlignment="1">
      <alignment vertical="center"/>
    </xf>
    <xf numFmtId="0" fontId="177" fillId="0" borderId="0" xfId="0" applyFont="1"/>
    <xf numFmtId="171" fontId="177" fillId="0" borderId="0" xfId="0" applyNumberFormat="1" applyFont="1"/>
    <xf numFmtId="0" fontId="177" fillId="2" borderId="0" xfId="0" applyFont="1" applyFill="1"/>
    <xf numFmtId="0" fontId="179" fillId="26" borderId="0" xfId="0" applyFont="1" applyFill="1"/>
    <xf numFmtId="0" fontId="180" fillId="26" borderId="0" xfId="0" applyFont="1" applyFill="1"/>
    <xf numFmtId="0" fontId="178" fillId="0" borderId="0" xfId="0" applyFont="1" applyAlignment="1">
      <alignment vertical="center"/>
    </xf>
    <xf numFmtId="15" fontId="183" fillId="0" borderId="8" xfId="0" applyNumberFormat="1" applyFont="1" applyBorder="1" applyAlignment="1">
      <alignment horizontal="center" vertical="center" wrapText="1"/>
    </xf>
    <xf numFmtId="0" fontId="181" fillId="28" borderId="34" xfId="0" applyFont="1" applyFill="1" applyBorder="1" applyAlignment="1">
      <alignment horizontal="center" vertical="center" wrapText="1"/>
    </xf>
    <xf numFmtId="0" fontId="181" fillId="28" borderId="46" xfId="0" applyFont="1" applyFill="1" applyBorder="1" applyAlignment="1">
      <alignment horizontal="center" vertical="center" wrapText="1"/>
    </xf>
    <xf numFmtId="0" fontId="181" fillId="28" borderId="66" xfId="0" applyFont="1" applyFill="1" applyBorder="1" applyAlignment="1">
      <alignment vertical="center" wrapText="1"/>
    </xf>
    <xf numFmtId="171" fontId="181" fillId="28" borderId="46" xfId="0" applyNumberFormat="1" applyFont="1" applyFill="1" applyBorder="1" applyAlignment="1">
      <alignment horizontal="center" vertical="center" wrapText="1"/>
    </xf>
    <xf numFmtId="0" fontId="184" fillId="2" borderId="30" xfId="0" applyFont="1" applyFill="1" applyBorder="1" applyAlignment="1">
      <alignment vertical="center" wrapText="1"/>
    </xf>
    <xf numFmtId="0" fontId="184" fillId="2" borderId="8" xfId="0" applyFont="1" applyFill="1" applyBorder="1" applyAlignment="1">
      <alignment horizontal="center" vertical="center" wrapText="1"/>
    </xf>
    <xf numFmtId="172" fontId="184" fillId="2" borderId="8" xfId="0" applyNumberFormat="1" applyFont="1" applyFill="1" applyBorder="1" applyAlignment="1">
      <alignment horizontal="center" vertical="center" wrapText="1"/>
    </xf>
    <xf numFmtId="172" fontId="185" fillId="2" borderId="8" xfId="0" applyNumberFormat="1" applyFont="1" applyFill="1" applyBorder="1" applyAlignment="1">
      <alignment horizontal="center" vertical="center" wrapText="1"/>
    </xf>
    <xf numFmtId="172" fontId="185" fillId="2" borderId="11" xfId="0" applyNumberFormat="1" applyFont="1" applyFill="1" applyBorder="1" applyAlignment="1">
      <alignment horizontal="center" vertical="center" wrapText="1"/>
    </xf>
    <xf numFmtId="1" fontId="185" fillId="2" borderId="8" xfId="0" applyNumberFormat="1" applyFont="1" applyFill="1" applyBorder="1" applyAlignment="1">
      <alignment horizontal="center" vertical="center" wrapText="1"/>
    </xf>
    <xf numFmtId="0" fontId="186" fillId="2" borderId="30" xfId="0" applyFont="1" applyFill="1" applyBorder="1" applyAlignment="1">
      <alignment vertical="center" wrapText="1"/>
    </xf>
    <xf numFmtId="0" fontId="186" fillId="2" borderId="8" xfId="0" applyFont="1" applyFill="1" applyBorder="1" applyAlignment="1">
      <alignment horizontal="center" vertical="center" wrapText="1"/>
    </xf>
    <xf numFmtId="172" fontId="184" fillId="2" borderId="11" xfId="0" applyNumberFormat="1" applyFont="1" applyFill="1" applyBorder="1" applyAlignment="1">
      <alignment horizontal="center" vertical="center" wrapText="1"/>
    </xf>
    <xf numFmtId="0" fontId="186" fillId="2" borderId="30" xfId="0" applyFont="1" applyFill="1" applyBorder="1" applyAlignment="1">
      <alignment horizontal="left" vertical="center" wrapText="1"/>
    </xf>
    <xf numFmtId="1" fontId="185" fillId="2" borderId="8" xfId="0" applyNumberFormat="1" applyFont="1" applyFill="1" applyBorder="1" applyAlignment="1">
      <alignment horizontal="center" vertical="center"/>
    </xf>
    <xf numFmtId="171" fontId="184" fillId="2" borderId="11" xfId="0" applyNumberFormat="1" applyFont="1" applyFill="1" applyBorder="1" applyAlignment="1">
      <alignment horizontal="center" vertical="center" wrapText="1"/>
    </xf>
    <xf numFmtId="0" fontId="187" fillId="2" borderId="0" xfId="0" applyFont="1" applyFill="1" applyAlignment="1">
      <alignment vertical="center" wrapText="1"/>
    </xf>
    <xf numFmtId="0" fontId="187" fillId="2" borderId="0" xfId="0" applyFont="1" applyFill="1" applyAlignment="1">
      <alignment horizontal="center" vertical="center" wrapText="1"/>
    </xf>
    <xf numFmtId="1" fontId="187" fillId="2" borderId="0" xfId="0" applyNumberFormat="1" applyFont="1" applyFill="1" applyAlignment="1">
      <alignment horizontal="center" vertical="center" wrapText="1"/>
    </xf>
    <xf numFmtId="171" fontId="187" fillId="2" borderId="0" xfId="0" applyNumberFormat="1" applyFont="1" applyFill="1" applyAlignment="1">
      <alignment horizontal="center" vertical="center" wrapText="1"/>
    </xf>
    <xf numFmtId="15" fontId="183" fillId="0" borderId="11" xfId="0" applyNumberFormat="1" applyFont="1" applyBorder="1" applyAlignment="1">
      <alignment horizontal="center" vertical="center" wrapText="1"/>
    </xf>
    <xf numFmtId="0" fontId="183" fillId="0" borderId="8" xfId="0" applyFont="1" applyBorder="1" applyAlignment="1">
      <alignment horizontal="center" vertical="center" wrapText="1"/>
    </xf>
    <xf numFmtId="172" fontId="185" fillId="24" borderId="8" xfId="0" applyNumberFormat="1" applyFont="1" applyFill="1" applyBorder="1" applyAlignment="1">
      <alignment horizontal="center" vertical="center" wrapText="1"/>
    </xf>
    <xf numFmtId="171" fontId="185" fillId="2" borderId="8" xfId="0" applyNumberFormat="1" applyFont="1" applyFill="1" applyBorder="1" applyAlignment="1">
      <alignment horizontal="center" vertical="center" wrapText="1"/>
    </xf>
    <xf numFmtId="173" fontId="185" fillId="2" borderId="8" xfId="0" applyNumberFormat="1" applyFont="1" applyFill="1" applyBorder="1" applyAlignment="1">
      <alignment horizontal="center" vertical="center" wrapText="1"/>
    </xf>
    <xf numFmtId="173" fontId="185" fillId="24" borderId="8" xfId="0" applyNumberFormat="1" applyFont="1" applyFill="1" applyBorder="1" applyAlignment="1">
      <alignment horizontal="center" vertical="center" wrapText="1"/>
    </xf>
    <xf numFmtId="172" fontId="189" fillId="2" borderId="8" xfId="0" applyNumberFormat="1" applyFont="1" applyFill="1" applyBorder="1" applyAlignment="1">
      <alignment horizontal="center" vertical="center" wrapText="1"/>
    </xf>
    <xf numFmtId="172" fontId="184" fillId="24" borderId="8" xfId="0" applyNumberFormat="1" applyFont="1" applyFill="1" applyBorder="1" applyAlignment="1">
      <alignment horizontal="center" vertical="center" wrapText="1"/>
    </xf>
    <xf numFmtId="171" fontId="184" fillId="2" borderId="8" xfId="0" applyNumberFormat="1" applyFont="1" applyFill="1" applyBorder="1" applyAlignment="1">
      <alignment horizontal="center" vertical="center" wrapText="1"/>
    </xf>
    <xf numFmtId="171" fontId="184" fillId="24" borderId="8" xfId="0" applyNumberFormat="1" applyFont="1" applyFill="1" applyBorder="1" applyAlignment="1">
      <alignment horizontal="center" vertical="center" wrapText="1"/>
    </xf>
    <xf numFmtId="166" fontId="187" fillId="2" borderId="0" xfId="0" applyNumberFormat="1" applyFont="1" applyFill="1" applyAlignment="1">
      <alignment horizontal="center" vertical="center" wrapText="1"/>
    </xf>
    <xf numFmtId="174" fontId="179" fillId="26" borderId="0" xfId="0" applyNumberFormat="1" applyFont="1" applyFill="1"/>
    <xf numFmtId="166" fontId="177" fillId="2" borderId="0" xfId="0" applyNumberFormat="1" applyFont="1" applyFill="1"/>
    <xf numFmtId="0" fontId="179" fillId="2" borderId="0" xfId="0" applyFont="1" applyFill="1"/>
    <xf numFmtId="9" fontId="180" fillId="2" borderId="0" xfId="1" applyFont="1" applyFill="1" applyAlignment="1"/>
    <xf numFmtId="172" fontId="179" fillId="2" borderId="0" xfId="0" applyNumberFormat="1" applyFont="1" applyFill="1"/>
    <xf numFmtId="171" fontId="192" fillId="2" borderId="0" xfId="0" applyNumberFormat="1" applyFont="1" applyFill="1" applyAlignment="1">
      <alignment horizontal="left" vertical="center" wrapText="1"/>
    </xf>
    <xf numFmtId="0" fontId="179" fillId="2" borderId="0" xfId="0" applyFont="1" applyFill="1" applyAlignment="1">
      <alignment vertical="center"/>
    </xf>
    <xf numFmtId="0" fontId="179" fillId="26" borderId="0" xfId="0" applyFont="1" applyFill="1" applyAlignment="1">
      <alignment vertical="center"/>
    </xf>
    <xf numFmtId="9" fontId="180" fillId="2" borderId="0" xfId="1" applyFont="1" applyFill="1" applyAlignment="1">
      <alignment vertical="center"/>
    </xf>
    <xf numFmtId="166" fontId="187" fillId="2" borderId="0" xfId="0" applyNumberFormat="1" applyFont="1" applyFill="1" applyAlignment="1">
      <alignment horizontal="left" vertical="center" wrapText="1"/>
    </xf>
    <xf numFmtId="166" fontId="193" fillId="2" borderId="0" xfId="0" applyNumberFormat="1" applyFont="1" applyFill="1" applyAlignment="1">
      <alignment horizontal="left" wrapText="1"/>
    </xf>
    <xf numFmtId="166" fontId="179" fillId="2" borderId="0" xfId="0" applyNumberFormat="1" applyFont="1" applyFill="1"/>
    <xf numFmtId="166" fontId="179" fillId="26" borderId="0" xfId="0" applyNumberFormat="1" applyFont="1" applyFill="1"/>
    <xf numFmtId="0" fontId="193" fillId="2" borderId="0" xfId="0" applyFont="1" applyFill="1" applyAlignment="1">
      <alignment vertical="top" wrapText="1"/>
    </xf>
    <xf numFmtId="9" fontId="180" fillId="26" borderId="0" xfId="1" applyFont="1" applyFill="1" applyAlignment="1"/>
    <xf numFmtId="9" fontId="180" fillId="26" borderId="0" xfId="0" applyNumberFormat="1" applyFont="1" applyFill="1"/>
    <xf numFmtId="9" fontId="180" fillId="26" borderId="0" xfId="1" applyFont="1" applyFill="1" applyAlignment="1">
      <alignment vertical="center"/>
    </xf>
    <xf numFmtId="9" fontId="180" fillId="26" borderId="0" xfId="0" applyNumberFormat="1" applyFont="1" applyFill="1" applyAlignment="1">
      <alignment vertical="center"/>
    </xf>
    <xf numFmtId="0" fontId="180" fillId="26" borderId="0" xfId="0" applyFont="1" applyFill="1" applyAlignment="1">
      <alignment vertical="center"/>
    </xf>
    <xf numFmtId="0" fontId="194" fillId="0" borderId="8" xfId="10" applyFont="1" applyBorder="1" applyAlignment="1">
      <alignment horizontal="center" vertical="center"/>
    </xf>
    <xf numFmtId="0" fontId="137" fillId="0" borderId="0" xfId="0" applyFont="1" applyAlignment="1">
      <alignment horizontal="center" vertical="center" wrapText="1"/>
    </xf>
    <xf numFmtId="0" fontId="0" fillId="0" borderId="0" xfId="0" applyAlignment="1">
      <alignment horizontal="center" vertical="center" wrapText="1"/>
    </xf>
    <xf numFmtId="0" fontId="196" fillId="2" borderId="8" xfId="0" applyFont="1" applyFill="1" applyBorder="1" applyAlignment="1">
      <alignment horizontal="center" vertical="center" wrapText="1"/>
    </xf>
    <xf numFmtId="0" fontId="196"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96" fillId="2" borderId="11" xfId="0" applyFont="1" applyFill="1" applyBorder="1" applyAlignment="1">
      <alignment horizontal="center" vertical="center" wrapText="1"/>
    </xf>
    <xf numFmtId="0" fontId="196" fillId="2" borderId="12" xfId="0" applyFont="1" applyFill="1" applyBorder="1" applyAlignment="1">
      <alignment horizontal="center" vertical="center" wrapText="1"/>
    </xf>
    <xf numFmtId="0" fontId="196" fillId="0" borderId="8" xfId="0" applyFont="1" applyBorder="1" applyAlignment="1">
      <alignment horizontal="center" vertical="center" wrapText="1"/>
    </xf>
    <xf numFmtId="17" fontId="196" fillId="0" borderId="8" xfId="0" applyNumberFormat="1" applyFont="1" applyBorder="1" applyAlignment="1">
      <alignment horizontal="center" vertical="center" wrapText="1"/>
    </xf>
    <xf numFmtId="0" fontId="196" fillId="11" borderId="8" xfId="0" applyFont="1" applyFill="1" applyBorder="1" applyAlignment="1">
      <alignment horizontal="center" vertical="center" wrapText="1"/>
    </xf>
    <xf numFmtId="1" fontId="196" fillId="11" borderId="8" xfId="0" applyNumberFormat="1" applyFont="1" applyFill="1" applyBorder="1" applyAlignment="1">
      <alignment horizontal="center" vertical="center" wrapText="1"/>
    </xf>
    <xf numFmtId="2" fontId="196" fillId="11" borderId="8" xfId="0" applyNumberFormat="1" applyFont="1" applyFill="1" applyBorder="1" applyAlignment="1">
      <alignment horizontal="center" vertical="center" wrapText="1"/>
    </xf>
    <xf numFmtId="0" fontId="197" fillId="0" borderId="56" xfId="0" applyFont="1" applyBorder="1" applyAlignment="1">
      <alignment horizontal="center" vertical="center" wrapText="1"/>
    </xf>
    <xf numFmtId="0" fontId="197" fillId="0" borderId="33" xfId="0" applyFont="1" applyBorder="1" applyAlignment="1">
      <alignment horizontal="center" vertical="center" wrapText="1"/>
    </xf>
    <xf numFmtId="1" fontId="197" fillId="0" borderId="33" xfId="0" applyNumberFormat="1" applyFont="1" applyBorder="1" applyAlignment="1">
      <alignment horizontal="center" vertical="center" wrapText="1"/>
    </xf>
    <xf numFmtId="165" fontId="197" fillId="29" borderId="33" xfId="0" applyNumberFormat="1" applyFont="1" applyFill="1" applyBorder="1" applyAlignment="1">
      <alignment horizontal="center" vertical="center" wrapText="1"/>
    </xf>
    <xf numFmtId="0" fontId="197" fillId="0" borderId="67" xfId="0" applyFont="1" applyBorder="1" applyAlignment="1">
      <alignment horizontal="center" vertical="center" wrapText="1"/>
    </xf>
    <xf numFmtId="0" fontId="197" fillId="0" borderId="16" xfId="0" applyFont="1" applyBorder="1" applyAlignment="1">
      <alignment horizontal="center" vertical="center" wrapText="1"/>
    </xf>
    <xf numFmtId="2" fontId="197" fillId="29" borderId="16" xfId="0" applyNumberFormat="1" applyFont="1" applyFill="1" applyBorder="1" applyAlignment="1">
      <alignment horizontal="center" vertical="center" wrapText="1"/>
    </xf>
    <xf numFmtId="2" fontId="197" fillId="0" borderId="16" xfId="0" applyNumberFormat="1" applyFont="1" applyBorder="1" applyAlignment="1">
      <alignment horizontal="center" vertical="center" wrapText="1"/>
    </xf>
    <xf numFmtId="0" fontId="196" fillId="11" borderId="34" xfId="0" applyFont="1" applyFill="1" applyBorder="1" applyAlignment="1">
      <alignment horizontal="center" vertical="center" wrapText="1"/>
    </xf>
    <xf numFmtId="0" fontId="196" fillId="11" borderId="46" xfId="0" applyFont="1" applyFill="1" applyBorder="1" applyAlignment="1">
      <alignment horizontal="center" vertical="center" wrapText="1"/>
    </xf>
    <xf numFmtId="1" fontId="196" fillId="11" borderId="46" xfId="0" applyNumberFormat="1" applyFont="1" applyFill="1" applyBorder="1" applyAlignment="1">
      <alignment horizontal="center" vertical="center" wrapText="1"/>
    </xf>
    <xf numFmtId="2" fontId="196" fillId="11" borderId="46" xfId="0" applyNumberFormat="1" applyFont="1" applyFill="1" applyBorder="1" applyAlignment="1">
      <alignment horizontal="center" vertical="center" wrapText="1"/>
    </xf>
    <xf numFmtId="2" fontId="197" fillId="29" borderId="33" xfId="0" applyNumberFormat="1" applyFont="1" applyFill="1" applyBorder="1" applyAlignment="1">
      <alignment horizontal="center" vertical="center" wrapText="1"/>
    </xf>
    <xf numFmtId="2" fontId="197" fillId="0" borderId="33" xfId="0" applyNumberFormat="1" applyFont="1" applyBorder="1" applyAlignment="1">
      <alignment horizontal="center" vertical="center" wrapText="1"/>
    </xf>
    <xf numFmtId="0" fontId="197" fillId="0" borderId="60" xfId="0" applyFont="1" applyBorder="1" applyAlignment="1">
      <alignment horizontal="center" vertical="center" wrapText="1"/>
    </xf>
    <xf numFmtId="0" fontId="197" fillId="0" borderId="7" xfId="0" applyFont="1" applyBorder="1" applyAlignment="1">
      <alignment horizontal="center" vertical="center" wrapText="1"/>
    </xf>
    <xf numFmtId="1" fontId="197" fillId="29" borderId="7" xfId="0" applyNumberFormat="1" applyFont="1" applyFill="1" applyBorder="1" applyAlignment="1">
      <alignment horizontal="center" vertical="center" wrapText="1"/>
    </xf>
    <xf numFmtId="0" fontId="197" fillId="0" borderId="30" xfId="0" applyFont="1" applyBorder="1" applyAlignment="1">
      <alignment horizontal="center" vertical="center" wrapText="1"/>
    </xf>
    <xf numFmtId="0" fontId="197" fillId="0" borderId="8" xfId="0" applyFont="1" applyBorder="1" applyAlignment="1">
      <alignment horizontal="center" vertical="center" wrapText="1"/>
    </xf>
    <xf numFmtId="1" fontId="197" fillId="0" borderId="8" xfId="0" applyNumberFormat="1" applyFont="1" applyBorder="1" applyAlignment="1">
      <alignment horizontal="center" vertical="center" wrapText="1"/>
    </xf>
    <xf numFmtId="0" fontId="197" fillId="29" borderId="8" xfId="0" applyFont="1" applyFill="1" applyBorder="1" applyAlignment="1">
      <alignment horizontal="center" vertical="center" wrapText="1"/>
    </xf>
    <xf numFmtId="0" fontId="198" fillId="0" borderId="42" xfId="0" applyFont="1" applyBorder="1" applyAlignment="1">
      <alignment horizontal="center" vertical="center" wrapText="1"/>
    </xf>
    <xf numFmtId="0" fontId="199" fillId="0" borderId="7" xfId="0" applyFont="1" applyBorder="1" applyAlignment="1">
      <alignment horizontal="center" vertical="center" wrapText="1"/>
    </xf>
    <xf numFmtId="166" fontId="196" fillId="11" borderId="46" xfId="0" applyNumberFormat="1" applyFont="1" applyFill="1" applyBorder="1" applyAlignment="1">
      <alignment horizontal="center" vertical="center" wrapText="1"/>
    </xf>
    <xf numFmtId="0" fontId="198" fillId="0" borderId="38" xfId="0" applyFont="1" applyBorder="1" applyAlignment="1">
      <alignment horizontal="center" vertical="center" wrapText="1"/>
    </xf>
    <xf numFmtId="0" fontId="197" fillId="0" borderId="40" xfId="0" applyFont="1" applyBorder="1" applyAlignment="1">
      <alignment horizontal="center" vertical="center" wrapText="1"/>
    </xf>
    <xf numFmtId="166" fontId="197" fillId="29" borderId="8" xfId="0" applyNumberFormat="1" applyFont="1" applyFill="1" applyBorder="1" applyAlignment="1">
      <alignment horizontal="center" vertical="center" wrapText="1"/>
    </xf>
    <xf numFmtId="0" fontId="196" fillId="2" borderId="11" xfId="0" applyFont="1" applyFill="1" applyBorder="1" applyAlignment="1">
      <alignment horizontal="left" vertical="center"/>
    </xf>
    <xf numFmtId="0" fontId="196" fillId="2" borderId="15" xfId="0" applyFont="1" applyFill="1" applyBorder="1" applyAlignment="1">
      <alignment horizontal="center" vertical="center" wrapText="1"/>
    </xf>
    <xf numFmtId="0" fontId="196" fillId="2" borderId="13" xfId="0" applyFont="1" applyFill="1" applyBorder="1" applyAlignment="1">
      <alignment horizontal="left" vertical="center"/>
    </xf>
    <xf numFmtId="0" fontId="196"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96" fillId="2" borderId="12" xfId="0" applyFont="1" applyFill="1" applyBorder="1" applyAlignment="1">
      <alignment vertical="center" wrapText="1"/>
    </xf>
    <xf numFmtId="0" fontId="197" fillId="6" borderId="33" xfId="0" applyFont="1" applyFill="1" applyBorder="1" applyAlignment="1">
      <alignment horizontal="center" vertical="center" wrapText="1"/>
    </xf>
    <xf numFmtId="0" fontId="197" fillId="5" borderId="33" xfId="0" applyFont="1" applyFill="1" applyBorder="1" applyAlignment="1">
      <alignment horizontal="center" vertical="center" wrapText="1"/>
    </xf>
    <xf numFmtId="0" fontId="197" fillId="0" borderId="14" xfId="0" applyFont="1" applyBorder="1" applyAlignment="1">
      <alignment horizontal="center" vertical="center" wrapText="1"/>
    </xf>
    <xf numFmtId="0" fontId="197" fillId="6" borderId="16" xfId="0" applyFont="1" applyFill="1" applyBorder="1" applyAlignment="1">
      <alignment horizontal="center" vertical="center" wrapText="1"/>
    </xf>
    <xf numFmtId="0" fontId="197" fillId="5" borderId="16" xfId="0" applyFont="1" applyFill="1" applyBorder="1" applyAlignment="1">
      <alignment horizontal="center" vertical="center" wrapText="1"/>
    </xf>
    <xf numFmtId="0" fontId="197" fillId="0" borderId="26" xfId="0" applyFont="1" applyBorder="1" applyAlignment="1">
      <alignment horizontal="center" vertical="center" wrapText="1"/>
    </xf>
    <xf numFmtId="2" fontId="197" fillId="6" borderId="33" xfId="0" applyNumberFormat="1" applyFont="1" applyFill="1" applyBorder="1" applyAlignment="1">
      <alignment horizontal="center" vertical="center" wrapText="1"/>
    </xf>
    <xf numFmtId="0" fontId="197" fillId="5" borderId="7" xfId="0" applyFont="1" applyFill="1" applyBorder="1" applyAlignment="1">
      <alignment horizontal="center" vertical="center" wrapText="1"/>
    </xf>
    <xf numFmtId="1" fontId="197" fillId="0" borderId="14" xfId="0" applyNumberFormat="1" applyFont="1" applyBorder="1" applyAlignment="1">
      <alignment horizontal="center" vertical="center" wrapText="1"/>
    </xf>
    <xf numFmtId="166" fontId="197" fillId="6" borderId="33" xfId="0" applyNumberFormat="1" applyFont="1" applyFill="1" applyBorder="1" applyAlignment="1">
      <alignment horizontal="center" vertical="center" wrapText="1"/>
    </xf>
    <xf numFmtId="1" fontId="197" fillId="0" borderId="13" xfId="0" applyNumberFormat="1" applyFont="1" applyBorder="1" applyAlignment="1">
      <alignment horizontal="center" vertical="center" wrapText="1"/>
    </xf>
    <xf numFmtId="0" fontId="197" fillId="0" borderId="8" xfId="8" applyFont="1" applyBorder="1" applyAlignment="1">
      <alignment horizontal="center" vertical="center" wrapText="1"/>
    </xf>
    <xf numFmtId="1" fontId="197" fillId="6" borderId="33" xfId="0" applyNumberFormat="1" applyFont="1" applyFill="1" applyBorder="1" applyAlignment="1">
      <alignment horizontal="center" vertical="center" wrapText="1"/>
    </xf>
    <xf numFmtId="0" fontId="197" fillId="5" borderId="8" xfId="0" applyFont="1" applyFill="1" applyBorder="1" applyAlignment="1">
      <alignment horizontal="center" vertical="center" wrapText="1"/>
    </xf>
    <xf numFmtId="0" fontId="200" fillId="0" borderId="7" xfId="0" applyFont="1" applyBorder="1" applyAlignment="1">
      <alignment horizontal="center" vertical="center" wrapText="1"/>
    </xf>
    <xf numFmtId="0" fontId="196" fillId="2" borderId="23" xfId="0" applyFont="1" applyFill="1" applyBorder="1" applyAlignment="1">
      <alignment horizontal="center" vertical="center" wrapText="1"/>
    </xf>
    <xf numFmtId="0" fontId="137" fillId="0" borderId="0" xfId="0" applyFont="1" applyAlignment="1">
      <alignment horizontal="left" vertical="center" wrapText="1"/>
    </xf>
    <xf numFmtId="17" fontId="196" fillId="0" borderId="8" xfId="0" quotePrefix="1" applyNumberFormat="1" applyFont="1" applyBorder="1" applyAlignment="1">
      <alignment horizontal="center" vertical="center" wrapText="1"/>
    </xf>
    <xf numFmtId="0" fontId="200" fillId="0" borderId="7" xfId="0" quotePrefix="1" applyFont="1" applyBorder="1" applyAlignment="1">
      <alignment horizontal="center" vertical="center" wrapText="1"/>
    </xf>
    <xf numFmtId="0" fontId="200" fillId="0" borderId="16" xfId="0" quotePrefix="1" applyFont="1" applyBorder="1" applyAlignment="1">
      <alignment horizontal="center" vertical="center" wrapText="1"/>
    </xf>
    <xf numFmtId="0" fontId="143" fillId="6" borderId="8" xfId="10" quotePrefix="1" applyFont="1" applyFill="1" applyBorder="1" applyAlignment="1">
      <alignment horizontal="center" vertical="center"/>
    </xf>
    <xf numFmtId="170" fontId="143" fillId="6" borderId="8" xfId="10" quotePrefix="1" applyNumberFormat="1" applyFont="1" applyFill="1" applyBorder="1" applyAlignment="1">
      <alignment horizontal="center" vertical="center" wrapText="1"/>
    </xf>
    <xf numFmtId="0" fontId="143" fillId="0" borderId="8" xfId="10" quotePrefix="1" applyFont="1" applyBorder="1" applyAlignment="1">
      <alignment horizontal="center" vertical="center" wrapText="1"/>
    </xf>
    <xf numFmtId="167" fontId="143" fillId="0" borderId="8" xfId="10" quotePrefix="1" applyNumberFormat="1" applyFont="1" applyBorder="1" applyAlignment="1">
      <alignment horizontal="center" vertical="center" wrapText="1"/>
    </xf>
    <xf numFmtId="16" fontId="165" fillId="9" borderId="8" xfId="0" quotePrefix="1" applyNumberFormat="1" applyFont="1" applyFill="1" applyBorder="1" applyAlignment="1">
      <alignment horizontal="center" vertical="center"/>
    </xf>
    <xf numFmtId="0" fontId="165" fillId="9" borderId="8" xfId="0" quotePrefix="1" applyFont="1" applyFill="1" applyBorder="1" applyAlignment="1">
      <alignment horizontal="center" vertical="center"/>
    </xf>
    <xf numFmtId="1" fontId="143" fillId="6" borderId="7" xfId="10" quotePrefix="1" applyNumberFormat="1" applyFont="1" applyFill="1" applyBorder="1" applyAlignment="1">
      <alignment horizontal="center" vertical="center" wrapText="1"/>
    </xf>
    <xf numFmtId="0" fontId="205" fillId="0" borderId="8" xfId="10" applyFont="1" applyBorder="1" applyAlignment="1">
      <alignment horizontal="center" vertical="center"/>
    </xf>
    <xf numFmtId="168" fontId="205" fillId="0" borderId="8" xfId="10" applyNumberFormat="1" applyFont="1" applyBorder="1" applyAlignment="1">
      <alignment horizontal="center" vertical="center"/>
    </xf>
    <xf numFmtId="0" fontId="143" fillId="0" borderId="8" xfId="10" applyFont="1" applyBorder="1" applyAlignment="1">
      <alignment horizontal="center"/>
    </xf>
    <xf numFmtId="0" fontId="143" fillId="5" borderId="8" xfId="10" applyFont="1" applyFill="1" applyBorder="1" applyAlignment="1">
      <alignment horizontal="center"/>
    </xf>
    <xf numFmtId="168" fontId="143" fillId="0" borderId="8" xfId="10" applyNumberFormat="1" applyFont="1" applyBorder="1" applyAlignment="1">
      <alignment horizontal="center"/>
    </xf>
    <xf numFmtId="0" fontId="143" fillId="0" borderId="8" xfId="10" applyFont="1" applyBorder="1"/>
    <xf numFmtId="168" fontId="205" fillId="0" borderId="8" xfId="10" applyNumberFormat="1" applyFont="1" applyBorder="1" applyAlignment="1">
      <alignment horizontal="center"/>
    </xf>
    <xf numFmtId="0" fontId="205" fillId="0" borderId="8" xfId="10" applyFont="1" applyBorder="1" applyAlignment="1">
      <alignment horizontal="center"/>
    </xf>
    <xf numFmtId="0" fontId="205" fillId="5" borderId="8" xfId="10" applyFont="1" applyFill="1" applyBorder="1" applyAlignment="1">
      <alignment horizontal="center" vertical="center"/>
    </xf>
    <xf numFmtId="0" fontId="204" fillId="0" borderId="8" xfId="0" applyFont="1" applyBorder="1" applyAlignment="1">
      <alignment horizontal="center"/>
    </xf>
    <xf numFmtId="0" fontId="136" fillId="0" borderId="0" xfId="22" applyFont="1"/>
    <xf numFmtId="0" fontId="204" fillId="0" borderId="36" xfId="22" applyFont="1" applyBorder="1" applyAlignment="1">
      <alignment horizontal="center" vertical="center" wrapText="1"/>
    </xf>
    <xf numFmtId="0" fontId="204" fillId="0" borderId="54" xfId="22" applyFont="1" applyBorder="1" applyAlignment="1">
      <alignment horizontal="center" vertical="center" wrapText="1"/>
    </xf>
    <xf numFmtId="0" fontId="204" fillId="0" borderId="54" xfId="22" applyFont="1" applyBorder="1" applyAlignment="1">
      <alignment horizontal="center" vertical="center"/>
    </xf>
    <xf numFmtId="0" fontId="204" fillId="0" borderId="45" xfId="22" applyFont="1" applyBorder="1" applyAlignment="1">
      <alignment horizontal="center" vertical="center"/>
    </xf>
    <xf numFmtId="0" fontId="204" fillId="0" borderId="45" xfId="22" applyFont="1" applyBorder="1" applyAlignment="1">
      <alignment horizontal="center" vertical="center" wrapText="1"/>
    </xf>
    <xf numFmtId="0" fontId="204" fillId="0" borderId="1" xfId="22" applyFont="1" applyBorder="1" applyAlignment="1">
      <alignment horizontal="center" vertical="center" wrapText="1"/>
    </xf>
    <xf numFmtId="0" fontId="136" fillId="0" borderId="55" xfId="22" applyFont="1" applyBorder="1" applyAlignment="1">
      <alignment vertical="center"/>
    </xf>
    <xf numFmtId="0" fontId="136" fillId="0" borderId="0" xfId="22" applyFont="1" applyAlignment="1">
      <alignment vertical="center"/>
    </xf>
    <xf numFmtId="0" fontId="136" fillId="0" borderId="8" xfId="0" applyFont="1" applyBorder="1" applyAlignment="1">
      <alignment horizontal="center"/>
    </xf>
    <xf numFmtId="0" fontId="136" fillId="0" borderId="59" xfId="22" applyFont="1" applyBorder="1" applyAlignment="1">
      <alignment vertical="center"/>
    </xf>
    <xf numFmtId="0" fontId="136" fillId="0" borderId="57" xfId="22" applyFont="1" applyBorder="1" applyAlignment="1">
      <alignment vertical="center"/>
    </xf>
    <xf numFmtId="0" fontId="136" fillId="0" borderId="61" xfId="22" applyFont="1" applyBorder="1" applyAlignment="1">
      <alignment vertical="center"/>
    </xf>
    <xf numFmtId="0" fontId="136" fillId="0" borderId="41" xfId="22" applyFont="1" applyBorder="1" applyAlignment="1">
      <alignment vertical="center"/>
    </xf>
    <xf numFmtId="0" fontId="136" fillId="0" borderId="47" xfId="22" applyFont="1" applyBorder="1" applyAlignment="1">
      <alignment vertical="center"/>
    </xf>
    <xf numFmtId="0" fontId="136" fillId="0" borderId="0" xfId="22" applyFont="1" applyAlignment="1">
      <alignment horizontal="center"/>
    </xf>
    <xf numFmtId="0" fontId="136" fillId="0" borderId="0" xfId="22" applyFont="1" applyAlignment="1">
      <alignment horizontal="center" vertical="center"/>
    </xf>
    <xf numFmtId="0" fontId="136" fillId="0" borderId="0" xfId="22" applyFont="1" applyAlignment="1">
      <alignment horizontal="center" vertical="center" wrapText="1"/>
    </xf>
    <xf numFmtId="0" fontId="208" fillId="0" borderId="35" xfId="10" applyFont="1" applyBorder="1" applyAlignment="1">
      <alignment horizontal="center" vertical="center" wrapText="1"/>
    </xf>
    <xf numFmtId="0" fontId="208" fillId="0" borderId="36" xfId="10" applyFont="1" applyBorder="1" applyAlignment="1">
      <alignment horizontal="center" vertical="center" wrapText="1"/>
    </xf>
    <xf numFmtId="0" fontId="209" fillId="0" borderId="30" xfId="22" applyFont="1" applyBorder="1" applyAlignment="1">
      <alignment horizontal="center" vertical="center"/>
    </xf>
    <xf numFmtId="0" fontId="204" fillId="14" borderId="8" xfId="0" applyFont="1" applyFill="1" applyBorder="1" applyAlignment="1">
      <alignment horizontal="center" vertical="center"/>
    </xf>
    <xf numFmtId="14" fontId="136" fillId="0" borderId="8" xfId="22" applyNumberFormat="1" applyFont="1" applyBorder="1" applyAlignment="1">
      <alignment horizontal="center" vertical="center"/>
    </xf>
    <xf numFmtId="0" fontId="136" fillId="0" borderId="11" xfId="22" applyFont="1" applyBorder="1" applyAlignment="1">
      <alignment horizontal="center" vertical="center"/>
    </xf>
    <xf numFmtId="0" fontId="136" fillId="0" borderId="41" xfId="22" applyFont="1" applyBorder="1" applyAlignment="1">
      <alignment horizontal="center" vertical="center"/>
    </xf>
    <xf numFmtId="0" fontId="136" fillId="0" borderId="19" xfId="22" applyFont="1" applyBorder="1" applyAlignment="1">
      <alignment horizontal="center" vertical="center"/>
    </xf>
    <xf numFmtId="0" fontId="136" fillId="0" borderId="58" xfId="22" applyFont="1" applyBorder="1" applyAlignment="1">
      <alignment horizontal="center" vertical="center" wrapText="1"/>
    </xf>
    <xf numFmtId="14" fontId="136" fillId="0" borderId="33" xfId="22" applyNumberFormat="1" applyFont="1" applyBorder="1" applyAlignment="1">
      <alignment horizontal="center" vertical="center"/>
    </xf>
    <xf numFmtId="0" fontId="136" fillId="0" borderId="56" xfId="22" applyFont="1" applyBorder="1" applyAlignment="1">
      <alignment horizontal="center" vertical="center" wrapText="1"/>
    </xf>
    <xf numFmtId="166" fontId="136" fillId="0" borderId="8" xfId="0" applyNumberFormat="1" applyFont="1" applyBorder="1" applyAlignment="1">
      <alignment horizontal="center" vertical="center"/>
    </xf>
    <xf numFmtId="166" fontId="204" fillId="14" borderId="8" xfId="0" applyNumberFormat="1" applyFont="1" applyFill="1" applyBorder="1" applyAlignment="1">
      <alignment horizontal="center" vertical="center"/>
    </xf>
    <xf numFmtId="0" fontId="204" fillId="0" borderId="8" xfId="0" applyFont="1" applyBorder="1" applyAlignment="1">
      <alignment horizontal="center" vertical="center"/>
    </xf>
    <xf numFmtId="2" fontId="209" fillId="0" borderId="8" xfId="22" applyNumberFormat="1" applyFont="1" applyBorder="1" applyAlignment="1">
      <alignment horizontal="center" vertical="center"/>
    </xf>
    <xf numFmtId="0" fontId="209" fillId="0" borderId="42" xfId="22" applyFont="1" applyBorder="1" applyAlignment="1">
      <alignment horizontal="center" vertical="center"/>
    </xf>
    <xf numFmtId="0" fontId="209" fillId="0" borderId="7" xfId="22" applyFont="1" applyBorder="1" applyAlignment="1">
      <alignment horizontal="center" vertical="center"/>
    </xf>
    <xf numFmtId="1" fontId="209" fillId="0" borderId="7" xfId="22" applyNumberFormat="1" applyFont="1" applyBorder="1" applyAlignment="1">
      <alignment vertical="center"/>
    </xf>
    <xf numFmtId="1" fontId="209" fillId="0" borderId="7" xfId="22" applyNumberFormat="1" applyFont="1" applyBorder="1" applyAlignment="1">
      <alignment horizontal="center" vertical="center"/>
    </xf>
    <xf numFmtId="0" fontId="136" fillId="0" borderId="7" xfId="22" applyFont="1" applyBorder="1" applyAlignment="1">
      <alignment horizontal="center" vertical="center"/>
    </xf>
    <xf numFmtId="0" fontId="136" fillId="0" borderId="13" xfId="22" applyFont="1" applyBorder="1" applyAlignment="1">
      <alignment horizontal="center" vertical="center"/>
    </xf>
    <xf numFmtId="0" fontId="136" fillId="0" borderId="50" xfId="22" applyFont="1" applyBorder="1" applyAlignment="1">
      <alignment horizontal="center" vertical="center"/>
    </xf>
    <xf numFmtId="0" fontId="136" fillId="0" borderId="60" xfId="22" applyFont="1" applyBorder="1" applyAlignment="1">
      <alignment horizontal="center" vertical="center" wrapText="1"/>
    </xf>
    <xf numFmtId="166" fontId="208" fillId="0" borderId="46" xfId="22" applyNumberFormat="1" applyFont="1" applyBorder="1" applyAlignment="1">
      <alignment horizontal="center" vertical="center"/>
    </xf>
    <xf numFmtId="1" fontId="208" fillId="0" borderId="46" xfId="22" applyNumberFormat="1" applyFont="1" applyBorder="1" applyAlignment="1">
      <alignment horizontal="center" vertical="center"/>
    </xf>
    <xf numFmtId="0" fontId="136" fillId="0" borderId="46" xfId="22" applyFont="1" applyBorder="1" applyAlignment="1">
      <alignment vertical="center"/>
    </xf>
    <xf numFmtId="1" fontId="204" fillId="0" borderId="53" xfId="22" applyNumberFormat="1" applyFont="1" applyBorder="1" applyAlignment="1">
      <alignment horizontal="center" vertical="center"/>
    </xf>
    <xf numFmtId="1" fontId="204" fillId="0" borderId="62" xfId="22" applyNumberFormat="1" applyFont="1" applyBorder="1" applyAlignment="1">
      <alignment horizontal="center" vertical="center" wrapText="1"/>
    </xf>
    <xf numFmtId="166" fontId="208" fillId="0" borderId="16" xfId="22" applyNumberFormat="1" applyFont="1" applyBorder="1" applyAlignment="1">
      <alignment horizontal="center" vertical="center"/>
    </xf>
    <xf numFmtId="0" fontId="136" fillId="0" borderId="16" xfId="22" applyFont="1" applyBorder="1" applyAlignment="1">
      <alignment vertical="center"/>
    </xf>
    <xf numFmtId="1" fontId="204" fillId="0" borderId="49" xfId="22" applyNumberFormat="1" applyFont="1" applyBorder="1" applyAlignment="1">
      <alignment horizontal="center" vertical="center"/>
    </xf>
    <xf numFmtId="1" fontId="204" fillId="0" borderId="4" xfId="22" applyNumberFormat="1" applyFont="1" applyBorder="1" applyAlignment="1">
      <alignment horizontal="center" vertical="center" wrapText="1"/>
    </xf>
    <xf numFmtId="0" fontId="209" fillId="0" borderId="37" xfId="22" applyFont="1" applyBorder="1" applyAlignment="1">
      <alignment horizontal="center" vertical="center"/>
    </xf>
    <xf numFmtId="2" fontId="209" fillId="0" borderId="33" xfId="22" applyNumberFormat="1" applyFont="1" applyBorder="1" applyAlignment="1">
      <alignment horizontal="center" vertical="center"/>
    </xf>
    <xf numFmtId="0" fontId="204" fillId="0" borderId="0" xfId="0" applyFont="1" applyAlignment="1">
      <alignment horizontal="left"/>
    </xf>
    <xf numFmtId="0" fontId="136" fillId="0" borderId="0" xfId="0" applyFont="1"/>
    <xf numFmtId="0" fontId="136" fillId="0" borderId="32" xfId="0" applyFont="1" applyBorder="1" applyAlignment="1">
      <alignment horizontal="center"/>
    </xf>
    <xf numFmtId="0" fontId="136" fillId="0" borderId="17" xfId="0" applyFont="1" applyBorder="1"/>
    <xf numFmtId="0" fontId="136" fillId="0" borderId="0" xfId="0" applyFont="1" applyAlignment="1">
      <alignment horizontal="center" vertical="center"/>
    </xf>
    <xf numFmtId="0" fontId="204" fillId="15" borderId="8" xfId="0" applyFont="1" applyFill="1" applyBorder="1" applyAlignment="1">
      <alignment horizontal="center" vertical="center" wrapText="1"/>
    </xf>
    <xf numFmtId="16" fontId="136" fillId="16" borderId="8" xfId="0" applyNumberFormat="1" applyFont="1" applyFill="1" applyBorder="1" applyAlignment="1">
      <alignment horizontal="center"/>
    </xf>
    <xf numFmtId="0" fontId="136" fillId="0" borderId="8" xfId="0" applyFont="1" applyBorder="1"/>
    <xf numFmtId="0" fontId="136" fillId="5" borderId="8" xfId="0" applyFont="1" applyFill="1" applyBorder="1"/>
    <xf numFmtId="166" fontId="210" fillId="0" borderId="8" xfId="0" applyNumberFormat="1" applyFont="1" applyBorder="1" applyAlignment="1">
      <alignment horizontal="center" vertical="center"/>
    </xf>
    <xf numFmtId="166" fontId="136" fillId="0" borderId="8" xfId="0" applyNumberFormat="1" applyFont="1" applyBorder="1" applyAlignment="1">
      <alignment horizontal="center"/>
    </xf>
    <xf numFmtId="0" fontId="136" fillId="0" borderId="0" xfId="0" applyFont="1" applyAlignment="1">
      <alignment horizontal="left" vertical="center"/>
    </xf>
    <xf numFmtId="16" fontId="136" fillId="0" borderId="8" xfId="0" applyNumberFormat="1" applyFont="1" applyBorder="1" applyAlignment="1">
      <alignment horizontal="center"/>
    </xf>
    <xf numFmtId="0" fontId="136" fillId="0" borderId="3" xfId="0" applyFont="1" applyBorder="1"/>
    <xf numFmtId="14" fontId="135" fillId="0" borderId="8" xfId="22" applyNumberFormat="1" applyFont="1" applyBorder="1" applyAlignment="1">
      <alignment horizontal="center" vertical="center"/>
    </xf>
    <xf numFmtId="14" fontId="134" fillId="0" borderId="33" xfId="22" applyNumberFormat="1" applyFont="1" applyBorder="1" applyAlignment="1">
      <alignment horizontal="center" vertical="center"/>
    </xf>
    <xf numFmtId="14" fontId="133" fillId="0" borderId="33" xfId="22" applyNumberFormat="1" applyFont="1" applyBorder="1" applyAlignment="1">
      <alignment horizontal="center" vertical="center"/>
    </xf>
    <xf numFmtId="16" fontId="132" fillId="0" borderId="8" xfId="0" applyNumberFormat="1" applyFont="1" applyBorder="1" applyAlignment="1">
      <alignment horizontal="center"/>
    </xf>
    <xf numFmtId="0" fontId="131" fillId="0" borderId="8" xfId="0" applyFont="1" applyBorder="1"/>
    <xf numFmtId="0" fontId="143" fillId="30" borderId="8" xfId="10" applyFont="1" applyFill="1" applyBorder="1" applyAlignment="1">
      <alignment horizontal="center" vertical="center"/>
    </xf>
    <xf numFmtId="0" fontId="211" fillId="0" borderId="0" xfId="0" applyFont="1" applyAlignment="1">
      <alignment horizontal="center" vertical="center"/>
    </xf>
    <xf numFmtId="14" fontId="130" fillId="0" borderId="8" xfId="22" applyNumberFormat="1" applyFont="1" applyBorder="1" applyAlignment="1">
      <alignment horizontal="center" vertical="center"/>
    </xf>
    <xf numFmtId="0" fontId="129" fillId="0" borderId="0" xfId="0" applyFont="1" applyAlignment="1">
      <alignment horizontal="center" vertical="center"/>
    </xf>
    <xf numFmtId="14" fontId="129" fillId="0" borderId="8" xfId="22" applyNumberFormat="1" applyFont="1" applyBorder="1" applyAlignment="1">
      <alignment horizontal="center" vertical="center"/>
    </xf>
    <xf numFmtId="0" fontId="128" fillId="0" borderId="0" xfId="0" applyFont="1" applyAlignment="1">
      <alignment horizontal="center" vertical="center"/>
    </xf>
    <xf numFmtId="0" fontId="128" fillId="0" borderId="11" xfId="22" applyFont="1" applyBorder="1" applyAlignment="1">
      <alignment horizontal="center" vertical="center"/>
    </xf>
    <xf numFmtId="0" fontId="127" fillId="0" borderId="11" xfId="22" applyFont="1" applyBorder="1" applyAlignment="1">
      <alignment horizontal="center" vertical="center"/>
    </xf>
    <xf numFmtId="14" fontId="126" fillId="0" borderId="8" xfId="22" applyNumberFormat="1" applyFont="1" applyBorder="1" applyAlignment="1">
      <alignment horizontal="center" vertical="center"/>
    </xf>
    <xf numFmtId="0" fontId="125" fillId="0" borderId="8" xfId="0" applyFont="1" applyBorder="1" applyAlignment="1">
      <alignment horizontal="center"/>
    </xf>
    <xf numFmtId="14" fontId="125" fillId="0" borderId="8" xfId="22" applyNumberFormat="1" applyFont="1" applyBorder="1" applyAlignment="1">
      <alignment horizontal="center" vertical="center"/>
    </xf>
    <xf numFmtId="0" fontId="124" fillId="0" borderId="11" xfId="22" applyFont="1" applyBorder="1" applyAlignment="1">
      <alignment horizontal="center" vertical="center"/>
    </xf>
    <xf numFmtId="0" fontId="124" fillId="0" borderId="58" xfId="22" applyFont="1" applyBorder="1" applyAlignment="1">
      <alignment horizontal="center" vertical="center" wrapText="1"/>
    </xf>
    <xf numFmtId="0" fontId="123" fillId="0" borderId="8" xfId="0" applyFont="1" applyBorder="1" applyAlignment="1">
      <alignment horizontal="center"/>
    </xf>
    <xf numFmtId="0" fontId="122" fillId="0" borderId="8" xfId="0" applyFont="1" applyBorder="1" applyAlignment="1">
      <alignment horizontal="center"/>
    </xf>
    <xf numFmtId="0" fontId="205" fillId="6" borderId="8" xfId="10" applyFont="1" applyFill="1" applyBorder="1" applyAlignment="1">
      <alignment horizontal="center" vertical="center"/>
    </xf>
    <xf numFmtId="0" fontId="121" fillId="0" borderId="8" xfId="0" applyFont="1" applyBorder="1" applyAlignment="1">
      <alignment horizontal="center"/>
    </xf>
    <xf numFmtId="0" fontId="120" fillId="0" borderId="8" xfId="0" applyFont="1" applyBorder="1" applyAlignment="1">
      <alignment horizontal="center"/>
    </xf>
    <xf numFmtId="16" fontId="119" fillId="0" borderId="8" xfId="0" applyNumberFormat="1" applyFont="1" applyBorder="1" applyAlignment="1">
      <alignment horizontal="center"/>
    </xf>
    <xf numFmtId="0" fontId="119" fillId="0" borderId="8" xfId="0" applyFont="1" applyBorder="1" applyAlignment="1">
      <alignment horizontal="center"/>
    </xf>
    <xf numFmtId="0" fontId="118" fillId="0" borderId="8" xfId="0" applyFont="1" applyBorder="1" applyAlignment="1">
      <alignment horizontal="center"/>
    </xf>
    <xf numFmtId="14" fontId="117" fillId="0" borderId="8" xfId="22" applyNumberFormat="1" applyFont="1" applyBorder="1" applyAlignment="1">
      <alignment horizontal="center" vertical="center"/>
    </xf>
    <xf numFmtId="0" fontId="205" fillId="0" borderId="0" xfId="10" applyFont="1" applyAlignment="1">
      <alignment horizontal="center" vertical="center"/>
    </xf>
    <xf numFmtId="0" fontId="116" fillId="0" borderId="8" xfId="0" applyFont="1" applyBorder="1" applyAlignment="1">
      <alignment horizontal="center"/>
    </xf>
    <xf numFmtId="0" fontId="116" fillId="5" borderId="8" xfId="0" applyFont="1" applyFill="1" applyBorder="1"/>
    <xf numFmtId="0" fontId="115" fillId="0" borderId="0" xfId="0" applyFont="1"/>
    <xf numFmtId="0" fontId="114" fillId="0" borderId="8" xfId="0" applyFont="1" applyBorder="1"/>
    <xf numFmtId="0" fontId="114" fillId="0" borderId="8" xfId="0" applyFont="1" applyBorder="1" applyAlignment="1">
      <alignment horizontal="center"/>
    </xf>
    <xf numFmtId="0" fontId="113" fillId="0" borderId="0" xfId="26"/>
    <xf numFmtId="0" fontId="212" fillId="0" borderId="0" xfId="26" applyFont="1"/>
    <xf numFmtId="0" fontId="218" fillId="0" borderId="0" xfId="10" applyFont="1" applyAlignment="1">
      <alignment horizontal="left" vertical="center"/>
    </xf>
    <xf numFmtId="0" fontId="218" fillId="0" borderId="0" xfId="10" applyFont="1" applyAlignment="1">
      <alignment vertical="center"/>
    </xf>
    <xf numFmtId="0" fontId="219" fillId="0" borderId="0" xfId="10" applyFont="1" applyAlignment="1">
      <alignment vertical="center"/>
    </xf>
    <xf numFmtId="0" fontId="169" fillId="0" borderId="0" xfId="10" applyFont="1" applyAlignment="1">
      <alignment vertical="center"/>
    </xf>
    <xf numFmtId="0" fontId="169" fillId="0" borderId="0" xfId="10" applyFont="1" applyAlignment="1">
      <alignment horizontal="center" vertical="center" wrapText="1"/>
    </xf>
    <xf numFmtId="0" fontId="169" fillId="0" borderId="0" xfId="10" applyFont="1" applyAlignment="1">
      <alignment horizontal="center" vertical="center"/>
    </xf>
    <xf numFmtId="0" fontId="170" fillId="0" borderId="0" xfId="10" applyFont="1" applyAlignment="1">
      <alignment vertical="center"/>
    </xf>
    <xf numFmtId="0" fontId="170" fillId="0" borderId="0" xfId="10" applyFont="1" applyAlignment="1">
      <alignment horizontal="left" vertical="center"/>
    </xf>
    <xf numFmtId="0" fontId="170" fillId="0" borderId="0" xfId="10" applyFont="1" applyAlignment="1">
      <alignment horizontal="left" vertical="center" wrapText="1"/>
    </xf>
    <xf numFmtId="0" fontId="220" fillId="0" borderId="0" xfId="10" applyFont="1" applyAlignment="1">
      <alignment vertical="center"/>
    </xf>
    <xf numFmtId="0" fontId="216" fillId="0" borderId="0" xfId="0" applyFont="1" applyAlignment="1">
      <alignment vertical="center"/>
    </xf>
    <xf numFmtId="0" fontId="217" fillId="3" borderId="8" xfId="0" applyFont="1" applyFill="1" applyBorder="1" applyAlignment="1">
      <alignment horizontal="center" vertical="center"/>
    </xf>
    <xf numFmtId="0" fontId="217" fillId="3" borderId="8" xfId="0" applyFont="1" applyFill="1" applyBorder="1" applyAlignment="1">
      <alignment horizontal="center" vertical="center" wrapText="1"/>
    </xf>
    <xf numFmtId="0" fontId="217" fillId="0" borderId="0" xfId="0" applyFont="1" applyAlignment="1">
      <alignment horizontal="center" vertical="center"/>
    </xf>
    <xf numFmtId="0" fontId="214" fillId="31" borderId="8" xfId="26" applyFont="1" applyFill="1" applyBorder="1" applyAlignment="1">
      <alignment horizontal="center" vertical="center" wrapText="1"/>
    </xf>
    <xf numFmtId="0" fontId="187" fillId="0" borderId="8" xfId="26" applyFont="1" applyBorder="1" applyAlignment="1">
      <alignment horizontal="center" vertical="center" wrapText="1"/>
    </xf>
    <xf numFmtId="1" fontId="187" fillId="0" borderId="8" xfId="26" applyNumberFormat="1" applyFont="1" applyBorder="1" applyAlignment="1">
      <alignment horizontal="center" vertical="center" wrapText="1"/>
    </xf>
    <xf numFmtId="0" fontId="187" fillId="32" borderId="8" xfId="26" applyFont="1" applyFill="1" applyBorder="1" applyAlignment="1">
      <alignment horizontal="center" vertical="center" wrapText="1"/>
    </xf>
    <xf numFmtId="0" fontId="169" fillId="0" borderId="8" xfId="26" applyFont="1" applyBorder="1" applyAlignment="1">
      <alignment horizontal="center" vertical="center" wrapText="1"/>
    </xf>
    <xf numFmtId="0" fontId="169" fillId="32" borderId="8" xfId="26" applyFont="1" applyFill="1" applyBorder="1" applyAlignment="1">
      <alignment horizontal="center" vertical="center" wrapText="1"/>
    </xf>
    <xf numFmtId="0" fontId="187" fillId="0" borderId="8" xfId="26" applyFont="1" applyBorder="1" applyAlignment="1">
      <alignment horizontal="center" wrapText="1"/>
    </xf>
    <xf numFmtId="0" fontId="187" fillId="32" borderId="8" xfId="26" applyFont="1" applyFill="1" applyBorder="1" applyAlignment="1">
      <alignment horizontal="center" wrapText="1"/>
    </xf>
    <xf numFmtId="14" fontId="187" fillId="0" borderId="8" xfId="26" applyNumberFormat="1" applyFont="1" applyBorder="1" applyAlignment="1">
      <alignment horizontal="center" vertical="center" wrapText="1"/>
    </xf>
    <xf numFmtId="0" fontId="221" fillId="0" borderId="0" xfId="27" applyFont="1" applyAlignment="1">
      <alignment horizontal="center"/>
    </xf>
    <xf numFmtId="0" fontId="222" fillId="33" borderId="34" xfId="27" applyFont="1" applyFill="1" applyBorder="1" applyAlignment="1">
      <alignment horizontal="left" vertical="center" wrapText="1"/>
    </xf>
    <xf numFmtId="0" fontId="223" fillId="0" borderId="0" xfId="27" applyFont="1" applyAlignment="1">
      <alignment horizontal="center" vertical="center"/>
    </xf>
    <xf numFmtId="0" fontId="224" fillId="0" borderId="0" xfId="27" applyFont="1" applyAlignment="1">
      <alignment horizontal="center" vertical="center"/>
    </xf>
    <xf numFmtId="0" fontId="221" fillId="0" borderId="0" xfId="27" applyFont="1" applyAlignment="1">
      <alignment horizontal="center" vertical="center"/>
    </xf>
    <xf numFmtId="0" fontId="222" fillId="33" borderId="30" xfId="27" applyFont="1" applyFill="1" applyBorder="1" applyAlignment="1">
      <alignment horizontal="left" vertical="center"/>
    </xf>
    <xf numFmtId="0" fontId="221" fillId="0" borderId="0" xfId="27" applyFont="1"/>
    <xf numFmtId="0" fontId="223" fillId="0" borderId="0" xfId="27" applyFont="1" applyAlignment="1">
      <alignment vertical="center"/>
    </xf>
    <xf numFmtId="0" fontId="222" fillId="33" borderId="38" xfId="27" applyFont="1" applyFill="1" applyBorder="1" applyAlignment="1">
      <alignment horizontal="left" vertical="center"/>
    </xf>
    <xf numFmtId="0" fontId="225" fillId="34" borderId="3" xfId="27" applyFont="1" applyFill="1" applyBorder="1"/>
    <xf numFmtId="0" fontId="221" fillId="34" borderId="0" xfId="27" applyFont="1" applyFill="1"/>
    <xf numFmtId="0" fontId="225" fillId="35" borderId="68" xfId="27" applyFont="1" applyFill="1" applyBorder="1" applyAlignment="1">
      <alignment horizontal="center" vertical="center"/>
    </xf>
    <xf numFmtId="0" fontId="225" fillId="35" borderId="63" xfId="27" applyFont="1" applyFill="1" applyBorder="1" applyAlignment="1">
      <alignment horizontal="center" vertical="center"/>
    </xf>
    <xf numFmtId="0" fontId="225" fillId="35" borderId="63" xfId="27" applyFont="1" applyFill="1" applyBorder="1" applyAlignment="1">
      <alignment horizontal="center" vertical="center" wrapText="1"/>
    </xf>
    <xf numFmtId="0" fontId="225" fillId="35" borderId="69" xfId="27" applyFont="1" applyFill="1" applyBorder="1" applyAlignment="1">
      <alignment horizontal="center" vertical="center" wrapText="1"/>
    </xf>
    <xf numFmtId="0" fontId="221" fillId="0" borderId="8" xfId="27" applyFont="1" applyBorder="1" applyAlignment="1">
      <alignment horizontal="left" vertical="center" wrapText="1"/>
    </xf>
    <xf numFmtId="0" fontId="221" fillId="36" borderId="8" xfId="27" applyFont="1" applyFill="1" applyBorder="1" applyAlignment="1">
      <alignment horizontal="center" vertical="center" wrapText="1"/>
    </xf>
    <xf numFmtId="176" fontId="221" fillId="36" borderId="8" xfId="28" applyFont="1" applyFill="1" applyBorder="1" applyAlignment="1">
      <alignment horizontal="center" vertical="center"/>
    </xf>
    <xf numFmtId="0" fontId="221" fillId="36" borderId="19" xfId="27" applyFont="1" applyFill="1" applyBorder="1" applyAlignment="1">
      <alignment vertical="center" wrapText="1"/>
    </xf>
    <xf numFmtId="0" fontId="221" fillId="37" borderId="8" xfId="27" applyFont="1" applyFill="1" applyBorder="1" applyAlignment="1">
      <alignment horizontal="center" vertical="center"/>
    </xf>
    <xf numFmtId="176" fontId="221" fillId="37" borderId="8" xfId="28" applyFont="1" applyFill="1" applyBorder="1" applyAlignment="1">
      <alignment horizontal="center" vertical="center"/>
    </xf>
    <xf numFmtId="0" fontId="221" fillId="37" borderId="19" xfId="27" applyFont="1" applyFill="1" applyBorder="1" applyAlignment="1">
      <alignment vertical="center" wrapText="1"/>
    </xf>
    <xf numFmtId="0" fontId="221" fillId="0" borderId="8" xfId="27" applyFont="1" applyBorder="1" applyAlignment="1">
      <alignment horizontal="left" vertical="center"/>
    </xf>
    <xf numFmtId="0" fontId="221" fillId="0" borderId="16" xfId="27" applyFont="1" applyBorder="1" applyAlignment="1">
      <alignment horizontal="left" vertical="center"/>
    </xf>
    <xf numFmtId="0" fontId="229" fillId="39" borderId="36" xfId="27" applyFont="1" applyFill="1" applyBorder="1" applyAlignment="1">
      <alignment horizontal="center" vertical="center"/>
    </xf>
    <xf numFmtId="176" fontId="228" fillId="39" borderId="36" xfId="27" applyNumberFormat="1" applyFont="1" applyFill="1" applyBorder="1" applyAlignment="1">
      <alignment horizontal="center" vertical="center"/>
    </xf>
    <xf numFmtId="176" fontId="228" fillId="39" borderId="45" xfId="27" applyNumberFormat="1" applyFont="1" applyFill="1" applyBorder="1" applyAlignment="1">
      <alignment horizontal="center" vertical="center"/>
    </xf>
    <xf numFmtId="0" fontId="170" fillId="0" borderId="0" xfId="10" applyFont="1" applyAlignment="1">
      <alignment horizontal="center" vertical="center"/>
    </xf>
    <xf numFmtId="14" fontId="170" fillId="0" borderId="0" xfId="10" applyNumberFormat="1" applyFont="1" applyAlignment="1">
      <alignment horizontal="center" vertical="center"/>
    </xf>
    <xf numFmtId="0" fontId="230" fillId="0" borderId="0" xfId="29" applyFont="1" applyAlignment="1">
      <alignment vertical="center"/>
    </xf>
    <xf numFmtId="0" fontId="171" fillId="0" borderId="0" xfId="29" applyFont="1" applyAlignment="1">
      <alignment vertical="center"/>
    </xf>
    <xf numFmtId="0" fontId="111" fillId="0" borderId="0" xfId="30"/>
    <xf numFmtId="0" fontId="230" fillId="0" borderId="0" xfId="29" quotePrefix="1" applyFont="1" applyAlignment="1">
      <alignment vertical="center"/>
    </xf>
    <xf numFmtId="0" fontId="230" fillId="0" borderId="0" xfId="29" applyFont="1" applyAlignment="1">
      <alignment horizontal="center" vertical="center"/>
    </xf>
    <xf numFmtId="0" fontId="231" fillId="0" borderId="0" xfId="29" applyFont="1"/>
    <xf numFmtId="0" fontId="171" fillId="0" borderId="0" xfId="29" applyFont="1" applyAlignment="1">
      <alignment horizontal="right"/>
    </xf>
    <xf numFmtId="0" fontId="170" fillId="0" borderId="8" xfId="29" applyFont="1" applyBorder="1" applyAlignment="1">
      <alignment horizontal="center" vertical="center" wrapText="1"/>
    </xf>
    <xf numFmtId="0" fontId="170" fillId="27" borderId="8" xfId="29" applyFont="1" applyFill="1" applyBorder="1" applyAlignment="1">
      <alignment vertical="center" wrapText="1"/>
    </xf>
    <xf numFmtId="0" fontId="170" fillId="27" borderId="8" xfId="29" applyFont="1" applyFill="1" applyBorder="1" applyAlignment="1">
      <alignment horizontal="center" vertical="center" wrapText="1"/>
    </xf>
    <xf numFmtId="41" fontId="169" fillId="27" borderId="8" xfId="29" applyNumberFormat="1" applyFont="1" applyFill="1" applyBorder="1" applyAlignment="1">
      <alignment horizontal="center" vertical="center" wrapText="1"/>
    </xf>
    <xf numFmtId="41" fontId="169" fillId="27" borderId="8" xfId="29" applyNumberFormat="1" applyFont="1" applyFill="1" applyBorder="1" applyAlignment="1">
      <alignment vertical="center" wrapText="1"/>
    </xf>
    <xf numFmtId="41" fontId="169" fillId="27" borderId="8" xfId="29" applyNumberFormat="1" applyFont="1" applyFill="1" applyBorder="1" applyAlignment="1">
      <alignment horizontal="center"/>
    </xf>
    <xf numFmtId="41" fontId="169" fillId="27" borderId="8" xfId="31" applyNumberFormat="1" applyFont="1" applyFill="1" applyBorder="1" applyAlignment="1">
      <alignment horizontal="center"/>
    </xf>
    <xf numFmtId="0" fontId="170" fillId="0" borderId="8" xfId="29" applyFont="1" applyBorder="1" applyAlignment="1">
      <alignment vertical="center" wrapText="1"/>
    </xf>
    <xf numFmtId="41" fontId="169" fillId="0" borderId="8" xfId="29" applyNumberFormat="1" applyFont="1" applyBorder="1" applyAlignment="1">
      <alignment horizontal="center" vertical="center" wrapText="1"/>
    </xf>
    <xf numFmtId="41" fontId="169" fillId="0" borderId="8" xfId="29" applyNumberFormat="1" applyFont="1" applyBorder="1" applyAlignment="1">
      <alignment vertical="center" wrapText="1"/>
    </xf>
    <xf numFmtId="41" fontId="169" fillId="0" borderId="8" xfId="29" applyNumberFormat="1" applyFont="1" applyBorder="1" applyAlignment="1">
      <alignment horizontal="center" vertical="center"/>
    </xf>
    <xf numFmtId="41" fontId="169" fillId="0" borderId="8" xfId="31" applyNumberFormat="1" applyFont="1" applyFill="1" applyBorder="1" applyAlignment="1">
      <alignment horizontal="center" vertical="center"/>
    </xf>
    <xf numFmtId="41" fontId="169" fillId="27" borderId="8" xfId="29" applyNumberFormat="1" applyFont="1" applyFill="1" applyBorder="1" applyAlignment="1">
      <alignment horizontal="center" vertical="center"/>
    </xf>
    <xf numFmtId="41" fontId="169" fillId="27" borderId="8" xfId="29" applyNumberFormat="1" applyFont="1" applyFill="1" applyBorder="1" applyAlignment="1">
      <alignment horizontal="right" vertical="center" wrapText="1"/>
    </xf>
    <xf numFmtId="177" fontId="170" fillId="0" borderId="8" xfId="29" applyNumberFormat="1" applyFont="1" applyBorder="1" applyAlignment="1">
      <alignment horizontal="center" vertical="center" wrapText="1"/>
    </xf>
    <xf numFmtId="41" fontId="170" fillId="0" borderId="8" xfId="29" applyNumberFormat="1" applyFont="1" applyBorder="1" applyAlignment="1">
      <alignment horizontal="center" vertical="center" wrapText="1"/>
    </xf>
    <xf numFmtId="177" fontId="170" fillId="0" borderId="8" xfId="29" applyNumberFormat="1" applyFont="1" applyBorder="1" applyAlignment="1">
      <alignment vertical="center" wrapText="1"/>
    </xf>
    <xf numFmtId="41" fontId="170" fillId="0" borderId="8" xfId="29" applyNumberFormat="1" applyFont="1" applyBorder="1" applyAlignment="1">
      <alignment horizontal="center" vertical="center"/>
    </xf>
    <xf numFmtId="177" fontId="170" fillId="0" borderId="8" xfId="29" applyNumberFormat="1" applyFont="1" applyBorder="1" applyAlignment="1">
      <alignment horizontal="center" vertical="center"/>
    </xf>
    <xf numFmtId="177" fontId="170" fillId="0" borderId="8" xfId="29" applyNumberFormat="1" applyFont="1" applyBorder="1" applyAlignment="1">
      <alignment horizontal="right" vertical="center" wrapText="1"/>
    </xf>
    <xf numFmtId="177" fontId="169" fillId="0" borderId="8" xfId="29" applyNumberFormat="1" applyFont="1" applyBorder="1" applyAlignment="1">
      <alignment horizontal="center" vertical="center" wrapText="1"/>
    </xf>
    <xf numFmtId="177" fontId="169" fillId="0" borderId="8" xfId="29" applyNumberFormat="1" applyFont="1" applyBorder="1" applyAlignment="1">
      <alignment vertical="center" wrapText="1"/>
    </xf>
    <xf numFmtId="177" fontId="169" fillId="0" borderId="8" xfId="29" applyNumberFormat="1" applyFont="1" applyBorder="1" applyAlignment="1">
      <alignment horizontal="center" vertical="center"/>
    </xf>
    <xf numFmtId="177" fontId="169" fillId="0" borderId="8" xfId="29" applyNumberFormat="1" applyFont="1" applyBorder="1" applyAlignment="1">
      <alignment horizontal="right" vertical="center" wrapText="1"/>
    </xf>
    <xf numFmtId="41" fontId="169" fillId="0" borderId="8" xfId="29" applyNumberFormat="1" applyFont="1" applyBorder="1" applyAlignment="1">
      <alignment horizontal="right" vertical="center" wrapText="1"/>
    </xf>
    <xf numFmtId="0" fontId="170" fillId="27" borderId="8" xfId="29" applyFont="1" applyFill="1" applyBorder="1" applyAlignment="1">
      <alignment vertical="center"/>
    </xf>
    <xf numFmtId="0" fontId="170" fillId="27" borderId="8" xfId="29" applyFont="1" applyFill="1" applyBorder="1" applyAlignment="1">
      <alignment horizontal="center"/>
    </xf>
    <xf numFmtId="41" fontId="169" fillId="27" borderId="8" xfId="29" applyNumberFormat="1" applyFont="1" applyFill="1" applyBorder="1" applyAlignment="1">
      <alignment vertical="center"/>
    </xf>
    <xf numFmtId="41" fontId="169" fillId="27" borderId="8" xfId="31" applyNumberFormat="1" applyFont="1" applyFill="1" applyBorder="1" applyAlignment="1">
      <alignment horizontal="center" vertical="center"/>
    </xf>
    <xf numFmtId="0" fontId="170" fillId="0" borderId="8" xfId="29" applyFont="1" applyBorder="1" applyAlignment="1">
      <alignment vertical="center"/>
    </xf>
    <xf numFmtId="0" fontId="170" fillId="0" borderId="8" xfId="29" applyFont="1" applyBorder="1" applyAlignment="1">
      <alignment horizontal="center"/>
    </xf>
    <xf numFmtId="41" fontId="169" fillId="0" borderId="8" xfId="29" applyNumberFormat="1" applyFont="1" applyBorder="1" applyAlignment="1">
      <alignment vertical="center"/>
    </xf>
    <xf numFmtId="14" fontId="230" fillId="0" borderId="0" xfId="29" applyNumberFormat="1" applyFont="1" applyAlignment="1">
      <alignment vertical="center"/>
    </xf>
    <xf numFmtId="0" fontId="170" fillId="0" borderId="8" xfId="29" applyFont="1" applyBorder="1" applyAlignment="1">
      <alignment horizontal="center" vertical="center"/>
    </xf>
    <xf numFmtId="0" fontId="169" fillId="27" borderId="8" xfId="29" applyFont="1" applyFill="1" applyBorder="1" applyAlignment="1">
      <alignment horizontal="center" vertical="center" wrapText="1"/>
    </xf>
    <xf numFmtId="0" fontId="169" fillId="0" borderId="8" xfId="29" applyFont="1" applyBorder="1" applyAlignment="1">
      <alignment horizontal="center" vertical="center" wrapText="1"/>
    </xf>
    <xf numFmtId="0" fontId="169" fillId="27" borderId="8" xfId="29" applyFont="1" applyFill="1" applyBorder="1"/>
    <xf numFmtId="0" fontId="169" fillId="0" borderId="8" xfId="29" applyFont="1" applyBorder="1"/>
    <xf numFmtId="0" fontId="170" fillId="27" borderId="8" xfId="29" applyFont="1" applyFill="1" applyBorder="1" applyAlignment="1">
      <alignment horizontal="center" vertical="center"/>
    </xf>
    <xf numFmtId="0" fontId="111" fillId="0" borderId="0" xfId="30" applyAlignment="1">
      <alignment horizontal="center"/>
    </xf>
    <xf numFmtId="0" fontId="230" fillId="0" borderId="0" xfId="29" applyFont="1" applyAlignment="1">
      <alignment horizontal="left" vertical="center"/>
    </xf>
    <xf numFmtId="0" fontId="230" fillId="0" borderId="0" xfId="29" quotePrefix="1" applyFont="1" applyAlignment="1">
      <alignment horizontal="left" vertical="center"/>
    </xf>
    <xf numFmtId="0" fontId="170" fillId="0" borderId="8" xfId="29" applyFont="1" applyBorder="1" applyAlignment="1">
      <alignment horizontal="left" vertical="center" wrapText="1"/>
    </xf>
    <xf numFmtId="0" fontId="216" fillId="5" borderId="8" xfId="0" applyFont="1" applyFill="1" applyBorder="1" applyAlignment="1">
      <alignment horizontal="center" vertical="center"/>
    </xf>
    <xf numFmtId="16" fontId="216" fillId="5" borderId="8" xfId="0" quotePrefix="1" applyNumberFormat="1" applyFont="1" applyFill="1" applyBorder="1" applyAlignment="1">
      <alignment horizontal="center" vertical="center"/>
    </xf>
    <xf numFmtId="175" fontId="216" fillId="5" borderId="8" xfId="0" applyNumberFormat="1" applyFont="1" applyFill="1" applyBorder="1" applyAlignment="1">
      <alignment horizontal="center" vertical="center"/>
    </xf>
    <xf numFmtId="0" fontId="217" fillId="5" borderId="8" xfId="0" applyFont="1" applyFill="1" applyBorder="1" applyAlignment="1">
      <alignment vertical="center"/>
    </xf>
    <xf numFmtId="43" fontId="0" fillId="0" borderId="8" xfId="32" applyFont="1" applyBorder="1" applyAlignment="1">
      <alignment horizontal="center" vertical="center"/>
    </xf>
    <xf numFmtId="0" fontId="146" fillId="0" borderId="8" xfId="0" applyFont="1" applyBorder="1" applyAlignment="1">
      <alignment horizontal="center" vertical="center" wrapText="1"/>
    </xf>
    <xf numFmtId="0" fontId="146" fillId="0" borderId="0" xfId="0" applyFont="1"/>
    <xf numFmtId="0" fontId="147" fillId="0" borderId="8" xfId="0" applyFont="1" applyBorder="1" applyAlignment="1">
      <alignment horizontal="center"/>
    </xf>
    <xf numFmtId="2" fontId="147" fillId="0" borderId="8" xfId="0" applyNumberFormat="1" applyFont="1" applyBorder="1" applyAlignment="1">
      <alignment horizontal="center" vertical="center"/>
    </xf>
    <xf numFmtId="166" fontId="147" fillId="0" borderId="8" xfId="0" applyNumberFormat="1" applyFont="1" applyBorder="1" applyAlignment="1">
      <alignment horizontal="center"/>
    </xf>
    <xf numFmtId="166" fontId="147" fillId="0" borderId="8" xfId="0" applyNumberFormat="1" applyFont="1" applyBorder="1" applyAlignment="1">
      <alignment horizontal="center" vertical="center"/>
    </xf>
    <xf numFmtId="0" fontId="147" fillId="2" borderId="8" xfId="0" applyFont="1" applyFill="1" applyBorder="1" applyAlignment="1">
      <alignment horizontal="center"/>
    </xf>
    <xf numFmtId="166" fontId="147" fillId="2" borderId="8" xfId="0" applyNumberFormat="1" applyFont="1" applyFill="1" applyBorder="1" applyAlignment="1">
      <alignment horizontal="center"/>
    </xf>
    <xf numFmtId="1" fontId="147" fillId="0" borderId="8" xfId="0" applyNumberFormat="1" applyFont="1" applyBorder="1" applyAlignment="1">
      <alignment horizontal="center" vertical="center"/>
    </xf>
    <xf numFmtId="0" fontId="234" fillId="0" borderId="8" xfId="0" applyFont="1" applyBorder="1" applyAlignment="1">
      <alignment horizontal="center" vertical="center" wrapText="1"/>
    </xf>
    <xf numFmtId="0" fontId="147" fillId="2" borderId="8" xfId="0" applyFont="1" applyFill="1" applyBorder="1" applyAlignment="1">
      <alignment horizontal="center" vertical="center" wrapText="1"/>
    </xf>
    <xf numFmtId="166" fontId="147" fillId="0" borderId="8" xfId="0" applyNumberFormat="1" applyFont="1" applyBorder="1" applyAlignment="1">
      <alignment vertical="center"/>
    </xf>
    <xf numFmtId="0" fontId="147" fillId="2" borderId="8" xfId="0" applyFont="1" applyFill="1" applyBorder="1" applyAlignment="1">
      <alignment vertical="center" wrapText="1"/>
    </xf>
    <xf numFmtId="0" fontId="147" fillId="2" borderId="8" xfId="0" applyFont="1" applyFill="1" applyBorder="1" applyAlignment="1">
      <alignment horizontal="left" vertical="center" wrapText="1"/>
    </xf>
    <xf numFmtId="0" fontId="146" fillId="2" borderId="8" xfId="0" applyFont="1" applyFill="1" applyBorder="1" applyAlignment="1">
      <alignment horizontal="left" vertical="center" wrapText="1"/>
    </xf>
    <xf numFmtId="0" fontId="233" fillId="2" borderId="8" xfId="0" applyFont="1" applyFill="1" applyBorder="1" applyAlignment="1">
      <alignment wrapText="1"/>
    </xf>
    <xf numFmtId="0" fontId="151" fillId="0" borderId="8" xfId="0" applyFont="1" applyBorder="1" applyAlignment="1">
      <alignment horizontal="center"/>
    </xf>
    <xf numFmtId="0" fontId="151" fillId="0" borderId="8" xfId="0" applyFont="1" applyBorder="1" applyAlignment="1">
      <alignment horizontal="center" wrapText="1"/>
    </xf>
    <xf numFmtId="0" fontId="108" fillId="0" borderId="0" xfId="35"/>
    <xf numFmtId="0" fontId="108" fillId="0" borderId="0" xfId="35" applyAlignment="1">
      <alignment horizontal="center" vertical="center"/>
    </xf>
    <xf numFmtId="0" fontId="146" fillId="2" borderId="8" xfId="35" applyFont="1" applyFill="1" applyBorder="1" applyAlignment="1">
      <alignment horizontal="center"/>
    </xf>
    <xf numFmtId="0" fontId="108" fillId="0" borderId="0" xfId="35" applyAlignment="1">
      <alignment horizontal="center"/>
    </xf>
    <xf numFmtId="0" fontId="146" fillId="0" borderId="8" xfId="35" applyFont="1" applyBorder="1" applyAlignment="1">
      <alignment horizontal="center"/>
    </xf>
    <xf numFmtId="0" fontId="146" fillId="0" borderId="0" xfId="34" applyFont="1"/>
    <xf numFmtId="0" fontId="146" fillId="0" borderId="8" xfId="34" applyFont="1" applyBorder="1" applyAlignment="1">
      <alignment horizontal="center" vertical="center"/>
    </xf>
    <xf numFmtId="0" fontId="108" fillId="0" borderId="0" xfId="34" applyFont="1"/>
    <xf numFmtId="0" fontId="146" fillId="0" borderId="0" xfId="33" applyFont="1"/>
    <xf numFmtId="43" fontId="216" fillId="5" borderId="8" xfId="32" applyFont="1" applyFill="1" applyBorder="1" applyAlignment="1">
      <alignment horizontal="center" vertical="center"/>
    </xf>
    <xf numFmtId="43" fontId="216" fillId="0" borderId="8" xfId="32" applyFont="1" applyBorder="1" applyAlignment="1">
      <alignment horizontal="center" vertical="center"/>
    </xf>
    <xf numFmtId="0" fontId="147" fillId="0" borderId="0" xfId="33" applyFont="1"/>
    <xf numFmtId="0" fontId="146" fillId="34" borderId="8" xfId="33" applyFont="1" applyFill="1" applyBorder="1" applyAlignment="1">
      <alignment horizontal="center" vertical="center" wrapText="1"/>
    </xf>
    <xf numFmtId="0" fontId="147" fillId="0" borderId="0" xfId="33" applyFont="1" applyAlignment="1">
      <alignment horizontal="center"/>
    </xf>
    <xf numFmtId="0" fontId="151" fillId="34" borderId="8" xfId="33" applyFont="1" applyFill="1" applyBorder="1" applyAlignment="1">
      <alignment horizontal="center" vertical="center" wrapText="1"/>
    </xf>
    <xf numFmtId="0" fontId="107" fillId="0" borderId="8" xfId="0" applyFont="1" applyBorder="1" applyAlignment="1">
      <alignment horizontal="center" vertical="center"/>
    </xf>
    <xf numFmtId="0" fontId="212" fillId="0" borderId="8" xfId="0" applyFont="1" applyBorder="1" applyAlignment="1">
      <alignment horizontal="center" vertical="center"/>
    </xf>
    <xf numFmtId="0" fontId="146" fillId="0" borderId="8" xfId="0" applyFont="1" applyBorder="1" applyAlignment="1">
      <alignment horizontal="left" vertical="center"/>
    </xf>
    <xf numFmtId="165" fontId="187" fillId="0" borderId="8" xfId="26" applyNumberFormat="1" applyFont="1" applyBorder="1" applyAlignment="1">
      <alignment horizontal="center" wrapText="1"/>
    </xf>
    <xf numFmtId="43" fontId="221" fillId="0" borderId="0" xfId="27" applyNumberFormat="1" applyFont="1"/>
    <xf numFmtId="165" fontId="187" fillId="32" borderId="8" xfId="26" applyNumberFormat="1" applyFont="1" applyFill="1" applyBorder="1" applyAlignment="1">
      <alignment horizontal="center" vertical="center" wrapText="1"/>
    </xf>
    <xf numFmtId="178" fontId="169"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106"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105" fillId="0" borderId="8" xfId="0" applyFont="1" applyBorder="1" applyAlignment="1">
      <alignment vertical="center" wrapText="1"/>
    </xf>
    <xf numFmtId="0" fontId="216" fillId="2" borderId="8" xfId="0" applyFont="1" applyFill="1" applyBorder="1" applyAlignment="1">
      <alignment horizontal="center" vertical="center" wrapText="1"/>
    </xf>
    <xf numFmtId="0" fontId="146" fillId="0" borderId="8" xfId="34" applyFont="1" applyBorder="1" applyAlignment="1">
      <alignment vertical="center"/>
    </xf>
    <xf numFmtId="49" fontId="104" fillId="2" borderId="8" xfId="0" applyNumberFormat="1" applyFont="1" applyFill="1" applyBorder="1" applyAlignment="1">
      <alignment horizontal="center"/>
    </xf>
    <xf numFmtId="0" fontId="104" fillId="2" borderId="8" xfId="0" applyFont="1" applyFill="1" applyBorder="1" applyAlignment="1">
      <alignment horizontal="center"/>
    </xf>
    <xf numFmtId="166" fontId="147" fillId="0" borderId="19" xfId="0" applyNumberFormat="1" applyFont="1" applyBorder="1" applyAlignment="1">
      <alignment vertical="center"/>
    </xf>
    <xf numFmtId="0" fontId="147" fillId="2" borderId="19" xfId="0" applyFont="1" applyFill="1" applyBorder="1" applyAlignment="1">
      <alignment vertical="center" wrapText="1"/>
    </xf>
    <xf numFmtId="0" fontId="147" fillId="2" borderId="19" xfId="0" applyFont="1" applyFill="1" applyBorder="1" applyAlignment="1">
      <alignment horizontal="left" vertical="center" wrapText="1"/>
    </xf>
    <xf numFmtId="0" fontId="146" fillId="2" borderId="19" xfId="0" applyFont="1" applyFill="1" applyBorder="1" applyAlignment="1">
      <alignment horizontal="left" vertical="center" wrapText="1"/>
    </xf>
    <xf numFmtId="0" fontId="147" fillId="2" borderId="19" xfId="0" applyFont="1" applyFill="1" applyBorder="1" applyAlignment="1">
      <alignment horizontal="left" vertical="center"/>
    </xf>
    <xf numFmtId="0" fontId="146" fillId="2" borderId="8" xfId="33" applyFont="1" applyFill="1" applyBorder="1" applyAlignment="1">
      <alignment horizontal="center" vertical="center" wrapText="1"/>
    </xf>
    <xf numFmtId="0" fontId="103" fillId="0" borderId="8" xfId="0" applyFont="1" applyBorder="1" applyAlignment="1">
      <alignment horizontal="center" vertical="center"/>
    </xf>
    <xf numFmtId="0" fontId="234" fillId="0" borderId="8" xfId="0" applyFont="1" applyBorder="1" applyAlignment="1">
      <alignment horizontal="center" vertical="center"/>
    </xf>
    <xf numFmtId="2" fontId="147" fillId="0" borderId="8" xfId="13" applyNumberFormat="1" applyFont="1" applyBorder="1" applyAlignment="1">
      <alignment horizontal="center" vertical="center" wrapText="1"/>
    </xf>
    <xf numFmtId="2" fontId="147" fillId="0" borderId="8" xfId="13" applyNumberFormat="1" applyFont="1" applyBorder="1" applyAlignment="1">
      <alignment horizontal="center" vertical="center"/>
    </xf>
    <xf numFmtId="180" fontId="147" fillId="0" borderId="8" xfId="0" applyNumberFormat="1" applyFont="1" applyBorder="1" applyAlignment="1">
      <alignment horizontal="center" vertical="center" wrapText="1"/>
    </xf>
    <xf numFmtId="0" fontId="147" fillId="0" borderId="8" xfId="0" applyFont="1" applyBorder="1" applyAlignment="1">
      <alignment horizontal="center" vertical="center" wrapText="1"/>
    </xf>
    <xf numFmtId="2" fontId="147" fillId="0" borderId="8" xfId="0" applyNumberFormat="1" applyFont="1" applyBorder="1" applyAlignment="1">
      <alignment horizontal="center" vertical="center" wrapText="1"/>
    </xf>
    <xf numFmtId="166" fontId="147" fillId="0" borderId="8" xfId="0" applyNumberFormat="1" applyFont="1" applyBorder="1" applyAlignment="1">
      <alignment horizontal="center" vertical="center" wrapText="1"/>
    </xf>
    <xf numFmtId="166" fontId="152" fillId="0" borderId="8" xfId="0" applyNumberFormat="1" applyFont="1" applyBorder="1" applyAlignment="1">
      <alignment horizontal="center" vertical="center" shrinkToFit="1"/>
    </xf>
    <xf numFmtId="166" fontId="152" fillId="0" borderId="8" xfId="0" applyNumberFormat="1" applyFont="1" applyBorder="1" applyAlignment="1">
      <alignment horizontal="center" vertical="center" wrapText="1" shrinkToFit="1"/>
    </xf>
    <xf numFmtId="166" fontId="147" fillId="0" borderId="8" xfId="13" applyNumberFormat="1" applyFont="1" applyBorder="1" applyAlignment="1">
      <alignment vertical="center" wrapText="1"/>
    </xf>
    <xf numFmtId="2" fontId="152" fillId="0" borderId="8" xfId="0" applyNumberFormat="1" applyFont="1" applyBorder="1" applyAlignment="1">
      <alignment horizontal="center" vertical="center" shrinkToFit="1"/>
    </xf>
    <xf numFmtId="166" fontId="152" fillId="0" borderId="8" xfId="0" applyNumberFormat="1" applyFont="1" applyBorder="1" applyAlignment="1">
      <alignment horizontal="center" wrapText="1" shrinkToFit="1"/>
    </xf>
    <xf numFmtId="166" fontId="152" fillId="0" borderId="8" xfId="0" applyNumberFormat="1" applyFont="1" applyBorder="1" applyAlignment="1">
      <alignment horizontal="center" shrinkToFit="1"/>
    </xf>
    <xf numFmtId="166" fontId="152" fillId="40" borderId="8" xfId="0" applyNumberFormat="1" applyFont="1" applyFill="1" applyBorder="1" applyAlignment="1">
      <alignment horizontal="center" vertical="center" wrapText="1" shrinkToFit="1"/>
    </xf>
    <xf numFmtId="166" fontId="152" fillId="40" borderId="8" xfId="0" applyNumberFormat="1" applyFont="1" applyFill="1" applyBorder="1" applyAlignment="1">
      <alignment horizontal="center" vertical="center" shrinkToFit="1"/>
    </xf>
    <xf numFmtId="0" fontId="234" fillId="0" borderId="8" xfId="0" applyFont="1" applyBorder="1" applyAlignment="1">
      <alignment vertical="center" wrapText="1"/>
    </xf>
    <xf numFmtId="0" fontId="234" fillId="0" borderId="8" xfId="0" applyFont="1" applyBorder="1" applyAlignment="1">
      <alignment vertical="center"/>
    </xf>
    <xf numFmtId="166" fontId="147" fillId="6" borderId="8" xfId="0" applyNumberFormat="1" applyFont="1" applyFill="1" applyBorder="1" applyAlignment="1">
      <alignment horizontal="center" vertical="center" wrapText="1"/>
    </xf>
    <xf numFmtId="43" fontId="103" fillId="0" borderId="8" xfId="32" applyFont="1" applyBorder="1" applyAlignment="1">
      <alignment horizontal="center" vertical="center" wrapText="1"/>
    </xf>
    <xf numFmtId="0" fontId="102" fillId="0" borderId="8" xfId="0" applyFont="1" applyBorder="1" applyAlignment="1">
      <alignment horizontal="center" vertical="center"/>
    </xf>
    <xf numFmtId="0" fontId="151" fillId="0" borderId="19" xfId="0" applyFont="1" applyBorder="1" applyAlignment="1">
      <alignment horizontal="center"/>
    </xf>
    <xf numFmtId="1" fontId="0" fillId="0" borderId="8" xfId="0" applyNumberFormat="1" applyBorder="1" applyAlignment="1">
      <alignment horizontal="center" vertical="center"/>
    </xf>
    <xf numFmtId="1" fontId="146" fillId="0" borderId="8" xfId="0" applyNumberFormat="1" applyFont="1" applyBorder="1" applyAlignment="1">
      <alignment horizontal="center" vertical="center"/>
    </xf>
    <xf numFmtId="165" fontId="146" fillId="0" borderId="8" xfId="0" applyNumberFormat="1" applyFont="1" applyBorder="1" applyAlignment="1">
      <alignment horizontal="center" vertical="center"/>
    </xf>
    <xf numFmtId="0" fontId="146" fillId="0" borderId="8" xfId="0" applyFont="1" applyBorder="1" applyAlignment="1">
      <alignment vertical="center"/>
    </xf>
    <xf numFmtId="0" fontId="101" fillId="0" borderId="8" xfId="0" applyFont="1" applyBorder="1" applyAlignment="1">
      <alignment horizontal="center" vertical="center"/>
    </xf>
    <xf numFmtId="0" fontId="240" fillId="42" borderId="71" xfId="0" applyFont="1" applyFill="1" applyBorder="1" applyAlignment="1">
      <alignment horizontal="center" vertical="center" wrapText="1" readingOrder="1"/>
    </xf>
    <xf numFmtId="0" fontId="238" fillId="42" borderId="71" xfId="0" applyFont="1" applyFill="1" applyBorder="1" applyAlignment="1">
      <alignment horizontal="center" vertical="center" readingOrder="1"/>
    </xf>
    <xf numFmtId="0" fontId="239" fillId="42" borderId="71" xfId="0" applyFont="1" applyFill="1" applyBorder="1" applyAlignment="1">
      <alignment horizontal="center" vertical="center" readingOrder="1"/>
    </xf>
    <xf numFmtId="0" fontId="238" fillId="42" borderId="72" xfId="0" applyFont="1" applyFill="1" applyBorder="1" applyAlignment="1">
      <alignment horizontal="center" vertical="center" readingOrder="1"/>
    </xf>
    <xf numFmtId="0" fontId="239" fillId="42" borderId="72" xfId="0" applyFont="1" applyFill="1" applyBorder="1" applyAlignment="1">
      <alignment horizontal="center" vertical="center" readingOrder="1"/>
    </xf>
    <xf numFmtId="0" fontId="240" fillId="42" borderId="71" xfId="0" applyFont="1" applyFill="1" applyBorder="1" applyAlignment="1">
      <alignment horizontal="center" vertical="center" readingOrder="1"/>
    </xf>
    <xf numFmtId="0" fontId="240" fillId="42" borderId="70" xfId="0" applyFont="1" applyFill="1" applyBorder="1" applyAlignment="1">
      <alignment horizontal="center" vertical="center" readingOrder="1"/>
    </xf>
    <xf numFmtId="0" fontId="240" fillId="42" borderId="70" xfId="0" applyFont="1" applyFill="1" applyBorder="1" applyAlignment="1">
      <alignment horizontal="left" vertical="center" readingOrder="1"/>
    </xf>
    <xf numFmtId="0" fontId="240" fillId="42" borderId="71" xfId="0" applyFont="1" applyFill="1" applyBorder="1" applyAlignment="1">
      <alignment horizontal="left" vertical="center" readingOrder="1"/>
    </xf>
    <xf numFmtId="0" fontId="100" fillId="0" borderId="8" xfId="0" applyFont="1" applyBorder="1"/>
    <xf numFmtId="0" fontId="216" fillId="5" borderId="8" xfId="0" applyFont="1" applyFill="1" applyBorder="1" applyAlignment="1">
      <alignment horizontal="left" vertical="center" wrapText="1"/>
    </xf>
    <xf numFmtId="0" fontId="99" fillId="0" borderId="8" xfId="0" applyFont="1" applyBorder="1"/>
    <xf numFmtId="0" fontId="216" fillId="5" borderId="8" xfId="0" applyFont="1" applyFill="1" applyBorder="1" applyAlignment="1">
      <alignment vertical="center"/>
    </xf>
    <xf numFmtId="0" fontId="98" fillId="0" borderId="8" xfId="0" applyFont="1" applyBorder="1"/>
    <xf numFmtId="49" fontId="98" fillId="2" borderId="8" xfId="0" quotePrefix="1" applyNumberFormat="1" applyFont="1" applyFill="1" applyBorder="1" applyAlignment="1">
      <alignment horizontal="center"/>
    </xf>
    <xf numFmtId="0" fontId="98" fillId="2" borderId="8" xfId="0" applyFont="1" applyFill="1" applyBorder="1" applyAlignment="1">
      <alignment horizontal="center"/>
    </xf>
    <xf numFmtId="0" fontId="98" fillId="2" borderId="8" xfId="0" applyFont="1" applyFill="1" applyBorder="1" applyAlignment="1">
      <alignment horizontal="center" vertical="center"/>
    </xf>
    <xf numFmtId="0" fontId="236" fillId="0" borderId="8" xfId="0" applyFont="1" applyBorder="1" applyAlignment="1">
      <alignment horizontal="center" vertical="center"/>
    </xf>
    <xf numFmtId="0" fontId="236" fillId="0" borderId="8" xfId="0" applyFont="1" applyBorder="1" applyAlignment="1">
      <alignment horizontal="center" vertical="center" wrapText="1"/>
    </xf>
    <xf numFmtId="0" fontId="237" fillId="0" borderId="8" xfId="0" applyFont="1" applyBorder="1" applyAlignment="1">
      <alignment horizontal="center" vertical="center"/>
    </xf>
    <xf numFmtId="14" fontId="237" fillId="0" borderId="8" xfId="0" applyNumberFormat="1" applyFont="1" applyBorder="1" applyAlignment="1">
      <alignment horizontal="center" vertical="center"/>
    </xf>
    <xf numFmtId="0" fontId="154" fillId="0" borderId="8" xfId="27" applyFont="1" applyBorder="1" applyAlignment="1">
      <alignment vertical="center"/>
    </xf>
    <xf numFmtId="43" fontId="237" fillId="0" borderId="8" xfId="32" applyFont="1" applyBorder="1" applyAlignment="1">
      <alignment horizontal="center" vertical="center"/>
    </xf>
    <xf numFmtId="165" fontId="236" fillId="0" borderId="8" xfId="0" applyNumberFormat="1" applyFont="1" applyBorder="1" applyAlignment="1">
      <alignment vertical="center"/>
    </xf>
    <xf numFmtId="0" fontId="241" fillId="0" borderId="8" xfId="27" applyFont="1" applyBorder="1" applyAlignment="1">
      <alignment vertical="center"/>
    </xf>
    <xf numFmtId="166" fontId="146" fillId="34" borderId="8" xfId="33" applyNumberFormat="1" applyFont="1" applyFill="1" applyBorder="1" applyAlignment="1">
      <alignment horizontal="center" vertical="center" wrapText="1"/>
    </xf>
    <xf numFmtId="2" fontId="146" fillId="34" borderId="8" xfId="33" applyNumberFormat="1" applyFont="1" applyFill="1" applyBorder="1" applyAlignment="1">
      <alignment horizontal="center" vertical="center" wrapText="1"/>
    </xf>
    <xf numFmtId="0" fontId="237" fillId="2" borderId="8" xfId="0" applyFont="1" applyFill="1" applyBorder="1" applyAlignment="1">
      <alignment horizontal="center" vertical="center"/>
    </xf>
    <xf numFmtId="43" fontId="237" fillId="2" borderId="8" xfId="32" applyFont="1" applyFill="1" applyBorder="1" applyAlignment="1">
      <alignment horizontal="center" vertical="center"/>
    </xf>
    <xf numFmtId="14" fontId="237" fillId="2" borderId="8" xfId="0" applyNumberFormat="1" applyFont="1" applyFill="1" applyBorder="1" applyAlignment="1">
      <alignment horizontal="center" vertical="center"/>
    </xf>
    <xf numFmtId="0" fontId="154" fillId="2" borderId="8" xfId="27" applyFont="1" applyFill="1" applyBorder="1" applyAlignment="1">
      <alignment vertical="center"/>
    </xf>
    <xf numFmtId="14" fontId="237" fillId="2" borderId="8" xfId="0" applyNumberFormat="1" applyFont="1" applyFill="1" applyBorder="1" applyAlignment="1">
      <alignment horizontal="center" vertical="center" wrapText="1"/>
    </xf>
    <xf numFmtId="0" fontId="97" fillId="0" borderId="8" xfId="0" applyFont="1" applyBorder="1" applyAlignment="1">
      <alignment horizontal="center" vertical="center"/>
    </xf>
    <xf numFmtId="0" fontId="97" fillId="0" borderId="8" xfId="0" applyFont="1" applyBorder="1" applyAlignment="1">
      <alignment horizontal="center" vertical="center" wrapText="1"/>
    </xf>
    <xf numFmtId="43" fontId="97" fillId="0" borderId="8" xfId="32" applyFont="1" applyBorder="1" applyAlignment="1">
      <alignment horizontal="center" vertical="center" wrapText="1"/>
    </xf>
    <xf numFmtId="43" fontId="146" fillId="0" borderId="8" xfId="32" applyFont="1" applyBorder="1" applyAlignment="1">
      <alignment horizontal="center" vertical="center" wrapText="1"/>
    </xf>
    <xf numFmtId="0" fontId="97" fillId="0" borderId="8" xfId="0" applyFont="1" applyBorder="1" applyAlignment="1">
      <alignment vertical="center"/>
    </xf>
    <xf numFmtId="43" fontId="0" fillId="0" borderId="8" xfId="32" applyFont="1" applyBorder="1" applyAlignment="1">
      <alignment horizontal="center"/>
    </xf>
    <xf numFmtId="43" fontId="146" fillId="0" borderId="8" xfId="0" applyNumberFormat="1" applyFont="1" applyBorder="1" applyAlignment="1">
      <alignment horizontal="center"/>
    </xf>
    <xf numFmtId="0" fontId="146" fillId="34" borderId="11" xfId="33" applyFont="1" applyFill="1" applyBorder="1" applyAlignment="1">
      <alignment horizontal="center" vertical="center" wrapText="1"/>
    </xf>
    <xf numFmtId="0" fontId="97" fillId="2" borderId="8" xfId="33" applyFont="1" applyFill="1" applyBorder="1" applyAlignment="1">
      <alignment horizontal="center" vertical="center" wrapText="1"/>
    </xf>
    <xf numFmtId="0" fontId="97" fillId="0" borderId="0" xfId="33" applyFont="1"/>
    <xf numFmtId="0" fontId="97" fillId="0" borderId="0" xfId="33" applyFont="1" applyAlignment="1">
      <alignment vertical="center"/>
    </xf>
    <xf numFmtId="0" fontId="97" fillId="0" borderId="0" xfId="33" applyFont="1" applyAlignment="1">
      <alignment horizontal="center"/>
    </xf>
    <xf numFmtId="0" fontId="97" fillId="40" borderId="8" xfId="33" applyFont="1" applyFill="1" applyBorder="1"/>
    <xf numFmtId="0" fontId="97" fillId="0" borderId="8" xfId="33" applyFont="1" applyBorder="1" applyAlignment="1">
      <alignment horizontal="center"/>
    </xf>
    <xf numFmtId="0" fontId="97" fillId="2" borderId="8" xfId="33" applyFont="1" applyFill="1" applyBorder="1"/>
    <xf numFmtId="0" fontId="97" fillId="0" borderId="8" xfId="33" applyFont="1" applyBorder="1"/>
    <xf numFmtId="0" fontId="97" fillId="0" borderId="8" xfId="0" applyFont="1" applyBorder="1"/>
    <xf numFmtId="0" fontId="97" fillId="0" borderId="8" xfId="33" applyFont="1" applyBorder="1" applyAlignment="1">
      <alignment vertical="center"/>
    </xf>
    <xf numFmtId="166" fontId="97" fillId="0" borderId="8" xfId="33" applyNumberFormat="1" applyFont="1" applyBorder="1" applyAlignment="1">
      <alignment horizontal="center"/>
    </xf>
    <xf numFmtId="0" fontId="97" fillId="2" borderId="8" xfId="0" applyFont="1" applyFill="1" applyBorder="1" applyAlignment="1">
      <alignment horizontal="center" vertical="center" wrapText="1"/>
    </xf>
    <xf numFmtId="49" fontId="97" fillId="0" borderId="8" xfId="0" applyNumberFormat="1" applyFont="1" applyBorder="1" applyAlignment="1">
      <alignment horizontal="center" vertical="center"/>
    </xf>
    <xf numFmtId="166" fontId="97" fillId="0" borderId="8" xfId="0" applyNumberFormat="1" applyFont="1" applyBorder="1" applyAlignment="1">
      <alignment horizontal="center" vertical="center"/>
    </xf>
    <xf numFmtId="0" fontId="97" fillId="0" borderId="8" xfId="0" applyFont="1" applyBorder="1" applyAlignment="1">
      <alignment horizontal="center"/>
    </xf>
    <xf numFmtId="166" fontId="97" fillId="0" borderId="8" xfId="0" applyNumberFormat="1" applyFont="1" applyBorder="1" applyAlignment="1">
      <alignment horizontal="center"/>
    </xf>
    <xf numFmtId="1" fontId="97" fillId="0" borderId="8" xfId="0" applyNumberFormat="1" applyFont="1" applyBorder="1" applyAlignment="1">
      <alignment horizontal="center"/>
    </xf>
    <xf numFmtId="1" fontId="97" fillId="0" borderId="8" xfId="0" applyNumberFormat="1" applyFont="1" applyBorder="1" applyAlignment="1">
      <alignment horizontal="center" vertical="center"/>
    </xf>
    <xf numFmtId="165" fontId="97" fillId="0" borderId="8" xfId="0" applyNumberFormat="1" applyFont="1" applyBorder="1" applyAlignment="1">
      <alignment horizontal="center" vertical="center"/>
    </xf>
    <xf numFmtId="2" fontId="97" fillId="0" borderId="8" xfId="0" applyNumberFormat="1" applyFont="1" applyBorder="1" applyAlignment="1">
      <alignment horizontal="center" vertical="center"/>
    </xf>
    <xf numFmtId="0" fontId="97" fillId="0" borderId="8" xfId="0" applyFont="1" applyBorder="1" applyAlignment="1">
      <alignment horizontal="left" vertical="center" wrapText="1"/>
    </xf>
    <xf numFmtId="0" fontId="97" fillId="0" borderId="8" xfId="0" applyFont="1" applyBorder="1" applyAlignment="1">
      <alignment horizontal="left" vertical="center"/>
    </xf>
    <xf numFmtId="0" fontId="97" fillId="0" borderId="8" xfId="0" applyFont="1" applyBorder="1" applyAlignment="1">
      <alignment horizontal="left"/>
    </xf>
    <xf numFmtId="0" fontId="97" fillId="6" borderId="8" xfId="33" applyFont="1" applyFill="1" applyBorder="1"/>
    <xf numFmtId="0" fontId="97" fillId="6" borderId="8" xfId="33" applyFont="1" applyFill="1" applyBorder="1" applyAlignment="1">
      <alignment vertical="center"/>
    </xf>
    <xf numFmtId="166" fontId="97" fillId="6" borderId="8" xfId="33" applyNumberFormat="1" applyFont="1" applyFill="1" applyBorder="1" applyAlignment="1">
      <alignment horizontal="center"/>
    </xf>
    <xf numFmtId="0" fontId="97" fillId="6" borderId="8" xfId="33" applyFont="1" applyFill="1" applyBorder="1" applyAlignment="1">
      <alignment horizontal="center"/>
    </xf>
    <xf numFmtId="2" fontId="97" fillId="0" borderId="8" xfId="0" applyNumberFormat="1" applyFont="1" applyBorder="1" applyAlignment="1">
      <alignment horizontal="center" vertical="center" wrapText="1"/>
    </xf>
    <xf numFmtId="166" fontId="97" fillId="0" borderId="8" xfId="0" applyNumberFormat="1" applyFont="1" applyBorder="1" applyAlignment="1">
      <alignment horizontal="center" vertical="center" wrapText="1"/>
    </xf>
    <xf numFmtId="0" fontId="235" fillId="2" borderId="8" xfId="37" applyFill="1" applyBorder="1" applyAlignment="1">
      <alignment horizontal="center" vertical="center"/>
    </xf>
    <xf numFmtId="0" fontId="97" fillId="0" borderId="8" xfId="33" applyFont="1" applyBorder="1" applyAlignment="1">
      <alignment horizontal="center" vertical="center"/>
    </xf>
    <xf numFmtId="0" fontId="97" fillId="40" borderId="8" xfId="0" applyFont="1" applyFill="1" applyBorder="1" applyAlignment="1">
      <alignment horizontal="center" vertical="center"/>
    </xf>
    <xf numFmtId="166" fontId="97" fillId="0" borderId="8" xfId="0" applyNumberFormat="1" applyFont="1" applyBorder="1" applyAlignment="1">
      <alignment vertical="center" wrapText="1"/>
    </xf>
    <xf numFmtId="0" fontId="97" fillId="40" borderId="8" xfId="33" applyFont="1" applyFill="1" applyBorder="1" applyAlignment="1">
      <alignment vertical="center"/>
    </xf>
    <xf numFmtId="166" fontId="97" fillId="0" borderId="8" xfId="0" applyNumberFormat="1" applyFont="1" applyBorder="1" applyAlignment="1">
      <alignment vertical="center"/>
    </xf>
    <xf numFmtId="2" fontId="147" fillId="0" borderId="8" xfId="0" applyNumberFormat="1" applyFont="1" applyBorder="1" applyAlignment="1">
      <alignment horizontal="center"/>
    </xf>
    <xf numFmtId="0" fontId="97" fillId="2" borderId="8" xfId="0" applyFont="1" applyFill="1" applyBorder="1" applyAlignment="1">
      <alignment horizontal="center" vertical="center"/>
    </xf>
    <xf numFmtId="49" fontId="97" fillId="2" borderId="8" xfId="0" quotePrefix="1" applyNumberFormat="1" applyFont="1" applyFill="1" applyBorder="1" applyAlignment="1">
      <alignment horizontal="center"/>
    </xf>
    <xf numFmtId="0" fontId="97" fillId="2" borderId="8" xfId="0" applyFont="1" applyFill="1" applyBorder="1" applyAlignment="1">
      <alignment horizontal="center"/>
    </xf>
    <xf numFmtId="0" fontId="216" fillId="6" borderId="8" xfId="0" applyFont="1" applyFill="1" applyBorder="1" applyAlignment="1">
      <alignment horizontal="center" vertical="center"/>
    </xf>
    <xf numFmtId="175" fontId="216" fillId="6" borderId="8" xfId="0" applyNumberFormat="1" applyFont="1" applyFill="1" applyBorder="1" applyAlignment="1">
      <alignment horizontal="center" vertical="center"/>
    </xf>
    <xf numFmtId="0" fontId="216" fillId="6" borderId="8" xfId="0" applyFont="1" applyFill="1" applyBorder="1" applyAlignment="1">
      <alignment horizontal="center" vertical="center" wrapText="1"/>
    </xf>
    <xf numFmtId="0" fontId="187" fillId="0" borderId="8" xfId="26" quotePrefix="1" applyFont="1" applyBorder="1" applyAlignment="1">
      <alignment horizontal="center" vertical="center" wrapText="1"/>
    </xf>
    <xf numFmtId="0" fontId="242" fillId="2" borderId="8" xfId="26" applyFont="1" applyFill="1" applyBorder="1" applyAlignment="1">
      <alignment horizontal="center" vertical="center" wrapText="1"/>
    </xf>
    <xf numFmtId="2" fontId="187" fillId="32" borderId="8" xfId="26" applyNumberFormat="1" applyFont="1" applyFill="1" applyBorder="1" applyAlignment="1">
      <alignment horizontal="center" vertical="center" wrapText="1"/>
    </xf>
    <xf numFmtId="0" fontId="170" fillId="6" borderId="8" xfId="29" applyFont="1" applyFill="1" applyBorder="1" applyAlignment="1">
      <alignment horizontal="center" vertical="center" wrapText="1"/>
    </xf>
    <xf numFmtId="41" fontId="169" fillId="6" borderId="8" xfId="29" applyNumberFormat="1" applyFont="1" applyFill="1" applyBorder="1" applyAlignment="1">
      <alignment horizontal="center" vertical="center" wrapText="1"/>
    </xf>
    <xf numFmtId="41" fontId="169" fillId="6" borderId="8" xfId="29" applyNumberFormat="1" applyFont="1" applyFill="1" applyBorder="1" applyAlignment="1">
      <alignment vertical="center" wrapText="1"/>
    </xf>
    <xf numFmtId="177" fontId="170" fillId="6" borderId="8" xfId="29" applyNumberFormat="1" applyFont="1" applyFill="1" applyBorder="1" applyAlignment="1">
      <alignment horizontal="center" vertical="center" wrapText="1"/>
    </xf>
    <xf numFmtId="177" fontId="169" fillId="6" borderId="8" xfId="29" applyNumberFormat="1" applyFont="1" applyFill="1" applyBorder="1" applyAlignment="1">
      <alignment horizontal="center" vertical="center" wrapText="1"/>
    </xf>
    <xf numFmtId="41" fontId="169" fillId="6" borderId="8" xfId="29" applyNumberFormat="1" applyFont="1" applyFill="1" applyBorder="1" applyAlignment="1">
      <alignment horizontal="center" vertical="center"/>
    </xf>
    <xf numFmtId="41" fontId="169" fillId="6" borderId="8" xfId="29" applyNumberFormat="1" applyFont="1" applyFill="1" applyBorder="1" applyAlignment="1">
      <alignment vertical="center"/>
    </xf>
    <xf numFmtId="0" fontId="230" fillId="6" borderId="0" xfId="29" applyFont="1" applyFill="1" applyAlignment="1">
      <alignment horizontal="left" vertical="center"/>
    </xf>
    <xf numFmtId="0" fontId="216" fillId="5" borderId="8" xfId="0" applyFont="1" applyFill="1" applyBorder="1" applyAlignment="1">
      <alignment horizontal="center" vertical="center" wrapText="1"/>
    </xf>
    <xf numFmtId="0" fontId="230" fillId="6" borderId="0" xfId="29" applyFont="1" applyFill="1" applyAlignment="1">
      <alignment horizontal="center" vertical="center"/>
    </xf>
    <xf numFmtId="0" fontId="231" fillId="6" borderId="0" xfId="29" applyFont="1" applyFill="1"/>
    <xf numFmtId="0" fontId="171" fillId="6" borderId="0" xfId="29" applyFont="1" applyFill="1" applyAlignment="1">
      <alignment vertical="center"/>
    </xf>
    <xf numFmtId="0" fontId="217" fillId="3" borderId="7" xfId="0" applyFont="1" applyFill="1" applyBorder="1" applyAlignment="1">
      <alignment vertical="center" wrapText="1"/>
    </xf>
    <xf numFmtId="0" fontId="0" fillId="0" borderId="8" xfId="0" applyBorder="1" applyAlignment="1">
      <alignment horizontal="left" vertical="center"/>
    </xf>
    <xf numFmtId="43" fontId="216" fillId="43" borderId="8" xfId="32" applyFont="1" applyFill="1" applyBorder="1" applyAlignment="1">
      <alignment horizontal="center" vertical="center"/>
    </xf>
    <xf numFmtId="1" fontId="169" fillId="0" borderId="8" xfId="26" applyNumberFormat="1" applyFont="1" applyBorder="1" applyAlignment="1">
      <alignment horizontal="center" vertical="center" wrapText="1"/>
    </xf>
    <xf numFmtId="14" fontId="237" fillId="0" borderId="8" xfId="0" applyNumberFormat="1" applyFont="1" applyBorder="1" applyAlignment="1">
      <alignment horizontal="center" vertical="center" wrapText="1"/>
    </xf>
    <xf numFmtId="0" fontId="96" fillId="0" borderId="8" xfId="0" applyFont="1" applyBorder="1" applyAlignment="1">
      <alignment horizontal="center"/>
    </xf>
    <xf numFmtId="43" fontId="96" fillId="0" borderId="8" xfId="32" applyFont="1" applyBorder="1" applyAlignment="1">
      <alignment horizontal="center"/>
    </xf>
    <xf numFmtId="0" fontId="154" fillId="2" borderId="7" xfId="27" applyFont="1" applyFill="1" applyBorder="1" applyAlignment="1">
      <alignment vertical="center" wrapText="1"/>
    </xf>
    <xf numFmtId="0" fontId="154" fillId="2" borderId="44" xfId="27" applyFont="1" applyFill="1" applyBorder="1" applyAlignment="1">
      <alignment vertical="center" wrapText="1"/>
    </xf>
    <xf numFmtId="0" fontId="94" fillId="0" borderId="0" xfId="35" applyFont="1" applyAlignment="1">
      <alignment horizontal="center" vertical="center"/>
    </xf>
    <xf numFmtId="178" fontId="169" fillId="0" borderId="8" xfId="29" applyNumberFormat="1" applyFont="1" applyBorder="1" applyAlignment="1">
      <alignment vertical="center" wrapText="1"/>
    </xf>
    <xf numFmtId="178" fontId="169" fillId="6" borderId="8" xfId="29" applyNumberFormat="1" applyFont="1" applyFill="1" applyBorder="1" applyAlignment="1">
      <alignment horizontal="center" vertical="center" wrapText="1"/>
    </xf>
    <xf numFmtId="178" fontId="169" fillId="0" borderId="8" xfId="29" applyNumberFormat="1" applyFont="1" applyBorder="1" applyAlignment="1">
      <alignment horizontal="center" vertical="center" wrapText="1"/>
    </xf>
    <xf numFmtId="178" fontId="169" fillId="0" borderId="8" xfId="29" applyNumberFormat="1" applyFont="1" applyBorder="1" applyAlignment="1">
      <alignment horizontal="right" vertical="center" wrapText="1"/>
    </xf>
    <xf numFmtId="0" fontId="243" fillId="0" borderId="0" xfId="10" applyFont="1" applyAlignment="1">
      <alignment horizontal="left" vertical="center"/>
    </xf>
    <xf numFmtId="0" fontId="244" fillId="0" borderId="0" xfId="7" applyFont="1" applyAlignment="1">
      <alignment horizontal="center" vertical="center"/>
    </xf>
    <xf numFmtId="0" fontId="244" fillId="0" borderId="0" xfId="7" applyFont="1" applyAlignment="1">
      <alignment vertical="center"/>
    </xf>
    <xf numFmtId="166" fontId="244" fillId="0" borderId="0" xfId="7" applyNumberFormat="1" applyFont="1" applyAlignment="1">
      <alignment vertical="center"/>
    </xf>
    <xf numFmtId="0" fontId="245" fillId="0" borderId="0" xfId="10" applyFont="1" applyAlignment="1">
      <alignment vertical="center"/>
    </xf>
    <xf numFmtId="43" fontId="245" fillId="6" borderId="8" xfId="38" applyFont="1" applyFill="1" applyBorder="1" applyAlignment="1">
      <alignment horizontal="center" vertical="center"/>
    </xf>
    <xf numFmtId="166" fontId="244" fillId="0" borderId="8" xfId="7" applyNumberFormat="1" applyFont="1" applyBorder="1" applyAlignment="1">
      <alignment vertical="center"/>
    </xf>
    <xf numFmtId="1" fontId="245" fillId="6" borderId="8" xfId="7" applyNumberFormat="1" applyFont="1" applyFill="1" applyBorder="1" applyAlignment="1">
      <alignment horizontal="center" vertical="center"/>
    </xf>
    <xf numFmtId="166" fontId="244" fillId="6" borderId="8" xfId="7" applyNumberFormat="1" applyFont="1" applyFill="1" applyBorder="1" applyAlignment="1">
      <alignment vertical="center"/>
    </xf>
    <xf numFmtId="0" fontId="246" fillId="34" borderId="8" xfId="7" applyFont="1" applyFill="1" applyBorder="1" applyAlignment="1">
      <alignment horizontal="center" vertical="center" wrapText="1"/>
    </xf>
    <xf numFmtId="0" fontId="246" fillId="0" borderId="8" xfId="7" applyFont="1" applyBorder="1" applyAlignment="1">
      <alignment horizontal="center" vertical="center" wrapText="1"/>
    </xf>
    <xf numFmtId="0" fontId="244" fillId="0" borderId="8" xfId="7" applyFont="1" applyBorder="1" applyAlignment="1">
      <alignment horizontal="center" vertical="center"/>
    </xf>
    <xf numFmtId="0" fontId="244" fillId="0" borderId="8" xfId="7" applyFont="1" applyBorder="1" applyAlignment="1">
      <alignment horizontal="center" vertical="center" wrapText="1"/>
    </xf>
    <xf numFmtId="0" fontId="244" fillId="2" borderId="8" xfId="7" applyFont="1" applyFill="1" applyBorder="1" applyAlignment="1">
      <alignment horizontal="center" vertical="center"/>
    </xf>
    <xf numFmtId="0" fontId="244" fillId="0" borderId="8" xfId="7" applyFont="1" applyBorder="1" applyAlignment="1">
      <alignment vertical="center"/>
    </xf>
    <xf numFmtId="0" fontId="244" fillId="0" borderId="8" xfId="7" applyFont="1" applyBorder="1" applyAlignment="1">
      <alignment horizontal="left" vertical="center"/>
    </xf>
    <xf numFmtId="0" fontId="247" fillId="0" borderId="8" xfId="7" applyFont="1" applyBorder="1" applyAlignment="1">
      <alignment horizontal="center" vertical="center" wrapText="1"/>
    </xf>
    <xf numFmtId="1" fontId="244" fillId="2" borderId="8" xfId="7" applyNumberFormat="1" applyFont="1" applyFill="1" applyBorder="1" applyAlignment="1">
      <alignment horizontal="center" vertical="center"/>
    </xf>
    <xf numFmtId="1" fontId="244" fillId="0" borderId="8" xfId="7" applyNumberFormat="1" applyFont="1" applyBorder="1" applyAlignment="1">
      <alignment horizontal="center" vertical="center"/>
    </xf>
    <xf numFmtId="166" fontId="244" fillId="0" borderId="8" xfId="7" applyNumberFormat="1" applyFont="1" applyBorder="1" applyAlignment="1">
      <alignment horizontal="center" vertical="center"/>
    </xf>
    <xf numFmtId="0" fontId="248" fillId="0" borderId="8" xfId="7" applyFont="1" applyBorder="1" applyAlignment="1">
      <alignment horizontal="center" vertical="center" wrapText="1"/>
    </xf>
    <xf numFmtId="0" fontId="244" fillId="6" borderId="8" xfId="7" applyFont="1" applyFill="1" applyBorder="1" applyAlignment="1">
      <alignment horizontal="left" vertical="center"/>
    </xf>
    <xf numFmtId="1" fontId="244" fillId="0" borderId="8" xfId="7" applyNumberFormat="1" applyFont="1" applyBorder="1" applyAlignment="1">
      <alignment vertical="center"/>
    </xf>
    <xf numFmtId="166" fontId="244" fillId="0" borderId="8" xfId="7" applyNumberFormat="1" applyFont="1" applyBorder="1" applyAlignment="1">
      <alignment horizontal="left" vertical="center"/>
    </xf>
    <xf numFmtId="0" fontId="248" fillId="2" borderId="8" xfId="7" applyFont="1" applyFill="1" applyBorder="1" applyAlignment="1">
      <alignment horizontal="center" vertical="center" wrapText="1"/>
    </xf>
    <xf numFmtId="0" fontId="244" fillId="6" borderId="8" xfId="7" applyFont="1" applyFill="1" applyBorder="1" applyAlignment="1">
      <alignment horizontal="left" vertical="center" wrapText="1"/>
    </xf>
    <xf numFmtId="0" fontId="244" fillId="6" borderId="8" xfId="7" applyFont="1" applyFill="1" applyBorder="1" applyAlignment="1">
      <alignment horizontal="center" vertical="center"/>
    </xf>
    <xf numFmtId="2" fontId="244" fillId="0" borderId="8" xfId="7" applyNumberFormat="1" applyFont="1" applyBorder="1" applyAlignment="1">
      <alignment horizontal="center" vertical="center"/>
    </xf>
    <xf numFmtId="2" fontId="244" fillId="0" borderId="8" xfId="7" applyNumberFormat="1" applyFont="1" applyBorder="1" applyAlignment="1">
      <alignment horizontal="left" vertical="center"/>
    </xf>
    <xf numFmtId="2" fontId="244" fillId="6" borderId="8" xfId="7" applyNumberFormat="1" applyFont="1" applyFill="1" applyBorder="1" applyAlignment="1">
      <alignment horizontal="left" vertical="center"/>
    </xf>
    <xf numFmtId="2" fontId="244" fillId="44" borderId="8" xfId="7" applyNumberFormat="1" applyFont="1" applyFill="1" applyBorder="1" applyAlignment="1">
      <alignment horizontal="left" vertical="center"/>
    </xf>
    <xf numFmtId="2" fontId="244" fillId="6" borderId="8" xfId="7" applyNumberFormat="1" applyFont="1" applyFill="1" applyBorder="1" applyAlignment="1">
      <alignment horizontal="left" vertical="center" wrapText="1"/>
    </xf>
    <xf numFmtId="166" fontId="245" fillId="6" borderId="8" xfId="7" applyNumberFormat="1" applyFont="1" applyFill="1" applyBorder="1" applyAlignment="1">
      <alignment horizontal="center" vertical="center"/>
    </xf>
    <xf numFmtId="0" fontId="93" fillId="0" borderId="0" xfId="39"/>
    <xf numFmtId="0" fontId="146" fillId="6" borderId="8" xfId="39" applyFont="1" applyFill="1" applyBorder="1" applyAlignment="1">
      <alignment horizontal="center" vertical="center" wrapText="1"/>
    </xf>
    <xf numFmtId="0" fontId="93" fillId="0" borderId="8" xfId="39" applyBorder="1" applyAlignment="1">
      <alignment horizontal="center" vertical="center"/>
    </xf>
    <xf numFmtId="0" fontId="93" fillId="0" borderId="8" xfId="39" applyBorder="1" applyAlignment="1">
      <alignment horizontal="center"/>
    </xf>
    <xf numFmtId="0" fontId="146" fillId="45" borderId="8" xfId="39" applyFont="1" applyFill="1" applyBorder="1" applyAlignment="1">
      <alignment horizontal="center"/>
    </xf>
    <xf numFmtId="0" fontId="146" fillId="45" borderId="8" xfId="39" applyFont="1" applyFill="1" applyBorder="1" applyAlignment="1">
      <alignment horizontal="center" vertical="center"/>
    </xf>
    <xf numFmtId="0" fontId="93" fillId="45" borderId="8" xfId="39" applyFill="1" applyBorder="1" applyAlignment="1">
      <alignment horizontal="center" vertical="center"/>
    </xf>
    <xf numFmtId="0" fontId="93" fillId="45" borderId="8" xfId="39" applyFill="1" applyBorder="1" applyAlignment="1">
      <alignment horizontal="center"/>
    </xf>
    <xf numFmtId="0" fontId="93" fillId="0" borderId="8" xfId="39" quotePrefix="1" applyBorder="1" applyAlignment="1">
      <alignment horizontal="center" vertical="center"/>
    </xf>
    <xf numFmtId="0" fontId="93" fillId="0" borderId="0" xfId="39" applyAlignment="1">
      <alignment horizontal="center"/>
    </xf>
    <xf numFmtId="0" fontId="146" fillId="6" borderId="8" xfId="0" applyFont="1" applyFill="1" applyBorder="1" applyAlignment="1">
      <alignment horizontal="center"/>
    </xf>
    <xf numFmtId="14" fontId="216" fillId="5" borderId="8" xfId="0" applyNumberFormat="1" applyFont="1" applyFill="1" applyBorder="1" applyAlignment="1">
      <alignment horizontal="center" vertical="center" wrapText="1"/>
    </xf>
    <xf numFmtId="0" fontId="244" fillId="5" borderId="8" xfId="7" applyFont="1" applyFill="1" applyBorder="1" applyAlignment="1">
      <alignment horizontal="center" vertical="center"/>
    </xf>
    <xf numFmtId="0" fontId="244" fillId="2" borderId="8" xfId="7" applyFont="1" applyFill="1" applyBorder="1" applyAlignment="1">
      <alignment horizontal="center" vertical="center" wrapText="1"/>
    </xf>
    <xf numFmtId="1" fontId="187" fillId="32" borderId="8" xfId="26" applyNumberFormat="1" applyFont="1" applyFill="1" applyBorder="1" applyAlignment="1">
      <alignment horizontal="center" vertical="center" wrapText="1"/>
    </xf>
    <xf numFmtId="14" fontId="244" fillId="0" borderId="0" xfId="7" applyNumberFormat="1" applyFont="1" applyAlignment="1">
      <alignment horizontal="center" vertical="center"/>
    </xf>
    <xf numFmtId="0" fontId="221" fillId="30" borderId="0" xfId="27" applyFont="1" applyFill="1"/>
    <xf numFmtId="0" fontId="221" fillId="30" borderId="0" xfId="27" applyFont="1" applyFill="1" applyAlignment="1">
      <alignment horizontal="center" vertical="center"/>
    </xf>
    <xf numFmtId="0" fontId="244" fillId="2" borderId="0" xfId="7" applyFont="1" applyFill="1" applyAlignment="1">
      <alignment horizontal="center" vertical="center"/>
    </xf>
    <xf numFmtId="0" fontId="244" fillId="2" borderId="0" xfId="7" applyFont="1" applyFill="1" applyAlignment="1">
      <alignment vertical="center"/>
    </xf>
    <xf numFmtId="0" fontId="216" fillId="2" borderId="8" xfId="0" applyFont="1" applyFill="1" applyBorder="1" applyAlignment="1">
      <alignment horizontal="center" vertical="center"/>
    </xf>
    <xf numFmtId="16" fontId="216" fillId="2" borderId="8" xfId="0" quotePrefix="1" applyNumberFormat="1" applyFont="1" applyFill="1" applyBorder="1" applyAlignment="1">
      <alignment horizontal="center" vertical="center"/>
    </xf>
    <xf numFmtId="43" fontId="216" fillId="2" borderId="8" xfId="32" applyFont="1" applyFill="1" applyBorder="1" applyAlignment="1">
      <alignment horizontal="center" vertical="center"/>
    </xf>
    <xf numFmtId="175" fontId="216" fillId="2" borderId="8" xfId="0" applyNumberFormat="1" applyFont="1" applyFill="1" applyBorder="1" applyAlignment="1">
      <alignment horizontal="center" vertical="center"/>
    </xf>
    <xf numFmtId="0" fontId="246" fillId="2" borderId="8" xfId="7" applyFont="1" applyFill="1" applyBorder="1" applyAlignment="1">
      <alignment horizontal="center" vertical="center" wrapText="1"/>
    </xf>
    <xf numFmtId="0" fontId="245" fillId="2" borderId="8" xfId="7" applyFont="1" applyFill="1" applyBorder="1" applyAlignment="1">
      <alignment horizontal="center" vertical="center"/>
    </xf>
    <xf numFmtId="2" fontId="244" fillId="2" borderId="8" xfId="7" applyNumberFormat="1" applyFont="1" applyFill="1" applyBorder="1" applyAlignment="1">
      <alignment horizontal="center" vertical="center"/>
    </xf>
    <xf numFmtId="0" fontId="244" fillId="2" borderId="8" xfId="7" applyFont="1" applyFill="1" applyBorder="1" applyAlignment="1">
      <alignment vertical="center"/>
    </xf>
    <xf numFmtId="2" fontId="244" fillId="2" borderId="8" xfId="7" applyNumberFormat="1" applyFont="1" applyFill="1" applyBorder="1" applyAlignment="1">
      <alignment horizontal="left" vertical="center"/>
    </xf>
    <xf numFmtId="0" fontId="246" fillId="44" borderId="8" xfId="7" applyFont="1" applyFill="1" applyBorder="1" applyAlignment="1">
      <alignment horizontal="center" vertical="center" wrapText="1"/>
    </xf>
    <xf numFmtId="0" fontId="244" fillId="44" borderId="8" xfId="7" applyFont="1" applyFill="1" applyBorder="1" applyAlignment="1">
      <alignment horizontal="center" vertical="center"/>
    </xf>
    <xf numFmtId="0" fontId="244" fillId="44" borderId="8" xfId="7" applyFont="1" applyFill="1" applyBorder="1" applyAlignment="1">
      <alignment horizontal="center" vertical="center" wrapText="1"/>
    </xf>
    <xf numFmtId="1" fontId="244" fillId="44" borderId="8" xfId="7" applyNumberFormat="1" applyFont="1" applyFill="1" applyBorder="1" applyAlignment="1">
      <alignment horizontal="center" vertical="center"/>
    </xf>
    <xf numFmtId="166" fontId="244" fillId="44" borderId="8" xfId="7" applyNumberFormat="1" applyFont="1" applyFill="1" applyBorder="1" applyAlignment="1">
      <alignment horizontal="center" vertical="center"/>
    </xf>
    <xf numFmtId="2" fontId="244" fillId="44" borderId="8" xfId="7" applyNumberFormat="1" applyFont="1" applyFill="1" applyBorder="1" applyAlignment="1">
      <alignment horizontal="center" vertical="center"/>
    </xf>
    <xf numFmtId="0" fontId="244" fillId="44" borderId="8" xfId="7" applyFont="1" applyFill="1" applyBorder="1" applyAlignment="1">
      <alignment vertical="center"/>
    </xf>
    <xf numFmtId="2" fontId="187" fillId="0" borderId="8" xfId="26" applyNumberFormat="1" applyFont="1" applyBorder="1" applyAlignment="1">
      <alignment horizontal="center" vertical="center" wrapText="1"/>
    </xf>
    <xf numFmtId="0" fontId="169" fillId="5" borderId="8" xfId="10" applyFont="1" applyFill="1" applyBorder="1" applyAlignment="1">
      <alignment horizontal="center" vertical="center"/>
    </xf>
    <xf numFmtId="0" fontId="217" fillId="5" borderId="8" xfId="0" applyFont="1" applyFill="1" applyBorder="1" applyAlignment="1">
      <alignment horizontal="center" vertical="center"/>
    </xf>
    <xf numFmtId="0" fontId="146" fillId="6" borderId="8" xfId="39" applyFont="1" applyFill="1" applyBorder="1" applyAlignment="1">
      <alignment horizontal="center" vertical="center"/>
    </xf>
    <xf numFmtId="0" fontId="90" fillId="0" borderId="8" xfId="39" applyFont="1" applyBorder="1" applyAlignment="1">
      <alignment horizontal="center" vertical="center"/>
    </xf>
    <xf numFmtId="0" fontId="90" fillId="0" borderId="8" xfId="39" applyFont="1" applyBorder="1" applyAlignment="1">
      <alignment horizontal="center"/>
    </xf>
    <xf numFmtId="14" fontId="244" fillId="0" borderId="8" xfId="7" applyNumberFormat="1" applyFont="1" applyBorder="1" applyAlignment="1">
      <alignment horizontal="left" vertical="center"/>
    </xf>
    <xf numFmtId="2" fontId="244" fillId="6" borderId="8" xfId="7" applyNumberFormat="1" applyFont="1" applyFill="1" applyBorder="1" applyAlignment="1">
      <alignment horizontal="center" vertical="center"/>
    </xf>
    <xf numFmtId="14" fontId="244" fillId="0" borderId="8" xfId="7" applyNumberFormat="1" applyFont="1" applyBorder="1" applyAlignment="1">
      <alignment horizontal="center" vertical="center"/>
    </xf>
    <xf numFmtId="14" fontId="244" fillId="2" borderId="8" xfId="7" applyNumberFormat="1" applyFont="1" applyFill="1" applyBorder="1" applyAlignment="1">
      <alignment horizontal="left" vertical="center"/>
    </xf>
    <xf numFmtId="14" fontId="244" fillId="2" borderId="8" xfId="7" applyNumberFormat="1" applyFont="1" applyFill="1" applyBorder="1" applyAlignment="1">
      <alignment horizontal="center" vertical="center"/>
    </xf>
    <xf numFmtId="0" fontId="216" fillId="2" borderId="0" xfId="0" applyFont="1" applyFill="1" applyAlignment="1">
      <alignment vertical="center"/>
    </xf>
    <xf numFmtId="166" fontId="244" fillId="2" borderId="8" xfId="7" applyNumberFormat="1" applyFont="1" applyFill="1" applyBorder="1" applyAlignment="1">
      <alignment horizontal="center" vertical="center"/>
    </xf>
    <xf numFmtId="166" fontId="244" fillId="2" borderId="8" xfId="7" applyNumberFormat="1" applyFont="1" applyFill="1" applyBorder="1" applyAlignment="1">
      <alignment horizontal="left" vertical="center"/>
    </xf>
    <xf numFmtId="0" fontId="244" fillId="2" borderId="8" xfId="7" applyFont="1" applyFill="1" applyBorder="1" applyAlignment="1">
      <alignment horizontal="left" vertical="center"/>
    </xf>
    <xf numFmtId="166" fontId="244" fillId="2" borderId="8" xfId="7" applyNumberFormat="1" applyFont="1" applyFill="1" applyBorder="1" applyAlignment="1">
      <alignment vertical="center"/>
    </xf>
    <xf numFmtId="1" fontId="244" fillId="2" borderId="8" xfId="7" applyNumberFormat="1" applyFont="1" applyFill="1" applyBorder="1" applyAlignment="1">
      <alignment vertical="center"/>
    </xf>
    <xf numFmtId="0" fontId="216" fillId="5" borderId="7" xfId="0" applyFont="1" applyFill="1" applyBorder="1" applyAlignment="1">
      <alignment horizontal="center" vertical="center"/>
    </xf>
    <xf numFmtId="0" fontId="216" fillId="43" borderId="8" xfId="0" applyFont="1" applyFill="1" applyBorder="1" applyAlignment="1">
      <alignment horizontal="center" vertical="center"/>
    </xf>
    <xf numFmtId="16" fontId="216" fillId="43" borderId="8" xfId="0" quotePrefix="1" applyNumberFormat="1" applyFont="1" applyFill="1" applyBorder="1" applyAlignment="1">
      <alignment horizontal="center" vertical="center"/>
    </xf>
    <xf numFmtId="175" fontId="216" fillId="43" borderId="8" xfId="0" applyNumberFormat="1" applyFont="1" applyFill="1" applyBorder="1" applyAlignment="1">
      <alignment horizontal="center" vertical="center"/>
    </xf>
    <xf numFmtId="0" fontId="216" fillId="43" borderId="8" xfId="0" applyFont="1" applyFill="1" applyBorder="1" applyAlignment="1">
      <alignment horizontal="center" vertical="center" wrapText="1"/>
    </xf>
    <xf numFmtId="0" fontId="216" fillId="43" borderId="8" xfId="0" applyFont="1" applyFill="1" applyBorder="1" applyAlignment="1">
      <alignment horizontal="left" vertical="center" wrapText="1"/>
    </xf>
    <xf numFmtId="43" fontId="216" fillId="46" borderId="8" xfId="32" applyFont="1" applyFill="1" applyBorder="1" applyAlignment="1">
      <alignment horizontal="center" vertical="center"/>
    </xf>
    <xf numFmtId="0" fontId="86" fillId="0" borderId="0" xfId="0" applyFont="1"/>
    <xf numFmtId="0" fontId="147" fillId="2" borderId="8" xfId="7" applyFont="1" applyFill="1" applyBorder="1" applyAlignment="1">
      <alignment horizontal="center" vertical="center"/>
    </xf>
    <xf numFmtId="0" fontId="86" fillId="0" borderId="8" xfId="0" applyFont="1" applyBorder="1" applyAlignment="1">
      <alignment horizontal="center"/>
    </xf>
    <xf numFmtId="0" fontId="147" fillId="6" borderId="8" xfId="7" applyFont="1" applyFill="1" applyBorder="1" applyAlignment="1">
      <alignment horizontal="center" vertical="center"/>
    </xf>
    <xf numFmtId="0" fontId="85" fillId="0" borderId="8" xfId="0" applyFont="1" applyBorder="1" applyAlignment="1">
      <alignment horizontal="center"/>
    </xf>
    <xf numFmtId="0" fontId="84" fillId="0" borderId="8" xfId="0" applyFont="1" applyBorder="1" applyAlignment="1">
      <alignment horizontal="center"/>
    </xf>
    <xf numFmtId="0" fontId="216" fillId="2" borderId="8" xfId="0" applyFont="1" applyFill="1" applyBorder="1" applyAlignment="1">
      <alignment vertical="center"/>
    </xf>
    <xf numFmtId="0" fontId="169" fillId="43" borderId="8" xfId="10" applyFont="1" applyFill="1" applyBorder="1" applyAlignment="1">
      <alignment horizontal="center" vertical="center"/>
    </xf>
    <xf numFmtId="0" fontId="146" fillId="2" borderId="0" xfId="34" applyFont="1" applyFill="1"/>
    <xf numFmtId="0" fontId="244" fillId="9" borderId="8" xfId="7" applyFont="1" applyFill="1" applyBorder="1" applyAlignment="1">
      <alignment horizontal="center" vertical="center"/>
    </xf>
    <xf numFmtId="14" fontId="216" fillId="43" borderId="8" xfId="0" applyNumberFormat="1" applyFont="1" applyFill="1" applyBorder="1" applyAlignment="1">
      <alignment horizontal="center" vertical="center" wrapText="1"/>
    </xf>
    <xf numFmtId="0" fontId="169" fillId="2" borderId="0" xfId="10" applyFont="1" applyFill="1" applyAlignment="1">
      <alignment vertical="center"/>
    </xf>
    <xf numFmtId="0" fontId="217" fillId="2" borderId="0" xfId="0" applyFont="1" applyFill="1" applyAlignment="1">
      <alignment horizontal="center" vertical="center"/>
    </xf>
    <xf numFmtId="1" fontId="187" fillId="0" borderId="8" xfId="26" applyNumberFormat="1" applyFont="1" applyBorder="1" applyAlignment="1">
      <alignment horizontal="center" wrapText="1"/>
    </xf>
    <xf numFmtId="0" fontId="244" fillId="2" borderId="8" xfId="7" quotePrefix="1" applyFont="1" applyFill="1" applyBorder="1" applyAlignment="1">
      <alignment horizontal="center" vertical="center"/>
    </xf>
    <xf numFmtId="0" fontId="104" fillId="5" borderId="8" xfId="34" applyFont="1" applyFill="1" applyBorder="1" applyAlignment="1">
      <alignment horizontal="center" vertical="center"/>
    </xf>
    <xf numFmtId="0" fontId="80" fillId="5" borderId="8" xfId="34" applyFont="1" applyFill="1" applyBorder="1" applyAlignment="1">
      <alignment horizontal="center" vertical="center"/>
    </xf>
    <xf numFmtId="14" fontId="104" fillId="5" borderId="8" xfId="34" applyNumberFormat="1" applyFont="1" applyFill="1" applyBorder="1" applyAlignment="1">
      <alignment horizontal="center" vertical="center"/>
    </xf>
    <xf numFmtId="0" fontId="79" fillId="5" borderId="8" xfId="34" applyFont="1" applyFill="1" applyBorder="1" applyAlignment="1">
      <alignment horizontal="center" vertical="center"/>
    </xf>
    <xf numFmtId="0" fontId="79" fillId="5" borderId="8" xfId="34" applyFont="1" applyFill="1" applyBorder="1" applyAlignment="1">
      <alignment horizontal="center" vertical="center" wrapText="1"/>
    </xf>
    <xf numFmtId="0" fontId="80" fillId="5" borderId="8" xfId="34" applyFont="1" applyFill="1" applyBorder="1" applyAlignment="1">
      <alignment horizontal="left" vertical="center" wrapText="1"/>
    </xf>
    <xf numFmtId="0" fontId="104" fillId="5" borderId="8" xfId="34" applyFont="1" applyFill="1" applyBorder="1" applyAlignment="1">
      <alignment vertical="center"/>
    </xf>
    <xf numFmtId="16" fontId="244" fillId="2" borderId="0" xfId="7" quotePrefix="1" applyNumberFormat="1" applyFont="1" applyFill="1" applyAlignment="1">
      <alignment vertical="center"/>
    </xf>
    <xf numFmtId="0" fontId="244" fillId="2" borderId="0" xfId="7" quotePrefix="1" applyFont="1" applyFill="1" applyAlignment="1">
      <alignment vertical="center"/>
    </xf>
    <xf numFmtId="0" fontId="216" fillId="5" borderId="8" xfId="0" applyFont="1" applyFill="1" applyBorder="1" applyAlignment="1">
      <alignment vertical="center" wrapText="1"/>
    </xf>
    <xf numFmtId="166" fontId="244" fillId="2" borderId="8" xfId="7" applyNumberFormat="1" applyFont="1" applyFill="1" applyBorder="1" applyAlignment="1">
      <alignment horizontal="center" vertical="center" wrapText="1"/>
    </xf>
    <xf numFmtId="0" fontId="81" fillId="5" borderId="8" xfId="34" applyFont="1" applyFill="1" applyBorder="1" applyAlignment="1">
      <alignment horizontal="center" vertical="center"/>
    </xf>
    <xf numFmtId="0" fontId="77" fillId="5" borderId="8" xfId="34" applyFont="1" applyFill="1" applyBorder="1" applyAlignment="1">
      <alignment horizontal="center" vertical="center"/>
    </xf>
    <xf numFmtId="0" fontId="78" fillId="5" borderId="8" xfId="34" applyFont="1" applyFill="1" applyBorder="1" applyAlignment="1">
      <alignment horizontal="center" vertical="center" wrapText="1"/>
    </xf>
    <xf numFmtId="0" fontId="77" fillId="5" borderId="8" xfId="34" applyFont="1" applyFill="1" applyBorder="1" applyAlignment="1">
      <alignment horizontal="left" vertical="center" wrapText="1"/>
    </xf>
    <xf numFmtId="0" fontId="76" fillId="0" borderId="0" xfId="26" applyFont="1"/>
    <xf numFmtId="0" fontId="76" fillId="0" borderId="0" xfId="26" applyFont="1" applyAlignment="1">
      <alignment horizontal="center"/>
    </xf>
    <xf numFmtId="14" fontId="216" fillId="6" borderId="8" xfId="0" applyNumberFormat="1" applyFont="1" applyFill="1" applyBorder="1" applyAlignment="1">
      <alignment horizontal="center" vertical="center" wrapText="1"/>
    </xf>
    <xf numFmtId="0" fontId="216" fillId="45" borderId="8" xfId="0" applyFont="1" applyFill="1" applyBorder="1" applyAlignment="1">
      <alignment horizontal="center" vertical="center"/>
    </xf>
    <xf numFmtId="16" fontId="216" fillId="45" borderId="8" xfId="0" quotePrefix="1" applyNumberFormat="1" applyFont="1" applyFill="1" applyBorder="1" applyAlignment="1">
      <alignment horizontal="center" vertical="center"/>
    </xf>
    <xf numFmtId="43" fontId="216" fillId="45" borderId="8" xfId="32" applyFont="1" applyFill="1" applyBorder="1" applyAlignment="1">
      <alignment horizontal="center" vertical="center"/>
    </xf>
    <xf numFmtId="175" fontId="216" fillId="45" borderId="8" xfId="0" applyNumberFormat="1" applyFont="1" applyFill="1" applyBorder="1" applyAlignment="1">
      <alignment horizontal="center" vertical="center"/>
    </xf>
    <xf numFmtId="0" fontId="216" fillId="45" borderId="8" xfId="0" applyFont="1" applyFill="1" applyBorder="1" applyAlignment="1">
      <alignment horizontal="center" vertical="center" wrapText="1"/>
    </xf>
    <xf numFmtId="14" fontId="216" fillId="45" borderId="8" xfId="0" applyNumberFormat="1" applyFont="1" applyFill="1" applyBorder="1" applyAlignment="1">
      <alignment horizontal="center" vertical="center" wrapText="1"/>
    </xf>
    <xf numFmtId="0" fontId="216" fillId="45" borderId="8" xfId="0" applyFont="1" applyFill="1" applyBorder="1" applyAlignment="1">
      <alignment horizontal="left" vertical="center" wrapText="1"/>
    </xf>
    <xf numFmtId="0" fontId="217" fillId="2" borderId="8" xfId="0" applyFont="1" applyFill="1" applyBorder="1" applyAlignment="1">
      <alignment vertical="center"/>
    </xf>
    <xf numFmtId="0" fontId="74" fillId="0" borderId="0" xfId="0" applyFont="1" applyAlignment="1">
      <alignment horizontal="center"/>
    </xf>
    <xf numFmtId="0" fontId="74" fillId="0" borderId="0" xfId="0" applyFont="1"/>
    <xf numFmtId="0" fontId="147" fillId="45" borderId="8" xfId="0" applyFont="1" applyFill="1" applyBorder="1" applyAlignment="1">
      <alignment horizontal="center" vertical="center" wrapText="1"/>
    </xf>
    <xf numFmtId="0" fontId="74" fillId="0" borderId="8" xfId="0" applyFont="1" applyBorder="1" applyAlignment="1">
      <alignment horizontal="center" wrapText="1"/>
    </xf>
    <xf numFmtId="0" fontId="147" fillId="0" borderId="8" xfId="0" quotePrefix="1" applyFont="1" applyBorder="1" applyAlignment="1">
      <alignment horizontal="center" vertical="center" wrapText="1"/>
    </xf>
    <xf numFmtId="0" fontId="74" fillId="45" borderId="8" xfId="0" applyFont="1" applyFill="1" applyBorder="1" applyAlignment="1">
      <alignment horizontal="center" wrapText="1"/>
    </xf>
    <xf numFmtId="0" fontId="151" fillId="45" borderId="8" xfId="0" applyFont="1" applyFill="1" applyBorder="1" applyAlignment="1">
      <alignment horizontal="center" vertical="center" wrapText="1"/>
    </xf>
    <xf numFmtId="0" fontId="146" fillId="45" borderId="8" xfId="0" applyFont="1" applyFill="1" applyBorder="1" applyAlignment="1">
      <alignment horizontal="center" vertical="center" wrapText="1"/>
    </xf>
    <xf numFmtId="0" fontId="146" fillId="45" borderId="8" xfId="0" applyFont="1" applyFill="1" applyBorder="1" applyAlignment="1">
      <alignment horizontal="center"/>
    </xf>
    <xf numFmtId="0" fontId="74" fillId="0" borderId="0" xfId="0" applyFont="1" applyAlignment="1">
      <alignment horizontal="center" vertical="center"/>
    </xf>
    <xf numFmtId="0" fontId="74" fillId="0" borderId="8" xfId="0" applyFont="1" applyBorder="1" applyAlignment="1">
      <alignment horizontal="center"/>
    </xf>
    <xf numFmtId="0" fontId="146" fillId="45" borderId="8" xfId="0" applyFont="1" applyFill="1" applyBorder="1" applyAlignment="1">
      <alignment horizontal="center" vertical="center"/>
    </xf>
    <xf numFmtId="0" fontId="75" fillId="5" borderId="8" xfId="34" applyFont="1" applyFill="1" applyBorder="1" applyAlignment="1">
      <alignment horizontal="center" vertical="center"/>
    </xf>
    <xf numFmtId="0" fontId="73" fillId="5" borderId="8" xfId="34" applyFont="1" applyFill="1" applyBorder="1" applyAlignment="1">
      <alignment horizontal="center" vertical="center"/>
    </xf>
    <xf numFmtId="0" fontId="75" fillId="5" borderId="8" xfId="34" applyFont="1" applyFill="1" applyBorder="1" applyAlignment="1">
      <alignment horizontal="center" vertical="center" wrapText="1"/>
    </xf>
    <xf numFmtId="0" fontId="75" fillId="5" borderId="8" xfId="34" applyFont="1" applyFill="1" applyBorder="1" applyAlignment="1">
      <alignment horizontal="left" vertical="center" wrapText="1"/>
    </xf>
    <xf numFmtId="0" fontId="73" fillId="5" borderId="8" xfId="34" applyFont="1" applyFill="1" applyBorder="1" applyAlignment="1">
      <alignment horizontal="center" vertical="center" wrapText="1"/>
    </xf>
    <xf numFmtId="0" fontId="72" fillId="5" borderId="8" xfId="34" applyFont="1" applyFill="1" applyBorder="1" applyAlignment="1">
      <alignment horizontal="center" vertical="center"/>
    </xf>
    <xf numFmtId="0" fontId="73" fillId="5" borderId="8" xfId="34" applyFont="1" applyFill="1" applyBorder="1" applyAlignment="1">
      <alignment horizontal="left" vertical="center" wrapText="1"/>
    </xf>
    <xf numFmtId="166" fontId="244" fillId="0" borderId="0" xfId="7" applyNumberFormat="1" applyFont="1" applyAlignment="1">
      <alignment horizontal="center" vertical="center"/>
    </xf>
    <xf numFmtId="0" fontId="71" fillId="5" borderId="8" xfId="34" applyFont="1" applyFill="1" applyBorder="1" applyAlignment="1">
      <alignment horizontal="center" vertical="center" wrapText="1"/>
    </xf>
    <xf numFmtId="0" fontId="70" fillId="5" borderId="8" xfId="34" applyFont="1" applyFill="1" applyBorder="1" applyAlignment="1">
      <alignment horizontal="center" vertical="center"/>
    </xf>
    <xf numFmtId="0" fontId="71" fillId="5" borderId="8" xfId="34" applyFont="1" applyFill="1" applyBorder="1" applyAlignment="1">
      <alignment horizontal="left" vertical="center" wrapText="1"/>
    </xf>
    <xf numFmtId="0" fontId="146" fillId="6" borderId="8" xfId="35" applyFont="1" applyFill="1" applyBorder="1" applyAlignment="1">
      <alignment horizontal="center" vertical="center"/>
    </xf>
    <xf numFmtId="0" fontId="151" fillId="6" borderId="8" xfId="35" applyFont="1" applyFill="1" applyBorder="1" applyAlignment="1">
      <alignment horizontal="center"/>
    </xf>
    <xf numFmtId="0" fontId="216" fillId="2" borderId="8" xfId="0" quotePrefix="1" applyFont="1" applyFill="1" applyBorder="1" applyAlignment="1">
      <alignment horizontal="center" vertical="center"/>
    </xf>
    <xf numFmtId="2" fontId="216" fillId="2" borderId="8" xfId="0" applyNumberFormat="1" applyFont="1" applyFill="1" applyBorder="1" applyAlignment="1">
      <alignment horizontal="center" vertical="center"/>
    </xf>
    <xf numFmtId="0" fontId="69" fillId="0" borderId="8" xfId="0" applyFont="1" applyBorder="1" applyAlignment="1">
      <alignment horizontal="center"/>
    </xf>
    <xf numFmtId="0" fontId="216" fillId="43" borderId="8" xfId="0" applyFont="1" applyFill="1" applyBorder="1" applyAlignment="1">
      <alignment vertical="center" wrapText="1"/>
    </xf>
    <xf numFmtId="2" fontId="216" fillId="5" borderId="8" xfId="0" applyNumberFormat="1" applyFont="1" applyFill="1" applyBorder="1" applyAlignment="1">
      <alignment horizontal="center" vertical="center"/>
    </xf>
    <xf numFmtId="2" fontId="216" fillId="43" borderId="8" xfId="0" applyNumberFormat="1" applyFont="1" applyFill="1" applyBorder="1" applyAlignment="1">
      <alignment horizontal="center" vertical="center"/>
    </xf>
    <xf numFmtId="0" fontId="216" fillId="5" borderId="8" xfId="0" quotePrefix="1" applyFont="1" applyFill="1" applyBorder="1" applyAlignment="1">
      <alignment horizontal="center" vertical="center"/>
    </xf>
    <xf numFmtId="0" fontId="250" fillId="0" borderId="0" xfId="10" applyFont="1" applyAlignment="1">
      <alignment horizontal="left" vertical="center"/>
    </xf>
    <xf numFmtId="0" fontId="251" fillId="2" borderId="0" xfId="7" applyFont="1" applyFill="1" applyAlignment="1">
      <alignment horizontal="center" vertical="center"/>
    </xf>
    <xf numFmtId="0" fontId="251" fillId="2" borderId="0" xfId="7" applyFont="1" applyFill="1" applyAlignment="1">
      <alignment vertical="center"/>
    </xf>
    <xf numFmtId="0" fontId="251" fillId="0" borderId="0" xfId="7" applyFont="1" applyAlignment="1">
      <alignment horizontal="center" vertical="center"/>
    </xf>
    <xf numFmtId="0" fontId="251" fillId="0" borderId="0" xfId="7" applyFont="1" applyAlignment="1">
      <alignment vertical="center"/>
    </xf>
    <xf numFmtId="0" fontId="252" fillId="6" borderId="8" xfId="7" applyFont="1" applyFill="1" applyBorder="1" applyAlignment="1">
      <alignment horizontal="center" vertical="center"/>
    </xf>
    <xf numFmtId="0" fontId="253" fillId="34" borderId="8" xfId="7" applyFont="1" applyFill="1" applyBorder="1" applyAlignment="1">
      <alignment horizontal="center" vertical="center" wrapText="1"/>
    </xf>
    <xf numFmtId="166" fontId="253" fillId="34" borderId="8" xfId="7" applyNumberFormat="1" applyFont="1" applyFill="1" applyBorder="1" applyAlignment="1">
      <alignment horizontal="center" vertical="center" wrapText="1"/>
    </xf>
    <xf numFmtId="0" fontId="251" fillId="2" borderId="8" xfId="7" applyFont="1" applyFill="1" applyBorder="1" applyAlignment="1">
      <alignment horizontal="center" vertical="center"/>
    </xf>
    <xf numFmtId="1" fontId="251" fillId="2" borderId="8" xfId="7" applyNumberFormat="1" applyFont="1" applyFill="1" applyBorder="1" applyAlignment="1">
      <alignment horizontal="center" vertical="center"/>
    </xf>
    <xf numFmtId="0" fontId="251" fillId="5" borderId="8" xfId="7" applyFont="1" applyFill="1" applyBorder="1" applyAlignment="1">
      <alignment horizontal="center" vertical="center"/>
    </xf>
    <xf numFmtId="0" fontId="251" fillId="6" borderId="8" xfId="7" applyFont="1" applyFill="1" applyBorder="1" applyAlignment="1">
      <alignment horizontal="center" vertical="center"/>
    </xf>
    <xf numFmtId="0" fontId="251" fillId="2" borderId="8" xfId="7" quotePrefix="1" applyFont="1" applyFill="1" applyBorder="1" applyAlignment="1">
      <alignment horizontal="center" vertical="center"/>
    </xf>
    <xf numFmtId="0" fontId="254" fillId="0" borderId="8" xfId="7" applyFont="1" applyBorder="1" applyAlignment="1">
      <alignment horizontal="center" vertical="center" wrapText="1"/>
    </xf>
    <xf numFmtId="0" fontId="254" fillId="2" borderId="8" xfId="7" applyFont="1" applyFill="1" applyBorder="1" applyAlignment="1">
      <alignment horizontal="center" vertical="center" wrapText="1"/>
    </xf>
    <xf numFmtId="0" fontId="252" fillId="2" borderId="0" xfId="7" applyFont="1" applyFill="1" applyAlignment="1">
      <alignment horizontal="center" vertical="center"/>
    </xf>
    <xf numFmtId="0" fontId="252" fillId="2" borderId="0" xfId="7" applyFont="1" applyFill="1" applyAlignment="1">
      <alignment vertical="center"/>
    </xf>
    <xf numFmtId="0" fontId="252" fillId="0" borderId="0" xfId="7" applyFont="1" applyAlignment="1">
      <alignment horizontal="center" vertical="center"/>
    </xf>
    <xf numFmtId="0" fontId="252" fillId="0" borderId="0" xfId="7" applyFont="1" applyAlignment="1">
      <alignment vertical="center"/>
    </xf>
    <xf numFmtId="0" fontId="252" fillId="6" borderId="8" xfId="7" applyFont="1" applyFill="1" applyBorder="1" applyAlignment="1">
      <alignment vertical="center"/>
    </xf>
    <xf numFmtId="0" fontId="252" fillId="0" borderId="0" xfId="7" applyFont="1" applyAlignment="1">
      <alignment horizontal="left" vertical="center"/>
    </xf>
    <xf numFmtId="14" fontId="252" fillId="0" borderId="0" xfId="7" applyNumberFormat="1" applyFont="1" applyAlignment="1">
      <alignment horizontal="center" vertical="center"/>
    </xf>
    <xf numFmtId="0" fontId="244" fillId="2" borderId="0" xfId="7" quotePrefix="1" applyFont="1" applyFill="1" applyAlignment="1">
      <alignment horizontal="center" vertical="center"/>
    </xf>
    <xf numFmtId="0" fontId="68" fillId="5" borderId="8" xfId="34" applyFont="1" applyFill="1" applyBorder="1" applyAlignment="1">
      <alignment horizontal="center" vertical="center" wrapText="1"/>
    </xf>
    <xf numFmtId="0" fontId="67" fillId="5" borderId="8" xfId="34" applyFont="1" applyFill="1" applyBorder="1" applyAlignment="1">
      <alignment horizontal="center" vertical="center"/>
    </xf>
    <xf numFmtId="0" fontId="66" fillId="5" borderId="8" xfId="34" applyFont="1" applyFill="1" applyBorder="1" applyAlignment="1">
      <alignment horizontal="center" vertical="center" wrapText="1"/>
    </xf>
    <xf numFmtId="0" fontId="93" fillId="0" borderId="8" xfId="39" applyBorder="1" applyAlignment="1">
      <alignment horizontal="center" wrapText="1"/>
    </xf>
    <xf numFmtId="14" fontId="93" fillId="0" borderId="8" xfId="39" applyNumberFormat="1" applyBorder="1" applyAlignment="1">
      <alignment horizontal="center" vertical="center"/>
    </xf>
    <xf numFmtId="0" fontId="65" fillId="0" borderId="0" xfId="0" applyFont="1" applyAlignment="1">
      <alignment horizontal="center"/>
    </xf>
    <xf numFmtId="0" fontId="93" fillId="0" borderId="7" xfId="39" applyBorder="1" applyAlignment="1">
      <alignment horizontal="center" vertical="center"/>
    </xf>
    <xf numFmtId="0" fontId="93" fillId="0" borderId="33" xfId="39" applyBorder="1" applyAlignment="1">
      <alignment horizontal="center" vertical="center"/>
    </xf>
    <xf numFmtId="0" fontId="93" fillId="0" borderId="15" xfId="39" applyBorder="1" applyAlignment="1">
      <alignment horizontal="center" vertical="center"/>
    </xf>
    <xf numFmtId="0" fontId="93" fillId="0" borderId="7" xfId="39" applyBorder="1" applyAlignment="1">
      <alignment horizontal="center"/>
    </xf>
    <xf numFmtId="0" fontId="93" fillId="0" borderId="33" xfId="39" applyBorder="1" applyAlignment="1">
      <alignment horizontal="center"/>
    </xf>
    <xf numFmtId="0" fontId="93" fillId="0" borderId="8" xfId="39" applyBorder="1"/>
    <xf numFmtId="0" fontId="146" fillId="0" borderId="8" xfId="34" applyFont="1" applyBorder="1"/>
    <xf numFmtId="0" fontId="0" fillId="6" borderId="0" xfId="0" applyFill="1" applyAlignment="1">
      <alignment horizontal="center"/>
    </xf>
    <xf numFmtId="0" fontId="63" fillId="6" borderId="0" xfId="0" applyFont="1" applyFill="1" applyAlignment="1">
      <alignment horizontal="center"/>
    </xf>
    <xf numFmtId="14" fontId="0" fillId="6" borderId="0" xfId="0" applyNumberFormat="1" applyFill="1" applyAlignment="1">
      <alignment horizontal="center"/>
    </xf>
    <xf numFmtId="2" fontId="169" fillId="5" borderId="8" xfId="0" applyNumberFormat="1" applyFont="1" applyFill="1" applyBorder="1" applyAlignment="1">
      <alignment horizontal="center" vertical="center"/>
    </xf>
    <xf numFmtId="14" fontId="108" fillId="0" borderId="0" xfId="35" applyNumberFormat="1" applyAlignment="1">
      <alignment horizontal="center"/>
    </xf>
    <xf numFmtId="14" fontId="0" fillId="0" borderId="0" xfId="0" applyNumberFormat="1"/>
    <xf numFmtId="0" fontId="244" fillId="2" borderId="15" xfId="7" applyFont="1" applyFill="1" applyBorder="1" applyAlignment="1">
      <alignment horizontal="center" vertical="center"/>
    </xf>
    <xf numFmtId="0" fontId="244"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60" fillId="0" borderId="8" xfId="0" applyFont="1" applyBorder="1" applyAlignment="1">
      <alignment horizontal="left" vertical="center"/>
    </xf>
    <xf numFmtId="0" fontId="60" fillId="0" borderId="15" xfId="0" applyFont="1" applyBorder="1" applyAlignment="1">
      <alignment horizontal="left" vertical="center"/>
    </xf>
    <xf numFmtId="0" fontId="59" fillId="0" borderId="8" xfId="0" applyFont="1" applyBorder="1"/>
    <xf numFmtId="17" fontId="0" fillId="0" borderId="8" xfId="0" applyNumberFormat="1" applyBorder="1" applyAlignment="1">
      <alignment horizontal="center" vertical="center"/>
    </xf>
    <xf numFmtId="43" fontId="146" fillId="6" borderId="8" xfId="32" applyFont="1" applyFill="1" applyBorder="1" applyAlignment="1">
      <alignment horizontal="center"/>
    </xf>
    <xf numFmtId="43" fontId="0" fillId="0" borderId="0" xfId="0" applyNumberFormat="1"/>
    <xf numFmtId="0" fontId="58" fillId="0" borderId="8" xfId="0" applyFont="1" applyBorder="1" applyAlignment="1">
      <alignment horizontal="center" vertical="center" wrapText="1"/>
    </xf>
    <xf numFmtId="0" fontId="108" fillId="6" borderId="8" xfId="35" applyFill="1" applyBorder="1" applyAlignment="1">
      <alignment horizontal="center"/>
    </xf>
    <xf numFmtId="0" fontId="147" fillId="6" borderId="8" xfId="35" applyFont="1" applyFill="1" applyBorder="1" applyAlignment="1">
      <alignment horizontal="center"/>
    </xf>
    <xf numFmtId="0" fontId="70" fillId="6" borderId="8" xfId="35" applyFont="1" applyFill="1" applyBorder="1" applyAlignment="1">
      <alignment horizontal="left"/>
    </xf>
    <xf numFmtId="0" fontId="147" fillId="6" borderId="8" xfId="35" applyFont="1" applyFill="1" applyBorder="1" applyAlignment="1">
      <alignment horizontal="left"/>
    </xf>
    <xf numFmtId="14" fontId="216" fillId="2" borderId="0" xfId="0" applyNumberFormat="1" applyFont="1" applyFill="1" applyAlignment="1">
      <alignment horizontal="center" vertical="center"/>
    </xf>
    <xf numFmtId="0" fontId="113" fillId="0" borderId="0" xfId="26" applyAlignment="1">
      <alignment vertical="center"/>
    </xf>
    <xf numFmtId="1" fontId="244" fillId="6" borderId="8" xfId="7" applyNumberFormat="1" applyFont="1" applyFill="1" applyBorder="1" applyAlignment="1">
      <alignment horizontal="center" vertical="center"/>
    </xf>
    <xf numFmtId="0" fontId="64" fillId="5" borderId="8" xfId="34" applyFont="1" applyFill="1" applyBorder="1" applyAlignment="1">
      <alignment horizontal="center" vertical="center" wrapText="1"/>
    </xf>
    <xf numFmtId="0" fontId="62" fillId="5" borderId="8" xfId="34" applyFont="1" applyFill="1" applyBorder="1" applyAlignment="1">
      <alignment horizontal="center" vertical="center"/>
    </xf>
    <xf numFmtId="0" fontId="64" fillId="5" borderId="8" xfId="34" applyFont="1" applyFill="1" applyBorder="1" applyAlignment="1">
      <alignment horizontal="left" vertical="center" wrapText="1"/>
    </xf>
    <xf numFmtId="0" fontId="57" fillId="5" borderId="8" xfId="34" applyFont="1" applyFill="1" applyBorder="1" applyAlignment="1">
      <alignment horizontal="center" vertical="center" wrapText="1"/>
    </xf>
    <xf numFmtId="0" fontId="57" fillId="5" borderId="8" xfId="34" applyFont="1" applyFill="1" applyBorder="1" applyAlignment="1">
      <alignment horizontal="left" vertical="center" wrapText="1"/>
    </xf>
    <xf numFmtId="0" fontId="55" fillId="5" borderId="8" xfId="34" applyFont="1" applyFill="1" applyBorder="1" applyAlignment="1">
      <alignment horizontal="center" vertical="center" wrapText="1"/>
    </xf>
    <xf numFmtId="0" fontId="255" fillId="6" borderId="8" xfId="43" applyFont="1" applyFill="1" applyBorder="1" applyAlignment="1">
      <alignment horizontal="center" vertical="center"/>
    </xf>
    <xf numFmtId="0" fontId="172" fillId="0" borderId="0" xfId="43">
      <alignment vertical="center"/>
    </xf>
    <xf numFmtId="0" fontId="255" fillId="45" borderId="8" xfId="43" applyFont="1" applyFill="1" applyBorder="1" applyAlignment="1">
      <alignment horizontal="center" vertical="center"/>
    </xf>
    <xf numFmtId="0" fontId="255" fillId="45" borderId="8" xfId="43" applyFont="1" applyFill="1" applyBorder="1" applyAlignment="1">
      <alignment horizontal="center" vertical="center" wrapText="1"/>
    </xf>
    <xf numFmtId="0" fontId="255" fillId="0" borderId="8" xfId="43" applyFont="1" applyBorder="1" applyAlignment="1">
      <alignment horizontal="center" vertical="center"/>
    </xf>
    <xf numFmtId="0" fontId="172" fillId="0" borderId="8" xfId="43" applyBorder="1" applyAlignment="1">
      <alignment horizontal="center" vertical="top"/>
    </xf>
    <xf numFmtId="0" fontId="172" fillId="2" borderId="8" xfId="43" applyFill="1" applyBorder="1" applyAlignment="1">
      <alignment horizontal="center" vertical="center"/>
    </xf>
    <xf numFmtId="0" fontId="172" fillId="6" borderId="8" xfId="43" applyFill="1" applyBorder="1" applyAlignment="1">
      <alignment horizontal="center" vertical="center"/>
    </xf>
    <xf numFmtId="0" fontId="172" fillId="0" borderId="8" xfId="43" applyBorder="1" applyAlignment="1">
      <alignment horizontal="center" vertical="center"/>
    </xf>
    <xf numFmtId="0" fontId="189" fillId="0" borderId="8" xfId="43" applyFont="1" applyBorder="1" applyAlignment="1">
      <alignment horizontal="center" vertical="center"/>
    </xf>
    <xf numFmtId="0" fontId="255" fillId="0" borderId="44" xfId="43" applyFont="1" applyBorder="1" applyAlignment="1">
      <alignment horizontal="center" vertical="center"/>
    </xf>
    <xf numFmtId="0" fontId="172" fillId="0" borderId="0" xfId="43" applyAlignment="1">
      <alignment horizontal="center" vertical="center"/>
    </xf>
    <xf numFmtId="0" fontId="255" fillId="6" borderId="8" xfId="43" applyFont="1" applyFill="1" applyBorder="1" applyAlignment="1">
      <alignment horizontal="center" vertical="center" wrapText="1"/>
    </xf>
    <xf numFmtId="0" fontId="255" fillId="0" borderId="8" xfId="43" quotePrefix="1" applyFont="1" applyBorder="1" applyAlignment="1">
      <alignment horizontal="center" vertical="center"/>
    </xf>
    <xf numFmtId="176" fontId="0" fillId="0" borderId="8" xfId="44" applyFont="1" applyBorder="1" applyAlignment="1">
      <alignment horizontal="center" vertical="center"/>
    </xf>
    <xf numFmtId="0" fontId="172" fillId="0" borderId="8" xfId="43" applyBorder="1">
      <alignment vertical="center"/>
    </xf>
    <xf numFmtId="0" fontId="255" fillId="5" borderId="8" xfId="43" applyFont="1" applyFill="1" applyBorder="1" applyAlignment="1">
      <alignment horizontal="center" vertical="center"/>
    </xf>
    <xf numFmtId="0" fontId="190" fillId="47" borderId="8" xfId="43" quotePrefix="1" applyFont="1" applyFill="1" applyBorder="1" applyAlignment="1">
      <alignment horizontal="center" vertical="center"/>
    </xf>
    <xf numFmtId="0" fontId="172" fillId="45" borderId="8" xfId="43" applyFill="1" applyBorder="1" applyAlignment="1">
      <alignment horizontal="center" vertical="center"/>
    </xf>
    <xf numFmtId="0" fontId="0" fillId="0" borderId="8" xfId="0" applyBorder="1" applyAlignment="1">
      <alignment vertical="center" wrapText="1"/>
    </xf>
    <xf numFmtId="0" fontId="54" fillId="5" borderId="8" xfId="34" applyFont="1" applyFill="1" applyBorder="1" applyAlignment="1">
      <alignment horizontal="center" vertical="center" wrapText="1"/>
    </xf>
    <xf numFmtId="0" fontId="53" fillId="5" borderId="8" xfId="34" applyFont="1" applyFill="1" applyBorder="1" applyAlignment="1">
      <alignment horizontal="center" vertical="center"/>
    </xf>
    <xf numFmtId="0" fontId="53" fillId="5" borderId="8" xfId="34" applyFont="1" applyFill="1" applyBorder="1" applyAlignment="1">
      <alignment horizontal="center" vertical="center" wrapText="1"/>
    </xf>
    <xf numFmtId="0" fontId="83" fillId="5" borderId="8" xfId="34" applyFont="1" applyFill="1" applyBorder="1" applyAlignment="1">
      <alignment horizontal="center" vertical="center"/>
    </xf>
    <xf numFmtId="0" fontId="104" fillId="5" borderId="8" xfId="34" applyFont="1" applyFill="1" applyBorder="1" applyAlignment="1">
      <alignment horizontal="left" vertical="center" wrapText="1"/>
    </xf>
    <xf numFmtId="0" fontId="104" fillId="5" borderId="7" xfId="34" applyFont="1" applyFill="1" applyBorder="1" applyAlignment="1">
      <alignment horizontal="left" vertical="center" wrapText="1"/>
    </xf>
    <xf numFmtId="0" fontId="104" fillId="5" borderId="7" xfId="34" applyFont="1" applyFill="1" applyBorder="1" applyAlignment="1">
      <alignment vertical="center"/>
    </xf>
    <xf numFmtId="0" fontId="146" fillId="5" borderId="8" xfId="34" applyFont="1" applyFill="1" applyBorder="1"/>
    <xf numFmtId="0" fontId="104" fillId="5" borderId="33" xfId="34" applyFont="1" applyFill="1" applyBorder="1" applyAlignment="1">
      <alignment horizontal="left" vertical="center" wrapText="1"/>
    </xf>
    <xf numFmtId="0" fontId="104" fillId="5" borderId="33" xfId="34" applyFont="1" applyFill="1" applyBorder="1" applyAlignment="1">
      <alignment vertical="center"/>
    </xf>
    <xf numFmtId="0" fontId="92" fillId="5" borderId="8" xfId="34" applyFont="1" applyFill="1" applyBorder="1" applyAlignment="1">
      <alignment horizontal="center" vertical="center"/>
    </xf>
    <xf numFmtId="0" fontId="91" fillId="5" borderId="8" xfId="34" applyFont="1" applyFill="1" applyBorder="1" applyAlignment="1">
      <alignment horizontal="center" vertical="center"/>
    </xf>
    <xf numFmtId="0" fontId="91" fillId="5" borderId="8" xfId="34" applyFont="1" applyFill="1" applyBorder="1" applyAlignment="1">
      <alignment horizontal="left" vertical="center" wrapText="1"/>
    </xf>
    <xf numFmtId="0" fontId="89" fillId="5" borderId="8" xfId="34" applyFont="1" applyFill="1" applyBorder="1" applyAlignment="1">
      <alignment horizontal="center" vertical="center"/>
    </xf>
    <xf numFmtId="0" fontId="87" fillId="5" borderId="8" xfId="34" applyFont="1" applyFill="1" applyBorder="1" applyAlignment="1">
      <alignment horizontal="center" vertical="center" wrapText="1"/>
    </xf>
    <xf numFmtId="0" fontId="84" fillId="5" borderId="8" xfId="34" applyFont="1" applyFill="1" applyBorder="1" applyAlignment="1">
      <alignment horizontal="center" vertical="center" wrapText="1"/>
    </xf>
    <xf numFmtId="0" fontId="82" fillId="5" borderId="8" xfId="34" applyFont="1" applyFill="1" applyBorder="1" applyAlignment="1">
      <alignment horizontal="center" vertical="center" wrapText="1"/>
    </xf>
    <xf numFmtId="0" fontId="56" fillId="5" borderId="8" xfId="34" applyFont="1" applyFill="1" applyBorder="1" applyAlignment="1">
      <alignment horizontal="center" vertical="center" wrapText="1"/>
    </xf>
    <xf numFmtId="0" fontId="256" fillId="0" borderId="8" xfId="26" applyFont="1" applyBorder="1" applyAlignment="1">
      <alignment horizontal="center" vertical="center" wrapText="1"/>
    </xf>
    <xf numFmtId="1" fontId="256" fillId="0" borderId="8" xfId="26" applyNumberFormat="1" applyFont="1" applyBorder="1" applyAlignment="1">
      <alignment horizontal="center" vertical="center" wrapText="1"/>
    </xf>
    <xf numFmtId="1" fontId="256" fillId="32" borderId="8" xfId="26" applyNumberFormat="1" applyFont="1" applyFill="1" applyBorder="1" applyAlignment="1">
      <alignment horizontal="center" vertical="center" wrapText="1"/>
    </xf>
    <xf numFmtId="0" fontId="139" fillId="0" borderId="0" xfId="26" applyFont="1"/>
    <xf numFmtId="165" fontId="187" fillId="0" borderId="8" xfId="26" applyNumberFormat="1" applyFont="1" applyBorder="1" applyAlignment="1">
      <alignment horizontal="center" vertical="center" wrapText="1"/>
    </xf>
    <xf numFmtId="0" fontId="113" fillId="0" borderId="0" xfId="26" applyAlignment="1">
      <alignment horizontal="center"/>
    </xf>
    <xf numFmtId="0" fontId="113" fillId="0" borderId="0" xfId="26" applyAlignment="1">
      <alignment horizontal="center" vertical="center"/>
    </xf>
    <xf numFmtId="1" fontId="139" fillId="0" borderId="0" xfId="26" applyNumberFormat="1" applyFont="1" applyAlignment="1">
      <alignment horizontal="center"/>
    </xf>
    <xf numFmtId="0" fontId="139" fillId="0" borderId="0" xfId="26" applyFont="1" applyAlignment="1">
      <alignment horizontal="center"/>
    </xf>
    <xf numFmtId="43" fontId="113" fillId="0" borderId="0" xfId="32" applyFont="1" applyAlignment="1">
      <alignment horizontal="center"/>
    </xf>
    <xf numFmtId="43" fontId="212" fillId="0" borderId="0" xfId="32" applyFont="1" applyAlignment="1">
      <alignment horizontal="center"/>
    </xf>
    <xf numFmtId="0" fontId="212" fillId="0" borderId="0" xfId="26" applyFont="1" applyAlignment="1">
      <alignment horizontal="center"/>
    </xf>
    <xf numFmtId="0" fontId="51" fillId="0" borderId="0" xfId="26" applyFont="1" applyAlignment="1">
      <alignment horizontal="center"/>
    </xf>
    <xf numFmtId="0" fontId="51" fillId="0" borderId="0" xfId="26" applyFont="1" applyAlignment="1">
      <alignment horizontal="center" vertical="center"/>
    </xf>
    <xf numFmtId="0" fontId="50" fillId="0" borderId="8" xfId="0" applyFont="1" applyBorder="1"/>
    <xf numFmtId="0" fontId="50" fillId="0" borderId="8" xfId="0" applyFont="1" applyBorder="1" applyAlignment="1">
      <alignment horizontal="center"/>
    </xf>
    <xf numFmtId="0" fontId="50" fillId="0" borderId="7" xfId="0" applyFont="1" applyBorder="1"/>
    <xf numFmtId="0" fontId="146" fillId="6" borderId="8" xfId="0" applyFont="1" applyFill="1" applyBorder="1"/>
    <xf numFmtId="0" fontId="50" fillId="0" borderId="8" xfId="0" applyFont="1" applyBorder="1" applyAlignment="1">
      <alignment horizontal="left"/>
    </xf>
    <xf numFmtId="0" fontId="50" fillId="2" borderId="8" xfId="0" applyFont="1" applyFill="1" applyBorder="1" applyAlignment="1">
      <alignment horizontal="left"/>
    </xf>
    <xf numFmtId="0" fontId="146" fillId="6" borderId="8" xfId="0" applyFont="1" applyFill="1" applyBorder="1" applyAlignment="1">
      <alignment horizontal="center" vertical="center" wrapText="1"/>
    </xf>
    <xf numFmtId="0" fontId="0" fillId="0" borderId="8" xfId="0" applyBorder="1" applyAlignment="1">
      <alignment horizontal="left"/>
    </xf>
    <xf numFmtId="0" fontId="216" fillId="2" borderId="8" xfId="0" applyFont="1" applyFill="1" applyBorder="1" applyAlignment="1">
      <alignment vertical="center" wrapText="1"/>
    </xf>
    <xf numFmtId="0" fontId="52" fillId="5" borderId="8" xfId="34" applyFont="1" applyFill="1" applyBorder="1" applyAlignment="1">
      <alignment horizontal="center" vertical="center" wrapText="1"/>
    </xf>
    <xf numFmtId="0" fontId="49" fillId="5" borderId="8" xfId="34" applyFont="1" applyFill="1" applyBorder="1" applyAlignment="1">
      <alignment horizontal="center" vertical="center"/>
    </xf>
    <xf numFmtId="0" fontId="52" fillId="5" borderId="8" xfId="34" applyFont="1" applyFill="1" applyBorder="1" applyAlignment="1">
      <alignment horizontal="left" vertical="center" wrapText="1"/>
    </xf>
    <xf numFmtId="0" fontId="48" fillId="6" borderId="8" xfId="35" applyFont="1" applyFill="1" applyBorder="1"/>
    <xf numFmtId="0" fontId="169" fillId="5" borderId="8" xfId="10" applyFont="1" applyFill="1" applyBorder="1" applyAlignment="1">
      <alignment horizontal="center" vertical="center" wrapText="1"/>
    </xf>
    <xf numFmtId="0" fontId="47" fillId="5" borderId="8" xfId="34" applyFont="1" applyFill="1" applyBorder="1" applyAlignment="1">
      <alignment horizontal="center" vertical="center" wrapText="1"/>
    </xf>
    <xf numFmtId="0" fontId="47" fillId="5" borderId="8" xfId="34" applyFont="1" applyFill="1" applyBorder="1" applyAlignment="1">
      <alignment horizontal="left" vertical="center" wrapText="1"/>
    </xf>
    <xf numFmtId="0" fontId="46" fillId="6" borderId="8" xfId="74" applyFill="1" applyBorder="1" applyAlignment="1">
      <alignment horizontal="center"/>
    </xf>
    <xf numFmtId="0" fontId="46" fillId="6" borderId="8" xfId="74" applyFill="1" applyBorder="1" applyAlignment="1">
      <alignment vertical="center"/>
    </xf>
    <xf numFmtId="0" fontId="46" fillId="6" borderId="8" xfId="74" applyFill="1" applyBorder="1" applyAlignment="1">
      <alignment horizontal="center" vertical="center"/>
    </xf>
    <xf numFmtId="0" fontId="147" fillId="6" borderId="8" xfId="74" applyFont="1" applyFill="1" applyBorder="1" applyAlignment="1">
      <alignment horizontal="center"/>
    </xf>
    <xf numFmtId="0" fontId="46" fillId="24" borderId="8" xfId="74" applyFill="1" applyBorder="1" applyAlignment="1">
      <alignment horizontal="center" vertical="center"/>
    </xf>
    <xf numFmtId="0" fontId="46" fillId="24" borderId="8" xfId="74" applyFill="1" applyBorder="1" applyAlignment="1">
      <alignment horizontal="center"/>
    </xf>
    <xf numFmtId="0" fontId="46" fillId="6" borderId="8" xfId="74" applyFill="1" applyBorder="1"/>
    <xf numFmtId="0" fontId="45"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181" fillId="5" borderId="8" xfId="43" applyFont="1" applyFill="1" applyBorder="1" applyAlignment="1">
      <alignment horizontal="center" vertical="center"/>
    </xf>
    <xf numFmtId="0" fontId="172" fillId="0" borderId="8" xfId="43" applyBorder="1" applyAlignment="1">
      <alignment horizontal="left" vertical="center"/>
    </xf>
    <xf numFmtId="0" fontId="104" fillId="6" borderId="8" xfId="34" applyFont="1" applyFill="1" applyBorder="1" applyAlignment="1">
      <alignment horizontal="center" vertical="center"/>
    </xf>
    <xf numFmtId="0" fontId="52" fillId="6" borderId="8" xfId="34" applyFont="1" applyFill="1" applyBorder="1" applyAlignment="1">
      <alignment horizontal="center" vertical="center" wrapText="1"/>
    </xf>
    <xf numFmtId="14" fontId="104" fillId="6" borderId="8" xfId="34" applyNumberFormat="1" applyFont="1" applyFill="1" applyBorder="1" applyAlignment="1">
      <alignment horizontal="center" vertical="center"/>
    </xf>
    <xf numFmtId="0" fontId="43" fillId="6" borderId="8" xfId="34" applyFont="1" applyFill="1" applyBorder="1" applyAlignment="1">
      <alignment horizontal="center" vertical="center"/>
    </xf>
    <xf numFmtId="0" fontId="43" fillId="6" borderId="8" xfId="34" applyFont="1" applyFill="1" applyBorder="1" applyAlignment="1">
      <alignment horizontal="center" vertical="center" wrapText="1"/>
    </xf>
    <xf numFmtId="0" fontId="47" fillId="6" borderId="8" xfId="34" applyFont="1" applyFill="1" applyBorder="1" applyAlignment="1">
      <alignment horizontal="left" vertical="center" wrapText="1"/>
    </xf>
    <xf numFmtId="0" fontId="104" fillId="6" borderId="8" xfId="34" applyFont="1" applyFill="1" applyBorder="1" applyAlignment="1">
      <alignment vertical="center"/>
    </xf>
    <xf numFmtId="0" fontId="169" fillId="5" borderId="8" xfId="0" applyFont="1" applyFill="1" applyBorder="1" applyAlignment="1">
      <alignment horizontal="center" vertical="center"/>
    </xf>
    <xf numFmtId="16" fontId="169" fillId="5" borderId="8" xfId="0" quotePrefix="1" applyNumberFormat="1" applyFont="1" applyFill="1" applyBorder="1" applyAlignment="1">
      <alignment horizontal="center" vertical="center"/>
    </xf>
    <xf numFmtId="43" fontId="169" fillId="5" borderId="8" xfId="32" applyFont="1" applyFill="1" applyBorder="1" applyAlignment="1">
      <alignment horizontal="center" vertical="center"/>
    </xf>
    <xf numFmtId="175" fontId="169" fillId="5" borderId="8" xfId="0" applyNumberFormat="1" applyFont="1" applyFill="1" applyBorder="1" applyAlignment="1">
      <alignment horizontal="center" vertical="center"/>
    </xf>
    <xf numFmtId="0" fontId="42" fillId="24" borderId="8" xfId="74" applyFont="1" applyFill="1" applyBorder="1"/>
    <xf numFmtId="0" fontId="61" fillId="6" borderId="8" xfId="35" applyFont="1" applyFill="1" applyBorder="1" applyAlignment="1">
      <alignment horizontal="left"/>
    </xf>
    <xf numFmtId="0" fontId="41" fillId="6" borderId="8" xfId="35" applyFont="1" applyFill="1" applyBorder="1"/>
    <xf numFmtId="1" fontId="187" fillId="0" borderId="8" xfId="26" quotePrefix="1" applyNumberFormat="1" applyFont="1" applyBorder="1" applyAlignment="1">
      <alignment horizontal="center" vertical="center" wrapText="1"/>
    </xf>
    <xf numFmtId="9" fontId="187" fillId="0" borderId="8" xfId="1" quotePrefix="1" applyFont="1" applyBorder="1" applyAlignment="1">
      <alignment horizontal="center" vertical="center" wrapText="1"/>
    </xf>
    <xf numFmtId="9" fontId="187" fillId="0" borderId="8" xfId="26" quotePrefix="1" applyNumberFormat="1" applyFont="1" applyBorder="1" applyAlignment="1">
      <alignment horizontal="center" vertical="center" wrapText="1"/>
    </xf>
    <xf numFmtId="0" fontId="40" fillId="6" borderId="8" xfId="35" applyFont="1" applyFill="1" applyBorder="1" applyAlignment="1">
      <alignment horizontal="left"/>
    </xf>
    <xf numFmtId="0" fontId="217" fillId="2" borderId="8" xfId="0" applyFont="1" applyFill="1" applyBorder="1" applyAlignment="1">
      <alignment vertical="center" wrapText="1"/>
    </xf>
    <xf numFmtId="0" fontId="40" fillId="6" borderId="8" xfId="74" applyFont="1" applyFill="1" applyBorder="1" applyAlignment="1">
      <alignment horizontal="center"/>
    </xf>
    <xf numFmtId="0" fontId="187" fillId="0" borderId="8" xfId="26" applyFont="1" applyBorder="1" applyAlignment="1">
      <alignment horizontal="center" vertical="center"/>
    </xf>
    <xf numFmtId="0" fontId="39" fillId="6" borderId="8" xfId="74" applyFont="1" applyFill="1" applyBorder="1"/>
    <xf numFmtId="0" fontId="39" fillId="6" borderId="8" xfId="74" applyFont="1" applyFill="1" applyBorder="1" applyAlignment="1">
      <alignment horizontal="center" vertical="center"/>
    </xf>
    <xf numFmtId="165" fontId="256" fillId="0" borderId="8" xfId="26" applyNumberFormat="1" applyFont="1" applyBorder="1" applyAlignment="1">
      <alignment horizontal="center" vertical="center" wrapText="1"/>
    </xf>
    <xf numFmtId="165" fontId="169" fillId="0" borderId="8" xfId="26" applyNumberFormat="1" applyFont="1" applyBorder="1" applyAlignment="1">
      <alignment horizontal="center" vertical="center" wrapText="1"/>
    </xf>
    <xf numFmtId="0" fontId="38" fillId="6" borderId="8" xfId="74" applyFont="1" applyFill="1" applyBorder="1"/>
    <xf numFmtId="0" fontId="37" fillId="6" borderId="8" xfId="35" applyFont="1" applyFill="1" applyBorder="1" applyAlignment="1">
      <alignment horizontal="center"/>
    </xf>
    <xf numFmtId="0" fontId="169" fillId="2" borderId="8" xfId="0" applyFont="1" applyFill="1" applyBorder="1" applyAlignment="1">
      <alignment horizontal="center" vertical="center"/>
    </xf>
    <xf numFmtId="0" fontId="169" fillId="2" borderId="0" xfId="10" applyFont="1" applyFill="1" applyAlignment="1">
      <alignment horizontal="center" vertical="center"/>
    </xf>
    <xf numFmtId="0" fontId="169" fillId="2" borderId="8" xfId="0" applyFont="1" applyFill="1" applyBorder="1" applyAlignment="1">
      <alignment vertical="center" wrapText="1"/>
    </xf>
    <xf numFmtId="0" fontId="36" fillId="6" borderId="8" xfId="74" applyFont="1" applyFill="1" applyBorder="1"/>
    <xf numFmtId="0" fontId="36" fillId="6" borderId="8" xfId="74" applyFont="1" applyFill="1" applyBorder="1" applyAlignment="1">
      <alignment horizontal="center" vertical="center"/>
    </xf>
    <xf numFmtId="165" fontId="187" fillId="32" borderId="8" xfId="26" applyNumberFormat="1" applyFont="1" applyFill="1" applyBorder="1" applyAlignment="1">
      <alignment horizontal="center" wrapText="1"/>
    </xf>
    <xf numFmtId="165" fontId="256" fillId="32" borderId="8" xfId="26" applyNumberFormat="1" applyFont="1" applyFill="1" applyBorder="1" applyAlignment="1">
      <alignment horizontal="center" vertical="center" wrapText="1"/>
    </xf>
    <xf numFmtId="43" fontId="212" fillId="0" borderId="0" xfId="32" applyFont="1" applyAlignment="1">
      <alignment horizontal="center" vertical="center"/>
    </xf>
    <xf numFmtId="0" fontId="212" fillId="0" borderId="0" xfId="26" applyFont="1" applyAlignment="1">
      <alignment horizontal="center" vertical="center"/>
    </xf>
    <xf numFmtId="0" fontId="212" fillId="0" borderId="0" xfId="26" applyFont="1" applyAlignment="1">
      <alignment vertic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34" fillId="6" borderId="8" xfId="34" applyFont="1" applyFill="1" applyBorder="1" applyAlignment="1">
      <alignment horizontal="center" vertical="center"/>
    </xf>
    <xf numFmtId="0" fontId="34" fillId="6" borderId="8" xfId="35" applyFont="1" applyFill="1" applyBorder="1" applyAlignment="1">
      <alignment horizontal="center"/>
    </xf>
    <xf numFmtId="0" fontId="216" fillId="5" borderId="33" xfId="0" applyFont="1" applyFill="1" applyBorder="1" applyAlignment="1">
      <alignment horizontal="center" vertical="center"/>
    </xf>
    <xf numFmtId="0" fontId="33" fillId="6" borderId="8" xfId="34" applyFont="1" applyFill="1" applyBorder="1" applyAlignment="1">
      <alignment horizontal="center" vertical="center" wrapText="1"/>
    </xf>
    <xf numFmtId="0" fontId="32" fillId="0" borderId="8" xfId="0" applyFont="1" applyBorder="1" applyAlignment="1">
      <alignment horizontal="center" vertical="center"/>
    </xf>
    <xf numFmtId="15" fontId="146" fillId="0" borderId="8" xfId="35" applyNumberFormat="1" applyFont="1" applyBorder="1" applyAlignment="1">
      <alignment horizontal="center"/>
    </xf>
    <xf numFmtId="0" fontId="30" fillId="6" borderId="8" xfId="74" applyFont="1" applyFill="1" applyBorder="1"/>
    <xf numFmtId="0" fontId="30" fillId="6" borderId="8" xfId="74" applyFont="1" applyFill="1" applyBorder="1" applyAlignment="1">
      <alignment horizontal="center" vertical="center"/>
    </xf>
    <xf numFmtId="0" fontId="30" fillId="6" borderId="8" xfId="35" applyFont="1" applyFill="1" applyBorder="1"/>
    <xf numFmtId="1" fontId="113" fillId="0" borderId="0" xfId="26" applyNumberFormat="1"/>
    <xf numFmtId="0" fontId="29" fillId="6" borderId="8" xfId="74" applyFont="1" applyFill="1" applyBorder="1" applyAlignment="1">
      <alignment vertical="center"/>
    </xf>
    <xf numFmtId="0" fontId="29" fillId="6" borderId="8" xfId="74" applyFont="1" applyFill="1" applyBorder="1"/>
    <xf numFmtId="0" fontId="28" fillId="6" borderId="8" xfId="35" applyFont="1" applyFill="1" applyBorder="1"/>
    <xf numFmtId="0" fontId="27" fillId="6" borderId="8" xfId="35" applyFont="1" applyFill="1" applyBorder="1"/>
    <xf numFmtId="0" fontId="26" fillId="6" borderId="8" xfId="74" applyFont="1" applyFill="1" applyBorder="1" applyAlignment="1">
      <alignment horizontal="center" vertical="center"/>
    </xf>
    <xf numFmtId="0" fontId="249" fillId="2" borderId="8" xfId="0" applyFont="1" applyFill="1" applyBorder="1" applyAlignment="1">
      <alignment vertical="center"/>
    </xf>
    <xf numFmtId="16" fontId="216" fillId="6" borderId="8" xfId="0" quotePrefix="1" applyNumberFormat="1" applyFont="1" applyFill="1" applyBorder="1" applyAlignment="1">
      <alignment horizontal="center" vertical="center"/>
    </xf>
    <xf numFmtId="43" fontId="216" fillId="6" borderId="8" xfId="32" applyFont="1" applyFill="1" applyBorder="1" applyAlignment="1">
      <alignment horizontal="center" vertical="center"/>
    </xf>
    <xf numFmtId="0" fontId="216" fillId="6" borderId="8" xfId="0" applyFont="1" applyFill="1" applyBorder="1" applyAlignment="1">
      <alignment horizontal="left" vertical="center" wrapText="1"/>
    </xf>
    <xf numFmtId="0" fontId="34"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25" fillId="5" borderId="8" xfId="34" applyFont="1" applyFill="1" applyBorder="1" applyAlignment="1">
      <alignment horizontal="left" vertical="center" wrapText="1"/>
    </xf>
    <xf numFmtId="0" fontId="169" fillId="0" borderId="8" xfId="10" applyFont="1" applyBorder="1" applyAlignment="1">
      <alignment horizontal="center" vertical="center"/>
    </xf>
    <xf numFmtId="0" fontId="170" fillId="0" borderId="8" xfId="10" applyFont="1" applyBorder="1" applyAlignment="1">
      <alignment horizontal="center" vertical="center"/>
    </xf>
    <xf numFmtId="0" fontId="170" fillId="2" borderId="8" xfId="10" applyFont="1" applyFill="1" applyBorder="1" applyAlignment="1">
      <alignment horizontal="center" vertical="center"/>
    </xf>
    <xf numFmtId="0" fontId="170" fillId="2" borderId="8" xfId="10" applyFont="1" applyFill="1" applyBorder="1" applyAlignment="1">
      <alignment horizontal="center" vertical="center" wrapText="1"/>
    </xf>
    <xf numFmtId="165" fontId="169" fillId="2" borderId="8" xfId="10" applyNumberFormat="1" applyFont="1" applyFill="1" applyBorder="1" applyAlignment="1">
      <alignment horizontal="center" vertical="center"/>
    </xf>
    <xf numFmtId="14" fontId="216" fillId="2" borderId="8" xfId="0" applyNumberFormat="1" applyFont="1" applyFill="1" applyBorder="1" applyAlignment="1">
      <alignment horizontal="center" vertical="center" wrapText="1"/>
    </xf>
    <xf numFmtId="14" fontId="169" fillId="2" borderId="8" xfId="10" applyNumberFormat="1" applyFont="1" applyFill="1" applyBorder="1" applyAlignment="1">
      <alignment horizontal="center" vertical="center"/>
    </xf>
    <xf numFmtId="0" fontId="46" fillId="30" borderId="8" xfId="74" applyFill="1" applyBorder="1" applyAlignment="1">
      <alignment horizontal="center" vertical="center"/>
    </xf>
    <xf numFmtId="0" fontId="24" fillId="30" borderId="8" xfId="74" applyFont="1" applyFill="1" applyBorder="1"/>
    <xf numFmtId="0" fontId="25" fillId="30" borderId="8" xfId="74" applyFont="1" applyFill="1" applyBorder="1" applyAlignment="1">
      <alignment horizontal="center" vertical="center"/>
    </xf>
    <xf numFmtId="0" fontId="46" fillId="30" borderId="8" xfId="74" applyFill="1" applyBorder="1" applyAlignment="1">
      <alignment horizontal="center"/>
    </xf>
    <xf numFmtId="0" fontId="23" fillId="6" borderId="8" xfId="35" applyFont="1" applyFill="1" applyBorder="1"/>
    <xf numFmtId="0" fontId="22" fillId="0" borderId="8" xfId="0" applyFont="1" applyBorder="1" applyAlignment="1">
      <alignment horizontal="center" vertical="center"/>
    </xf>
    <xf numFmtId="0" fontId="26" fillId="5" borderId="8" xfId="0" applyFont="1" applyFill="1" applyBorder="1" applyAlignment="1">
      <alignment horizontal="center" vertical="center"/>
    </xf>
    <xf numFmtId="0" fontId="30" fillId="5" borderId="8" xfId="0" applyFont="1" applyFill="1" applyBorder="1" applyAlignment="1">
      <alignment horizontal="center" vertical="center"/>
    </xf>
    <xf numFmtId="0" fontId="21" fillId="6" borderId="8" xfId="74" applyFont="1" applyFill="1" applyBorder="1"/>
    <xf numFmtId="0" fontId="169" fillId="2" borderId="8" xfId="10" applyFont="1" applyFill="1" applyBorder="1" applyAlignment="1">
      <alignment horizontal="center" vertical="center"/>
    </xf>
    <xf numFmtId="0" fontId="21" fillId="5" borderId="8" xfId="34" applyFont="1" applyFill="1" applyBorder="1" applyAlignment="1">
      <alignment horizontal="center" vertical="center" wrapText="1"/>
    </xf>
    <xf numFmtId="0" fontId="20" fillId="5" borderId="8" xfId="34" applyFont="1" applyFill="1" applyBorder="1" applyAlignment="1">
      <alignment horizontal="left" vertical="center" wrapText="1"/>
    </xf>
    <xf numFmtId="0" fontId="104" fillId="2" borderId="8" xfId="34" applyFont="1" applyFill="1" applyBorder="1" applyAlignment="1">
      <alignment horizontal="center" vertical="center"/>
    </xf>
    <xf numFmtId="14" fontId="104" fillId="2" borderId="8" xfId="34" applyNumberFormat="1" applyFont="1" applyFill="1" applyBorder="1" applyAlignment="1">
      <alignment horizontal="center" vertical="center"/>
    </xf>
    <xf numFmtId="0" fontId="104" fillId="2" borderId="8" xfId="34" applyFont="1" applyFill="1" applyBorder="1" applyAlignment="1">
      <alignment vertical="center"/>
    </xf>
    <xf numFmtId="0" fontId="19" fillId="2" borderId="8" xfId="34" applyFont="1" applyFill="1" applyBorder="1" applyAlignment="1">
      <alignment horizontal="center" vertical="center"/>
    </xf>
    <xf numFmtId="0" fontId="18" fillId="6" borderId="8" xfId="35" applyFont="1" applyFill="1" applyBorder="1"/>
    <xf numFmtId="0" fontId="17" fillId="2" borderId="8" xfId="34" applyFont="1" applyFill="1" applyBorder="1" applyAlignment="1">
      <alignment horizontal="center" vertical="center" wrapText="1"/>
    </xf>
    <xf numFmtId="0" fontId="17" fillId="2" borderId="8" xfId="34" applyFont="1" applyFill="1" applyBorder="1" applyAlignment="1">
      <alignment horizontal="left" vertical="center" wrapText="1"/>
    </xf>
    <xf numFmtId="9" fontId="139" fillId="0" borderId="0" xfId="1" applyFont="1" applyAlignment="1">
      <alignment horizontal="center"/>
    </xf>
    <xf numFmtId="14" fontId="0" fillId="0" borderId="8" xfId="0" applyNumberFormat="1" applyBorder="1" applyAlignment="1">
      <alignment horizontal="center"/>
    </xf>
    <xf numFmtId="16" fontId="16" fillId="0" borderId="8" xfId="0" quotePrefix="1" applyNumberFormat="1" applyFont="1" applyBorder="1" applyAlignment="1">
      <alignment horizontal="center"/>
    </xf>
    <xf numFmtId="0" fontId="104" fillId="43" borderId="8" xfId="34" applyFont="1" applyFill="1" applyBorder="1" applyAlignment="1">
      <alignment horizontal="center" vertical="center"/>
    </xf>
    <xf numFmtId="0" fontId="15" fillId="43" borderId="8" xfId="34" applyFont="1" applyFill="1" applyBorder="1" applyAlignment="1">
      <alignment horizontal="center" vertical="center" wrapText="1"/>
    </xf>
    <xf numFmtId="14" fontId="104" fillId="43" borderId="8" xfId="34" applyNumberFormat="1" applyFont="1" applyFill="1" applyBorder="1" applyAlignment="1">
      <alignment horizontal="center" vertical="center"/>
    </xf>
    <xf numFmtId="0" fontId="14" fillId="43" borderId="8" xfId="34" applyFont="1" applyFill="1" applyBorder="1" applyAlignment="1">
      <alignment horizontal="center" vertical="center"/>
    </xf>
    <xf numFmtId="0" fontId="15" fillId="43" borderId="8" xfId="34" applyFont="1" applyFill="1" applyBorder="1" applyAlignment="1">
      <alignment horizontal="left" vertical="center" wrapText="1"/>
    </xf>
    <xf numFmtId="0" fontId="104" fillId="43" borderId="8" xfId="34" applyFont="1" applyFill="1" applyBorder="1" applyAlignment="1">
      <alignment vertical="center"/>
    </xf>
    <xf numFmtId="0" fontId="260" fillId="31" borderId="8" xfId="26" applyFont="1" applyFill="1" applyBorder="1" applyAlignment="1">
      <alignment horizontal="center"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3" fillId="5" borderId="8" xfId="34" applyFont="1" applyFill="1" applyBorder="1" applyAlignment="1">
      <alignment horizontal="left" vertical="center" wrapText="1"/>
    </xf>
    <xf numFmtId="0" fontId="44" fillId="6" borderId="8" xfId="35" applyFont="1" applyFill="1" applyBorder="1" applyAlignment="1">
      <alignment horizontal="center" vertical="center"/>
    </xf>
    <xf numFmtId="0" fontId="11" fillId="6" borderId="8" xfId="35" applyFont="1" applyFill="1" applyBorder="1" applyAlignment="1">
      <alignment horizontal="center"/>
    </xf>
    <xf numFmtId="0" fontId="146" fillId="0" borderId="8" xfId="83" applyFont="1" applyBorder="1" applyAlignment="1">
      <alignment horizontal="center" vertical="center" wrapText="1"/>
    </xf>
    <xf numFmtId="0" fontId="11" fillId="0" borderId="0" xfId="83"/>
    <xf numFmtId="0" fontId="11" fillId="0" borderId="8" xfId="83" applyBorder="1" applyAlignment="1">
      <alignment horizontal="center"/>
    </xf>
    <xf numFmtId="0" fontId="11" fillId="0" borderId="8" xfId="83" applyBorder="1"/>
    <xf numFmtId="0" fontId="146" fillId="0" borderId="8" xfId="83" applyFont="1" applyBorder="1" applyAlignment="1">
      <alignment horizontal="center"/>
    </xf>
    <xf numFmtId="0" fontId="146" fillId="0" borderId="8" xfId="83" applyFont="1" applyBorder="1"/>
    <xf numFmtId="0" fontId="11" fillId="0" borderId="0" xfId="83" applyAlignment="1">
      <alignment horizontal="center"/>
    </xf>
    <xf numFmtId="14" fontId="0" fillId="49" borderId="8" xfId="0" applyNumberFormat="1" applyFill="1" applyBorder="1" applyAlignment="1">
      <alignment horizontal="center" vertical="center"/>
    </xf>
    <xf numFmtId="14" fontId="152" fillId="49" borderId="8" xfId="0" applyNumberFormat="1" applyFont="1" applyFill="1" applyBorder="1" applyAlignment="1">
      <alignment horizontal="center" vertical="center"/>
    </xf>
    <xf numFmtId="14" fontId="152" fillId="48" borderId="8" xfId="0" applyNumberFormat="1" applyFont="1" applyFill="1" applyBorder="1" applyAlignment="1">
      <alignment horizontal="center" vertical="center"/>
    </xf>
    <xf numFmtId="14" fontId="0" fillId="49" borderId="8" xfId="0" applyNumberFormat="1" applyFill="1" applyBorder="1" applyAlignment="1">
      <alignment horizontal="center"/>
    </xf>
    <xf numFmtId="14" fontId="0" fillId="0" borderId="0" xfId="0" applyNumberFormat="1" applyAlignment="1">
      <alignment horizontal="center"/>
    </xf>
    <xf numFmtId="0" fontId="216" fillId="45" borderId="8" xfId="0" quotePrefix="1" applyFont="1" applyFill="1" applyBorder="1" applyAlignment="1">
      <alignment horizontal="center" vertical="center"/>
    </xf>
    <xf numFmtId="0" fontId="10" fillId="0" borderId="8" xfId="83" applyFont="1" applyBorder="1" applyAlignment="1">
      <alignment horizontal="center"/>
    </xf>
    <xf numFmtId="0" fontId="12"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10" fillId="6" borderId="8" xfId="74" applyFont="1" applyFill="1" applyBorder="1"/>
    <xf numFmtId="0" fontId="10" fillId="6" borderId="8" xfId="35" applyFont="1" applyFill="1" applyBorder="1" applyAlignment="1">
      <alignment horizontal="center" vertical="center"/>
    </xf>
    <xf numFmtId="0" fontId="10" fillId="6" borderId="0" xfId="35" applyFont="1" applyFill="1"/>
    <xf numFmtId="0" fontId="31" fillId="6" borderId="8" xfId="35" applyFont="1" applyFill="1" applyBorder="1" applyAlignment="1">
      <alignment horizontal="center" vertical="center"/>
    </xf>
    <xf numFmtId="0" fontId="95" fillId="6" borderId="8" xfId="35" applyFont="1" applyFill="1" applyBorder="1" applyAlignment="1">
      <alignment horizontal="center" vertical="center"/>
    </xf>
    <xf numFmtId="0" fontId="48" fillId="6" borderId="8" xfId="35" applyFont="1" applyFill="1" applyBorder="1" applyAlignment="1">
      <alignment horizontal="center"/>
    </xf>
    <xf numFmtId="0" fontId="70" fillId="6" borderId="8" xfId="35" applyFont="1" applyFill="1" applyBorder="1" applyAlignment="1">
      <alignment horizontal="center" vertical="center"/>
    </xf>
    <xf numFmtId="1" fontId="187" fillId="32" borderId="8" xfId="26" applyNumberFormat="1" applyFont="1" applyFill="1" applyBorder="1" applyAlignment="1">
      <alignment horizontal="center" wrapText="1"/>
    </xf>
    <xf numFmtId="0" fontId="9" fillId="0" borderId="8" xfId="83" applyFont="1" applyBorder="1" applyAlignment="1">
      <alignment horizontal="center"/>
    </xf>
    <xf numFmtId="0" fontId="216" fillId="0" borderId="8" xfId="0" applyFont="1" applyBorder="1" applyAlignment="1">
      <alignment vertical="center"/>
    </xf>
    <xf numFmtId="0" fontId="216" fillId="0" borderId="8" xfId="0" applyFont="1" applyBorder="1" applyAlignment="1">
      <alignment horizontal="center" vertical="center"/>
    </xf>
    <xf numFmtId="0" fontId="7" fillId="0" borderId="8" xfId="83" applyFont="1" applyBorder="1" applyAlignment="1">
      <alignment horizontal="center"/>
    </xf>
    <xf numFmtId="0" fontId="5" fillId="0" borderId="8" xfId="0" applyFont="1" applyBorder="1" applyAlignment="1">
      <alignment horizontal="center" vertical="center"/>
    </xf>
    <xf numFmtId="0" fontId="5" fillId="0" borderId="8" xfId="0" applyFont="1" applyBorder="1" applyAlignment="1">
      <alignment horizontal="center" vertical="center" wrapText="1"/>
    </xf>
    <xf numFmtId="0" fontId="5" fillId="0" borderId="8" xfId="0" applyFont="1" applyBorder="1" applyAlignment="1">
      <alignment horizontal="center" wrapText="1"/>
    </xf>
    <xf numFmtId="16" fontId="216" fillId="0" borderId="8" xfId="0" quotePrefix="1" applyNumberFormat="1" applyFont="1" applyBorder="1" applyAlignment="1">
      <alignment horizontal="center" vertical="center"/>
    </xf>
    <xf numFmtId="2" fontId="216" fillId="0" borderId="8" xfId="0" applyNumberFormat="1" applyFont="1" applyBorder="1" applyAlignment="1">
      <alignment horizontal="center" vertical="center"/>
    </xf>
    <xf numFmtId="43" fontId="216" fillId="0" borderId="8" xfId="32" applyFont="1" applyFill="1" applyBorder="1" applyAlignment="1">
      <alignment horizontal="center" vertical="center"/>
    </xf>
    <xf numFmtId="175" fontId="216" fillId="0" borderId="8" xfId="0" applyNumberFormat="1" applyFont="1" applyBorder="1" applyAlignment="1">
      <alignment horizontal="center" vertical="center"/>
    </xf>
    <xf numFmtId="0" fontId="249" fillId="0" borderId="8" xfId="0" applyFont="1" applyBorder="1" applyAlignment="1">
      <alignment vertical="center"/>
    </xf>
    <xf numFmtId="0" fontId="10"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6"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216" fillId="37" borderId="8" xfId="0" applyFont="1" applyFill="1" applyBorder="1" applyAlignment="1">
      <alignment horizontal="left" vertical="center" wrapText="1"/>
    </xf>
    <xf numFmtId="0" fontId="104" fillId="0" borderId="8" xfId="34" applyFont="1" applyBorder="1" applyAlignment="1">
      <alignment horizontal="center" vertical="center"/>
    </xf>
    <xf numFmtId="0" fontId="12" fillId="0" borderId="8" xfId="34" applyFont="1" applyBorder="1" applyAlignment="1">
      <alignment horizontal="center" vertical="center" wrapText="1"/>
    </xf>
    <xf numFmtId="14" fontId="104" fillId="0" borderId="8" xfId="34" applyNumberFormat="1" applyFont="1" applyBorder="1" applyAlignment="1">
      <alignment horizontal="center" vertical="center"/>
    </xf>
    <xf numFmtId="0" fontId="20" fillId="0" borderId="8" xfId="34" applyFont="1" applyBorder="1" applyAlignment="1">
      <alignment horizontal="left" vertical="center" wrapText="1"/>
    </xf>
    <xf numFmtId="0" fontId="104" fillId="0" borderId="8" xfId="34" applyFont="1" applyBorder="1" applyAlignment="1">
      <alignment vertical="center"/>
    </xf>
    <xf numFmtId="0" fontId="261" fillId="0" borderId="8" xfId="0" applyFont="1" applyBorder="1" applyAlignment="1">
      <alignment horizontal="center"/>
    </xf>
    <xf numFmtId="0" fontId="263" fillId="0" borderId="0" xfId="0" applyFont="1"/>
    <xf numFmtId="0" fontId="262" fillId="2" borderId="8" xfId="0" applyFont="1" applyFill="1" applyBorder="1" applyAlignment="1">
      <alignment horizontal="center" vertical="center"/>
    </xf>
    <xf numFmtId="0" fontId="262" fillId="0" borderId="8" xfId="0" applyFont="1" applyBorder="1" applyAlignment="1">
      <alignment horizontal="center" vertical="center"/>
    </xf>
    <xf numFmtId="0" fontId="263" fillId="0" borderId="8" xfId="0" applyFont="1" applyBorder="1" applyAlignment="1">
      <alignment horizontal="center" vertical="center"/>
    </xf>
    <xf numFmtId="14" fontId="263" fillId="0" borderId="8" xfId="0" applyNumberFormat="1" applyFont="1" applyBorder="1" applyAlignment="1">
      <alignment horizontal="center" vertical="center"/>
    </xf>
    <xf numFmtId="0" fontId="263" fillId="0" borderId="8" xfId="0" applyFont="1" applyBorder="1" applyAlignment="1">
      <alignment horizontal="center"/>
    </xf>
    <xf numFmtId="43" fontId="263" fillId="0" borderId="8" xfId="32" applyFont="1" applyBorder="1" applyAlignment="1">
      <alignment horizontal="center"/>
    </xf>
    <xf numFmtId="14" fontId="263" fillId="0" borderId="8" xfId="0" applyNumberFormat="1" applyFont="1" applyBorder="1" applyAlignment="1">
      <alignment horizontal="center"/>
    </xf>
    <xf numFmtId="0" fontId="261" fillId="37" borderId="8" xfId="0" applyFont="1" applyFill="1" applyBorder="1" applyAlignment="1">
      <alignment horizontal="center"/>
    </xf>
    <xf numFmtId="43" fontId="263" fillId="0" borderId="8" xfId="32" applyFont="1" applyBorder="1" applyAlignment="1">
      <alignment horizontal="center" vertical="center"/>
    </xf>
    <xf numFmtId="0" fontId="263" fillId="0" borderId="8" xfId="0" quotePrefix="1" applyFont="1" applyBorder="1" applyAlignment="1">
      <alignment horizontal="center" vertical="center"/>
    </xf>
    <xf numFmtId="1" fontId="261" fillId="0" borderId="8" xfId="0" applyNumberFormat="1" applyFont="1" applyBorder="1" applyAlignment="1">
      <alignment horizontal="center"/>
    </xf>
    <xf numFmtId="0" fontId="3" fillId="0" borderId="0" xfId="26" applyFont="1"/>
    <xf numFmtId="2" fontId="211" fillId="0" borderId="0" xfId="26" applyNumberFormat="1" applyFont="1"/>
    <xf numFmtId="0" fontId="211" fillId="0" borderId="0" xfId="26" applyFont="1"/>
    <xf numFmtId="1" fontId="211" fillId="0" borderId="0" xfId="26" applyNumberFormat="1" applyFont="1"/>
    <xf numFmtId="0" fontId="3" fillId="0" borderId="0" xfId="26" applyFont="1" applyAlignment="1">
      <alignment horizontal="center"/>
    </xf>
    <xf numFmtId="0" fontId="263" fillId="0" borderId="8" xfId="0" applyFont="1" applyBorder="1"/>
    <xf numFmtId="0" fontId="264" fillId="0" borderId="0" xfId="0" applyFont="1" applyAlignment="1">
      <alignment horizontal="center" vertical="center" wrapText="1"/>
    </xf>
    <xf numFmtId="0" fontId="263" fillId="0" borderId="0" xfId="0" applyFont="1" applyAlignment="1">
      <alignment horizontal="center"/>
    </xf>
    <xf numFmtId="0" fontId="261" fillId="0" borderId="0" xfId="0" applyFont="1" applyAlignment="1">
      <alignment horizontal="center"/>
    </xf>
    <xf numFmtId="0" fontId="263" fillId="0" borderId="7" xfId="0" applyFont="1" applyBorder="1" applyAlignment="1">
      <alignment horizontal="center" vertical="center"/>
    </xf>
    <xf numFmtId="0" fontId="216" fillId="50" borderId="8" xfId="0" applyFont="1" applyFill="1" applyBorder="1" applyAlignment="1">
      <alignment horizontal="left" vertical="center" wrapText="1"/>
    </xf>
    <xf numFmtId="0" fontId="249" fillId="50" borderId="8" xfId="0" applyFont="1" applyFill="1" applyBorder="1" applyAlignment="1">
      <alignment horizontal="left" vertical="center" wrapText="1"/>
    </xf>
    <xf numFmtId="0" fontId="216" fillId="50" borderId="8" xfId="0" applyFont="1" applyFill="1" applyBorder="1" applyAlignment="1">
      <alignment horizontal="center" vertical="center"/>
    </xf>
    <xf numFmtId="0" fontId="2" fillId="50" borderId="8" xfId="0" applyFont="1" applyFill="1" applyBorder="1" applyAlignment="1">
      <alignment horizontal="center" vertical="center" wrapText="1"/>
    </xf>
    <xf numFmtId="0" fontId="2" fillId="0" borderId="8" xfId="34" applyFont="1" applyBorder="1" applyAlignment="1">
      <alignment horizontal="center" vertical="center" wrapText="1"/>
    </xf>
    <xf numFmtId="0" fontId="11" fillId="50" borderId="8" xfId="83" applyFill="1" applyBorder="1" applyAlignment="1">
      <alignment horizontal="center"/>
    </xf>
    <xf numFmtId="0" fontId="2" fillId="50" borderId="8" xfId="83" applyFont="1" applyFill="1" applyBorder="1" applyAlignment="1">
      <alignment horizontal="center"/>
    </xf>
    <xf numFmtId="0" fontId="216" fillId="50" borderId="8" xfId="0" applyFont="1" applyFill="1" applyBorder="1" applyAlignment="1">
      <alignment vertical="center" wrapText="1"/>
    </xf>
    <xf numFmtId="0" fontId="261" fillId="50" borderId="8" xfId="0" applyFont="1" applyFill="1" applyBorder="1" applyAlignment="1">
      <alignment horizontal="center"/>
    </xf>
    <xf numFmtId="0" fontId="263" fillId="50" borderId="8" xfId="0" applyFont="1" applyFill="1" applyBorder="1" applyAlignment="1">
      <alignment horizontal="center"/>
    </xf>
    <xf numFmtId="0" fontId="4" fillId="50" borderId="8" xfId="0" applyFont="1" applyFill="1" applyBorder="1" applyAlignment="1">
      <alignment horizontal="center" vertical="center" wrapText="1"/>
    </xf>
    <xf numFmtId="0" fontId="216" fillId="50" borderId="8" xfId="0" applyFont="1" applyFill="1" applyBorder="1" applyAlignment="1">
      <alignment horizontal="center" vertical="center" wrapText="1"/>
    </xf>
    <xf numFmtId="0" fontId="4" fillId="5" borderId="8" xfId="34" applyFont="1" applyFill="1" applyBorder="1" applyAlignment="1">
      <alignment horizontal="center" vertical="center" wrapText="1"/>
    </xf>
    <xf numFmtId="14" fontId="0" fillId="50" borderId="8" xfId="0" applyNumberFormat="1" applyFill="1" applyBorder="1"/>
    <xf numFmtId="0" fontId="113" fillId="0" borderId="21" xfId="26" applyBorder="1" applyAlignment="1">
      <alignment horizontal="center"/>
    </xf>
    <xf numFmtId="0" fontId="113" fillId="0" borderId="0" xfId="26" applyAlignment="1">
      <alignment horizontal="center"/>
    </xf>
    <xf numFmtId="0" fontId="113" fillId="0" borderId="17" xfId="26" applyBorder="1" applyAlignment="1">
      <alignment horizontal="center"/>
    </xf>
    <xf numFmtId="0" fontId="113" fillId="0" borderId="14" xfId="26" applyBorder="1" applyAlignment="1">
      <alignment horizontal="center"/>
    </xf>
    <xf numFmtId="0" fontId="113" fillId="0" borderId="32" xfId="26" applyBorder="1" applyAlignment="1">
      <alignment horizontal="center"/>
    </xf>
    <xf numFmtId="0" fontId="113" fillId="0" borderId="25" xfId="26" applyBorder="1" applyAlignment="1">
      <alignment horizontal="center"/>
    </xf>
    <xf numFmtId="0" fontId="217" fillId="0" borderId="8" xfId="26" applyFont="1" applyBorder="1" applyAlignment="1">
      <alignment horizontal="left" vertical="center" wrapText="1"/>
    </xf>
    <xf numFmtId="0" fontId="216" fillId="0" borderId="8" xfId="26" applyFont="1" applyBorder="1" applyAlignment="1">
      <alignment horizontal="left" vertical="center" wrapText="1"/>
    </xf>
    <xf numFmtId="0" fontId="187" fillId="0" borderId="8" xfId="26" applyFont="1" applyBorder="1" applyAlignment="1">
      <alignment horizontal="center" wrapText="1"/>
    </xf>
    <xf numFmtId="0" fontId="214" fillId="31" borderId="8" xfId="26" applyFont="1" applyFill="1" applyBorder="1" applyAlignment="1">
      <alignment horizontal="center" vertical="center" wrapText="1"/>
    </xf>
    <xf numFmtId="0" fontId="258" fillId="0" borderId="8" xfId="26" applyFont="1" applyBorder="1" applyAlignment="1">
      <alignment horizontal="left" vertical="center" wrapText="1"/>
    </xf>
    <xf numFmtId="0" fontId="216" fillId="0" borderId="8" xfId="26" applyFont="1" applyBorder="1" applyAlignment="1">
      <alignment horizontal="left" vertical="center"/>
    </xf>
    <xf numFmtId="0" fontId="187" fillId="0" borderId="8" xfId="26" applyFont="1" applyBorder="1" applyAlignment="1">
      <alignment horizontal="left" vertical="center" wrapText="1"/>
    </xf>
    <xf numFmtId="0" fontId="187" fillId="0" borderId="8" xfId="26" applyFont="1" applyBorder="1" applyAlignment="1">
      <alignment horizontal="center" vertical="center" wrapText="1"/>
    </xf>
    <xf numFmtId="0" fontId="146" fillId="6" borderId="8" xfId="26" applyFont="1" applyFill="1" applyBorder="1" applyAlignment="1">
      <alignment horizontal="center"/>
    </xf>
    <xf numFmtId="0" fontId="257" fillId="0" borderId="8" xfId="26" applyFont="1" applyBorder="1" applyAlignment="1">
      <alignment horizontal="left" vertical="center" wrapText="1"/>
    </xf>
    <xf numFmtId="0" fontId="187" fillId="0" borderId="7" xfId="26" applyFont="1" applyBorder="1" applyAlignment="1">
      <alignment horizontal="center" vertical="center" wrapText="1"/>
    </xf>
    <xf numFmtId="0" fontId="187" fillId="0" borderId="33" xfId="26" applyFont="1" applyBorder="1" applyAlignment="1">
      <alignment horizontal="center" vertical="center" wrapText="1"/>
    </xf>
    <xf numFmtId="0" fontId="187" fillId="0" borderId="8" xfId="26" applyFont="1" applyBorder="1" applyAlignment="1">
      <alignment horizontal="left" wrapText="1"/>
    </xf>
    <xf numFmtId="0" fontId="256" fillId="0" borderId="7" xfId="26" applyFont="1" applyBorder="1" applyAlignment="1">
      <alignment horizontal="center" vertical="center" wrapText="1"/>
    </xf>
    <xf numFmtId="0" fontId="256" fillId="0" borderId="33" xfId="26" applyFont="1" applyBorder="1" applyAlignment="1">
      <alignment horizontal="center" vertical="center" wrapText="1"/>
    </xf>
    <xf numFmtId="0" fontId="213" fillId="0" borderId="8" xfId="26" applyFont="1" applyBorder="1" applyAlignment="1">
      <alignment vertical="center" wrapText="1"/>
    </xf>
    <xf numFmtId="0" fontId="187" fillId="0" borderId="11" xfId="26" quotePrefix="1" applyFont="1" applyBorder="1" applyAlignment="1">
      <alignment horizontal="left" vertical="center" wrapText="1"/>
    </xf>
    <xf numFmtId="0" fontId="187" fillId="0" borderId="12" xfId="26" quotePrefix="1" applyFont="1" applyBorder="1" applyAlignment="1">
      <alignment horizontal="left" vertical="center" wrapText="1"/>
    </xf>
    <xf numFmtId="0" fontId="187" fillId="0" borderId="15" xfId="26" quotePrefix="1" applyFont="1" applyBorder="1" applyAlignment="1">
      <alignment horizontal="left" vertical="center" wrapText="1"/>
    </xf>
    <xf numFmtId="0" fontId="187" fillId="0" borderId="8" xfId="26" quotePrefix="1" applyFont="1" applyBorder="1" applyAlignment="1">
      <alignment horizontal="center" vertical="center" wrapText="1"/>
    </xf>
    <xf numFmtId="0" fontId="216" fillId="0" borderId="11" xfId="26" applyFont="1" applyBorder="1" applyAlignment="1">
      <alignment horizontal="left" vertical="center" wrapText="1"/>
    </xf>
    <xf numFmtId="0" fontId="216" fillId="0" borderId="15" xfId="26" applyFont="1" applyBorder="1" applyAlignment="1">
      <alignment horizontal="left" vertical="center" wrapText="1"/>
    </xf>
    <xf numFmtId="0" fontId="113" fillId="0" borderId="8" xfId="26" applyBorder="1" applyAlignment="1">
      <alignment horizontal="center"/>
    </xf>
    <xf numFmtId="1" fontId="187" fillId="0" borderId="8" xfId="26" applyNumberFormat="1" applyFont="1" applyBorder="1" applyAlignment="1">
      <alignment horizontal="center" vertical="center" wrapText="1"/>
    </xf>
    <xf numFmtId="0" fontId="181" fillId="27" borderId="8" xfId="0" applyFont="1" applyFill="1" applyBorder="1" applyAlignment="1">
      <alignment horizontal="left" vertical="center" wrapText="1"/>
    </xf>
    <xf numFmtId="0" fontId="182" fillId="0" borderId="8" xfId="0" applyFont="1" applyBorder="1" applyAlignment="1">
      <alignment horizontal="left" vertical="center" wrapText="1"/>
    </xf>
    <xf numFmtId="0" fontId="181" fillId="27" borderId="11" xfId="0" applyFont="1" applyFill="1" applyBorder="1" applyAlignment="1">
      <alignment horizontal="center" vertical="center" wrapText="1"/>
    </xf>
    <xf numFmtId="0" fontId="181" fillId="27" borderId="15" xfId="0" applyFont="1" applyFill="1" applyBorder="1" applyAlignment="1">
      <alignment horizontal="center" vertical="center" wrapText="1"/>
    </xf>
    <xf numFmtId="0" fontId="181" fillId="27" borderId="12" xfId="0" applyFont="1" applyFill="1" applyBorder="1" applyAlignment="1">
      <alignment horizontal="center" vertical="center" wrapText="1"/>
    </xf>
    <xf numFmtId="0" fontId="181" fillId="27" borderId="11" xfId="0" applyFont="1" applyFill="1" applyBorder="1" applyAlignment="1">
      <alignment horizontal="left" vertical="center" wrapText="1"/>
    </xf>
    <xf numFmtId="0" fontId="181" fillId="27" borderId="12" xfId="0" applyFont="1" applyFill="1" applyBorder="1" applyAlignment="1">
      <alignment horizontal="left" vertical="center" wrapText="1"/>
    </xf>
    <xf numFmtId="0" fontId="181" fillId="27" borderId="15" xfId="0" applyFont="1" applyFill="1" applyBorder="1" applyAlignment="1">
      <alignment horizontal="left" vertical="center" wrapText="1"/>
    </xf>
    <xf numFmtId="0" fontId="183" fillId="0" borderId="8" xfId="0" quotePrefix="1" applyFont="1" applyBorder="1" applyAlignment="1">
      <alignment horizontal="left" vertical="center" wrapText="1"/>
    </xf>
    <xf numFmtId="0" fontId="183" fillId="0" borderId="8" xfId="0" applyFont="1" applyBorder="1" applyAlignment="1">
      <alignment horizontal="left" vertical="center" wrapText="1"/>
    </xf>
    <xf numFmtId="0" fontId="191" fillId="2" borderId="8" xfId="0" applyFont="1" applyFill="1" applyBorder="1" applyAlignment="1">
      <alignment horizontal="left" vertical="center" wrapText="1"/>
    </xf>
    <xf numFmtId="0" fontId="191" fillId="2" borderId="19" xfId="0" applyFont="1" applyFill="1" applyBorder="1" applyAlignment="1">
      <alignment horizontal="left" vertical="center" wrapText="1"/>
    </xf>
    <xf numFmtId="0" fontId="184" fillId="0" borderId="8" xfId="0" applyFont="1" applyBorder="1" applyAlignment="1">
      <alignment horizontal="center" wrapText="1"/>
    </xf>
    <xf numFmtId="0" fontId="184" fillId="0" borderId="19" xfId="0" applyFont="1" applyBorder="1" applyAlignment="1">
      <alignment horizontal="center" wrapText="1"/>
    </xf>
    <xf numFmtId="0" fontId="152" fillId="0" borderId="7" xfId="0" applyFont="1" applyBorder="1" applyAlignment="1">
      <alignment horizontal="center" vertical="center" wrapText="1"/>
    </xf>
    <xf numFmtId="0" fontId="152" fillId="0" borderId="44" xfId="0" applyFont="1" applyBorder="1" applyAlignment="1">
      <alignment horizontal="center" vertical="center" wrapText="1"/>
    </xf>
    <xf numFmtId="0" fontId="152" fillId="0" borderId="33" xfId="0" applyFont="1" applyBorder="1" applyAlignment="1">
      <alignment horizontal="center" vertical="center" wrapText="1"/>
    </xf>
    <xf numFmtId="0" fontId="181" fillId="28" borderId="46" xfId="0" applyFont="1" applyFill="1" applyBorder="1" applyAlignment="1">
      <alignment horizontal="center" vertical="center" wrapText="1"/>
    </xf>
    <xf numFmtId="0" fontId="181" fillId="28" borderId="53" xfId="0" applyFont="1" applyFill="1" applyBorder="1" applyAlignment="1">
      <alignment horizontal="center" vertical="center" wrapText="1"/>
    </xf>
    <xf numFmtId="0" fontId="188" fillId="2" borderId="8" xfId="0" applyFont="1" applyFill="1" applyBorder="1" applyAlignment="1">
      <alignment horizontal="left" vertical="center" wrapText="1"/>
    </xf>
    <xf numFmtId="0" fontId="188" fillId="2" borderId="19" xfId="0" applyFont="1" applyFill="1" applyBorder="1" applyAlignment="1">
      <alignment horizontal="left" vertical="center" wrapText="1"/>
    </xf>
    <xf numFmtId="0" fontId="185" fillId="2" borderId="8" xfId="0" applyFont="1" applyFill="1" applyBorder="1" applyAlignment="1">
      <alignment horizontal="left" vertical="center" wrapText="1"/>
    </xf>
    <xf numFmtId="0" fontId="185" fillId="2" borderId="19" xfId="0" applyFont="1" applyFill="1" applyBorder="1" applyAlignment="1">
      <alignment horizontal="left" vertical="center" wrapText="1"/>
    </xf>
    <xf numFmtId="0" fontId="190" fillId="2" borderId="11" xfId="0" applyFont="1" applyFill="1" applyBorder="1" applyAlignment="1">
      <alignment horizontal="left" vertical="center" wrapText="1"/>
    </xf>
    <xf numFmtId="0" fontId="185" fillId="2" borderId="23" xfId="0" applyFont="1" applyFill="1" applyBorder="1" applyAlignment="1">
      <alignment horizontal="left" vertical="center" wrapText="1"/>
    </xf>
    <xf numFmtId="0" fontId="162" fillId="0" borderId="8" xfId="0" applyFont="1" applyBorder="1" applyAlignment="1">
      <alignment horizontal="center" vertical="center" wrapText="1" readingOrder="1"/>
    </xf>
    <xf numFmtId="16" fontId="162" fillId="0" borderId="8" xfId="0" applyNumberFormat="1" applyFont="1" applyBorder="1" applyAlignment="1">
      <alignment horizontal="center" vertical="center" wrapText="1" readingOrder="1"/>
    </xf>
    <xf numFmtId="0" fontId="162" fillId="5" borderId="8" xfId="0" applyFont="1" applyFill="1" applyBorder="1" applyAlignment="1">
      <alignment horizontal="center" vertical="center" wrapText="1" readingOrder="1"/>
    </xf>
    <xf numFmtId="0" fontId="162" fillId="5" borderId="7" xfId="0" applyFont="1" applyFill="1" applyBorder="1" applyAlignment="1">
      <alignment horizontal="center" vertical="center" wrapText="1" readingOrder="1"/>
    </xf>
    <xf numFmtId="0" fontId="162" fillId="5" borderId="33" xfId="0" applyFont="1" applyFill="1" applyBorder="1" applyAlignment="1">
      <alignment horizontal="center" vertical="center" wrapText="1" readingOrder="1"/>
    </xf>
    <xf numFmtId="0" fontId="176" fillId="25" borderId="8" xfId="0" applyFont="1" applyFill="1" applyBorder="1" applyAlignment="1">
      <alignment horizontal="center" vertical="center" wrapText="1" readingOrder="1"/>
    </xf>
    <xf numFmtId="1" fontId="143" fillId="0" borderId="8" xfId="10" applyNumberFormat="1" applyFont="1" applyBorder="1" applyAlignment="1">
      <alignment horizontal="center" vertical="center" wrapText="1"/>
    </xf>
    <xf numFmtId="49" fontId="143" fillId="0" borderId="8" xfId="10" applyNumberFormat="1" applyFont="1" applyBorder="1" applyAlignment="1">
      <alignment horizontal="center" vertical="center" wrapText="1"/>
    </xf>
    <xf numFmtId="167" fontId="143" fillId="0" borderId="8" xfId="10" applyNumberFormat="1" applyFont="1" applyBorder="1" applyAlignment="1">
      <alignment horizontal="center" vertical="center" wrapText="1"/>
    </xf>
    <xf numFmtId="0" fontId="157" fillId="0" borderId="8" xfId="10" applyFont="1" applyBorder="1" applyAlignment="1">
      <alignment horizontal="center" vertical="center" wrapText="1"/>
    </xf>
    <xf numFmtId="167" fontId="143" fillId="0" borderId="7" xfId="10" applyNumberFormat="1" applyFont="1" applyBorder="1" applyAlignment="1">
      <alignment horizontal="center" vertical="center" wrapText="1"/>
    </xf>
    <xf numFmtId="167" fontId="143" fillId="0" borderId="33" xfId="10" applyNumberFormat="1" applyFont="1" applyBorder="1" applyAlignment="1">
      <alignment horizontal="center" vertical="center" wrapText="1"/>
    </xf>
    <xf numFmtId="168" fontId="143" fillId="0" borderId="8" xfId="10" applyNumberFormat="1" applyFont="1" applyBorder="1" applyAlignment="1">
      <alignment horizontal="center" vertical="center" wrapText="1"/>
    </xf>
    <xf numFmtId="0" fontId="146" fillId="0" borderId="8" xfId="0" applyFont="1" applyBorder="1" applyAlignment="1">
      <alignment horizontal="center" vertical="center"/>
    </xf>
    <xf numFmtId="0" fontId="14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101" fillId="0" borderId="8" xfId="0" applyFont="1" applyBorder="1" applyAlignment="1">
      <alignment horizontal="center" vertical="center" wrapText="1"/>
    </xf>
    <xf numFmtId="0" fontId="101" fillId="0" borderId="8" xfId="0" applyFont="1" applyBorder="1" applyAlignment="1">
      <alignment horizontal="center" vertical="center"/>
    </xf>
    <xf numFmtId="0" fontId="240" fillId="42" borderId="71" xfId="0" applyFont="1" applyFill="1" applyBorder="1" applyAlignment="1">
      <alignment horizontal="left" vertical="center" wrapText="1" readingOrder="1"/>
    </xf>
    <xf numFmtId="0" fontId="240" fillId="42" borderId="73" xfId="0" applyFont="1" applyFill="1" applyBorder="1" applyAlignment="1">
      <alignment horizontal="left" vertical="center" readingOrder="1"/>
    </xf>
    <xf numFmtId="0" fontId="240" fillId="42" borderId="71" xfId="0" applyFont="1" applyFill="1" applyBorder="1" applyAlignment="1">
      <alignment horizontal="center" vertical="center" readingOrder="1"/>
    </xf>
    <xf numFmtId="0" fontId="240" fillId="42" borderId="73" xfId="0" applyFont="1" applyFill="1" applyBorder="1" applyAlignment="1">
      <alignment horizontal="center" vertical="center" readingOrder="1"/>
    </xf>
    <xf numFmtId="0" fontId="238" fillId="42" borderId="71" xfId="0" applyFont="1" applyFill="1" applyBorder="1" applyAlignment="1">
      <alignment horizontal="center" vertical="center" readingOrder="1"/>
    </xf>
    <xf numFmtId="0" fontId="238" fillId="42" borderId="72" xfId="0" applyFont="1" applyFill="1" applyBorder="1" applyAlignment="1">
      <alignment horizontal="center" vertical="center" readingOrder="1"/>
    </xf>
    <xf numFmtId="0" fontId="240" fillId="42" borderId="71" xfId="0" applyFont="1" applyFill="1" applyBorder="1" applyAlignment="1">
      <alignment horizontal="center" vertical="center" wrapText="1" readingOrder="1"/>
    </xf>
    <xf numFmtId="0" fontId="240" fillId="42" borderId="72" xfId="0" applyFont="1" applyFill="1" applyBorder="1" applyAlignment="1">
      <alignment horizontal="center" vertical="center" readingOrder="1"/>
    </xf>
    <xf numFmtId="0" fontId="146" fillId="6" borderId="8" xfId="0" applyFont="1" applyFill="1" applyBorder="1" applyAlignment="1">
      <alignment horizontal="center"/>
    </xf>
    <xf numFmtId="0" fontId="146"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46" fillId="0" borderId="11" xfId="0" applyFont="1" applyBorder="1" applyAlignment="1">
      <alignment horizontal="center" vertical="center"/>
    </xf>
    <xf numFmtId="0" fontId="146" fillId="0" borderId="15" xfId="0" applyFont="1" applyBorder="1" applyAlignment="1">
      <alignment horizontal="center" vertical="center"/>
    </xf>
    <xf numFmtId="0" fontId="195" fillId="21" borderId="9" xfId="0" applyFont="1" applyFill="1" applyBorder="1" applyAlignment="1">
      <alignment horizontal="center" vertical="center" wrapText="1"/>
    </xf>
    <xf numFmtId="0" fontId="195" fillId="21" borderId="10" xfId="0" applyFont="1" applyFill="1" applyBorder="1" applyAlignment="1">
      <alignment horizontal="center" vertical="center" wrapText="1"/>
    </xf>
    <xf numFmtId="0" fontId="195" fillId="21" borderId="29" xfId="0" applyFont="1" applyFill="1" applyBorder="1" applyAlignment="1">
      <alignment horizontal="center" vertical="center" wrapText="1"/>
    </xf>
    <xf numFmtId="15" fontId="196" fillId="2" borderId="8" xfId="0" applyNumberFormat="1" applyFont="1" applyFill="1" applyBorder="1" applyAlignment="1">
      <alignment horizontal="left" vertical="center"/>
    </xf>
    <xf numFmtId="15" fontId="196" fillId="2" borderId="11" xfId="0" applyNumberFormat="1" applyFont="1" applyFill="1" applyBorder="1" applyAlignment="1">
      <alignment horizontal="left" vertical="center" wrapText="1"/>
    </xf>
    <xf numFmtId="15" fontId="196" fillId="2" borderId="12" xfId="0" applyNumberFormat="1" applyFont="1" applyFill="1" applyBorder="1" applyAlignment="1">
      <alignment horizontal="left" vertical="center" wrapText="1"/>
    </xf>
    <xf numFmtId="15" fontId="196" fillId="2" borderId="15" xfId="0" applyNumberFormat="1" applyFont="1" applyFill="1" applyBorder="1" applyAlignment="1">
      <alignment horizontal="left" vertical="center" wrapText="1"/>
    </xf>
    <xf numFmtId="0" fontId="196" fillId="0" borderId="8" xfId="0" applyFont="1" applyBorder="1" applyAlignment="1">
      <alignment horizontal="center" vertical="center" wrapText="1"/>
    </xf>
    <xf numFmtId="16" fontId="196" fillId="0" borderId="8" xfId="0" quotePrefix="1" applyNumberFormat="1" applyFont="1" applyBorder="1" applyAlignment="1">
      <alignment horizontal="center" vertical="center" wrapText="1"/>
    </xf>
    <xf numFmtId="16" fontId="196" fillId="0" borderId="8" xfId="0" applyNumberFormat="1" applyFont="1" applyBorder="1" applyAlignment="1">
      <alignment horizontal="center" vertical="center" wrapText="1"/>
    </xf>
    <xf numFmtId="0" fontId="196" fillId="11" borderId="8" xfId="0" applyFont="1" applyFill="1" applyBorder="1" applyAlignment="1">
      <alignment horizontal="center" vertical="center" wrapText="1"/>
    </xf>
    <xf numFmtId="0" fontId="196" fillId="2" borderId="11" xfId="0" applyFont="1" applyFill="1" applyBorder="1" applyAlignment="1">
      <alignment horizontal="center" vertical="center" wrapText="1"/>
    </xf>
    <xf numFmtId="0" fontId="196" fillId="2" borderId="23" xfId="0" applyFont="1" applyFill="1" applyBorder="1" applyAlignment="1">
      <alignment horizontal="center" vertical="center" wrapText="1"/>
    </xf>
    <xf numFmtId="0" fontId="196" fillId="11" borderId="46" xfId="0" applyFont="1" applyFill="1" applyBorder="1" applyAlignment="1">
      <alignment horizontal="left" vertical="center" wrapText="1"/>
    </xf>
    <xf numFmtId="0" fontId="196" fillId="11" borderId="53" xfId="0" applyFont="1" applyFill="1" applyBorder="1" applyAlignment="1">
      <alignment horizontal="left" vertical="center" wrapText="1"/>
    </xf>
    <xf numFmtId="1" fontId="196" fillId="2" borderId="11" xfId="0" applyNumberFormat="1" applyFont="1" applyFill="1" applyBorder="1" applyAlignment="1">
      <alignment horizontal="left" vertical="center" wrapText="1"/>
    </xf>
    <xf numFmtId="1" fontId="196" fillId="2" borderId="23" xfId="0" applyNumberFormat="1" applyFont="1" applyFill="1" applyBorder="1" applyAlignment="1">
      <alignment horizontal="left" vertical="center" wrapText="1"/>
    </xf>
    <xf numFmtId="0" fontId="196" fillId="2" borderId="23" xfId="0" applyFont="1" applyFill="1" applyBorder="1" applyAlignment="1">
      <alignment horizontal="left" vertical="center" wrapText="1"/>
    </xf>
    <xf numFmtId="0" fontId="196" fillId="0" borderId="7" xfId="0" applyFont="1" applyBorder="1" applyAlignment="1">
      <alignment horizontal="center" vertical="center" wrapText="1"/>
    </xf>
    <xf numFmtId="0" fontId="196" fillId="0" borderId="50" xfId="0" applyFont="1" applyBorder="1" applyAlignment="1">
      <alignment horizontal="center" vertical="center" wrapText="1"/>
    </xf>
    <xf numFmtId="0" fontId="196" fillId="11" borderId="46" xfId="0" applyFont="1" applyFill="1" applyBorder="1" applyAlignment="1">
      <alignment horizontal="center" vertical="center" wrapText="1"/>
    </xf>
    <xf numFmtId="0" fontId="196" fillId="11" borderId="53" xfId="0" applyFont="1" applyFill="1" applyBorder="1" applyAlignment="1">
      <alignment horizontal="center" vertical="center" wrapText="1"/>
    </xf>
    <xf numFmtId="0" fontId="196" fillId="2" borderId="11" xfId="0" applyFont="1" applyFill="1" applyBorder="1" applyAlignment="1">
      <alignment horizontal="left" vertical="center" wrapText="1"/>
    </xf>
    <xf numFmtId="0" fontId="201" fillId="0" borderId="11" xfId="0" applyFont="1" applyBorder="1" applyAlignment="1">
      <alignment horizontal="left" vertical="center" wrapText="1"/>
    </xf>
    <xf numFmtId="0" fontId="201" fillId="0" borderId="23" xfId="0" applyFont="1" applyBorder="1" applyAlignment="1">
      <alignment horizontal="left" vertical="center" wrapText="1"/>
    </xf>
    <xf numFmtId="0" fontId="196" fillId="0" borderId="16" xfId="0" applyFont="1" applyBorder="1" applyAlignment="1">
      <alignment horizontal="center" vertical="center" wrapText="1"/>
    </xf>
    <xf numFmtId="0" fontId="196" fillId="0" borderId="47" xfId="0" applyFont="1" applyBorder="1" applyAlignment="1">
      <alignment horizontal="center" vertical="center" wrapText="1"/>
    </xf>
    <xf numFmtId="0" fontId="0" fillId="0" borderId="10" xfId="0" applyBorder="1" applyAlignment="1">
      <alignment horizontal="center" vertical="center" wrapText="1"/>
    </xf>
    <xf numFmtId="0" fontId="196" fillId="2" borderId="64" xfId="0" applyFont="1" applyFill="1" applyBorder="1" applyAlignment="1">
      <alignment horizontal="center" vertical="center" wrapText="1"/>
    </xf>
    <xf numFmtId="0" fontId="196" fillId="2" borderId="14" xfId="0" applyFont="1" applyFill="1" applyBorder="1" applyAlignment="1">
      <alignment horizontal="center" vertical="center" wrapText="1"/>
    </xf>
    <xf numFmtId="0" fontId="196" fillId="2" borderId="7" xfId="0" applyFont="1" applyFill="1" applyBorder="1" applyAlignment="1">
      <alignment horizontal="center" vertical="center" wrapText="1"/>
    </xf>
    <xf numFmtId="0" fontId="196" fillId="2" borderId="33" xfId="0" applyFont="1" applyFill="1" applyBorder="1" applyAlignment="1">
      <alignment horizontal="center" vertical="center" wrapText="1"/>
    </xf>
    <xf numFmtId="15" fontId="196" fillId="2" borderId="7" xfId="0" applyNumberFormat="1" applyFont="1" applyFill="1" applyBorder="1" applyAlignment="1">
      <alignment horizontal="center" vertical="center" wrapText="1"/>
    </xf>
    <xf numFmtId="15" fontId="196" fillId="2" borderId="33" xfId="0" applyNumberFormat="1" applyFont="1" applyFill="1" applyBorder="1" applyAlignment="1">
      <alignment horizontal="center" vertical="center" wrapText="1"/>
    </xf>
    <xf numFmtId="15" fontId="196" fillId="2" borderId="50" xfId="0" applyNumberFormat="1" applyFont="1" applyFill="1" applyBorder="1" applyAlignment="1">
      <alignment horizontal="center" vertical="center" wrapText="1"/>
    </xf>
    <xf numFmtId="15" fontId="196" fillId="2" borderId="41" xfId="0" applyNumberFormat="1" applyFont="1" applyFill="1" applyBorder="1" applyAlignment="1">
      <alignment horizontal="center" vertical="center" wrapText="1"/>
    </xf>
    <xf numFmtId="0" fontId="196" fillId="0" borderId="19" xfId="0" applyFont="1" applyBorder="1" applyAlignment="1">
      <alignment horizontal="center" vertical="center" wrapText="1"/>
    </xf>
    <xf numFmtId="0" fontId="236" fillId="0" borderId="8" xfId="0" applyFont="1" applyBorder="1" applyAlignment="1">
      <alignment horizontal="center" vertical="center"/>
    </xf>
    <xf numFmtId="0" fontId="236" fillId="0" borderId="8" xfId="0" applyFont="1" applyBorder="1" applyAlignment="1">
      <alignment horizontal="center" vertical="center" wrapText="1"/>
    </xf>
    <xf numFmtId="0" fontId="241" fillId="0" borderId="8" xfId="27" applyFont="1" applyBorder="1" applyAlignment="1">
      <alignment horizontal="center" vertical="center"/>
    </xf>
    <xf numFmtId="0" fontId="226" fillId="35" borderId="1" xfId="27" applyFont="1" applyFill="1" applyBorder="1" applyAlignment="1">
      <alignment horizontal="center" vertical="center"/>
    </xf>
    <xf numFmtId="0" fontId="226" fillId="35" borderId="2" xfId="27" applyFont="1" applyFill="1" applyBorder="1" applyAlignment="1">
      <alignment horizontal="center" vertical="center"/>
    </xf>
    <xf numFmtId="0" fontId="226" fillId="35" borderId="18" xfId="27" applyFont="1" applyFill="1" applyBorder="1" applyAlignment="1">
      <alignment horizontal="center" vertical="center"/>
    </xf>
    <xf numFmtId="0" fontId="222" fillId="33" borderId="46" xfId="27" applyFont="1" applyFill="1" applyBorder="1" applyAlignment="1">
      <alignment horizontal="center" vertical="center" wrapText="1"/>
    </xf>
    <xf numFmtId="0" fontId="222" fillId="33" borderId="53" xfId="27" applyFont="1" applyFill="1" applyBorder="1" applyAlignment="1">
      <alignment horizontal="center" vertical="center" wrapText="1"/>
    </xf>
    <xf numFmtId="0" fontId="222" fillId="33" borderId="8" xfId="27" applyFont="1" applyFill="1" applyBorder="1" applyAlignment="1">
      <alignment horizontal="center" vertical="center" wrapText="1"/>
    </xf>
    <xf numFmtId="0" fontId="222" fillId="33" borderId="19" xfId="27" applyFont="1" applyFill="1" applyBorder="1" applyAlignment="1">
      <alignment horizontal="center" vertical="center" wrapText="1"/>
    </xf>
    <xf numFmtId="0" fontId="222" fillId="33" borderId="11" xfId="27" applyFont="1" applyFill="1" applyBorder="1" applyAlignment="1">
      <alignment horizontal="center" vertical="center"/>
    </xf>
    <xf numFmtId="0" fontId="222" fillId="33" borderId="12" xfId="27" applyFont="1" applyFill="1" applyBorder="1" applyAlignment="1">
      <alignment horizontal="center" vertical="center"/>
    </xf>
    <xf numFmtId="0" fontId="222" fillId="33" borderId="23" xfId="27" applyFont="1" applyFill="1" applyBorder="1" applyAlignment="1">
      <alignment horizontal="center" vertical="center"/>
    </xf>
    <xf numFmtId="0" fontId="222" fillId="33" borderId="26" xfId="27" applyFont="1" applyFill="1" applyBorder="1" applyAlignment="1">
      <alignment horizontal="center" vertical="center"/>
    </xf>
    <xf numFmtId="0" fontId="222" fillId="33" borderId="48" xfId="27" applyFont="1" applyFill="1" applyBorder="1" applyAlignment="1">
      <alignment horizontal="center" vertical="center"/>
    </xf>
    <xf numFmtId="0" fontId="222" fillId="33" borderId="27" xfId="27" applyFont="1" applyFill="1" applyBorder="1" applyAlignment="1">
      <alignment horizontal="center" vertical="center"/>
    </xf>
    <xf numFmtId="0" fontId="221" fillId="38" borderId="19" xfId="27" applyFont="1" applyFill="1" applyBorder="1" applyAlignment="1">
      <alignment horizontal="left" vertical="center" wrapText="1"/>
    </xf>
    <xf numFmtId="0" fontId="227" fillId="0" borderId="0" xfId="27" applyFont="1" applyAlignment="1">
      <alignment horizontal="center" wrapText="1"/>
    </xf>
    <xf numFmtId="0" fontId="221" fillId="0" borderId="30" xfId="27" applyFont="1" applyBorder="1" applyAlignment="1">
      <alignment horizontal="center" vertical="center"/>
    </xf>
    <xf numFmtId="0" fontId="221" fillId="0" borderId="8" xfId="27" applyFont="1" applyBorder="1" applyAlignment="1">
      <alignment horizontal="center" vertical="center" wrapText="1"/>
    </xf>
    <xf numFmtId="0" fontId="221" fillId="38" borderId="7" xfId="27" applyFont="1" applyFill="1" applyBorder="1" applyAlignment="1">
      <alignment horizontal="center" vertical="center"/>
    </xf>
    <xf numFmtId="0" fontId="221" fillId="38" borderId="33" xfId="27" applyFont="1" applyFill="1" applyBorder="1" applyAlignment="1">
      <alignment horizontal="center" vertical="center"/>
    </xf>
    <xf numFmtId="176" fontId="221" fillId="38" borderId="8" xfId="28" applyFont="1" applyFill="1" applyBorder="1" applyAlignment="1">
      <alignment horizontal="center" vertical="center"/>
    </xf>
    <xf numFmtId="176" fontId="221" fillId="38" borderId="7" xfId="28" applyFont="1" applyFill="1" applyBorder="1" applyAlignment="1">
      <alignment horizontal="center" vertical="center"/>
    </xf>
    <xf numFmtId="176" fontId="221" fillId="38" borderId="33" xfId="28" applyFont="1" applyFill="1" applyBorder="1" applyAlignment="1">
      <alignment horizontal="center" vertical="center"/>
    </xf>
    <xf numFmtId="176" fontId="221" fillId="36" borderId="8" xfId="28" applyFont="1" applyFill="1" applyBorder="1" applyAlignment="1">
      <alignment horizontal="center" vertical="center"/>
    </xf>
    <xf numFmtId="0" fontId="221" fillId="36" borderId="8" xfId="27" applyFont="1" applyFill="1" applyBorder="1" applyAlignment="1">
      <alignment horizontal="center" vertical="center" wrapText="1"/>
    </xf>
    <xf numFmtId="176" fontId="221" fillId="36" borderId="7" xfId="28" applyFont="1" applyFill="1" applyBorder="1" applyAlignment="1">
      <alignment horizontal="center" vertical="center"/>
    </xf>
    <xf numFmtId="176" fontId="221" fillId="36" borderId="44" xfId="28" applyFont="1" applyFill="1" applyBorder="1" applyAlignment="1">
      <alignment horizontal="center" vertical="center"/>
    </xf>
    <xf numFmtId="176" fontId="221" fillId="36" borderId="40" xfId="28" applyFont="1" applyFill="1" applyBorder="1" applyAlignment="1">
      <alignment horizontal="center" vertical="center"/>
    </xf>
    <xf numFmtId="0" fontId="221" fillId="36" borderId="50" xfId="27" applyFont="1" applyFill="1" applyBorder="1" applyAlignment="1">
      <alignment horizontal="left" vertical="center" wrapText="1"/>
    </xf>
    <xf numFmtId="0" fontId="221" fillId="36" borderId="52" xfId="27" applyFont="1" applyFill="1" applyBorder="1" applyAlignment="1">
      <alignment horizontal="left" vertical="center"/>
    </xf>
    <xf numFmtId="0" fontId="221" fillId="36" borderId="49" xfId="27" applyFont="1" applyFill="1" applyBorder="1" applyAlignment="1">
      <alignment horizontal="left" vertical="center"/>
    </xf>
    <xf numFmtId="0" fontId="221" fillId="36" borderId="41" xfId="27" applyFont="1" applyFill="1" applyBorder="1" applyAlignment="1">
      <alignment horizontal="left" vertical="center"/>
    </xf>
    <xf numFmtId="0" fontId="228" fillId="39" borderId="35" xfId="27" applyFont="1" applyFill="1" applyBorder="1" applyAlignment="1">
      <alignment horizontal="center" vertical="center"/>
    </xf>
    <xf numFmtId="0" fontId="228" fillId="39" borderId="36" xfId="27" applyFont="1" applyFill="1" applyBorder="1" applyAlignment="1">
      <alignment horizontal="center" vertical="center"/>
    </xf>
    <xf numFmtId="0" fontId="221" fillId="0" borderId="38" xfId="27" applyFont="1" applyBorder="1" applyAlignment="1">
      <alignment horizontal="center" vertical="center"/>
    </xf>
    <xf numFmtId="0" fontId="221" fillId="0" borderId="8" xfId="27" applyFont="1" applyBorder="1" applyAlignment="1">
      <alignment horizontal="center" vertical="center"/>
    </xf>
    <xf numFmtId="0" fontId="221" fillId="0" borderId="16" xfId="27" applyFont="1" applyBorder="1" applyAlignment="1">
      <alignment horizontal="center" vertical="center"/>
    </xf>
    <xf numFmtId="0" fontId="221" fillId="0" borderId="16" xfId="27" applyFont="1" applyBorder="1" applyAlignment="1">
      <alignment horizontal="center" vertical="center" wrapText="1"/>
    </xf>
    <xf numFmtId="0" fontId="221" fillId="36" borderId="16" xfId="27" applyFont="1" applyFill="1" applyBorder="1" applyAlignment="1">
      <alignment horizontal="center" vertical="center" wrapText="1"/>
    </xf>
    <xf numFmtId="176" fontId="221" fillId="36" borderId="16" xfId="28" applyFont="1" applyFill="1" applyBorder="1" applyAlignment="1">
      <alignment horizontal="center" vertical="center"/>
    </xf>
    <xf numFmtId="0" fontId="146" fillId="0" borderId="11" xfId="0" applyFont="1" applyBorder="1" applyAlignment="1">
      <alignment horizontal="center"/>
    </xf>
    <xf numFmtId="0" fontId="146" fillId="0" borderId="15" xfId="0" applyFont="1" applyBorder="1" applyAlignment="1">
      <alignment horizontal="center"/>
    </xf>
    <xf numFmtId="0" fontId="146" fillId="0" borderId="32" xfId="0" applyFont="1" applyBorder="1" applyAlignment="1">
      <alignment horizontal="center"/>
    </xf>
    <xf numFmtId="0" fontId="146" fillId="0" borderId="8" xfId="0" applyFont="1" applyBorder="1" applyAlignment="1">
      <alignment horizontal="center"/>
    </xf>
    <xf numFmtId="166" fontId="97" fillId="0" borderId="8" xfId="0" applyNumberFormat="1" applyFont="1" applyBorder="1" applyAlignment="1">
      <alignment horizontal="center" vertical="center" wrapText="1"/>
    </xf>
    <xf numFmtId="0" fontId="97" fillId="0" borderId="8" xfId="0" applyFont="1" applyBorder="1" applyAlignment="1">
      <alignment horizontal="center" vertical="center" wrapText="1"/>
    </xf>
    <xf numFmtId="166" fontId="147" fillId="0" borderId="8" xfId="13" applyNumberFormat="1" applyFont="1" applyBorder="1" applyAlignment="1">
      <alignment horizontal="center" vertical="center" wrapText="1"/>
    </xf>
    <xf numFmtId="166" fontId="147" fillId="0" borderId="8" xfId="0" applyNumberFormat="1" applyFont="1" applyBorder="1" applyAlignment="1">
      <alignment horizontal="center" vertical="center" wrapText="1"/>
    </xf>
    <xf numFmtId="2" fontId="97" fillId="0" borderId="8" xfId="0" applyNumberFormat="1" applyFont="1" applyBorder="1" applyAlignment="1">
      <alignment horizontal="center" vertical="center" wrapText="1"/>
    </xf>
    <xf numFmtId="2" fontId="147" fillId="0" borderId="8" xfId="13" applyNumberFormat="1" applyFont="1" applyBorder="1" applyAlignment="1">
      <alignment horizontal="center" vertical="center" wrapText="1"/>
    </xf>
    <xf numFmtId="2" fontId="147" fillId="0" borderId="8" xfId="0" applyNumberFormat="1" applyFont="1" applyBorder="1" applyAlignment="1">
      <alignment horizontal="center" vertical="center"/>
    </xf>
    <xf numFmtId="0" fontId="147" fillId="0" borderId="8" xfId="0" applyFont="1" applyBorder="1" applyAlignment="1">
      <alignment horizontal="center" vertical="center"/>
    </xf>
    <xf numFmtId="166" fontId="147" fillId="0" borderId="8" xfId="0" applyNumberFormat="1" applyFont="1" applyBorder="1" applyAlignment="1">
      <alignment horizontal="center" vertical="center"/>
    </xf>
    <xf numFmtId="0" fontId="97" fillId="0" borderId="8" xfId="0" applyFont="1" applyBorder="1" applyAlignment="1">
      <alignment horizontal="center" vertical="center"/>
    </xf>
    <xf numFmtId="0" fontId="146" fillId="34" borderId="8" xfId="33" applyFont="1" applyFill="1" applyBorder="1" applyAlignment="1">
      <alignment horizontal="center" vertical="center" wrapText="1"/>
    </xf>
    <xf numFmtId="166" fontId="146" fillId="34" borderId="8" xfId="33" applyNumberFormat="1" applyFont="1" applyFill="1" applyBorder="1" applyAlignment="1">
      <alignment horizontal="center" vertical="center" wrapText="1"/>
    </xf>
    <xf numFmtId="0" fontId="151" fillId="6" borderId="8" xfId="33" applyFont="1" applyFill="1" applyBorder="1" applyAlignment="1">
      <alignment horizontal="center" vertical="center" wrapText="1"/>
    </xf>
    <xf numFmtId="2" fontId="146" fillId="34" borderId="8" xfId="33" applyNumberFormat="1" applyFont="1" applyFill="1" applyBorder="1" applyAlignment="1">
      <alignment horizontal="center" vertical="center" wrapText="1"/>
    </xf>
    <xf numFmtId="2" fontId="97" fillId="0" borderId="7" xfId="33" applyNumberFormat="1" applyFont="1" applyBorder="1" applyAlignment="1">
      <alignment horizontal="center" vertical="center"/>
    </xf>
    <xf numFmtId="0" fontId="97" fillId="0" borderId="33" xfId="33" applyFont="1" applyBorder="1" applyAlignment="1">
      <alignment horizontal="center" vertical="center"/>
    </xf>
    <xf numFmtId="166" fontId="97" fillId="0" borderId="8" xfId="0" applyNumberFormat="1" applyFont="1" applyBorder="1" applyAlignment="1">
      <alignment horizontal="center" vertical="center"/>
    </xf>
    <xf numFmtId="0" fontId="216" fillId="5" borderId="7" xfId="0" applyFont="1" applyFill="1" applyBorder="1" applyAlignment="1">
      <alignment horizontal="center" vertical="center"/>
    </xf>
    <xf numFmtId="0" fontId="216" fillId="5" borderId="33" xfId="0" applyFont="1" applyFill="1" applyBorder="1" applyAlignment="1">
      <alignment horizontal="center" vertical="center"/>
    </xf>
    <xf numFmtId="0" fontId="217" fillId="3" borderId="7" xfId="0" applyFont="1" applyFill="1" applyBorder="1" applyAlignment="1">
      <alignment horizontal="center" vertical="center"/>
    </xf>
    <xf numFmtId="0" fontId="217" fillId="3" borderId="33" xfId="0" applyFont="1" applyFill="1" applyBorder="1" applyAlignment="1">
      <alignment horizontal="center" vertical="center"/>
    </xf>
    <xf numFmtId="0" fontId="217" fillId="3" borderId="11" xfId="0" applyFont="1" applyFill="1" applyBorder="1" applyAlignment="1">
      <alignment horizontal="center" vertical="center"/>
    </xf>
    <xf numFmtId="0" fontId="217" fillId="3" borderId="12" xfId="0" applyFont="1" applyFill="1" applyBorder="1" applyAlignment="1">
      <alignment horizontal="center" vertical="center"/>
    </xf>
    <xf numFmtId="0" fontId="217" fillId="3" borderId="15" xfId="0" applyFont="1" applyFill="1" applyBorder="1" applyAlignment="1">
      <alignment horizontal="center" vertical="center"/>
    </xf>
    <xf numFmtId="0" fontId="217" fillId="3" borderId="7" xfId="0" applyFont="1" applyFill="1" applyBorder="1" applyAlignment="1">
      <alignment horizontal="center" vertical="center" wrapText="1"/>
    </xf>
    <xf numFmtId="0" fontId="217" fillId="3" borderId="33" xfId="0" applyFont="1" applyFill="1" applyBorder="1" applyAlignment="1">
      <alignment horizontal="center" vertical="center" wrapText="1"/>
    </xf>
    <xf numFmtId="0" fontId="244" fillId="2" borderId="8" xfId="7" applyFont="1" applyFill="1" applyBorder="1" applyAlignment="1">
      <alignment horizontal="center" vertical="center"/>
    </xf>
    <xf numFmtId="166" fontId="246" fillId="34" borderId="8" xfId="7" applyNumberFormat="1" applyFont="1" applyFill="1" applyBorder="1" applyAlignment="1">
      <alignment horizontal="center" vertical="center" wrapText="1"/>
    </xf>
    <xf numFmtId="166" fontId="244" fillId="2" borderId="8" xfId="7" applyNumberFormat="1" applyFont="1" applyFill="1" applyBorder="1" applyAlignment="1">
      <alignment horizontal="center" vertical="center" wrapText="1"/>
    </xf>
    <xf numFmtId="166" fontId="244" fillId="2" borderId="8" xfId="7" applyNumberFormat="1" applyFont="1" applyFill="1" applyBorder="1" applyAlignment="1">
      <alignment horizontal="center" vertical="center"/>
    </xf>
    <xf numFmtId="0" fontId="246" fillId="34" borderId="8" xfId="7" applyFont="1" applyFill="1" applyBorder="1" applyAlignment="1">
      <alignment horizontal="center" vertical="center" wrapText="1"/>
    </xf>
    <xf numFmtId="0" fontId="246" fillId="2" borderId="8" xfId="7" applyFont="1" applyFill="1" applyBorder="1" applyAlignment="1">
      <alignment horizontal="center" vertical="center" wrapText="1"/>
    </xf>
    <xf numFmtId="0" fontId="217" fillId="6" borderId="7" xfId="0" applyFont="1" applyFill="1" applyBorder="1" applyAlignment="1">
      <alignment horizontal="center" vertical="center" wrapText="1"/>
    </xf>
    <xf numFmtId="0" fontId="217" fillId="6" borderId="33" xfId="0" applyFont="1" applyFill="1" applyBorder="1" applyAlignment="1">
      <alignment horizontal="center" vertical="center" wrapText="1"/>
    </xf>
    <xf numFmtId="0" fontId="147" fillId="0" borderId="8" xfId="0" applyFont="1" applyBorder="1" applyAlignment="1">
      <alignment horizontal="center" vertical="center" wrapText="1"/>
    </xf>
    <xf numFmtId="0" fontId="146" fillId="45" borderId="8" xfId="0" applyFont="1" applyFill="1" applyBorder="1" applyAlignment="1">
      <alignment horizontal="center"/>
    </xf>
    <xf numFmtId="0" fontId="263" fillId="0" borderId="8" xfId="0" applyFont="1" applyBorder="1" applyAlignment="1">
      <alignment horizontal="center" vertical="center"/>
    </xf>
    <xf numFmtId="0" fontId="264" fillId="0" borderId="7" xfId="0" applyFont="1" applyBorder="1" applyAlignment="1">
      <alignment horizontal="center" vertical="center" wrapText="1"/>
    </xf>
    <xf numFmtId="0" fontId="264" fillId="0" borderId="33" xfId="0" applyFont="1" applyBorder="1" applyAlignment="1">
      <alignment horizontal="center" vertical="center" wrapText="1"/>
    </xf>
    <xf numFmtId="0" fontId="264" fillId="0" borderId="8" xfId="0" applyFont="1" applyBorder="1" applyAlignment="1">
      <alignment horizontal="center" vertical="center" wrapText="1"/>
    </xf>
    <xf numFmtId="0" fontId="264" fillId="0" borderId="8" xfId="0" applyFont="1" applyBorder="1" applyAlignment="1">
      <alignment horizontal="center" vertical="center"/>
    </xf>
    <xf numFmtId="0" fontId="262" fillId="6" borderId="8" xfId="0" applyFont="1" applyFill="1" applyBorder="1" applyAlignment="1">
      <alignment vertical="center" wrapText="1"/>
    </xf>
    <xf numFmtId="0" fontId="262" fillId="6" borderId="8" xfId="0" applyFont="1" applyFill="1" applyBorder="1" applyAlignment="1">
      <alignment horizontal="center"/>
    </xf>
    <xf numFmtId="0" fontId="218" fillId="0" borderId="0" xfId="10" applyFont="1" applyAlignment="1">
      <alignment horizontal="left" vertical="center"/>
    </xf>
    <xf numFmtId="0" fontId="244" fillId="0" borderId="7" xfId="7" applyFont="1" applyBorder="1" applyAlignment="1">
      <alignment horizontal="center" vertical="center"/>
    </xf>
    <xf numFmtId="0" fontId="244" fillId="0" borderId="44" xfId="7" applyFont="1" applyBorder="1" applyAlignment="1">
      <alignment horizontal="center" vertical="center"/>
    </xf>
    <xf numFmtId="0" fontId="244" fillId="0" borderId="33" xfId="7" applyFont="1" applyBorder="1" applyAlignment="1">
      <alignment horizontal="center" vertical="center"/>
    </xf>
    <xf numFmtId="0" fontId="244" fillId="2" borderId="44" xfId="7" applyFont="1" applyFill="1" applyBorder="1" applyAlignment="1">
      <alignment horizontal="center" vertical="center"/>
    </xf>
    <xf numFmtId="0" fontId="217" fillId="3" borderId="8" xfId="0" applyFont="1" applyFill="1" applyBorder="1" applyAlignment="1">
      <alignment horizontal="center" vertical="center"/>
    </xf>
    <xf numFmtId="0" fontId="216" fillId="2" borderId="8" xfId="0" applyFont="1" applyFill="1" applyBorder="1" applyAlignment="1">
      <alignment horizontal="center" vertical="center" wrapText="1"/>
    </xf>
    <xf numFmtId="16" fontId="216" fillId="2" borderId="8" xfId="0" quotePrefix="1" applyNumberFormat="1" applyFont="1" applyFill="1" applyBorder="1" applyAlignment="1">
      <alignment horizontal="center" vertical="center"/>
    </xf>
    <xf numFmtId="0" fontId="216" fillId="2" borderId="8" xfId="0" applyFont="1" applyFill="1" applyBorder="1" applyAlignment="1">
      <alignment horizontal="center" vertical="center"/>
    </xf>
    <xf numFmtId="0" fontId="217" fillId="3" borderId="8" xfId="0" applyFont="1" applyFill="1" applyBorder="1" applyAlignment="1">
      <alignment horizontal="center" vertical="center" wrapText="1"/>
    </xf>
    <xf numFmtId="0" fontId="169" fillId="0" borderId="8" xfId="10" applyFont="1" applyBorder="1" applyAlignment="1">
      <alignment horizontal="center" vertical="center"/>
    </xf>
    <xf numFmtId="14" fontId="216" fillId="2" borderId="8" xfId="32" applyNumberFormat="1" applyFont="1" applyFill="1" applyBorder="1" applyAlignment="1">
      <alignment horizontal="center" vertical="center"/>
    </xf>
    <xf numFmtId="0" fontId="139" fillId="6" borderId="8" xfId="34" applyFont="1" applyFill="1" applyBorder="1" applyAlignment="1">
      <alignment horizontal="center" vertical="top"/>
    </xf>
    <xf numFmtId="0" fontId="146" fillId="0" borderId="11" xfId="83" applyFont="1" applyBorder="1" applyAlignment="1">
      <alignment horizontal="center"/>
    </xf>
    <xf numFmtId="0" fontId="146" fillId="0" borderId="15" xfId="83" applyFont="1" applyBorder="1" applyAlignment="1">
      <alignment horizontal="center"/>
    </xf>
    <xf numFmtId="0" fontId="146" fillId="2" borderId="8" xfId="35" applyFont="1" applyFill="1" applyBorder="1" applyAlignment="1">
      <alignment horizontal="center"/>
    </xf>
    <xf numFmtId="0" fontId="146" fillId="6" borderId="8" xfId="35" applyFont="1" applyFill="1" applyBorder="1" applyAlignment="1">
      <alignment horizontal="center" vertical="center"/>
    </xf>
    <xf numFmtId="0" fontId="146" fillId="2" borderId="11" xfId="35" applyFont="1" applyFill="1" applyBorder="1" applyAlignment="1">
      <alignment horizontal="center"/>
    </xf>
    <xf numFmtId="0" fontId="146" fillId="2" borderId="12" xfId="35" applyFont="1" applyFill="1" applyBorder="1" applyAlignment="1">
      <alignment horizontal="center"/>
    </xf>
    <xf numFmtId="0" fontId="146" fillId="2" borderId="15" xfId="35" applyFont="1" applyFill="1" applyBorder="1" applyAlignment="1">
      <alignment horizontal="center"/>
    </xf>
    <xf numFmtId="0" fontId="146" fillId="6" borderId="11" xfId="35" applyFont="1" applyFill="1" applyBorder="1" applyAlignment="1">
      <alignment horizontal="center" vertical="center"/>
    </xf>
    <xf numFmtId="0" fontId="146" fillId="6" borderId="15" xfId="35" applyFont="1" applyFill="1" applyBorder="1" applyAlignment="1">
      <alignment horizontal="center" vertical="center"/>
    </xf>
    <xf numFmtId="0" fontId="146" fillId="0" borderId="12" xfId="0" applyFont="1" applyBorder="1" applyAlignment="1">
      <alignment horizontal="center"/>
    </xf>
    <xf numFmtId="0" fontId="255" fillId="5" borderId="8" xfId="43" applyFont="1" applyFill="1" applyBorder="1" applyAlignment="1">
      <alignment horizontal="center" vertical="center"/>
    </xf>
    <xf numFmtId="0" fontId="255" fillId="6" borderId="8" xfId="43" applyFont="1" applyFill="1" applyBorder="1" applyAlignment="1">
      <alignment horizontal="center" vertical="center"/>
    </xf>
    <xf numFmtId="0" fontId="255" fillId="0" borderId="8" xfId="43" applyFont="1" applyBorder="1" applyAlignment="1">
      <alignment horizontal="center" vertical="center"/>
    </xf>
    <xf numFmtId="0" fontId="255" fillId="0" borderId="7" xfId="43" applyFont="1" applyBorder="1" applyAlignment="1">
      <alignment horizontal="center" vertical="center"/>
    </xf>
    <xf numFmtId="0" fontId="255" fillId="0" borderId="44" xfId="43" applyFont="1" applyBorder="1" applyAlignment="1">
      <alignment horizontal="center" vertical="center"/>
    </xf>
    <xf numFmtId="0" fontId="255" fillId="0" borderId="33" xfId="43" applyFont="1" applyBorder="1" applyAlignment="1">
      <alignment horizontal="center" vertical="center"/>
    </xf>
    <xf numFmtId="0" fontId="181" fillId="5" borderId="8" xfId="43" applyFont="1" applyFill="1" applyBorder="1" applyAlignment="1">
      <alignment horizontal="center" vertical="center"/>
    </xf>
    <xf numFmtId="0" fontId="255" fillId="6" borderId="14" xfId="43" applyFont="1" applyFill="1" applyBorder="1" applyAlignment="1">
      <alignment horizontal="center" vertical="center"/>
    </xf>
    <xf numFmtId="0" fontId="255" fillId="6" borderId="32" xfId="43" applyFont="1" applyFill="1" applyBorder="1" applyAlignment="1">
      <alignment horizontal="center" vertical="center"/>
    </xf>
    <xf numFmtId="0" fontId="255" fillId="45" borderId="11" xfId="43" applyFont="1" applyFill="1" applyBorder="1" applyAlignment="1">
      <alignment horizontal="center" vertical="center" wrapText="1"/>
    </xf>
    <xf numFmtId="0" fontId="255" fillId="45" borderId="15" xfId="43" applyFont="1" applyFill="1" applyBorder="1" applyAlignment="1">
      <alignment horizontal="center" vertical="center" wrapText="1"/>
    </xf>
    <xf numFmtId="0" fontId="146" fillId="6" borderId="7" xfId="0" applyFont="1" applyFill="1" applyBorder="1" applyAlignment="1">
      <alignment horizontal="center" vertical="center" wrapText="1"/>
    </xf>
    <xf numFmtId="0" fontId="146" fillId="6" borderId="33" xfId="0" applyFont="1" applyFill="1" applyBorder="1" applyAlignment="1">
      <alignment horizontal="center" vertical="center" wrapText="1"/>
    </xf>
    <xf numFmtId="0" fontId="146" fillId="6" borderId="11" xfId="0" applyFont="1" applyFill="1" applyBorder="1" applyAlignment="1">
      <alignment horizontal="center"/>
    </xf>
    <xf numFmtId="0" fontId="146" fillId="6" borderId="15" xfId="0" applyFont="1" applyFill="1" applyBorder="1" applyAlignment="1">
      <alignment horizontal="center"/>
    </xf>
    <xf numFmtId="0" fontId="146" fillId="6" borderId="7" xfId="0" applyFont="1" applyFill="1" applyBorder="1" applyAlignment="1">
      <alignment horizontal="center" vertical="center"/>
    </xf>
    <xf numFmtId="0" fontId="146" fillId="6" borderId="33" xfId="0" applyFont="1" applyFill="1" applyBorder="1" applyAlignment="1">
      <alignment horizontal="center" vertical="center"/>
    </xf>
    <xf numFmtId="0" fontId="146" fillId="45" borderId="0" xfId="0" applyFont="1" applyFill="1" applyAlignment="1">
      <alignment horizontal="center"/>
    </xf>
    <xf numFmtId="0" fontId="0" fillId="0" borderId="8" xfId="0" applyBorder="1" applyAlignment="1">
      <alignment horizontal="left" vertical="center"/>
    </xf>
    <xf numFmtId="0" fontId="60" fillId="0" borderId="8" xfId="0" applyFont="1" applyBorder="1" applyAlignment="1">
      <alignment horizontal="center"/>
    </xf>
    <xf numFmtId="0" fontId="97" fillId="0" borderId="7" xfId="0" applyFont="1" applyBorder="1" applyAlignment="1">
      <alignment horizontal="left" vertical="center" wrapText="1"/>
    </xf>
    <xf numFmtId="0" fontId="105" fillId="0" borderId="44" xfId="0" applyFont="1" applyBorder="1" applyAlignment="1">
      <alignment horizontal="left" vertical="center" wrapText="1"/>
    </xf>
    <xf numFmtId="0" fontId="105" fillId="0" borderId="33" xfId="0" applyFont="1" applyBorder="1" applyAlignment="1">
      <alignment horizontal="left" vertical="center" wrapText="1"/>
    </xf>
    <xf numFmtId="0" fontId="146" fillId="0" borderId="7" xfId="0" applyFont="1" applyBorder="1" applyAlignment="1">
      <alignment horizontal="center" vertical="center" wrapText="1"/>
    </xf>
    <xf numFmtId="0" fontId="146" fillId="0" borderId="33" xfId="0" applyFont="1" applyBorder="1" applyAlignment="1">
      <alignment horizontal="center" vertical="center" wrapText="1"/>
    </xf>
    <xf numFmtId="0" fontId="146" fillId="0" borderId="7" xfId="0" applyFont="1" applyBorder="1" applyAlignment="1">
      <alignment horizontal="center" vertical="center"/>
    </xf>
    <xf numFmtId="0" fontId="146" fillId="0" borderId="33" xfId="0" applyFont="1" applyBorder="1" applyAlignment="1">
      <alignment horizontal="center" vertical="center"/>
    </xf>
    <xf numFmtId="0" fontId="146" fillId="6" borderId="8" xfId="39" applyFont="1" applyFill="1" applyBorder="1" applyAlignment="1">
      <alignment horizontal="center"/>
    </xf>
    <xf numFmtId="0" fontId="146" fillId="6" borderId="8" xfId="39" applyFont="1" applyFill="1" applyBorder="1" applyAlignment="1">
      <alignment horizontal="center" vertical="center"/>
    </xf>
    <xf numFmtId="0" fontId="146" fillId="6" borderId="8" xfId="39" applyFont="1" applyFill="1" applyBorder="1" applyAlignment="1">
      <alignment horizontal="center" vertical="center" wrapText="1"/>
    </xf>
    <xf numFmtId="0" fontId="93" fillId="0" borderId="8" xfId="39" applyBorder="1" applyAlignment="1">
      <alignment horizontal="center" vertical="center"/>
    </xf>
    <xf numFmtId="0" fontId="146" fillId="45" borderId="8" xfId="39" applyFont="1" applyFill="1" applyBorder="1" applyAlignment="1">
      <alignment horizontal="center"/>
    </xf>
    <xf numFmtId="0" fontId="146" fillId="45" borderId="8" xfId="39" applyFont="1" applyFill="1" applyBorder="1" applyAlignment="1">
      <alignment horizontal="center" vertical="center"/>
    </xf>
    <xf numFmtId="0" fontId="146" fillId="6" borderId="11" xfId="39" applyFont="1" applyFill="1" applyBorder="1" applyAlignment="1">
      <alignment horizontal="center"/>
    </xf>
    <xf numFmtId="0" fontId="146" fillId="6" borderId="12" xfId="39" applyFont="1" applyFill="1" applyBorder="1" applyAlignment="1">
      <alignment horizontal="center"/>
    </xf>
    <xf numFmtId="0" fontId="146" fillId="6" borderId="15" xfId="39" applyFont="1" applyFill="1" applyBorder="1" applyAlignment="1">
      <alignment horizontal="center"/>
    </xf>
    <xf numFmtId="0" fontId="93" fillId="0" borderId="7" xfId="39" applyBorder="1" applyAlignment="1">
      <alignment horizontal="center" vertical="center"/>
    </xf>
    <xf numFmtId="0" fontId="93" fillId="0" borderId="44" xfId="39" applyBorder="1" applyAlignment="1">
      <alignment horizontal="center" vertical="center"/>
    </xf>
    <xf numFmtId="0" fontId="93" fillId="0" borderId="33" xfId="39" applyBorder="1" applyAlignment="1">
      <alignment horizontal="center" vertical="center"/>
    </xf>
    <xf numFmtId="0" fontId="170" fillId="6" borderId="8" xfId="29" applyFont="1" applyFill="1" applyBorder="1" applyAlignment="1">
      <alignment horizontal="center" vertical="center"/>
    </xf>
    <xf numFmtId="0" fontId="170" fillId="0" borderId="8" xfId="29" applyFont="1" applyBorder="1" applyAlignment="1">
      <alignment horizontal="center" vertical="center" wrapText="1"/>
    </xf>
    <xf numFmtId="0" fontId="170" fillId="6" borderId="8" xfId="29" applyFont="1" applyFill="1" applyBorder="1" applyAlignment="1">
      <alignment horizontal="center" vertical="center" wrapText="1"/>
    </xf>
    <xf numFmtId="0" fontId="139" fillId="6" borderId="8" xfId="30" applyFont="1" applyFill="1" applyBorder="1" applyAlignment="1">
      <alignment horizontal="center"/>
    </xf>
    <xf numFmtId="0" fontId="230" fillId="6" borderId="8" xfId="29" applyFont="1" applyFill="1" applyBorder="1" applyAlignment="1">
      <alignment horizontal="center" vertical="center"/>
    </xf>
    <xf numFmtId="0" fontId="170" fillId="0" borderId="8" xfId="29" applyFont="1" applyBorder="1" applyAlignment="1">
      <alignment horizontal="center" vertical="center"/>
    </xf>
    <xf numFmtId="0" fontId="143" fillId="0" borderId="8" xfId="10" applyFont="1" applyBorder="1" applyAlignment="1">
      <alignment horizontal="center" vertical="center"/>
    </xf>
    <xf numFmtId="0" fontId="157" fillId="0" borderId="21" xfId="10" applyFont="1" applyBorder="1" applyAlignment="1">
      <alignment horizontal="center" vertical="center" wrapText="1"/>
    </xf>
    <xf numFmtId="1" fontId="143" fillId="0" borderId="7" xfId="10" applyNumberFormat="1" applyFont="1" applyBorder="1" applyAlignment="1">
      <alignment horizontal="center" vertical="center" wrapText="1"/>
    </xf>
    <xf numFmtId="1" fontId="143" fillId="0" borderId="33" xfId="10" applyNumberFormat="1" applyFont="1" applyBorder="1" applyAlignment="1">
      <alignment horizontal="center" vertical="center" wrapText="1"/>
    </xf>
    <xf numFmtId="0" fontId="157" fillId="0" borderId="0" xfId="10" applyFont="1" applyAlignment="1">
      <alignment horizontal="center" vertical="center" wrapText="1"/>
    </xf>
    <xf numFmtId="0" fontId="170" fillId="0" borderId="8" xfId="0" applyFont="1" applyBorder="1" applyAlignment="1">
      <alignment horizontal="center"/>
    </xf>
    <xf numFmtId="0" fontId="170" fillId="0" borderId="11" xfId="0" applyFont="1" applyBorder="1" applyAlignment="1">
      <alignment horizontal="right" vertical="center"/>
    </xf>
    <xf numFmtId="0" fontId="170" fillId="0" borderId="12" xfId="0" applyFont="1" applyBorder="1" applyAlignment="1">
      <alignment horizontal="right" vertical="center"/>
    </xf>
    <xf numFmtId="0" fontId="170" fillId="0" borderId="15" xfId="0" applyFont="1" applyBorder="1" applyAlignment="1">
      <alignment horizontal="right" vertical="center"/>
    </xf>
    <xf numFmtId="0" fontId="139" fillId="0" borderId="1" xfId="0" applyFont="1" applyBorder="1" applyAlignment="1">
      <alignment horizontal="center"/>
    </xf>
    <xf numFmtId="0" fontId="139" fillId="0" borderId="2" xfId="0" applyFont="1" applyBorder="1" applyAlignment="1">
      <alignment horizontal="center"/>
    </xf>
    <xf numFmtId="0" fontId="0" fillId="0" borderId="0" xfId="0" applyAlignment="1">
      <alignment horizontal="center" vertical="center"/>
    </xf>
    <xf numFmtId="49" fontId="163" fillId="19" borderId="34" xfId="0" applyNumberFormat="1" applyFont="1" applyFill="1" applyBorder="1" applyAlignment="1">
      <alignment horizontal="center" vertical="center" wrapText="1"/>
    </xf>
    <xf numFmtId="49" fontId="163" fillId="19" borderId="30" xfId="0" applyNumberFormat="1" applyFont="1" applyFill="1" applyBorder="1" applyAlignment="1">
      <alignment horizontal="center" vertical="center" wrapText="1"/>
    </xf>
    <xf numFmtId="49" fontId="163" fillId="19" borderId="42" xfId="0" applyNumberFormat="1" applyFont="1" applyFill="1" applyBorder="1" applyAlignment="1">
      <alignment horizontal="center" vertical="center" wrapText="1"/>
    </xf>
    <xf numFmtId="49" fontId="163" fillId="19" borderId="63" xfId="0" applyNumberFormat="1" applyFont="1" applyFill="1" applyBorder="1" applyAlignment="1">
      <alignment horizontal="center" vertical="center" wrapText="1"/>
    </xf>
    <xf numFmtId="49" fontId="163" fillId="19" borderId="44" xfId="0" applyNumberFormat="1" applyFont="1" applyFill="1" applyBorder="1" applyAlignment="1">
      <alignment horizontal="center" vertical="center" wrapText="1"/>
    </xf>
    <xf numFmtId="49" fontId="163" fillId="19" borderId="46" xfId="0" applyNumberFormat="1" applyFont="1" applyFill="1" applyBorder="1" applyAlignment="1">
      <alignment horizontal="center" vertical="center" wrapText="1"/>
    </xf>
    <xf numFmtId="49" fontId="163" fillId="19" borderId="8" xfId="0" applyNumberFormat="1" applyFont="1" applyFill="1" applyBorder="1" applyAlignment="1">
      <alignment horizontal="center" vertical="center" wrapText="1"/>
    </xf>
    <xf numFmtId="49" fontId="163" fillId="19" borderId="7" xfId="0" applyNumberFormat="1" applyFont="1" applyFill="1" applyBorder="1" applyAlignment="1">
      <alignment horizontal="center" vertical="center" wrapText="1"/>
    </xf>
    <xf numFmtId="1" fontId="163" fillId="19" borderId="46" xfId="0" applyNumberFormat="1" applyFont="1" applyFill="1" applyBorder="1" applyAlignment="1">
      <alignment horizontal="center" vertical="center" wrapText="1"/>
    </xf>
    <xf numFmtId="1" fontId="163" fillId="19" borderId="8" xfId="0" applyNumberFormat="1" applyFont="1" applyFill="1" applyBorder="1" applyAlignment="1">
      <alignment horizontal="center" vertical="center" wrapText="1"/>
    </xf>
    <xf numFmtId="1" fontId="163" fillId="19" borderId="7" xfId="0" applyNumberFormat="1" applyFont="1" applyFill="1" applyBorder="1" applyAlignment="1">
      <alignment horizontal="center" vertical="center" wrapText="1"/>
    </xf>
    <xf numFmtId="49" fontId="163" fillId="19" borderId="33" xfId="0" applyNumberFormat="1" applyFont="1" applyFill="1" applyBorder="1" applyAlignment="1">
      <alignment horizontal="center" vertical="center" wrapText="1"/>
    </xf>
    <xf numFmtId="49" fontId="163" fillId="19" borderId="64" xfId="0" applyNumberFormat="1" applyFont="1" applyFill="1" applyBorder="1" applyAlignment="1">
      <alignment horizontal="center" vertical="center" wrapText="1"/>
    </xf>
    <xf numFmtId="49" fontId="163" fillId="19" borderId="65" xfId="0" applyNumberFormat="1" applyFont="1" applyFill="1" applyBorder="1" applyAlignment="1">
      <alignment horizontal="center" vertical="center" wrapText="1"/>
    </xf>
    <xf numFmtId="49" fontId="163" fillId="19" borderId="14" xfId="0" applyNumberFormat="1" applyFont="1" applyFill="1" applyBorder="1" applyAlignment="1">
      <alignment horizontal="center" vertical="center" wrapText="1"/>
    </xf>
    <xf numFmtId="49" fontId="163" fillId="19" borderId="25" xfId="0" applyNumberFormat="1" applyFont="1" applyFill="1" applyBorder="1" applyAlignment="1">
      <alignment horizontal="center" vertical="center" wrapText="1"/>
    </xf>
    <xf numFmtId="49" fontId="163" fillId="19" borderId="38" xfId="0" applyNumberFormat="1" applyFont="1" applyFill="1" applyBorder="1" applyAlignment="1">
      <alignment horizontal="center" vertical="center" wrapText="1"/>
    </xf>
    <xf numFmtId="49" fontId="163" fillId="19" borderId="40" xfId="0" applyNumberFormat="1" applyFont="1" applyFill="1" applyBorder="1" applyAlignment="1">
      <alignment horizontal="center" vertical="center" wrapText="1"/>
    </xf>
    <xf numFmtId="49" fontId="163" fillId="19" borderId="16" xfId="0" applyNumberFormat="1" applyFont="1" applyFill="1" applyBorder="1" applyAlignment="1">
      <alignment horizontal="center" vertical="center" wrapText="1"/>
    </xf>
    <xf numFmtId="1" fontId="163" fillId="19" borderId="16" xfId="0" applyNumberFormat="1" applyFont="1" applyFill="1" applyBorder="1" applyAlignment="1">
      <alignment horizontal="center" vertical="center" wrapText="1"/>
    </xf>
    <xf numFmtId="0" fontId="204" fillId="0" borderId="56" xfId="0" applyFont="1" applyBorder="1" applyAlignment="1">
      <alignment horizontal="left"/>
    </xf>
    <xf numFmtId="0" fontId="204" fillId="0" borderId="32" xfId="0" applyFont="1" applyBorder="1" applyAlignment="1">
      <alignment horizontal="left"/>
    </xf>
    <xf numFmtId="0" fontId="204" fillId="0" borderId="8" xfId="0" applyFont="1" applyBorder="1" applyAlignment="1">
      <alignment horizontal="center"/>
    </xf>
    <xf numFmtId="0" fontId="204" fillId="15" borderId="8" xfId="0" applyFont="1" applyFill="1" applyBorder="1" applyAlignment="1">
      <alignment horizontal="center"/>
    </xf>
    <xf numFmtId="0" fontId="204" fillId="15" borderId="8" xfId="0" applyFont="1" applyFill="1" applyBorder="1" applyAlignment="1">
      <alignment horizontal="center" vertical="center" wrapText="1"/>
    </xf>
    <xf numFmtId="0" fontId="204" fillId="15" borderId="8" xfId="0" applyFont="1" applyFill="1" applyBorder="1" applyAlignment="1">
      <alignment horizontal="center" vertical="center"/>
    </xf>
    <xf numFmtId="0" fontId="139" fillId="0" borderId="56" xfId="0" applyFont="1" applyBorder="1" applyAlignment="1">
      <alignment horizontal="center"/>
    </xf>
    <xf numFmtId="0" fontId="139" fillId="0" borderId="32" xfId="0" applyFont="1" applyBorder="1" applyAlignment="1">
      <alignment horizontal="center"/>
    </xf>
    <xf numFmtId="0" fontId="139" fillId="15" borderId="8" xfId="0" applyFont="1" applyFill="1" applyBorder="1" applyAlignment="1">
      <alignment horizontal="center"/>
    </xf>
    <xf numFmtId="0" fontId="139" fillId="15" borderId="8" xfId="0" applyFont="1" applyFill="1" applyBorder="1" applyAlignment="1">
      <alignment horizontal="center" vertical="center" wrapText="1"/>
    </xf>
    <xf numFmtId="0" fontId="139" fillId="15" borderId="8" xfId="0" applyFont="1" applyFill="1" applyBorder="1" applyAlignment="1">
      <alignment horizontal="center" vertical="center"/>
    </xf>
    <xf numFmtId="0" fontId="208" fillId="0" borderId="38" xfId="22" applyFont="1" applyBorder="1" applyAlignment="1">
      <alignment horizontal="center" vertical="center"/>
    </xf>
    <xf numFmtId="0" fontId="208" fillId="0" borderId="16" xfId="22" applyFont="1" applyBorder="1" applyAlignment="1">
      <alignment horizontal="center" vertical="center"/>
    </xf>
    <xf numFmtId="0" fontId="204" fillId="0" borderId="0" xfId="22" applyFont="1" applyAlignment="1">
      <alignment horizontal="center" vertical="center"/>
    </xf>
    <xf numFmtId="0" fontId="204" fillId="0" borderId="0" xfId="22" applyFont="1" applyAlignment="1">
      <alignment horizontal="left" vertical="center"/>
    </xf>
    <xf numFmtId="0" fontId="204" fillId="0" borderId="0" xfId="22" applyFont="1" applyAlignment="1">
      <alignment horizontal="center" vertical="center" wrapText="1"/>
    </xf>
    <xf numFmtId="0" fontId="204" fillId="0" borderId="0" xfId="22" applyFont="1" applyAlignment="1">
      <alignment horizontal="left" vertical="center" wrapText="1"/>
    </xf>
    <xf numFmtId="0" fontId="207" fillId="0" borderId="0" xfId="22" applyFont="1" applyAlignment="1">
      <alignment horizontal="center" vertical="center"/>
    </xf>
    <xf numFmtId="0" fontId="208" fillId="0" borderId="36" xfId="10" applyFont="1" applyBorder="1" applyAlignment="1">
      <alignment horizontal="center" vertical="center" wrapText="1"/>
    </xf>
    <xf numFmtId="0" fontId="208" fillId="0" borderId="34" xfId="22" applyFont="1" applyBorder="1" applyAlignment="1">
      <alignment horizontal="center" vertical="center"/>
    </xf>
    <xf numFmtId="0" fontId="208" fillId="0" borderId="46" xfId="22" applyFont="1" applyBorder="1" applyAlignment="1">
      <alignment horizontal="center" vertical="center"/>
    </xf>
    <xf numFmtId="0" fontId="138" fillId="10" borderId="9" xfId="0" applyFont="1" applyFill="1" applyBorder="1" applyAlignment="1">
      <alignment horizontal="center" vertical="center"/>
    </xf>
    <xf numFmtId="0" fontId="138" fillId="10" borderId="10" xfId="0" applyFont="1" applyFill="1" applyBorder="1" applyAlignment="1">
      <alignment horizontal="center" vertical="center"/>
    </xf>
    <xf numFmtId="0" fontId="138" fillId="10" borderId="29" xfId="0" applyFont="1" applyFill="1" applyBorder="1" applyAlignment="1">
      <alignment horizontal="center" vertical="center"/>
    </xf>
    <xf numFmtId="0" fontId="138" fillId="11" borderId="35" xfId="0" applyFont="1" applyFill="1" applyBorder="1" applyAlignment="1">
      <alignment horizontal="center" vertical="center"/>
    </xf>
    <xf numFmtId="0" fontId="138" fillId="11" borderId="36" xfId="0" applyFont="1" applyFill="1" applyBorder="1" applyAlignment="1">
      <alignment horizontal="center" vertical="center"/>
    </xf>
    <xf numFmtId="0" fontId="138" fillId="11" borderId="45" xfId="0" applyFont="1" applyFill="1" applyBorder="1" applyAlignment="1">
      <alignment horizontal="center" vertical="center"/>
    </xf>
    <xf numFmtId="0" fontId="138" fillId="11" borderId="1" xfId="0" applyFont="1" applyFill="1" applyBorder="1" applyAlignment="1">
      <alignment horizontal="center" vertical="center"/>
    </xf>
    <xf numFmtId="0" fontId="138" fillId="11" borderId="2" xfId="0" applyFont="1" applyFill="1" applyBorder="1" applyAlignment="1">
      <alignment horizontal="center" vertical="center"/>
    </xf>
    <xf numFmtId="0" fontId="138" fillId="11" borderId="18" xfId="0" applyFont="1" applyFill="1" applyBorder="1" applyAlignment="1">
      <alignment horizontal="center" vertical="center"/>
    </xf>
    <xf numFmtId="0" fontId="146" fillId="0" borderId="37" xfId="0" applyFont="1" applyBorder="1" applyAlignment="1">
      <alignment horizontal="center" vertical="center"/>
    </xf>
    <xf numFmtId="0" fontId="146" fillId="0" borderId="34" xfId="0" applyFont="1" applyBorder="1" applyAlignment="1">
      <alignment horizontal="center" vertical="center"/>
    </xf>
    <xf numFmtId="0" fontId="146" fillId="0" borderId="46" xfId="0" applyFont="1" applyBorder="1" applyAlignment="1">
      <alignment horizontal="center" vertical="center"/>
    </xf>
    <xf numFmtId="0" fontId="146" fillId="0" borderId="16" xfId="0" applyFont="1" applyBorder="1" applyAlignment="1">
      <alignment horizontal="center" vertical="center" wrapText="1"/>
    </xf>
    <xf numFmtId="0" fontId="151" fillId="0" borderId="33" xfId="0" applyFont="1" applyBorder="1" applyAlignment="1">
      <alignment horizontal="center" vertical="center" wrapText="1"/>
    </xf>
    <xf numFmtId="0" fontId="151" fillId="0" borderId="16" xfId="0" applyFont="1" applyBorder="1" applyAlignment="1">
      <alignment horizontal="center" vertical="center" wrapText="1"/>
    </xf>
    <xf numFmtId="0" fontId="146" fillId="0" borderId="41" xfId="0" applyFont="1" applyBorder="1" applyAlignment="1">
      <alignment horizontal="center" vertical="center"/>
    </xf>
    <xf numFmtId="0" fontId="146" fillId="0" borderId="47" xfId="0" applyFont="1" applyBorder="1" applyAlignment="1">
      <alignment horizontal="center" vertical="center"/>
    </xf>
    <xf numFmtId="0" fontId="146" fillId="0" borderId="53" xfId="0" applyFont="1" applyBorder="1" applyAlignment="1">
      <alignment horizontal="center" vertical="center"/>
    </xf>
    <xf numFmtId="0" fontId="146" fillId="6" borderId="4" xfId="0" applyFont="1" applyFill="1" applyBorder="1" applyAlignment="1">
      <alignment horizontal="left" vertical="center"/>
    </xf>
    <xf numFmtId="0" fontId="146" fillId="6" borderId="5" xfId="0" applyFont="1" applyFill="1" applyBorder="1" applyAlignment="1">
      <alignment horizontal="left" vertical="center"/>
    </xf>
    <xf numFmtId="0" fontId="146" fillId="6" borderId="1" xfId="0" applyFont="1" applyFill="1" applyBorder="1" applyAlignment="1">
      <alignment horizontal="left" vertical="center"/>
    </xf>
    <xf numFmtId="0" fontId="146" fillId="6" borderId="43" xfId="0" applyFont="1" applyFill="1" applyBorder="1" applyAlignment="1">
      <alignment horizontal="left" vertical="center"/>
    </xf>
    <xf numFmtId="0" fontId="146" fillId="6" borderId="2" xfId="0" applyFont="1" applyFill="1" applyBorder="1" applyAlignment="1">
      <alignment horizontal="left" vertical="center"/>
    </xf>
    <xf numFmtId="0" fontId="146" fillId="0" borderId="34" xfId="0" applyFont="1" applyBorder="1" applyAlignment="1">
      <alignment horizontal="center" vertical="center" wrapText="1"/>
    </xf>
    <xf numFmtId="0" fontId="146" fillId="0" borderId="30" xfId="0" applyFont="1" applyBorder="1" applyAlignment="1">
      <alignment horizontal="center" vertical="center" wrapText="1"/>
    </xf>
    <xf numFmtId="0" fontId="146" fillId="0" borderId="38" xfId="0" applyFont="1" applyBorder="1" applyAlignment="1">
      <alignment horizontal="center" vertical="center" wrapText="1"/>
    </xf>
    <xf numFmtId="0" fontId="146" fillId="0" borderId="29" xfId="0" applyFont="1" applyBorder="1" applyAlignment="1">
      <alignment horizontal="center" vertical="center"/>
    </xf>
    <xf numFmtId="0" fontId="146" fillId="0" borderId="22" xfId="0" applyFont="1" applyBorder="1" applyAlignment="1">
      <alignment horizontal="center" vertical="center"/>
    </xf>
    <xf numFmtId="0" fontId="146"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46" fillId="0" borderId="46" xfId="0" applyFont="1" applyBorder="1" applyAlignment="1">
      <alignment horizontal="center" vertical="center" wrapText="1"/>
    </xf>
    <xf numFmtId="0" fontId="151" fillId="0" borderId="46" xfId="0" applyFont="1" applyBorder="1" applyAlignment="1">
      <alignment horizontal="center" vertical="center" wrapText="1"/>
    </xf>
    <xf numFmtId="0" fontId="148" fillId="7" borderId="8" xfId="13" applyFont="1" applyFill="1" applyBorder="1" applyAlignment="1">
      <alignment horizontal="center" vertical="top" wrapText="1"/>
    </xf>
    <xf numFmtId="0" fontId="149" fillId="9" borderId="8" xfId="13" applyFill="1" applyBorder="1" applyAlignment="1">
      <alignment horizontal="left" vertical="top" wrapText="1"/>
    </xf>
    <xf numFmtId="0" fontId="263" fillId="0" borderId="7" xfId="0" applyFont="1" applyBorder="1" applyAlignment="1">
      <alignment horizontal="center" vertical="center"/>
    </xf>
    <xf numFmtId="0" fontId="263" fillId="0" borderId="33" xfId="0" applyFont="1" applyBorder="1" applyAlignment="1">
      <alignment horizontal="center" vertical="center"/>
    </xf>
    <xf numFmtId="0" fontId="263" fillId="0" borderId="8" xfId="0" applyFont="1" applyBorder="1" applyAlignment="1">
      <alignment horizontal="right"/>
    </xf>
    <xf numFmtId="2" fontId="263" fillId="0" borderId="8" xfId="0" applyNumberFormat="1" applyFont="1" applyBorder="1" applyAlignment="1">
      <alignment horizontal="right"/>
    </xf>
    <xf numFmtId="0" fontId="11" fillId="0" borderId="8" xfId="83" applyFill="1" applyBorder="1" applyAlignment="1">
      <alignment horizontal="center"/>
    </xf>
    <xf numFmtId="0" fontId="263" fillId="0" borderId="44" xfId="0" applyFont="1" applyBorder="1" applyAlignment="1">
      <alignment horizontal="center" vertical="center"/>
    </xf>
  </cellXfs>
  <cellStyles count="84">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19" xfId="83" xr:uid="{0B3BA4AA-3B30-4CD9-838D-37E2D3441482}"/>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12">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FFFF0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4.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xml"/><Relationship Id="rId138" Type="http://schemas.openxmlformats.org/officeDocument/2006/relationships/externalLink" Target="externalLinks/externalLink55.xml"/><Relationship Id="rId107" Type="http://schemas.openxmlformats.org/officeDocument/2006/relationships/externalLink" Target="externalLinks/externalLink24.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5.xml"/><Relationship Id="rId149" Type="http://schemas.openxmlformats.org/officeDocument/2006/relationships/externalLink" Target="externalLinks/externalLink66.xml"/><Relationship Id="rId5" Type="http://schemas.openxmlformats.org/officeDocument/2006/relationships/worksheet" Target="worksheets/sheet5.xml"/><Relationship Id="rId95" Type="http://schemas.openxmlformats.org/officeDocument/2006/relationships/externalLink" Target="externalLinks/externalLink1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0.xml"/><Relationship Id="rId118" Type="http://schemas.openxmlformats.org/officeDocument/2006/relationships/externalLink" Target="externalLinks/externalLink35.xml"/><Relationship Id="rId134" Type="http://schemas.openxmlformats.org/officeDocument/2006/relationships/externalLink" Target="externalLinks/externalLink51.xml"/><Relationship Id="rId139" Type="http://schemas.openxmlformats.org/officeDocument/2006/relationships/externalLink" Target="externalLinks/externalLink56.xml"/><Relationship Id="rId80" Type="http://schemas.openxmlformats.org/officeDocument/2006/relationships/worksheet" Target="worksheets/sheet80.xml"/><Relationship Id="rId85" Type="http://schemas.openxmlformats.org/officeDocument/2006/relationships/externalLink" Target="externalLinks/externalLink2.xml"/><Relationship Id="rId150"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0.xml"/><Relationship Id="rId108" Type="http://schemas.openxmlformats.org/officeDocument/2006/relationships/externalLink" Target="externalLinks/externalLink25.xml"/><Relationship Id="rId124" Type="http://schemas.openxmlformats.org/officeDocument/2006/relationships/externalLink" Target="externalLinks/externalLink41.xml"/><Relationship Id="rId129" Type="http://schemas.openxmlformats.org/officeDocument/2006/relationships/externalLink" Target="externalLinks/externalLink46.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8.xml"/><Relationship Id="rId96" Type="http://schemas.openxmlformats.org/officeDocument/2006/relationships/externalLink" Target="externalLinks/externalLink13.xml"/><Relationship Id="rId140" Type="http://schemas.openxmlformats.org/officeDocument/2006/relationships/externalLink" Target="externalLinks/externalLink57.xml"/><Relationship Id="rId145" Type="http://schemas.openxmlformats.org/officeDocument/2006/relationships/externalLink" Target="externalLinks/externalLink6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1.xml"/><Relationship Id="rId119" Type="http://schemas.openxmlformats.org/officeDocument/2006/relationships/externalLink" Target="externalLinks/externalLink36.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3.xml"/><Relationship Id="rId130" Type="http://schemas.openxmlformats.org/officeDocument/2006/relationships/externalLink" Target="externalLinks/externalLink47.xml"/><Relationship Id="rId135" Type="http://schemas.openxmlformats.org/officeDocument/2006/relationships/externalLink" Target="externalLinks/externalLink52.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6.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4.xml"/><Relationship Id="rId104" Type="http://schemas.openxmlformats.org/officeDocument/2006/relationships/externalLink" Target="externalLinks/externalLink21.xml"/><Relationship Id="rId120" Type="http://schemas.openxmlformats.org/officeDocument/2006/relationships/externalLink" Target="externalLinks/externalLink37.xml"/><Relationship Id="rId125" Type="http://schemas.openxmlformats.org/officeDocument/2006/relationships/externalLink" Target="externalLinks/externalLink42.xml"/><Relationship Id="rId141" Type="http://schemas.openxmlformats.org/officeDocument/2006/relationships/externalLink" Target="externalLinks/externalLink58.xml"/><Relationship Id="rId146" Type="http://schemas.openxmlformats.org/officeDocument/2006/relationships/externalLink" Target="externalLinks/externalLink6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4.xml"/><Relationship Id="rId110" Type="http://schemas.openxmlformats.org/officeDocument/2006/relationships/externalLink" Target="externalLinks/externalLink27.xml"/><Relationship Id="rId115" Type="http://schemas.openxmlformats.org/officeDocument/2006/relationships/externalLink" Target="externalLinks/externalLink32.xml"/><Relationship Id="rId131" Type="http://schemas.openxmlformats.org/officeDocument/2006/relationships/externalLink" Target="externalLinks/externalLink48.xml"/><Relationship Id="rId136" Type="http://schemas.openxmlformats.org/officeDocument/2006/relationships/externalLink" Target="externalLinks/externalLink5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7.xml"/><Relationship Id="rId105" Type="http://schemas.openxmlformats.org/officeDocument/2006/relationships/externalLink" Target="externalLinks/externalLink22.xml"/><Relationship Id="rId126" Type="http://schemas.openxmlformats.org/officeDocument/2006/relationships/externalLink" Target="externalLinks/externalLink43.xml"/><Relationship Id="rId147" Type="http://schemas.openxmlformats.org/officeDocument/2006/relationships/externalLink" Target="externalLinks/externalLink6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0.xml"/><Relationship Id="rId98" Type="http://schemas.openxmlformats.org/officeDocument/2006/relationships/externalLink" Target="externalLinks/externalLink15.xml"/><Relationship Id="rId121" Type="http://schemas.openxmlformats.org/officeDocument/2006/relationships/externalLink" Target="externalLinks/externalLink38.xml"/><Relationship Id="rId142" Type="http://schemas.openxmlformats.org/officeDocument/2006/relationships/externalLink" Target="externalLinks/externalLink5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3.xml"/><Relationship Id="rId137" Type="http://schemas.openxmlformats.org/officeDocument/2006/relationships/externalLink" Target="externalLinks/externalLink5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externalLink" Target="externalLinks/externalLink5.xml"/><Relationship Id="rId111" Type="http://schemas.openxmlformats.org/officeDocument/2006/relationships/externalLink" Target="externalLinks/externalLink28.xml"/><Relationship Id="rId132" Type="http://schemas.openxmlformats.org/officeDocument/2006/relationships/externalLink" Target="externalLinks/externalLink49.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3.xml"/><Relationship Id="rId12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1.xml"/><Relationship Id="rId99" Type="http://schemas.openxmlformats.org/officeDocument/2006/relationships/externalLink" Target="externalLinks/externalLink16.xml"/><Relationship Id="rId101" Type="http://schemas.openxmlformats.org/officeDocument/2006/relationships/externalLink" Target="externalLinks/externalLink18.xml"/><Relationship Id="rId122" Type="http://schemas.openxmlformats.org/officeDocument/2006/relationships/externalLink" Target="externalLinks/externalLink39.xml"/><Relationship Id="rId143" Type="http://schemas.openxmlformats.org/officeDocument/2006/relationships/externalLink" Target="externalLinks/externalLink60.xml"/><Relationship Id="rId148" Type="http://schemas.openxmlformats.org/officeDocument/2006/relationships/externalLink" Target="externalLinks/externalLink6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6.xml"/><Relationship Id="rId112" Type="http://schemas.openxmlformats.org/officeDocument/2006/relationships/externalLink" Target="externalLinks/externalLink29.xml"/><Relationship Id="rId133" Type="http://schemas.openxmlformats.org/officeDocument/2006/relationships/externalLink" Target="externalLinks/externalLink50.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19.xml"/><Relationship Id="rId123" Type="http://schemas.openxmlformats.org/officeDocument/2006/relationships/externalLink" Target="externalLinks/externalLink40.xml"/><Relationship Id="rId144" Type="http://schemas.openxmlformats.org/officeDocument/2006/relationships/externalLink" Target="externalLinks/externalLink61.xml"/><Relationship Id="rId90" Type="http://schemas.openxmlformats.org/officeDocument/2006/relationships/externalLink" Target="externalLinks/externalLink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4.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5.bin"/></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25"/>
  <cols>
    <col min="1" max="1" width="15.140625" style="404" customWidth="1"/>
    <col min="2" max="2" width="5.140625" style="404" customWidth="1"/>
    <col min="3" max="4" width="8.5703125" style="404" customWidth="1"/>
    <col min="5" max="5" width="9.5703125" style="404" customWidth="1"/>
    <col min="6" max="6" width="10" style="405" customWidth="1"/>
    <col min="7" max="7" width="8.85546875" style="404" customWidth="1"/>
    <col min="8" max="8" width="12" style="404" customWidth="1"/>
    <col min="9" max="9" width="9.5703125" style="404" customWidth="1"/>
    <col min="10" max="10" width="9.85546875" style="404" customWidth="1"/>
    <col min="11" max="11" width="6.5703125" style="405" customWidth="1"/>
    <col min="12" max="12" width="11" style="404" customWidth="1"/>
    <col min="13" max="13" width="8.5703125" style="404" customWidth="1"/>
    <col min="14" max="15" width="10.42578125" style="404" customWidth="1"/>
    <col min="16" max="16" width="15.85546875" style="406" customWidth="1"/>
    <col min="17" max="17" width="21.140625" style="406" customWidth="1"/>
    <col min="18" max="18" width="24.5703125" style="406" customWidth="1"/>
    <col min="19" max="19" width="18.42578125" style="407" customWidth="1"/>
    <col min="20" max="23" width="11.42578125" style="407" customWidth="1"/>
    <col min="24" max="42" width="9.140625" style="408" customWidth="1"/>
    <col min="43" max="47" width="9.140625" style="402" customWidth="1"/>
    <col min="48" max="263" width="9.140625" style="404" customWidth="1"/>
    <col min="264" max="16384" width="9" style="409"/>
  </cols>
  <sheetData>
    <row r="1" spans="1:32" ht="15">
      <c r="A1" s="1498"/>
      <c r="B1" s="1484" t="s">
        <v>569</v>
      </c>
      <c r="C1" s="1484"/>
      <c r="D1" s="1485" t="s">
        <v>2</v>
      </c>
      <c r="E1" s="1485"/>
      <c r="F1" s="1486" t="s">
        <v>570</v>
      </c>
      <c r="G1" s="1487"/>
      <c r="H1" s="410">
        <f ca="1">TODAY()</f>
        <v>46247</v>
      </c>
      <c r="I1" s="1486" t="s">
        <v>571</v>
      </c>
      <c r="J1" s="1488"/>
      <c r="K1" s="1487"/>
      <c r="L1" s="431">
        <v>45041</v>
      </c>
      <c r="M1" s="1489" t="s">
        <v>572</v>
      </c>
      <c r="N1" s="1490"/>
      <c r="O1" s="1491"/>
      <c r="P1" s="1493" t="s">
        <v>573</v>
      </c>
      <c r="Q1" s="1493"/>
      <c r="S1" s="406"/>
      <c r="T1" s="406"/>
      <c r="U1" s="406"/>
    </row>
    <row r="2" spans="1:32" ht="15">
      <c r="A2" s="1499"/>
      <c r="B2" s="1484" t="s">
        <v>574</v>
      </c>
      <c r="C2" s="1484"/>
      <c r="D2" s="1492" t="s">
        <v>1</v>
      </c>
      <c r="E2" s="1493"/>
      <c r="F2" s="1493"/>
      <c r="G2" s="1493"/>
      <c r="H2" s="1493"/>
      <c r="I2" s="1486" t="s">
        <v>575</v>
      </c>
      <c r="J2" s="1488"/>
      <c r="K2" s="1487"/>
      <c r="L2" s="431">
        <v>45498</v>
      </c>
      <c r="M2" s="1489" t="s">
        <v>576</v>
      </c>
      <c r="N2" s="1490"/>
      <c r="O2" s="1491"/>
      <c r="P2" s="1493" t="s">
        <v>577</v>
      </c>
      <c r="Q2" s="1493"/>
      <c r="S2" s="406"/>
      <c r="T2" s="406"/>
      <c r="U2" s="406"/>
    </row>
    <row r="3" spans="1:32" ht="15">
      <c r="A3" s="1499"/>
      <c r="B3" s="1484" t="s">
        <v>578</v>
      </c>
      <c r="C3" s="1484"/>
      <c r="D3" s="1492" t="s">
        <v>579</v>
      </c>
      <c r="E3" s="1493"/>
      <c r="F3" s="1493"/>
      <c r="G3" s="1493"/>
      <c r="H3" s="1493"/>
      <c r="I3" s="1486" t="s">
        <v>580</v>
      </c>
      <c r="J3" s="1488"/>
      <c r="K3" s="1487"/>
      <c r="L3" s="431">
        <v>45498</v>
      </c>
      <c r="M3" s="1489" t="s">
        <v>581</v>
      </c>
      <c r="N3" s="1490"/>
      <c r="O3" s="1491"/>
      <c r="P3" s="1493" t="s">
        <v>582</v>
      </c>
      <c r="Q3" s="1493"/>
      <c r="S3" s="406"/>
      <c r="T3" s="406"/>
      <c r="U3" s="406"/>
    </row>
    <row r="4" spans="1:32" ht="28.5">
      <c r="A4" s="1500"/>
      <c r="B4" s="1484" t="s">
        <v>583</v>
      </c>
      <c r="C4" s="1484"/>
      <c r="D4" s="1492" t="s">
        <v>584</v>
      </c>
      <c r="E4" s="1493"/>
      <c r="F4" s="1493"/>
      <c r="G4" s="1493"/>
      <c r="H4" s="1493"/>
      <c r="I4" s="1486" t="s">
        <v>585</v>
      </c>
      <c r="J4" s="1488"/>
      <c r="K4" s="1487"/>
      <c r="L4" s="432" t="s">
        <v>586</v>
      </c>
      <c r="M4" s="1489" t="s">
        <v>587</v>
      </c>
      <c r="N4" s="1490"/>
      <c r="O4" s="1491"/>
      <c r="P4" s="1493" t="s">
        <v>588</v>
      </c>
      <c r="Q4" s="149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501" t="s">
        <v>19</v>
      </c>
      <c r="Q5" s="1502"/>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503" t="s">
        <v>604</v>
      </c>
      <c r="Q6" s="1504"/>
      <c r="R6" s="406"/>
      <c r="S6" s="406"/>
      <c r="T6" s="406"/>
      <c r="U6" s="406"/>
      <c r="V6" s="442"/>
      <c r="W6" s="442"/>
      <c r="X6" s="408"/>
      <c r="Y6" s="408"/>
      <c r="Z6" s="408"/>
      <c r="AA6" s="408"/>
      <c r="AB6" s="408"/>
      <c r="AC6" s="408"/>
      <c r="AD6" s="408"/>
      <c r="AE6" s="408"/>
      <c r="AF6" s="408"/>
    </row>
    <row r="7" spans="1:32" s="402" customFormat="1" ht="65.45"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505" t="s">
        <v>606</v>
      </c>
      <c r="Q7" s="1506"/>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507" t="s">
        <v>607</v>
      </c>
      <c r="Q8" s="1508"/>
      <c r="R8" s="443"/>
      <c r="S8" s="406"/>
      <c r="T8" s="406"/>
      <c r="U8" s="406"/>
      <c r="V8" s="442"/>
      <c r="W8" s="442"/>
      <c r="X8" s="408"/>
      <c r="Y8" s="408"/>
      <c r="Z8" s="408"/>
      <c r="AA8" s="408"/>
      <c r="AB8" s="408"/>
      <c r="AC8" s="408"/>
      <c r="AD8" s="408"/>
      <c r="AE8" s="408"/>
      <c r="AF8" s="408"/>
    </row>
    <row r="9" spans="1:32" s="402" customFormat="1" ht="30.6"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94"/>
      <c r="Q9" s="1495"/>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94"/>
      <c r="Q10" s="1495"/>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94" t="s">
        <v>611</v>
      </c>
      <c r="Q11" s="1495"/>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94" t="s">
        <v>613</v>
      </c>
      <c r="Q12" s="1495"/>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96"/>
      <c r="Q13" s="1497"/>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140625" defaultRowHeight="12.75"/>
  <cols>
    <col min="1" max="1" width="10.5703125" style="1" customWidth="1"/>
    <col min="2" max="2" width="12" style="1" customWidth="1"/>
    <col min="3" max="3" width="14.42578125" style="1" customWidth="1"/>
    <col min="4" max="4" width="11.140625" style="1" customWidth="1"/>
    <col min="5" max="5" width="14.85546875" style="1" customWidth="1"/>
    <col min="6" max="6" width="11.5703125" style="1" customWidth="1"/>
    <col min="7" max="7" width="14.42578125" style="1" customWidth="1"/>
    <col min="8" max="8" width="14.85546875" style="1" customWidth="1"/>
    <col min="9" max="9" width="13" style="1" customWidth="1"/>
    <col min="10" max="10" width="14.42578125" style="1" customWidth="1"/>
    <col min="11" max="11" width="22.5703125" style="1" customWidth="1"/>
    <col min="12" max="16384" width="9.140625" style="1"/>
  </cols>
  <sheetData>
    <row r="2" spans="1:11" ht="24" customHeight="1">
      <c r="A2" s="396" t="s">
        <v>616</v>
      </c>
      <c r="B2" s="1514" t="s">
        <v>617</v>
      </c>
      <c r="C2" s="1514"/>
      <c r="D2" s="1514" t="s">
        <v>618</v>
      </c>
      <c r="E2" s="1514"/>
      <c r="F2" s="1514" t="s">
        <v>619</v>
      </c>
      <c r="G2" s="1514"/>
      <c r="H2" s="396" t="s">
        <v>616</v>
      </c>
      <c r="I2" s="1514" t="s">
        <v>620</v>
      </c>
      <c r="J2" s="1514" t="s">
        <v>28</v>
      </c>
      <c r="K2" s="1514"/>
    </row>
    <row r="3" spans="1:11" ht="35.25" customHeight="1">
      <c r="A3" s="396" t="s">
        <v>621</v>
      </c>
      <c r="B3" s="1514"/>
      <c r="C3" s="1514"/>
      <c r="D3" s="1514" t="s">
        <v>622</v>
      </c>
      <c r="E3" s="1514"/>
      <c r="F3" s="1514" t="s">
        <v>623</v>
      </c>
      <c r="G3" s="1514"/>
      <c r="H3" s="396" t="s">
        <v>624</v>
      </c>
      <c r="I3" s="1514"/>
      <c r="J3" s="1514" t="s">
        <v>625</v>
      </c>
      <c r="K3" s="1514"/>
    </row>
    <row r="4" spans="1:11">
      <c r="A4" s="397"/>
      <c r="B4" s="396" t="s">
        <v>626</v>
      </c>
      <c r="C4" s="396" t="s">
        <v>627</v>
      </c>
      <c r="D4" s="396" t="s">
        <v>626</v>
      </c>
      <c r="E4" s="396" t="s">
        <v>627</v>
      </c>
      <c r="F4" s="396" t="s">
        <v>626</v>
      </c>
      <c r="G4" s="396" t="s">
        <v>627</v>
      </c>
      <c r="H4" s="397"/>
      <c r="I4" s="151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509" t="s">
        <v>633</v>
      </c>
      <c r="B6" s="1510">
        <v>45076</v>
      </c>
      <c r="C6" s="1511" t="s">
        <v>629</v>
      </c>
      <c r="D6" s="1510">
        <v>45137</v>
      </c>
      <c r="E6" s="1511" t="s">
        <v>629</v>
      </c>
      <c r="F6" s="1510">
        <v>45126</v>
      </c>
      <c r="G6" s="1511" t="s">
        <v>634</v>
      </c>
      <c r="H6" s="1511" t="s">
        <v>631</v>
      </c>
      <c r="I6" s="1511" t="s">
        <v>635</v>
      </c>
      <c r="J6" s="1509" t="s">
        <v>636</v>
      </c>
      <c r="K6" s="1512" t="s">
        <v>629</v>
      </c>
    </row>
    <row r="7" spans="1:11">
      <c r="A7" s="1509"/>
      <c r="B7" s="1510"/>
      <c r="C7" s="1511"/>
      <c r="D7" s="1510"/>
      <c r="E7" s="1511"/>
      <c r="F7" s="1510"/>
      <c r="G7" s="1511"/>
      <c r="H7" s="1511"/>
      <c r="I7" s="1511"/>
      <c r="J7" s="1509"/>
      <c r="K7" s="1513"/>
    </row>
    <row r="8" spans="1:11" ht="25.5">
      <c r="A8" s="398" t="s">
        <v>637</v>
      </c>
      <c r="B8" s="399">
        <v>45098</v>
      </c>
      <c r="C8" s="400" t="s">
        <v>629</v>
      </c>
      <c r="D8" s="398" t="s">
        <v>638</v>
      </c>
      <c r="E8" s="400" t="s">
        <v>639</v>
      </c>
      <c r="F8" s="399">
        <v>45158</v>
      </c>
      <c r="G8" s="400" t="s">
        <v>639</v>
      </c>
      <c r="H8" s="400" t="s">
        <v>631</v>
      </c>
      <c r="I8" s="400" t="s">
        <v>639</v>
      </c>
      <c r="J8" s="399">
        <v>45138</v>
      </c>
      <c r="K8" s="401" t="s">
        <v>640</v>
      </c>
    </row>
    <row r="9" spans="1:11" ht="25.5">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85546875" defaultRowHeight="12.95" customHeight="1"/>
  <cols>
    <col min="1" max="1" width="5.140625" style="160" customWidth="1"/>
    <col min="2" max="2" width="9.85546875" style="160" customWidth="1"/>
    <col min="3" max="3" width="5.42578125" style="160" hidden="1" customWidth="1"/>
    <col min="4" max="4" width="8.42578125" style="160" customWidth="1"/>
    <col min="5" max="5" width="6.85546875" style="160" customWidth="1"/>
    <col min="6" max="6" width="9.140625" style="160" customWidth="1"/>
    <col min="7" max="7" width="9.85546875" style="160" customWidth="1"/>
    <col min="8" max="8" width="10.140625" style="161" customWidth="1"/>
    <col min="9" max="9" width="11" style="162" customWidth="1"/>
    <col min="10" max="10" width="15.42578125" style="160" customWidth="1"/>
    <col min="11" max="11" width="12.140625" style="394" customWidth="1"/>
    <col min="12" max="12" width="16" style="162" customWidth="1"/>
    <col min="13" max="13" width="32.85546875" style="162" customWidth="1"/>
    <col min="14" max="16384" width="7.85546875" style="160"/>
  </cols>
  <sheetData>
    <row r="1" spans="1:13" ht="12">
      <c r="A1" s="163" t="s">
        <v>37</v>
      </c>
      <c r="B1" s="164"/>
      <c r="C1" s="165"/>
      <c r="D1" s="165"/>
      <c r="E1" s="165"/>
      <c r="F1" s="165"/>
      <c r="G1" s="165"/>
      <c r="H1" s="166"/>
      <c r="I1" s="167"/>
      <c r="L1" s="162" t="s">
        <v>38</v>
      </c>
      <c r="M1" s="395">
        <f ca="1">TODAY()</f>
        <v>46247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515" t="s">
        <v>40</v>
      </c>
      <c r="B4" s="1515" t="s">
        <v>41</v>
      </c>
      <c r="C4" s="1516" t="s">
        <v>42</v>
      </c>
      <c r="D4" s="1517" t="s">
        <v>43</v>
      </c>
      <c r="E4" s="1517" t="s">
        <v>44</v>
      </c>
      <c r="F4" s="1517" t="s">
        <v>45</v>
      </c>
      <c r="G4" s="1519" t="s">
        <v>46</v>
      </c>
      <c r="H4" s="1521" t="s">
        <v>47</v>
      </c>
      <c r="I4" s="1517" t="s">
        <v>48</v>
      </c>
      <c r="J4" s="1518" t="s">
        <v>49</v>
      </c>
      <c r="K4" s="1518" t="s">
        <v>50</v>
      </c>
      <c r="L4" s="1518" t="s">
        <v>51</v>
      </c>
      <c r="M4" s="1518" t="s">
        <v>19</v>
      </c>
    </row>
    <row r="5" spans="1:13" s="159" customFormat="1" ht="12">
      <c r="A5" s="1515"/>
      <c r="B5" s="1515"/>
      <c r="C5" s="1516"/>
      <c r="D5" s="1517"/>
      <c r="E5" s="1517"/>
      <c r="F5" s="1517"/>
      <c r="G5" s="1520"/>
      <c r="H5" s="1521"/>
      <c r="I5" s="1517"/>
      <c r="J5" s="1518"/>
      <c r="K5" s="1518"/>
      <c r="L5" s="1518"/>
      <c r="M5" s="1518"/>
    </row>
    <row r="6" spans="1:13" ht="24">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24">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5"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5"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5"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5" customHeight="1">
      <c r="A11" s="128"/>
      <c r="B11" s="528" t="s">
        <v>667</v>
      </c>
      <c r="C11" s="134"/>
      <c r="D11" s="134"/>
      <c r="E11" s="134"/>
      <c r="F11" s="134"/>
      <c r="G11" s="134"/>
      <c r="H11" s="133"/>
      <c r="I11" s="134"/>
      <c r="J11" s="131"/>
      <c r="K11" s="131"/>
      <c r="L11" s="134"/>
      <c r="M11" s="134"/>
    </row>
    <row r="12" spans="1:13" ht="12.95"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11" priority="221" stopIfTrue="1"/>
  </conditionalFormatting>
  <conditionalFormatting sqref="D1:D65220">
    <cfRule type="duplicateValues" dxfId="3610" priority="224" stopIfTrue="1"/>
  </conditionalFormatting>
  <conditionalFormatting sqref="D6">
    <cfRule type="expression" dxfId="3609" priority="23" stopIfTrue="1">
      <formula>IF(#REF!="TEN",TRUE,FALSE)</formula>
    </cfRule>
  </conditionalFormatting>
  <conditionalFormatting sqref="D10:D12">
    <cfRule type="expression" dxfId="360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5"/>
  <cols>
    <col min="3" max="3" width="4.5703125" bestFit="1" customWidth="1"/>
    <col min="4" max="4" width="17.28515625" customWidth="1"/>
    <col min="5" max="5" width="10.42578125" bestFit="1" customWidth="1"/>
    <col min="9" max="9" width="11.5703125" customWidth="1"/>
    <col min="10" max="10" width="7.28515625" bestFit="1" customWidth="1"/>
    <col min="11" max="11" width="6.42578125" customWidth="1"/>
    <col min="12" max="12" width="5.85546875" bestFit="1" customWidth="1"/>
    <col min="17" max="17" width="10.42578125" bestFit="1" customWidth="1"/>
  </cols>
  <sheetData>
    <row r="2" spans="3:21" ht="45">
      <c r="C2" s="10" t="s">
        <v>1782</v>
      </c>
      <c r="D2" s="10" t="s">
        <v>2401</v>
      </c>
      <c r="E2" s="10" t="s">
        <v>10</v>
      </c>
      <c r="F2" s="10" t="s">
        <v>2683</v>
      </c>
      <c r="G2" s="752" t="s">
        <v>2682</v>
      </c>
      <c r="H2" s="752" t="s">
        <v>2685</v>
      </c>
      <c r="I2" s="752" t="s">
        <v>2686</v>
      </c>
      <c r="J2" s="752" t="s">
        <v>593</v>
      </c>
      <c r="K2" s="752" t="s">
        <v>22</v>
      </c>
      <c r="L2" s="752" t="s">
        <v>2689</v>
      </c>
      <c r="M2" s="752" t="s">
        <v>19</v>
      </c>
    </row>
    <row r="3" spans="3:21">
      <c r="C3" s="1525">
        <v>1</v>
      </c>
      <c r="D3" s="1524" t="s">
        <v>2687</v>
      </c>
      <c r="E3" s="33" t="s">
        <v>2684</v>
      </c>
      <c r="F3" s="33" t="s">
        <v>615</v>
      </c>
      <c r="G3" s="33">
        <v>144</v>
      </c>
      <c r="H3" s="33">
        <v>70</v>
      </c>
      <c r="I3" s="839">
        <v>129.35999999999999</v>
      </c>
      <c r="J3" s="839">
        <f t="shared" ref="J3:J10" si="0">G3-I3</f>
        <v>14.640000000000015</v>
      </c>
      <c r="K3" s="33"/>
      <c r="L3" s="33">
        <v>2</v>
      </c>
      <c r="M3" s="75"/>
    </row>
    <row r="4" spans="3:21">
      <c r="C4" s="1525"/>
      <c r="D4" s="1524"/>
      <c r="E4" s="33" t="s">
        <v>28</v>
      </c>
      <c r="F4" s="33" t="s">
        <v>608</v>
      </c>
      <c r="G4" s="33">
        <v>434</v>
      </c>
      <c r="H4" s="33">
        <v>17</v>
      </c>
      <c r="I4" s="33">
        <v>2</v>
      </c>
      <c r="J4" s="839">
        <f t="shared" si="0"/>
        <v>432</v>
      </c>
      <c r="K4" s="33">
        <v>4</v>
      </c>
      <c r="L4" s="33">
        <v>3</v>
      </c>
      <c r="M4" s="75"/>
    </row>
    <row r="5" spans="3:21">
      <c r="C5" s="1525">
        <v>2</v>
      </c>
      <c r="D5" s="1524" t="s">
        <v>2688</v>
      </c>
      <c r="E5" s="33" t="s">
        <v>2684</v>
      </c>
      <c r="F5" s="33" t="s">
        <v>615</v>
      </c>
      <c r="G5" s="839">
        <v>33.103000000000002</v>
      </c>
      <c r="H5" s="33">
        <v>20</v>
      </c>
      <c r="I5" s="839">
        <v>8.56</v>
      </c>
      <c r="J5" s="839">
        <f t="shared" si="0"/>
        <v>24.542999999999999</v>
      </c>
      <c r="K5" s="33">
        <v>0.3</v>
      </c>
      <c r="L5" s="33">
        <v>1</v>
      </c>
      <c r="M5" s="75"/>
    </row>
    <row r="6" spans="3:21">
      <c r="C6" s="1525"/>
      <c r="D6" s="1524"/>
      <c r="E6" s="33" t="s">
        <v>28</v>
      </c>
      <c r="F6" s="33" t="s">
        <v>608</v>
      </c>
      <c r="G6" s="33">
        <v>129</v>
      </c>
      <c r="H6" s="33"/>
      <c r="I6" s="33"/>
      <c r="J6" s="839">
        <f t="shared" si="0"/>
        <v>129</v>
      </c>
      <c r="K6" s="33"/>
      <c r="L6" s="33"/>
      <c r="M6" s="75"/>
    </row>
    <row r="7" spans="3:21">
      <c r="C7" s="1525">
        <v>3</v>
      </c>
      <c r="D7" s="1524" t="s">
        <v>2690</v>
      </c>
      <c r="E7" s="33" t="s">
        <v>2684</v>
      </c>
      <c r="F7" s="33" t="s">
        <v>615</v>
      </c>
      <c r="G7" s="839">
        <v>2.1800000000000002</v>
      </c>
      <c r="H7" s="839">
        <v>2.1800000000000002</v>
      </c>
      <c r="I7" s="839">
        <v>2.1800000000000002</v>
      </c>
      <c r="J7" s="751">
        <f t="shared" si="0"/>
        <v>0</v>
      </c>
      <c r="K7" s="75"/>
      <c r="L7" s="75"/>
      <c r="M7" s="75"/>
    </row>
    <row r="8" spans="3:21">
      <c r="C8" s="1525"/>
      <c r="D8" s="1524"/>
      <c r="E8" s="33" t="s">
        <v>28</v>
      </c>
      <c r="F8" s="33" t="s">
        <v>608</v>
      </c>
      <c r="G8" s="33">
        <v>14</v>
      </c>
      <c r="H8" s="33">
        <v>6</v>
      </c>
      <c r="I8" s="75"/>
      <c r="J8" s="839">
        <f t="shared" si="0"/>
        <v>14</v>
      </c>
      <c r="K8" s="75"/>
      <c r="L8" s="75"/>
      <c r="M8" s="75"/>
    </row>
    <row r="9" spans="3:21">
      <c r="C9" s="1522"/>
      <c r="D9" s="1523" t="s">
        <v>994</v>
      </c>
      <c r="E9" s="10" t="s">
        <v>2684</v>
      </c>
      <c r="F9" s="10" t="s">
        <v>615</v>
      </c>
      <c r="G9" s="840">
        <f t="shared" ref="G9:I10" si="1">G7+G5+G3</f>
        <v>179.28300000000002</v>
      </c>
      <c r="H9" s="840">
        <f t="shared" si="1"/>
        <v>92.18</v>
      </c>
      <c r="I9" s="840">
        <f t="shared" si="1"/>
        <v>140.1</v>
      </c>
      <c r="J9" s="840">
        <f t="shared" si="0"/>
        <v>39.183000000000021</v>
      </c>
      <c r="K9" s="841">
        <f>K7+K5+K3</f>
        <v>0.3</v>
      </c>
      <c r="L9" s="840">
        <f>L7+L5+L3</f>
        <v>3</v>
      </c>
      <c r="M9" s="842"/>
    </row>
    <row r="10" spans="3:21">
      <c r="C10" s="1522"/>
      <c r="D10" s="1523"/>
      <c r="E10" s="10" t="s">
        <v>28</v>
      </c>
      <c r="F10" s="10" t="s">
        <v>608</v>
      </c>
      <c r="G10" s="10">
        <f t="shared" si="1"/>
        <v>577</v>
      </c>
      <c r="H10" s="10">
        <f t="shared" si="1"/>
        <v>23</v>
      </c>
      <c r="I10" s="10">
        <f t="shared" si="1"/>
        <v>2</v>
      </c>
      <c r="J10" s="840">
        <f t="shared" si="0"/>
        <v>575</v>
      </c>
      <c r="K10" s="10">
        <f>K8+K6+K4</f>
        <v>4</v>
      </c>
      <c r="L10" s="10">
        <f>L8+L6+L4</f>
        <v>3</v>
      </c>
      <c r="M10" s="842"/>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16"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5"/>
  <cols>
    <col min="2" max="2" width="15.28515625" bestFit="1" customWidth="1"/>
    <col min="3" max="3" width="7" bestFit="1" customWidth="1"/>
    <col min="4" max="4" width="8" bestFit="1" customWidth="1"/>
    <col min="5" max="5" width="6.140625" bestFit="1" customWidth="1"/>
    <col min="7" max="7" width="6.5703125" bestFit="1" customWidth="1"/>
    <col min="9" max="10" width="6.42578125" bestFit="1" customWidth="1"/>
    <col min="11" max="11" width="9.140625" customWidth="1"/>
  </cols>
  <sheetData>
    <row r="2" spans="2:12" ht="45">
      <c r="B2" s="10" t="s">
        <v>2401</v>
      </c>
      <c r="C2" s="10" t="s">
        <v>10</v>
      </c>
      <c r="D2" s="10" t="s">
        <v>1433</v>
      </c>
      <c r="E2" s="752" t="s">
        <v>2692</v>
      </c>
      <c r="F2" s="752" t="s">
        <v>2693</v>
      </c>
      <c r="G2" s="752" t="s">
        <v>2694</v>
      </c>
      <c r="H2" s="752" t="s">
        <v>2695</v>
      </c>
      <c r="I2" s="752" t="s">
        <v>2696</v>
      </c>
      <c r="J2" s="752" t="s">
        <v>2697</v>
      </c>
      <c r="K2" s="752" t="s">
        <v>2702</v>
      </c>
      <c r="L2" s="752" t="s">
        <v>2703</v>
      </c>
    </row>
    <row r="3" spans="2:12">
      <c r="B3" s="1525" t="s">
        <v>2691</v>
      </c>
      <c r="C3" s="843" t="s">
        <v>2698</v>
      </c>
      <c r="D3" s="1527" t="s">
        <v>2371</v>
      </c>
      <c r="E3" s="1525">
        <v>25</v>
      </c>
      <c r="F3" s="33">
        <v>10</v>
      </c>
      <c r="G3" s="1525">
        <v>35</v>
      </c>
      <c r="H3" s="33">
        <v>10</v>
      </c>
      <c r="I3" s="1525">
        <v>40</v>
      </c>
      <c r="J3" s="33">
        <v>20</v>
      </c>
      <c r="K3" s="1525">
        <f>E3+G3+I3</f>
        <v>100</v>
      </c>
      <c r="L3" s="1525">
        <f>F3+H3+J3+F5+H5+J5</f>
        <v>110</v>
      </c>
    </row>
    <row r="4" spans="2:12">
      <c r="B4" s="1525"/>
      <c r="C4" s="843" t="s">
        <v>2689</v>
      </c>
      <c r="D4" s="1527"/>
      <c r="E4" s="1525"/>
      <c r="F4" s="33">
        <v>3</v>
      </c>
      <c r="G4" s="1525"/>
      <c r="H4" s="33">
        <v>3</v>
      </c>
      <c r="I4" s="1525"/>
      <c r="J4" s="33">
        <v>6</v>
      </c>
      <c r="K4" s="1525"/>
      <c r="L4" s="1525"/>
    </row>
    <row r="5" spans="2:12">
      <c r="B5" s="1525"/>
      <c r="C5" s="843" t="s">
        <v>2698</v>
      </c>
      <c r="D5" s="1527" t="s">
        <v>2376</v>
      </c>
      <c r="E5" s="1525"/>
      <c r="F5" s="33">
        <v>15</v>
      </c>
      <c r="G5" s="1525"/>
      <c r="H5" s="33">
        <v>25</v>
      </c>
      <c r="I5" s="1525"/>
      <c r="J5" s="33">
        <v>30</v>
      </c>
      <c r="K5" s="1525"/>
      <c r="L5" s="1525"/>
    </row>
    <row r="6" spans="2:12">
      <c r="B6" s="1525"/>
      <c r="C6" s="843" t="s">
        <v>2689</v>
      </c>
      <c r="D6" s="1527"/>
      <c r="E6" s="1525"/>
      <c r="F6" s="33">
        <v>5</v>
      </c>
      <c r="G6" s="1525"/>
      <c r="H6" s="33">
        <v>6</v>
      </c>
      <c r="I6" s="1525"/>
      <c r="J6" s="33">
        <v>6</v>
      </c>
      <c r="K6" s="1525"/>
      <c r="L6" s="1525"/>
    </row>
    <row r="7" spans="2:12">
      <c r="B7" s="1526" t="s">
        <v>2700</v>
      </c>
      <c r="C7" s="843" t="s">
        <v>2698</v>
      </c>
      <c r="D7" s="1527" t="s">
        <v>2371</v>
      </c>
      <c r="E7" s="1525">
        <v>2</v>
      </c>
      <c r="F7" s="33"/>
      <c r="G7" s="1525">
        <v>7</v>
      </c>
      <c r="H7" s="33">
        <v>5</v>
      </c>
      <c r="I7" s="1525">
        <v>10</v>
      </c>
      <c r="J7" s="33">
        <v>8</v>
      </c>
      <c r="K7" s="1525">
        <f>E7+G7+I7</f>
        <v>19</v>
      </c>
      <c r="L7" s="1525">
        <f>F7+H7+J7</f>
        <v>13</v>
      </c>
    </row>
    <row r="8" spans="2:12">
      <c r="B8" s="1524"/>
      <c r="C8" s="843" t="s">
        <v>2689</v>
      </c>
      <c r="D8" s="1527"/>
      <c r="E8" s="1525"/>
      <c r="F8" s="33"/>
      <c r="G8" s="1525"/>
      <c r="H8" s="33">
        <v>3</v>
      </c>
      <c r="I8" s="1525"/>
      <c r="J8" s="33">
        <v>4</v>
      </c>
      <c r="K8" s="1525"/>
      <c r="L8" s="1525"/>
    </row>
    <row r="9" spans="2:12">
      <c r="B9" s="1526" t="s">
        <v>2701</v>
      </c>
      <c r="C9" s="843" t="s">
        <v>2698</v>
      </c>
      <c r="D9" s="1527" t="s">
        <v>2699</v>
      </c>
      <c r="E9" s="1525">
        <v>2</v>
      </c>
      <c r="F9" s="33"/>
      <c r="G9" s="1525">
        <v>2</v>
      </c>
      <c r="H9" s="33">
        <v>1</v>
      </c>
      <c r="I9" s="1525"/>
      <c r="J9" s="33">
        <v>1</v>
      </c>
      <c r="K9" s="1525">
        <f>E9+G9+I9</f>
        <v>4</v>
      </c>
      <c r="L9" s="1525">
        <f>F9+H9+J9</f>
        <v>2</v>
      </c>
    </row>
    <row r="10" spans="2:12">
      <c r="B10" s="1524"/>
      <c r="C10" s="843" t="s">
        <v>2689</v>
      </c>
      <c r="D10" s="1527"/>
      <c r="E10" s="1525"/>
      <c r="F10" s="33"/>
      <c r="G10" s="1525"/>
      <c r="H10" s="33">
        <v>1</v>
      </c>
      <c r="I10" s="1525"/>
      <c r="J10" s="33">
        <v>1</v>
      </c>
      <c r="K10" s="1525"/>
      <c r="L10" s="1525"/>
    </row>
    <row r="11" spans="2:12">
      <c r="B11" s="1523" t="s">
        <v>994</v>
      </c>
      <c r="C11" s="10" t="s">
        <v>2698</v>
      </c>
      <c r="D11" s="9"/>
      <c r="E11" s="1522">
        <f>E9+E7+E3</f>
        <v>29</v>
      </c>
      <c r="F11" s="9">
        <f>F3+F5+F7+F9</f>
        <v>25</v>
      </c>
      <c r="G11" s="1522">
        <f>G9+G7+G3</f>
        <v>44</v>
      </c>
      <c r="H11" s="9">
        <f>H3+H5+H7+H9</f>
        <v>41</v>
      </c>
      <c r="I11" s="1522">
        <f>I9+I7+I3</f>
        <v>50</v>
      </c>
      <c r="J11" s="9">
        <f>J3+J5+J7+J9</f>
        <v>59</v>
      </c>
      <c r="K11" s="1522">
        <f>K9+K7+K3</f>
        <v>123</v>
      </c>
      <c r="L11" s="1522">
        <f>L9+L7+L3</f>
        <v>125</v>
      </c>
    </row>
    <row r="12" spans="2:12">
      <c r="B12" s="1523"/>
      <c r="C12" s="10" t="s">
        <v>2689</v>
      </c>
      <c r="D12" s="9"/>
      <c r="E12" s="1522"/>
      <c r="F12" s="9">
        <f>F6+F4+F8+F10</f>
        <v>8</v>
      </c>
      <c r="G12" s="1522"/>
      <c r="H12" s="9">
        <f>H6+H4+H8+H10</f>
        <v>13</v>
      </c>
      <c r="I12" s="1522"/>
      <c r="J12" s="9">
        <f>J6+J4+J8+J10</f>
        <v>17</v>
      </c>
      <c r="K12" s="1522"/>
      <c r="L12" s="1522"/>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5"/>
  <cols>
    <col min="4" max="4" width="21.7109375" bestFit="1" customWidth="1"/>
    <col min="5" max="5" width="12" bestFit="1" customWidth="1"/>
    <col min="6" max="6" width="22.7109375" bestFit="1" customWidth="1"/>
    <col min="8" max="8" width="14" bestFit="1" customWidth="1"/>
    <col min="9" max="9" width="61.5703125" bestFit="1" customWidth="1"/>
    <col min="10" max="10" width="109.42578125" bestFit="1" customWidth="1"/>
  </cols>
  <sheetData>
    <row r="6" spans="4:10" ht="18.75">
      <c r="D6" s="1532" t="s">
        <v>2401</v>
      </c>
      <c r="E6" s="1532" t="s">
        <v>2704</v>
      </c>
      <c r="F6" s="1532" t="s">
        <v>1433</v>
      </c>
      <c r="G6" s="846" t="s">
        <v>1439</v>
      </c>
      <c r="H6" s="1532" t="s">
        <v>2184</v>
      </c>
      <c r="I6" s="845" t="s">
        <v>2705</v>
      </c>
      <c r="J6" s="1532" t="s">
        <v>19</v>
      </c>
    </row>
    <row r="7" spans="4:10" ht="18.75">
      <c r="D7" s="1533"/>
      <c r="E7" s="1533"/>
      <c r="F7" s="1533"/>
      <c r="G7" s="848" t="s">
        <v>615</v>
      </c>
      <c r="H7" s="1533"/>
      <c r="I7" s="847" t="s">
        <v>2706</v>
      </c>
      <c r="J7" s="1533"/>
    </row>
    <row r="8" spans="4:10" ht="36">
      <c r="D8" s="1530" t="s">
        <v>2691</v>
      </c>
      <c r="E8" s="849" t="s">
        <v>2371</v>
      </c>
      <c r="F8" s="849" t="s">
        <v>2707</v>
      </c>
      <c r="G8" s="849">
        <v>47</v>
      </c>
      <c r="H8" s="1534" t="s">
        <v>2719</v>
      </c>
      <c r="I8" s="844" t="s">
        <v>2715</v>
      </c>
      <c r="J8" s="1528" t="s">
        <v>2720</v>
      </c>
    </row>
    <row r="9" spans="4:10" ht="54">
      <c r="D9" s="1531"/>
      <c r="E9" s="1530" t="s">
        <v>2376</v>
      </c>
      <c r="F9" s="849" t="s">
        <v>2708</v>
      </c>
      <c r="G9" s="849">
        <v>47</v>
      </c>
      <c r="H9" s="1531"/>
      <c r="I9" s="844" t="s">
        <v>2716</v>
      </c>
      <c r="J9" s="1529"/>
    </row>
    <row r="10" spans="4:10" ht="54">
      <c r="D10" s="1531"/>
      <c r="E10" s="1531"/>
      <c r="F10" s="849" t="s">
        <v>2709</v>
      </c>
      <c r="G10" s="849">
        <v>48</v>
      </c>
      <c r="H10" s="1531"/>
      <c r="I10" s="844" t="s">
        <v>2717</v>
      </c>
      <c r="J10" s="1529"/>
    </row>
    <row r="11" spans="4:10" ht="69.95" customHeight="1">
      <c r="D11" s="849" t="s">
        <v>2700</v>
      </c>
      <c r="E11" s="849"/>
      <c r="F11" s="849" t="s">
        <v>2710</v>
      </c>
      <c r="G11" s="849">
        <v>33</v>
      </c>
      <c r="H11" s="1531"/>
      <c r="I11" s="844" t="s">
        <v>2718</v>
      </c>
      <c r="J11" s="852" t="s">
        <v>2711</v>
      </c>
    </row>
    <row r="12" spans="4:10" ht="18">
      <c r="D12" s="850" t="s">
        <v>2712</v>
      </c>
      <c r="E12" s="850" t="s">
        <v>2713</v>
      </c>
      <c r="F12" s="850" t="s">
        <v>2714</v>
      </c>
      <c r="G12" s="850">
        <v>2.1</v>
      </c>
      <c r="H12" s="1535"/>
      <c r="I12" s="850"/>
      <c r="J12" s="851"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140625" defaultRowHeight="18"/>
  <cols>
    <col min="1" max="1" width="8.140625" style="1124" customWidth="1"/>
    <col min="2" max="2" width="16.140625" style="1122" bestFit="1" customWidth="1"/>
    <col min="3" max="3" width="17.5703125" style="1123" bestFit="1" customWidth="1"/>
    <col min="4" max="4" width="17.5703125" style="1123" customWidth="1"/>
    <col min="5" max="6" width="22.85546875" style="1124" customWidth="1"/>
    <col min="7" max="7" width="48.140625" style="1124" bestFit="1" customWidth="1"/>
    <col min="8" max="87" width="9.140625" style="1125"/>
    <col min="88" max="88" width="9.85546875" style="1125" bestFit="1" customWidth="1"/>
    <col min="89" max="89" width="19.42578125" style="1125" customWidth="1"/>
    <col min="90" max="90" width="14.85546875" style="1125" customWidth="1"/>
    <col min="91" max="91" width="23.5703125" style="1125" customWidth="1"/>
    <col min="92" max="92" width="19.42578125" style="1125" customWidth="1"/>
    <col min="93" max="93" width="21.85546875" style="1125" customWidth="1"/>
    <col min="94" max="94" width="14.42578125" style="1125" bestFit="1" customWidth="1"/>
    <col min="95" max="95" width="17.140625" style="1125" customWidth="1"/>
    <col min="96" max="96" width="23.42578125" style="1125" customWidth="1"/>
    <col min="97" max="98" width="19.42578125" style="1125" customWidth="1"/>
    <col min="99" max="99" width="39.42578125" style="1125" customWidth="1"/>
    <col min="100" max="100" width="19.42578125" style="1125" customWidth="1"/>
    <col min="101" max="343" width="9.140625" style="1125"/>
    <col min="344" max="344" width="9.85546875" style="1125" bestFit="1" customWidth="1"/>
    <col min="345" max="345" width="19.42578125" style="1125" customWidth="1"/>
    <col min="346" max="346" width="14.85546875" style="1125" customWidth="1"/>
    <col min="347" max="347" width="23.5703125" style="1125" customWidth="1"/>
    <col min="348" max="348" width="19.42578125" style="1125" customWidth="1"/>
    <col min="349" max="349" width="21.85546875" style="1125" customWidth="1"/>
    <col min="350" max="350" width="14.42578125" style="1125" bestFit="1" customWidth="1"/>
    <col min="351" max="351" width="17.140625" style="1125" customWidth="1"/>
    <col min="352" max="352" width="23.42578125" style="1125" customWidth="1"/>
    <col min="353" max="354" width="19.42578125" style="1125" customWidth="1"/>
    <col min="355" max="355" width="39.42578125" style="1125" customWidth="1"/>
    <col min="356" max="356" width="19.42578125" style="1125" customWidth="1"/>
    <col min="357" max="599" width="9.140625" style="1125"/>
    <col min="600" max="600" width="9.85546875" style="1125" bestFit="1" customWidth="1"/>
    <col min="601" max="601" width="19.42578125" style="1125" customWidth="1"/>
    <col min="602" max="602" width="14.85546875" style="1125" customWidth="1"/>
    <col min="603" max="603" width="23.5703125" style="1125" customWidth="1"/>
    <col min="604" max="604" width="19.42578125" style="1125" customWidth="1"/>
    <col min="605" max="605" width="21.85546875" style="1125" customWidth="1"/>
    <col min="606" max="606" width="14.42578125" style="1125" bestFit="1" customWidth="1"/>
    <col min="607" max="607" width="17.140625" style="1125" customWidth="1"/>
    <col min="608" max="608" width="23.42578125" style="1125" customWidth="1"/>
    <col min="609" max="610" width="19.42578125" style="1125" customWidth="1"/>
    <col min="611" max="611" width="39.42578125" style="1125" customWidth="1"/>
    <col min="612" max="612" width="19.42578125" style="1125" customWidth="1"/>
    <col min="613" max="855" width="9.140625" style="1125"/>
    <col min="856" max="856" width="9.85546875" style="1125" bestFit="1" customWidth="1"/>
    <col min="857" max="857" width="19.42578125" style="1125" customWidth="1"/>
    <col min="858" max="858" width="14.85546875" style="1125" customWidth="1"/>
    <col min="859" max="859" width="23.5703125" style="1125" customWidth="1"/>
    <col min="860" max="860" width="19.42578125" style="1125" customWidth="1"/>
    <col min="861" max="861" width="21.85546875" style="1125" customWidth="1"/>
    <col min="862" max="862" width="14.42578125" style="1125" bestFit="1" customWidth="1"/>
    <col min="863" max="863" width="17.140625" style="1125" customWidth="1"/>
    <col min="864" max="864" width="23.42578125" style="1125" customWidth="1"/>
    <col min="865" max="866" width="19.42578125" style="1125" customWidth="1"/>
    <col min="867" max="867" width="39.42578125" style="1125" customWidth="1"/>
    <col min="868" max="868" width="19.42578125" style="1125" customWidth="1"/>
    <col min="869" max="1111" width="9.140625" style="1125"/>
    <col min="1112" max="1112" width="9.85546875" style="1125" bestFit="1" customWidth="1"/>
    <col min="1113" max="1113" width="19.42578125" style="1125" customWidth="1"/>
    <col min="1114" max="1114" width="14.85546875" style="1125" customWidth="1"/>
    <col min="1115" max="1115" width="23.5703125" style="1125" customWidth="1"/>
    <col min="1116" max="1116" width="19.42578125" style="1125" customWidth="1"/>
    <col min="1117" max="1117" width="21.85546875" style="1125" customWidth="1"/>
    <col min="1118" max="1118" width="14.42578125" style="1125" bestFit="1" customWidth="1"/>
    <col min="1119" max="1119" width="17.140625" style="1125" customWidth="1"/>
    <col min="1120" max="1120" width="23.42578125" style="1125" customWidth="1"/>
    <col min="1121" max="1122" width="19.42578125" style="1125" customWidth="1"/>
    <col min="1123" max="1123" width="39.42578125" style="1125" customWidth="1"/>
    <col min="1124" max="1124" width="19.42578125" style="1125" customWidth="1"/>
    <col min="1125" max="1367" width="9.140625" style="1125"/>
    <col min="1368" max="1368" width="9.85546875" style="1125" bestFit="1" customWidth="1"/>
    <col min="1369" max="1369" width="19.42578125" style="1125" customWidth="1"/>
    <col min="1370" max="1370" width="14.85546875" style="1125" customWidth="1"/>
    <col min="1371" max="1371" width="23.5703125" style="1125" customWidth="1"/>
    <col min="1372" max="1372" width="19.42578125" style="1125" customWidth="1"/>
    <col min="1373" max="1373" width="21.85546875" style="1125" customWidth="1"/>
    <col min="1374" max="1374" width="14.42578125" style="1125" bestFit="1" customWidth="1"/>
    <col min="1375" max="1375" width="17.140625" style="1125" customWidth="1"/>
    <col min="1376" max="1376" width="23.42578125" style="1125" customWidth="1"/>
    <col min="1377" max="1378" width="19.42578125" style="1125" customWidth="1"/>
    <col min="1379" max="1379" width="39.42578125" style="1125" customWidth="1"/>
    <col min="1380" max="1380" width="19.42578125" style="1125" customWidth="1"/>
    <col min="1381" max="1623" width="9.140625" style="1125"/>
    <col min="1624" max="1624" width="9.85546875" style="1125" bestFit="1" customWidth="1"/>
    <col min="1625" max="1625" width="19.42578125" style="1125" customWidth="1"/>
    <col min="1626" max="1626" width="14.85546875" style="1125" customWidth="1"/>
    <col min="1627" max="1627" width="23.5703125" style="1125" customWidth="1"/>
    <col min="1628" max="1628" width="19.42578125" style="1125" customWidth="1"/>
    <col min="1629" max="1629" width="21.85546875" style="1125" customWidth="1"/>
    <col min="1630" max="1630" width="14.42578125" style="1125" bestFit="1" customWidth="1"/>
    <col min="1631" max="1631" width="17.140625" style="1125" customWidth="1"/>
    <col min="1632" max="1632" width="23.42578125" style="1125" customWidth="1"/>
    <col min="1633" max="1634" width="19.42578125" style="1125" customWidth="1"/>
    <col min="1635" max="1635" width="39.42578125" style="1125" customWidth="1"/>
    <col min="1636" max="1636" width="19.42578125" style="1125" customWidth="1"/>
    <col min="1637" max="1879" width="9.140625" style="1125"/>
    <col min="1880" max="1880" width="9.85546875" style="1125" bestFit="1" customWidth="1"/>
    <col min="1881" max="1881" width="19.42578125" style="1125" customWidth="1"/>
    <col min="1882" max="1882" width="14.85546875" style="1125" customWidth="1"/>
    <col min="1883" max="1883" width="23.5703125" style="1125" customWidth="1"/>
    <col min="1884" max="1884" width="19.42578125" style="1125" customWidth="1"/>
    <col min="1885" max="1885" width="21.85546875" style="1125" customWidth="1"/>
    <col min="1886" max="1886" width="14.42578125" style="1125" bestFit="1" customWidth="1"/>
    <col min="1887" max="1887" width="17.140625" style="1125" customWidth="1"/>
    <col min="1888" max="1888" width="23.42578125" style="1125" customWidth="1"/>
    <col min="1889" max="1890" width="19.42578125" style="1125" customWidth="1"/>
    <col min="1891" max="1891" width="39.42578125" style="1125" customWidth="1"/>
    <col min="1892" max="1892" width="19.42578125" style="1125" customWidth="1"/>
    <col min="1893" max="2135" width="9.140625" style="1125"/>
    <col min="2136" max="2136" width="9.85546875" style="1125" bestFit="1" customWidth="1"/>
    <col min="2137" max="2137" width="19.42578125" style="1125" customWidth="1"/>
    <col min="2138" max="2138" width="14.85546875" style="1125" customWidth="1"/>
    <col min="2139" max="2139" width="23.5703125" style="1125" customWidth="1"/>
    <col min="2140" max="2140" width="19.42578125" style="1125" customWidth="1"/>
    <col min="2141" max="2141" width="21.85546875" style="1125" customWidth="1"/>
    <col min="2142" max="2142" width="14.42578125" style="1125" bestFit="1" customWidth="1"/>
    <col min="2143" max="2143" width="17.140625" style="1125" customWidth="1"/>
    <col min="2144" max="2144" width="23.42578125" style="1125" customWidth="1"/>
    <col min="2145" max="2146" width="19.42578125" style="1125" customWidth="1"/>
    <col min="2147" max="2147" width="39.42578125" style="1125" customWidth="1"/>
    <col min="2148" max="2148" width="19.42578125" style="1125" customWidth="1"/>
    <col min="2149" max="2391" width="9.140625" style="1125"/>
    <col min="2392" max="2392" width="9.85546875" style="1125" bestFit="1" customWidth="1"/>
    <col min="2393" max="2393" width="19.42578125" style="1125" customWidth="1"/>
    <col min="2394" max="2394" width="14.85546875" style="1125" customWidth="1"/>
    <col min="2395" max="2395" width="23.5703125" style="1125" customWidth="1"/>
    <col min="2396" max="2396" width="19.42578125" style="1125" customWidth="1"/>
    <col min="2397" max="2397" width="21.85546875" style="1125" customWidth="1"/>
    <col min="2398" max="2398" width="14.42578125" style="1125" bestFit="1" customWidth="1"/>
    <col min="2399" max="2399" width="17.140625" style="1125" customWidth="1"/>
    <col min="2400" max="2400" width="23.42578125" style="1125" customWidth="1"/>
    <col min="2401" max="2402" width="19.42578125" style="1125" customWidth="1"/>
    <col min="2403" max="2403" width="39.42578125" style="1125" customWidth="1"/>
    <col min="2404" max="2404" width="19.42578125" style="1125" customWidth="1"/>
    <col min="2405" max="2647" width="9.140625" style="1125"/>
    <col min="2648" max="2648" width="9.85546875" style="1125" bestFit="1" customWidth="1"/>
    <col min="2649" max="2649" width="19.42578125" style="1125" customWidth="1"/>
    <col min="2650" max="2650" width="14.85546875" style="1125" customWidth="1"/>
    <col min="2651" max="2651" width="23.5703125" style="1125" customWidth="1"/>
    <col min="2652" max="2652" width="19.42578125" style="1125" customWidth="1"/>
    <col min="2653" max="2653" width="21.85546875" style="1125" customWidth="1"/>
    <col min="2654" max="2654" width="14.42578125" style="1125" bestFit="1" customWidth="1"/>
    <col min="2655" max="2655" width="17.140625" style="1125" customWidth="1"/>
    <col min="2656" max="2656" width="23.42578125" style="1125" customWidth="1"/>
    <col min="2657" max="2658" width="19.42578125" style="1125" customWidth="1"/>
    <col min="2659" max="2659" width="39.42578125" style="1125" customWidth="1"/>
    <col min="2660" max="2660" width="19.42578125" style="1125" customWidth="1"/>
    <col min="2661" max="2903" width="9.140625" style="1125"/>
    <col min="2904" max="2904" width="9.85546875" style="1125" bestFit="1" customWidth="1"/>
    <col min="2905" max="2905" width="19.42578125" style="1125" customWidth="1"/>
    <col min="2906" max="2906" width="14.85546875" style="1125" customWidth="1"/>
    <col min="2907" max="2907" width="23.5703125" style="1125" customWidth="1"/>
    <col min="2908" max="2908" width="19.42578125" style="1125" customWidth="1"/>
    <col min="2909" max="2909" width="21.85546875" style="1125" customWidth="1"/>
    <col min="2910" max="2910" width="14.42578125" style="1125" bestFit="1" customWidth="1"/>
    <col min="2911" max="2911" width="17.140625" style="1125" customWidth="1"/>
    <col min="2912" max="2912" width="23.42578125" style="1125" customWidth="1"/>
    <col min="2913" max="2914" width="19.42578125" style="1125" customWidth="1"/>
    <col min="2915" max="2915" width="39.42578125" style="1125" customWidth="1"/>
    <col min="2916" max="2916" width="19.42578125" style="1125" customWidth="1"/>
    <col min="2917" max="3159" width="9.140625" style="1125"/>
    <col min="3160" max="3160" width="9.85546875" style="1125" bestFit="1" customWidth="1"/>
    <col min="3161" max="3161" width="19.42578125" style="1125" customWidth="1"/>
    <col min="3162" max="3162" width="14.85546875" style="1125" customWidth="1"/>
    <col min="3163" max="3163" width="23.5703125" style="1125" customWidth="1"/>
    <col min="3164" max="3164" width="19.42578125" style="1125" customWidth="1"/>
    <col min="3165" max="3165" width="21.85546875" style="1125" customWidth="1"/>
    <col min="3166" max="3166" width="14.42578125" style="1125" bestFit="1" customWidth="1"/>
    <col min="3167" max="3167" width="17.140625" style="1125" customWidth="1"/>
    <col min="3168" max="3168" width="23.42578125" style="1125" customWidth="1"/>
    <col min="3169" max="3170" width="19.42578125" style="1125" customWidth="1"/>
    <col min="3171" max="3171" width="39.42578125" style="1125" customWidth="1"/>
    <col min="3172" max="3172" width="19.42578125" style="1125" customWidth="1"/>
    <col min="3173" max="3415" width="9.140625" style="1125"/>
    <col min="3416" max="3416" width="9.85546875" style="1125" bestFit="1" customWidth="1"/>
    <col min="3417" max="3417" width="19.42578125" style="1125" customWidth="1"/>
    <col min="3418" max="3418" width="14.85546875" style="1125" customWidth="1"/>
    <col min="3419" max="3419" width="23.5703125" style="1125" customWidth="1"/>
    <col min="3420" max="3420" width="19.42578125" style="1125" customWidth="1"/>
    <col min="3421" max="3421" width="21.85546875" style="1125" customWidth="1"/>
    <col min="3422" max="3422" width="14.42578125" style="1125" bestFit="1" customWidth="1"/>
    <col min="3423" max="3423" width="17.140625" style="1125" customWidth="1"/>
    <col min="3424" max="3424" width="23.42578125" style="1125" customWidth="1"/>
    <col min="3425" max="3426" width="19.42578125" style="1125" customWidth="1"/>
    <col min="3427" max="3427" width="39.42578125" style="1125" customWidth="1"/>
    <col min="3428" max="3428" width="19.42578125" style="1125" customWidth="1"/>
    <col min="3429" max="3671" width="9.140625" style="1125"/>
    <col min="3672" max="3672" width="9.85546875" style="1125" bestFit="1" customWidth="1"/>
    <col min="3673" max="3673" width="19.42578125" style="1125" customWidth="1"/>
    <col min="3674" max="3674" width="14.85546875" style="1125" customWidth="1"/>
    <col min="3675" max="3675" width="23.5703125" style="1125" customWidth="1"/>
    <col min="3676" max="3676" width="19.42578125" style="1125" customWidth="1"/>
    <col min="3677" max="3677" width="21.85546875" style="1125" customWidth="1"/>
    <col min="3678" max="3678" width="14.42578125" style="1125" bestFit="1" customWidth="1"/>
    <col min="3679" max="3679" width="17.140625" style="1125" customWidth="1"/>
    <col min="3680" max="3680" width="23.42578125" style="1125" customWidth="1"/>
    <col min="3681" max="3682" width="19.42578125" style="1125" customWidth="1"/>
    <col min="3683" max="3683" width="39.42578125" style="1125" customWidth="1"/>
    <col min="3684" max="3684" width="19.42578125" style="1125" customWidth="1"/>
    <col min="3685" max="3927" width="9.140625" style="1125"/>
    <col min="3928" max="3928" width="9.85546875" style="1125" bestFit="1" customWidth="1"/>
    <col min="3929" max="3929" width="19.42578125" style="1125" customWidth="1"/>
    <col min="3930" max="3930" width="14.85546875" style="1125" customWidth="1"/>
    <col min="3931" max="3931" width="23.5703125" style="1125" customWidth="1"/>
    <col min="3932" max="3932" width="19.42578125" style="1125" customWidth="1"/>
    <col min="3933" max="3933" width="21.85546875" style="1125" customWidth="1"/>
    <col min="3934" max="3934" width="14.42578125" style="1125" bestFit="1" customWidth="1"/>
    <col min="3935" max="3935" width="17.140625" style="1125" customWidth="1"/>
    <col min="3936" max="3936" width="23.42578125" style="1125" customWidth="1"/>
    <col min="3937" max="3938" width="19.42578125" style="1125" customWidth="1"/>
    <col min="3939" max="3939" width="39.42578125" style="1125" customWidth="1"/>
    <col min="3940" max="3940" width="19.42578125" style="1125" customWidth="1"/>
    <col min="3941" max="4183" width="9.140625" style="1125"/>
    <col min="4184" max="4184" width="9.85546875" style="1125" bestFit="1" customWidth="1"/>
    <col min="4185" max="4185" width="19.42578125" style="1125" customWidth="1"/>
    <col min="4186" max="4186" width="14.85546875" style="1125" customWidth="1"/>
    <col min="4187" max="4187" width="23.5703125" style="1125" customWidth="1"/>
    <col min="4188" max="4188" width="19.42578125" style="1125" customWidth="1"/>
    <col min="4189" max="4189" width="21.85546875" style="1125" customWidth="1"/>
    <col min="4190" max="4190" width="14.42578125" style="1125" bestFit="1" customWidth="1"/>
    <col min="4191" max="4191" width="17.140625" style="1125" customWidth="1"/>
    <col min="4192" max="4192" width="23.42578125" style="1125" customWidth="1"/>
    <col min="4193" max="4194" width="19.42578125" style="1125" customWidth="1"/>
    <col min="4195" max="4195" width="39.42578125" style="1125" customWidth="1"/>
    <col min="4196" max="4196" width="19.42578125" style="1125" customWidth="1"/>
    <col min="4197" max="4439" width="9.140625" style="1125"/>
    <col min="4440" max="4440" width="9.85546875" style="1125" bestFit="1" customWidth="1"/>
    <col min="4441" max="4441" width="19.42578125" style="1125" customWidth="1"/>
    <col min="4442" max="4442" width="14.85546875" style="1125" customWidth="1"/>
    <col min="4443" max="4443" width="23.5703125" style="1125" customWidth="1"/>
    <col min="4444" max="4444" width="19.42578125" style="1125" customWidth="1"/>
    <col min="4445" max="4445" width="21.85546875" style="1125" customWidth="1"/>
    <col min="4446" max="4446" width="14.42578125" style="1125" bestFit="1" customWidth="1"/>
    <col min="4447" max="4447" width="17.140625" style="1125" customWidth="1"/>
    <col min="4448" max="4448" width="23.42578125" style="1125" customWidth="1"/>
    <col min="4449" max="4450" width="19.42578125" style="1125" customWidth="1"/>
    <col min="4451" max="4451" width="39.42578125" style="1125" customWidth="1"/>
    <col min="4452" max="4452" width="19.42578125" style="1125" customWidth="1"/>
    <col min="4453" max="4695" width="9.140625" style="1125"/>
    <col min="4696" max="4696" width="9.85546875" style="1125" bestFit="1" customWidth="1"/>
    <col min="4697" max="4697" width="19.42578125" style="1125" customWidth="1"/>
    <col min="4698" max="4698" width="14.85546875" style="1125" customWidth="1"/>
    <col min="4699" max="4699" width="23.5703125" style="1125" customWidth="1"/>
    <col min="4700" max="4700" width="19.42578125" style="1125" customWidth="1"/>
    <col min="4701" max="4701" width="21.85546875" style="1125" customWidth="1"/>
    <col min="4702" max="4702" width="14.42578125" style="1125" bestFit="1" customWidth="1"/>
    <col min="4703" max="4703" width="17.140625" style="1125" customWidth="1"/>
    <col min="4704" max="4704" width="23.42578125" style="1125" customWidth="1"/>
    <col min="4705" max="4706" width="19.42578125" style="1125" customWidth="1"/>
    <col min="4707" max="4707" width="39.42578125" style="1125" customWidth="1"/>
    <col min="4708" max="4708" width="19.42578125" style="1125" customWidth="1"/>
    <col min="4709" max="4951" width="9.140625" style="1125"/>
    <col min="4952" max="4952" width="9.85546875" style="1125" bestFit="1" customWidth="1"/>
    <col min="4953" max="4953" width="19.42578125" style="1125" customWidth="1"/>
    <col min="4954" max="4954" width="14.85546875" style="1125" customWidth="1"/>
    <col min="4955" max="4955" width="23.5703125" style="1125" customWidth="1"/>
    <col min="4956" max="4956" width="19.42578125" style="1125" customWidth="1"/>
    <col min="4957" max="4957" width="21.85546875" style="1125" customWidth="1"/>
    <col min="4958" max="4958" width="14.42578125" style="1125" bestFit="1" customWidth="1"/>
    <col min="4959" max="4959" width="17.140625" style="1125" customWidth="1"/>
    <col min="4960" max="4960" width="23.42578125" style="1125" customWidth="1"/>
    <col min="4961" max="4962" width="19.42578125" style="1125" customWidth="1"/>
    <col min="4963" max="4963" width="39.42578125" style="1125" customWidth="1"/>
    <col min="4964" max="4964" width="19.42578125" style="1125" customWidth="1"/>
    <col min="4965" max="5207" width="9.140625" style="1125"/>
    <col min="5208" max="5208" width="9.85546875" style="1125" bestFit="1" customWidth="1"/>
    <col min="5209" max="5209" width="19.42578125" style="1125" customWidth="1"/>
    <col min="5210" max="5210" width="14.85546875" style="1125" customWidth="1"/>
    <col min="5211" max="5211" width="23.5703125" style="1125" customWidth="1"/>
    <col min="5212" max="5212" width="19.42578125" style="1125" customWidth="1"/>
    <col min="5213" max="5213" width="21.85546875" style="1125" customWidth="1"/>
    <col min="5214" max="5214" width="14.42578125" style="1125" bestFit="1" customWidth="1"/>
    <col min="5215" max="5215" width="17.140625" style="1125" customWidth="1"/>
    <col min="5216" max="5216" width="23.42578125" style="1125" customWidth="1"/>
    <col min="5217" max="5218" width="19.42578125" style="1125" customWidth="1"/>
    <col min="5219" max="5219" width="39.42578125" style="1125" customWidth="1"/>
    <col min="5220" max="5220" width="19.42578125" style="1125" customWidth="1"/>
    <col min="5221" max="5463" width="9.140625" style="1125"/>
    <col min="5464" max="5464" width="9.85546875" style="1125" bestFit="1" customWidth="1"/>
    <col min="5465" max="5465" width="19.42578125" style="1125" customWidth="1"/>
    <col min="5466" max="5466" width="14.85546875" style="1125" customWidth="1"/>
    <col min="5467" max="5467" width="23.5703125" style="1125" customWidth="1"/>
    <col min="5468" max="5468" width="19.42578125" style="1125" customWidth="1"/>
    <col min="5469" max="5469" width="21.85546875" style="1125" customWidth="1"/>
    <col min="5470" max="5470" width="14.42578125" style="1125" bestFit="1" customWidth="1"/>
    <col min="5471" max="5471" width="17.140625" style="1125" customWidth="1"/>
    <col min="5472" max="5472" width="23.42578125" style="1125" customWidth="1"/>
    <col min="5473" max="5474" width="19.42578125" style="1125" customWidth="1"/>
    <col min="5475" max="5475" width="39.42578125" style="1125" customWidth="1"/>
    <col min="5476" max="5476" width="19.42578125" style="1125" customWidth="1"/>
    <col min="5477" max="5719" width="9.140625" style="1125"/>
    <col min="5720" max="5720" width="9.85546875" style="1125" bestFit="1" customWidth="1"/>
    <col min="5721" max="5721" width="19.42578125" style="1125" customWidth="1"/>
    <col min="5722" max="5722" width="14.85546875" style="1125" customWidth="1"/>
    <col min="5723" max="5723" width="23.5703125" style="1125" customWidth="1"/>
    <col min="5724" max="5724" width="19.42578125" style="1125" customWidth="1"/>
    <col min="5725" max="5725" width="21.85546875" style="1125" customWidth="1"/>
    <col min="5726" max="5726" width="14.42578125" style="1125" bestFit="1" customWidth="1"/>
    <col min="5727" max="5727" width="17.140625" style="1125" customWidth="1"/>
    <col min="5728" max="5728" width="23.42578125" style="1125" customWidth="1"/>
    <col min="5729" max="5730" width="19.42578125" style="1125" customWidth="1"/>
    <col min="5731" max="5731" width="39.42578125" style="1125" customWidth="1"/>
    <col min="5732" max="5732" width="19.42578125" style="1125" customWidth="1"/>
    <col min="5733" max="5975" width="9.140625" style="1125"/>
    <col min="5976" max="5976" width="9.85546875" style="1125" bestFit="1" customWidth="1"/>
    <col min="5977" max="5977" width="19.42578125" style="1125" customWidth="1"/>
    <col min="5978" max="5978" width="14.85546875" style="1125" customWidth="1"/>
    <col min="5979" max="5979" width="23.5703125" style="1125" customWidth="1"/>
    <col min="5980" max="5980" width="19.42578125" style="1125" customWidth="1"/>
    <col min="5981" max="5981" width="21.85546875" style="1125" customWidth="1"/>
    <col min="5982" max="5982" width="14.42578125" style="1125" bestFit="1" customWidth="1"/>
    <col min="5983" max="5983" width="17.140625" style="1125" customWidth="1"/>
    <col min="5984" max="5984" width="23.42578125" style="1125" customWidth="1"/>
    <col min="5985" max="5986" width="19.42578125" style="1125" customWidth="1"/>
    <col min="5987" max="5987" width="39.42578125" style="1125" customWidth="1"/>
    <col min="5988" max="5988" width="19.42578125" style="1125" customWidth="1"/>
    <col min="5989" max="6231" width="9.140625" style="1125"/>
    <col min="6232" max="6232" width="9.85546875" style="1125" bestFit="1" customWidth="1"/>
    <col min="6233" max="6233" width="19.42578125" style="1125" customWidth="1"/>
    <col min="6234" max="6234" width="14.85546875" style="1125" customWidth="1"/>
    <col min="6235" max="6235" width="23.5703125" style="1125" customWidth="1"/>
    <col min="6236" max="6236" width="19.42578125" style="1125" customWidth="1"/>
    <col min="6237" max="6237" width="21.85546875" style="1125" customWidth="1"/>
    <col min="6238" max="6238" width="14.42578125" style="1125" bestFit="1" customWidth="1"/>
    <col min="6239" max="6239" width="17.140625" style="1125" customWidth="1"/>
    <col min="6240" max="6240" width="23.42578125" style="1125" customWidth="1"/>
    <col min="6241" max="6242" width="19.42578125" style="1125" customWidth="1"/>
    <col min="6243" max="6243" width="39.42578125" style="1125" customWidth="1"/>
    <col min="6244" max="6244" width="19.42578125" style="1125" customWidth="1"/>
    <col min="6245" max="6487" width="9.140625" style="1125"/>
    <col min="6488" max="6488" width="9.85546875" style="1125" bestFit="1" customWidth="1"/>
    <col min="6489" max="6489" width="19.42578125" style="1125" customWidth="1"/>
    <col min="6490" max="6490" width="14.85546875" style="1125" customWidth="1"/>
    <col min="6491" max="6491" width="23.5703125" style="1125" customWidth="1"/>
    <col min="6492" max="6492" width="19.42578125" style="1125" customWidth="1"/>
    <col min="6493" max="6493" width="21.85546875" style="1125" customWidth="1"/>
    <col min="6494" max="6494" width="14.42578125" style="1125" bestFit="1" customWidth="1"/>
    <col min="6495" max="6495" width="17.140625" style="1125" customWidth="1"/>
    <col min="6496" max="6496" width="23.42578125" style="1125" customWidth="1"/>
    <col min="6497" max="6498" width="19.42578125" style="1125" customWidth="1"/>
    <col min="6499" max="6499" width="39.42578125" style="1125" customWidth="1"/>
    <col min="6500" max="6500" width="19.42578125" style="1125" customWidth="1"/>
    <col min="6501" max="6743" width="9.140625" style="1125"/>
    <col min="6744" max="6744" width="9.85546875" style="1125" bestFit="1" customWidth="1"/>
    <col min="6745" max="6745" width="19.42578125" style="1125" customWidth="1"/>
    <col min="6746" max="6746" width="14.85546875" style="1125" customWidth="1"/>
    <col min="6747" max="6747" width="23.5703125" style="1125" customWidth="1"/>
    <col min="6748" max="6748" width="19.42578125" style="1125" customWidth="1"/>
    <col min="6749" max="6749" width="21.85546875" style="1125" customWidth="1"/>
    <col min="6750" max="6750" width="14.42578125" style="1125" bestFit="1" customWidth="1"/>
    <col min="6751" max="6751" width="17.140625" style="1125" customWidth="1"/>
    <col min="6752" max="6752" width="23.42578125" style="1125" customWidth="1"/>
    <col min="6753" max="6754" width="19.42578125" style="1125" customWidth="1"/>
    <col min="6755" max="6755" width="39.42578125" style="1125" customWidth="1"/>
    <col min="6756" max="6756" width="19.42578125" style="1125" customWidth="1"/>
    <col min="6757" max="6999" width="9.140625" style="1125"/>
    <col min="7000" max="7000" width="9.85546875" style="1125" bestFit="1" customWidth="1"/>
    <col min="7001" max="7001" width="19.42578125" style="1125" customWidth="1"/>
    <col min="7002" max="7002" width="14.85546875" style="1125" customWidth="1"/>
    <col min="7003" max="7003" width="23.5703125" style="1125" customWidth="1"/>
    <col min="7004" max="7004" width="19.42578125" style="1125" customWidth="1"/>
    <col min="7005" max="7005" width="21.85546875" style="1125" customWidth="1"/>
    <col min="7006" max="7006" width="14.42578125" style="1125" bestFit="1" customWidth="1"/>
    <col min="7007" max="7007" width="17.140625" style="1125" customWidth="1"/>
    <col min="7008" max="7008" width="23.42578125" style="1125" customWidth="1"/>
    <col min="7009" max="7010" width="19.42578125" style="1125" customWidth="1"/>
    <col min="7011" max="7011" width="39.42578125" style="1125" customWidth="1"/>
    <col min="7012" max="7012" width="19.42578125" style="1125" customWidth="1"/>
    <col min="7013" max="7255" width="9.140625" style="1125"/>
    <col min="7256" max="7256" width="9.85546875" style="1125" bestFit="1" customWidth="1"/>
    <col min="7257" max="7257" width="19.42578125" style="1125" customWidth="1"/>
    <col min="7258" max="7258" width="14.85546875" style="1125" customWidth="1"/>
    <col min="7259" max="7259" width="23.5703125" style="1125" customWidth="1"/>
    <col min="7260" max="7260" width="19.42578125" style="1125" customWidth="1"/>
    <col min="7261" max="7261" width="21.85546875" style="1125" customWidth="1"/>
    <col min="7262" max="7262" width="14.42578125" style="1125" bestFit="1" customWidth="1"/>
    <col min="7263" max="7263" width="17.140625" style="1125" customWidth="1"/>
    <col min="7264" max="7264" width="23.42578125" style="1125" customWidth="1"/>
    <col min="7265" max="7266" width="19.42578125" style="1125" customWidth="1"/>
    <col min="7267" max="7267" width="39.42578125" style="1125" customWidth="1"/>
    <col min="7268" max="7268" width="19.42578125" style="1125" customWidth="1"/>
    <col min="7269" max="7511" width="9.140625" style="1125"/>
    <col min="7512" max="7512" width="9.85546875" style="1125" bestFit="1" customWidth="1"/>
    <col min="7513" max="7513" width="19.42578125" style="1125" customWidth="1"/>
    <col min="7514" max="7514" width="14.85546875" style="1125" customWidth="1"/>
    <col min="7515" max="7515" width="23.5703125" style="1125" customWidth="1"/>
    <col min="7516" max="7516" width="19.42578125" style="1125" customWidth="1"/>
    <col min="7517" max="7517" width="21.85546875" style="1125" customWidth="1"/>
    <col min="7518" max="7518" width="14.42578125" style="1125" bestFit="1" customWidth="1"/>
    <col min="7519" max="7519" width="17.140625" style="1125" customWidth="1"/>
    <col min="7520" max="7520" width="23.42578125" style="1125" customWidth="1"/>
    <col min="7521" max="7522" width="19.42578125" style="1125" customWidth="1"/>
    <col min="7523" max="7523" width="39.42578125" style="1125" customWidth="1"/>
    <col min="7524" max="7524" width="19.42578125" style="1125" customWidth="1"/>
    <col min="7525" max="7767" width="9.140625" style="1125"/>
    <col min="7768" max="7768" width="9.85546875" style="1125" bestFit="1" customWidth="1"/>
    <col min="7769" max="7769" width="19.42578125" style="1125" customWidth="1"/>
    <col min="7770" max="7770" width="14.85546875" style="1125" customWidth="1"/>
    <col min="7771" max="7771" width="23.5703125" style="1125" customWidth="1"/>
    <col min="7772" max="7772" width="19.42578125" style="1125" customWidth="1"/>
    <col min="7773" max="7773" width="21.85546875" style="1125" customWidth="1"/>
    <col min="7774" max="7774" width="14.42578125" style="1125" bestFit="1" customWidth="1"/>
    <col min="7775" max="7775" width="17.140625" style="1125" customWidth="1"/>
    <col min="7776" max="7776" width="23.42578125" style="1125" customWidth="1"/>
    <col min="7777" max="7778" width="19.42578125" style="1125" customWidth="1"/>
    <col min="7779" max="7779" width="39.42578125" style="1125" customWidth="1"/>
    <col min="7780" max="7780" width="19.42578125" style="1125" customWidth="1"/>
    <col min="7781" max="8023" width="9.140625" style="1125"/>
    <col min="8024" max="8024" width="9.85546875" style="1125" bestFit="1" customWidth="1"/>
    <col min="8025" max="8025" width="19.42578125" style="1125" customWidth="1"/>
    <col min="8026" max="8026" width="14.85546875" style="1125" customWidth="1"/>
    <col min="8027" max="8027" width="23.5703125" style="1125" customWidth="1"/>
    <col min="8028" max="8028" width="19.42578125" style="1125" customWidth="1"/>
    <col min="8029" max="8029" width="21.85546875" style="1125" customWidth="1"/>
    <col min="8030" max="8030" width="14.42578125" style="1125" bestFit="1" customWidth="1"/>
    <col min="8031" max="8031" width="17.140625" style="1125" customWidth="1"/>
    <col min="8032" max="8032" width="23.42578125" style="1125" customWidth="1"/>
    <col min="8033" max="8034" width="19.42578125" style="1125" customWidth="1"/>
    <col min="8035" max="8035" width="39.42578125" style="1125" customWidth="1"/>
    <col min="8036" max="8036" width="19.42578125" style="1125" customWidth="1"/>
    <col min="8037" max="8279" width="9.140625" style="1125"/>
    <col min="8280" max="8280" width="9.85546875" style="1125" bestFit="1" customWidth="1"/>
    <col min="8281" max="8281" width="19.42578125" style="1125" customWidth="1"/>
    <col min="8282" max="8282" width="14.85546875" style="1125" customWidth="1"/>
    <col min="8283" max="8283" width="23.5703125" style="1125" customWidth="1"/>
    <col min="8284" max="8284" width="19.42578125" style="1125" customWidth="1"/>
    <col min="8285" max="8285" width="21.85546875" style="1125" customWidth="1"/>
    <col min="8286" max="8286" width="14.42578125" style="1125" bestFit="1" customWidth="1"/>
    <col min="8287" max="8287" width="17.140625" style="1125" customWidth="1"/>
    <col min="8288" max="8288" width="23.42578125" style="1125" customWidth="1"/>
    <col min="8289" max="8290" width="19.42578125" style="1125" customWidth="1"/>
    <col min="8291" max="8291" width="39.42578125" style="1125" customWidth="1"/>
    <col min="8292" max="8292" width="19.42578125" style="1125" customWidth="1"/>
    <col min="8293" max="8535" width="9.140625" style="1125"/>
    <col min="8536" max="8536" width="9.85546875" style="1125" bestFit="1" customWidth="1"/>
    <col min="8537" max="8537" width="19.42578125" style="1125" customWidth="1"/>
    <col min="8538" max="8538" width="14.85546875" style="1125" customWidth="1"/>
    <col min="8539" max="8539" width="23.5703125" style="1125" customWidth="1"/>
    <col min="8540" max="8540" width="19.42578125" style="1125" customWidth="1"/>
    <col min="8541" max="8541" width="21.85546875" style="1125" customWidth="1"/>
    <col min="8542" max="8542" width="14.42578125" style="1125" bestFit="1" customWidth="1"/>
    <col min="8543" max="8543" width="17.140625" style="1125" customWidth="1"/>
    <col min="8544" max="8544" width="23.42578125" style="1125" customWidth="1"/>
    <col min="8545" max="8546" width="19.42578125" style="1125" customWidth="1"/>
    <col min="8547" max="8547" width="39.42578125" style="1125" customWidth="1"/>
    <col min="8548" max="8548" width="19.42578125" style="1125" customWidth="1"/>
    <col min="8549" max="8791" width="9.140625" style="1125"/>
    <col min="8792" max="8792" width="9.85546875" style="1125" bestFit="1" customWidth="1"/>
    <col min="8793" max="8793" width="19.42578125" style="1125" customWidth="1"/>
    <col min="8794" max="8794" width="14.85546875" style="1125" customWidth="1"/>
    <col min="8795" max="8795" width="23.5703125" style="1125" customWidth="1"/>
    <col min="8796" max="8796" width="19.42578125" style="1125" customWidth="1"/>
    <col min="8797" max="8797" width="21.85546875" style="1125" customWidth="1"/>
    <col min="8798" max="8798" width="14.42578125" style="1125" bestFit="1" customWidth="1"/>
    <col min="8799" max="8799" width="17.140625" style="1125" customWidth="1"/>
    <col min="8800" max="8800" width="23.42578125" style="1125" customWidth="1"/>
    <col min="8801" max="8802" width="19.42578125" style="1125" customWidth="1"/>
    <col min="8803" max="8803" width="39.42578125" style="1125" customWidth="1"/>
    <col min="8804" max="8804" width="19.42578125" style="1125" customWidth="1"/>
    <col min="8805" max="9047" width="9.140625" style="1125"/>
    <col min="9048" max="9048" width="9.85546875" style="1125" bestFit="1" customWidth="1"/>
    <col min="9049" max="9049" width="19.42578125" style="1125" customWidth="1"/>
    <col min="9050" max="9050" width="14.85546875" style="1125" customWidth="1"/>
    <col min="9051" max="9051" width="23.5703125" style="1125" customWidth="1"/>
    <col min="9052" max="9052" width="19.42578125" style="1125" customWidth="1"/>
    <col min="9053" max="9053" width="21.85546875" style="1125" customWidth="1"/>
    <col min="9054" max="9054" width="14.42578125" style="1125" bestFit="1" customWidth="1"/>
    <col min="9055" max="9055" width="17.140625" style="1125" customWidth="1"/>
    <col min="9056" max="9056" width="23.42578125" style="1125" customWidth="1"/>
    <col min="9057" max="9058" width="19.42578125" style="1125" customWidth="1"/>
    <col min="9059" max="9059" width="39.42578125" style="1125" customWidth="1"/>
    <col min="9060" max="9060" width="19.42578125" style="1125" customWidth="1"/>
    <col min="9061" max="9303" width="9.140625" style="1125"/>
    <col min="9304" max="9304" width="9.85546875" style="1125" bestFit="1" customWidth="1"/>
    <col min="9305" max="9305" width="19.42578125" style="1125" customWidth="1"/>
    <col min="9306" max="9306" width="14.85546875" style="1125" customWidth="1"/>
    <col min="9307" max="9307" width="23.5703125" style="1125" customWidth="1"/>
    <col min="9308" max="9308" width="19.42578125" style="1125" customWidth="1"/>
    <col min="9309" max="9309" width="21.85546875" style="1125" customWidth="1"/>
    <col min="9310" max="9310" width="14.42578125" style="1125" bestFit="1" customWidth="1"/>
    <col min="9311" max="9311" width="17.140625" style="1125" customWidth="1"/>
    <col min="9312" max="9312" width="23.42578125" style="1125" customWidth="1"/>
    <col min="9313" max="9314" width="19.42578125" style="1125" customWidth="1"/>
    <col min="9315" max="9315" width="39.42578125" style="1125" customWidth="1"/>
    <col min="9316" max="9316" width="19.42578125" style="1125" customWidth="1"/>
    <col min="9317" max="9559" width="9.140625" style="1125"/>
    <col min="9560" max="9560" width="9.85546875" style="1125" bestFit="1" customWidth="1"/>
    <col min="9561" max="9561" width="19.42578125" style="1125" customWidth="1"/>
    <col min="9562" max="9562" width="14.85546875" style="1125" customWidth="1"/>
    <col min="9563" max="9563" width="23.5703125" style="1125" customWidth="1"/>
    <col min="9564" max="9564" width="19.42578125" style="1125" customWidth="1"/>
    <col min="9565" max="9565" width="21.85546875" style="1125" customWidth="1"/>
    <col min="9566" max="9566" width="14.42578125" style="1125" bestFit="1" customWidth="1"/>
    <col min="9567" max="9567" width="17.140625" style="1125" customWidth="1"/>
    <col min="9568" max="9568" width="23.42578125" style="1125" customWidth="1"/>
    <col min="9569" max="9570" width="19.42578125" style="1125" customWidth="1"/>
    <col min="9571" max="9571" width="39.42578125" style="1125" customWidth="1"/>
    <col min="9572" max="9572" width="19.42578125" style="1125" customWidth="1"/>
    <col min="9573" max="9815" width="9.140625" style="1125"/>
    <col min="9816" max="9816" width="9.85546875" style="1125" bestFit="1" customWidth="1"/>
    <col min="9817" max="9817" width="19.42578125" style="1125" customWidth="1"/>
    <col min="9818" max="9818" width="14.85546875" style="1125" customWidth="1"/>
    <col min="9819" max="9819" width="23.5703125" style="1125" customWidth="1"/>
    <col min="9820" max="9820" width="19.42578125" style="1125" customWidth="1"/>
    <col min="9821" max="9821" width="21.85546875" style="1125" customWidth="1"/>
    <col min="9822" max="9822" width="14.42578125" style="1125" bestFit="1" customWidth="1"/>
    <col min="9823" max="9823" width="17.140625" style="1125" customWidth="1"/>
    <col min="9824" max="9824" width="23.42578125" style="1125" customWidth="1"/>
    <col min="9825" max="9826" width="19.42578125" style="1125" customWidth="1"/>
    <col min="9827" max="9827" width="39.42578125" style="1125" customWidth="1"/>
    <col min="9828" max="9828" width="19.42578125" style="1125" customWidth="1"/>
    <col min="9829" max="10071" width="9.140625" style="1125"/>
    <col min="10072" max="10072" width="9.85546875" style="1125" bestFit="1" customWidth="1"/>
    <col min="10073" max="10073" width="19.42578125" style="1125" customWidth="1"/>
    <col min="10074" max="10074" width="14.85546875" style="1125" customWidth="1"/>
    <col min="10075" max="10075" width="23.5703125" style="1125" customWidth="1"/>
    <col min="10076" max="10076" width="19.42578125" style="1125" customWidth="1"/>
    <col min="10077" max="10077" width="21.85546875" style="1125" customWidth="1"/>
    <col min="10078" max="10078" width="14.42578125" style="1125" bestFit="1" customWidth="1"/>
    <col min="10079" max="10079" width="17.140625" style="1125" customWidth="1"/>
    <col min="10080" max="10080" width="23.42578125" style="1125" customWidth="1"/>
    <col min="10081" max="10082" width="19.42578125" style="1125" customWidth="1"/>
    <col min="10083" max="10083" width="39.42578125" style="1125" customWidth="1"/>
    <col min="10084" max="10084" width="19.42578125" style="1125" customWidth="1"/>
    <col min="10085" max="10327" width="9.140625" style="1125"/>
    <col min="10328" max="10328" width="9.85546875" style="1125" bestFit="1" customWidth="1"/>
    <col min="10329" max="10329" width="19.42578125" style="1125" customWidth="1"/>
    <col min="10330" max="10330" width="14.85546875" style="1125" customWidth="1"/>
    <col min="10331" max="10331" width="23.5703125" style="1125" customWidth="1"/>
    <col min="10332" max="10332" width="19.42578125" style="1125" customWidth="1"/>
    <col min="10333" max="10333" width="21.85546875" style="1125" customWidth="1"/>
    <col min="10334" max="10334" width="14.42578125" style="1125" bestFit="1" customWidth="1"/>
    <col min="10335" max="10335" width="17.140625" style="1125" customWidth="1"/>
    <col min="10336" max="10336" width="23.42578125" style="1125" customWidth="1"/>
    <col min="10337" max="10338" width="19.42578125" style="1125" customWidth="1"/>
    <col min="10339" max="10339" width="39.42578125" style="1125" customWidth="1"/>
    <col min="10340" max="10340" width="19.42578125" style="1125" customWidth="1"/>
    <col min="10341" max="10583" width="9.140625" style="1125"/>
    <col min="10584" max="10584" width="9.85546875" style="1125" bestFit="1" customWidth="1"/>
    <col min="10585" max="10585" width="19.42578125" style="1125" customWidth="1"/>
    <col min="10586" max="10586" width="14.85546875" style="1125" customWidth="1"/>
    <col min="10587" max="10587" width="23.5703125" style="1125" customWidth="1"/>
    <col min="10588" max="10588" width="19.42578125" style="1125" customWidth="1"/>
    <col min="10589" max="10589" width="21.85546875" style="1125" customWidth="1"/>
    <col min="10590" max="10590" width="14.42578125" style="1125" bestFit="1" customWidth="1"/>
    <col min="10591" max="10591" width="17.140625" style="1125" customWidth="1"/>
    <col min="10592" max="10592" width="23.42578125" style="1125" customWidth="1"/>
    <col min="10593" max="10594" width="19.42578125" style="1125" customWidth="1"/>
    <col min="10595" max="10595" width="39.42578125" style="1125" customWidth="1"/>
    <col min="10596" max="10596" width="19.42578125" style="1125" customWidth="1"/>
    <col min="10597" max="10839" width="9.140625" style="1125"/>
    <col min="10840" max="10840" width="9.85546875" style="1125" bestFit="1" customWidth="1"/>
    <col min="10841" max="10841" width="19.42578125" style="1125" customWidth="1"/>
    <col min="10842" max="10842" width="14.85546875" style="1125" customWidth="1"/>
    <col min="10843" max="10843" width="23.5703125" style="1125" customWidth="1"/>
    <col min="10844" max="10844" width="19.42578125" style="1125" customWidth="1"/>
    <col min="10845" max="10845" width="21.85546875" style="1125" customWidth="1"/>
    <col min="10846" max="10846" width="14.42578125" style="1125" bestFit="1" customWidth="1"/>
    <col min="10847" max="10847" width="17.140625" style="1125" customWidth="1"/>
    <col min="10848" max="10848" width="23.42578125" style="1125" customWidth="1"/>
    <col min="10849" max="10850" width="19.42578125" style="1125" customWidth="1"/>
    <col min="10851" max="10851" width="39.42578125" style="1125" customWidth="1"/>
    <col min="10852" max="10852" width="19.42578125" style="1125" customWidth="1"/>
    <col min="10853" max="11095" width="9.140625" style="1125"/>
    <col min="11096" max="11096" width="9.85546875" style="1125" bestFit="1" customWidth="1"/>
    <col min="11097" max="11097" width="19.42578125" style="1125" customWidth="1"/>
    <col min="11098" max="11098" width="14.85546875" style="1125" customWidth="1"/>
    <col min="11099" max="11099" width="23.5703125" style="1125" customWidth="1"/>
    <col min="11100" max="11100" width="19.42578125" style="1125" customWidth="1"/>
    <col min="11101" max="11101" width="21.85546875" style="1125" customWidth="1"/>
    <col min="11102" max="11102" width="14.42578125" style="1125" bestFit="1" customWidth="1"/>
    <col min="11103" max="11103" width="17.140625" style="1125" customWidth="1"/>
    <col min="11104" max="11104" width="23.42578125" style="1125" customWidth="1"/>
    <col min="11105" max="11106" width="19.42578125" style="1125" customWidth="1"/>
    <col min="11107" max="11107" width="39.42578125" style="1125" customWidth="1"/>
    <col min="11108" max="11108" width="19.42578125" style="1125" customWidth="1"/>
    <col min="11109" max="11351" width="9.140625" style="1125"/>
    <col min="11352" max="11352" width="9.85546875" style="1125" bestFit="1" customWidth="1"/>
    <col min="11353" max="11353" width="19.42578125" style="1125" customWidth="1"/>
    <col min="11354" max="11354" width="14.85546875" style="1125" customWidth="1"/>
    <col min="11355" max="11355" width="23.5703125" style="1125" customWidth="1"/>
    <col min="11356" max="11356" width="19.42578125" style="1125" customWidth="1"/>
    <col min="11357" max="11357" width="21.85546875" style="1125" customWidth="1"/>
    <col min="11358" max="11358" width="14.42578125" style="1125" bestFit="1" customWidth="1"/>
    <col min="11359" max="11359" width="17.140625" style="1125" customWidth="1"/>
    <col min="11360" max="11360" width="23.42578125" style="1125" customWidth="1"/>
    <col min="11361" max="11362" width="19.42578125" style="1125" customWidth="1"/>
    <col min="11363" max="11363" width="39.42578125" style="1125" customWidth="1"/>
    <col min="11364" max="11364" width="19.42578125" style="1125" customWidth="1"/>
    <col min="11365" max="11607" width="9.140625" style="1125"/>
    <col min="11608" max="11608" width="9.85546875" style="1125" bestFit="1" customWidth="1"/>
    <col min="11609" max="11609" width="19.42578125" style="1125" customWidth="1"/>
    <col min="11610" max="11610" width="14.85546875" style="1125" customWidth="1"/>
    <col min="11611" max="11611" width="23.5703125" style="1125" customWidth="1"/>
    <col min="11612" max="11612" width="19.42578125" style="1125" customWidth="1"/>
    <col min="11613" max="11613" width="21.85546875" style="1125" customWidth="1"/>
    <col min="11614" max="11614" width="14.42578125" style="1125" bestFit="1" customWidth="1"/>
    <col min="11615" max="11615" width="17.140625" style="1125" customWidth="1"/>
    <col min="11616" max="11616" width="23.42578125" style="1125" customWidth="1"/>
    <col min="11617" max="11618" width="19.42578125" style="1125" customWidth="1"/>
    <col min="11619" max="11619" width="39.42578125" style="1125" customWidth="1"/>
    <col min="11620" max="11620" width="19.42578125" style="1125" customWidth="1"/>
    <col min="11621" max="11863" width="9.140625" style="1125"/>
    <col min="11864" max="11864" width="9.85546875" style="1125" bestFit="1" customWidth="1"/>
    <col min="11865" max="11865" width="19.42578125" style="1125" customWidth="1"/>
    <col min="11866" max="11866" width="14.85546875" style="1125" customWidth="1"/>
    <col min="11867" max="11867" width="23.5703125" style="1125" customWidth="1"/>
    <col min="11868" max="11868" width="19.42578125" style="1125" customWidth="1"/>
    <col min="11869" max="11869" width="21.85546875" style="1125" customWidth="1"/>
    <col min="11870" max="11870" width="14.42578125" style="1125" bestFit="1" customWidth="1"/>
    <col min="11871" max="11871" width="17.140625" style="1125" customWidth="1"/>
    <col min="11872" max="11872" width="23.42578125" style="1125" customWidth="1"/>
    <col min="11873" max="11874" width="19.42578125" style="1125" customWidth="1"/>
    <col min="11875" max="11875" width="39.42578125" style="1125" customWidth="1"/>
    <col min="11876" max="11876" width="19.42578125" style="1125" customWidth="1"/>
    <col min="11877" max="12119" width="9.140625" style="1125"/>
    <col min="12120" max="12120" width="9.85546875" style="1125" bestFit="1" customWidth="1"/>
    <col min="12121" max="12121" width="19.42578125" style="1125" customWidth="1"/>
    <col min="12122" max="12122" width="14.85546875" style="1125" customWidth="1"/>
    <col min="12123" max="12123" width="23.5703125" style="1125" customWidth="1"/>
    <col min="12124" max="12124" width="19.42578125" style="1125" customWidth="1"/>
    <col min="12125" max="12125" width="21.85546875" style="1125" customWidth="1"/>
    <col min="12126" max="12126" width="14.42578125" style="1125" bestFit="1" customWidth="1"/>
    <col min="12127" max="12127" width="17.140625" style="1125" customWidth="1"/>
    <col min="12128" max="12128" width="23.42578125" style="1125" customWidth="1"/>
    <col min="12129" max="12130" width="19.42578125" style="1125" customWidth="1"/>
    <col min="12131" max="12131" width="39.42578125" style="1125" customWidth="1"/>
    <col min="12132" max="12132" width="19.42578125" style="1125" customWidth="1"/>
    <col min="12133" max="12375" width="9.140625" style="1125"/>
    <col min="12376" max="12376" width="9.85546875" style="1125" bestFit="1" customWidth="1"/>
    <col min="12377" max="12377" width="19.42578125" style="1125" customWidth="1"/>
    <col min="12378" max="12378" width="14.85546875" style="1125" customWidth="1"/>
    <col min="12379" max="12379" width="23.5703125" style="1125" customWidth="1"/>
    <col min="12380" max="12380" width="19.42578125" style="1125" customWidth="1"/>
    <col min="12381" max="12381" width="21.85546875" style="1125" customWidth="1"/>
    <col min="12382" max="12382" width="14.42578125" style="1125" bestFit="1" customWidth="1"/>
    <col min="12383" max="12383" width="17.140625" style="1125" customWidth="1"/>
    <col min="12384" max="12384" width="23.42578125" style="1125" customWidth="1"/>
    <col min="12385" max="12386" width="19.42578125" style="1125" customWidth="1"/>
    <col min="12387" max="12387" width="39.42578125" style="1125" customWidth="1"/>
    <col min="12388" max="12388" width="19.42578125" style="1125" customWidth="1"/>
    <col min="12389" max="12631" width="9.140625" style="1125"/>
    <col min="12632" max="12632" width="9.85546875" style="1125" bestFit="1" customWidth="1"/>
    <col min="12633" max="12633" width="19.42578125" style="1125" customWidth="1"/>
    <col min="12634" max="12634" width="14.85546875" style="1125" customWidth="1"/>
    <col min="12635" max="12635" width="23.5703125" style="1125" customWidth="1"/>
    <col min="12636" max="12636" width="19.42578125" style="1125" customWidth="1"/>
    <col min="12637" max="12637" width="21.85546875" style="1125" customWidth="1"/>
    <col min="12638" max="12638" width="14.42578125" style="1125" bestFit="1" customWidth="1"/>
    <col min="12639" max="12639" width="17.140625" style="1125" customWidth="1"/>
    <col min="12640" max="12640" width="23.42578125" style="1125" customWidth="1"/>
    <col min="12641" max="12642" width="19.42578125" style="1125" customWidth="1"/>
    <col min="12643" max="12643" width="39.42578125" style="1125" customWidth="1"/>
    <col min="12644" max="12644" width="19.42578125" style="1125" customWidth="1"/>
    <col min="12645" max="12887" width="9.140625" style="1125"/>
    <col min="12888" max="12888" width="9.85546875" style="1125" bestFit="1" customWidth="1"/>
    <col min="12889" max="12889" width="19.42578125" style="1125" customWidth="1"/>
    <col min="12890" max="12890" width="14.85546875" style="1125" customWidth="1"/>
    <col min="12891" max="12891" width="23.5703125" style="1125" customWidth="1"/>
    <col min="12892" max="12892" width="19.42578125" style="1125" customWidth="1"/>
    <col min="12893" max="12893" width="21.85546875" style="1125" customWidth="1"/>
    <col min="12894" max="12894" width="14.42578125" style="1125" bestFit="1" customWidth="1"/>
    <col min="12895" max="12895" width="17.140625" style="1125" customWidth="1"/>
    <col min="12896" max="12896" width="23.42578125" style="1125" customWidth="1"/>
    <col min="12897" max="12898" width="19.42578125" style="1125" customWidth="1"/>
    <col min="12899" max="12899" width="39.42578125" style="1125" customWidth="1"/>
    <col min="12900" max="12900" width="19.42578125" style="1125" customWidth="1"/>
    <col min="12901" max="13143" width="9.140625" style="1125"/>
    <col min="13144" max="13144" width="9.85546875" style="1125" bestFit="1" customWidth="1"/>
    <col min="13145" max="13145" width="19.42578125" style="1125" customWidth="1"/>
    <col min="13146" max="13146" width="14.85546875" style="1125" customWidth="1"/>
    <col min="13147" max="13147" width="23.5703125" style="1125" customWidth="1"/>
    <col min="13148" max="13148" width="19.42578125" style="1125" customWidth="1"/>
    <col min="13149" max="13149" width="21.85546875" style="1125" customWidth="1"/>
    <col min="13150" max="13150" width="14.42578125" style="1125" bestFit="1" customWidth="1"/>
    <col min="13151" max="13151" width="17.140625" style="1125" customWidth="1"/>
    <col min="13152" max="13152" width="23.42578125" style="1125" customWidth="1"/>
    <col min="13153" max="13154" width="19.42578125" style="1125" customWidth="1"/>
    <col min="13155" max="13155" width="39.42578125" style="1125" customWidth="1"/>
    <col min="13156" max="13156" width="19.42578125" style="1125" customWidth="1"/>
    <col min="13157" max="13399" width="9.140625" style="1125"/>
    <col min="13400" max="13400" width="9.85546875" style="1125" bestFit="1" customWidth="1"/>
    <col min="13401" max="13401" width="19.42578125" style="1125" customWidth="1"/>
    <col min="13402" max="13402" width="14.85546875" style="1125" customWidth="1"/>
    <col min="13403" max="13403" width="23.5703125" style="1125" customWidth="1"/>
    <col min="13404" max="13404" width="19.42578125" style="1125" customWidth="1"/>
    <col min="13405" max="13405" width="21.85546875" style="1125" customWidth="1"/>
    <col min="13406" max="13406" width="14.42578125" style="1125" bestFit="1" customWidth="1"/>
    <col min="13407" max="13407" width="17.140625" style="1125" customWidth="1"/>
    <col min="13408" max="13408" width="23.42578125" style="1125" customWidth="1"/>
    <col min="13409" max="13410" width="19.42578125" style="1125" customWidth="1"/>
    <col min="13411" max="13411" width="39.42578125" style="1125" customWidth="1"/>
    <col min="13412" max="13412" width="19.42578125" style="1125" customWidth="1"/>
    <col min="13413" max="13655" width="9.140625" style="1125"/>
    <col min="13656" max="13656" width="9.85546875" style="1125" bestFit="1" customWidth="1"/>
    <col min="13657" max="13657" width="19.42578125" style="1125" customWidth="1"/>
    <col min="13658" max="13658" width="14.85546875" style="1125" customWidth="1"/>
    <col min="13659" max="13659" width="23.5703125" style="1125" customWidth="1"/>
    <col min="13660" max="13660" width="19.42578125" style="1125" customWidth="1"/>
    <col min="13661" max="13661" width="21.85546875" style="1125" customWidth="1"/>
    <col min="13662" max="13662" width="14.42578125" style="1125" bestFit="1" customWidth="1"/>
    <col min="13663" max="13663" width="17.140625" style="1125" customWidth="1"/>
    <col min="13664" max="13664" width="23.42578125" style="1125" customWidth="1"/>
    <col min="13665" max="13666" width="19.42578125" style="1125" customWidth="1"/>
    <col min="13667" max="13667" width="39.42578125" style="1125" customWidth="1"/>
    <col min="13668" max="13668" width="19.42578125" style="1125" customWidth="1"/>
    <col min="13669" max="13911" width="9.140625" style="1125"/>
    <col min="13912" max="13912" width="9.85546875" style="1125" bestFit="1" customWidth="1"/>
    <col min="13913" max="13913" width="19.42578125" style="1125" customWidth="1"/>
    <col min="13914" max="13914" width="14.85546875" style="1125" customWidth="1"/>
    <col min="13915" max="13915" width="23.5703125" style="1125" customWidth="1"/>
    <col min="13916" max="13916" width="19.42578125" style="1125" customWidth="1"/>
    <col min="13917" max="13917" width="21.85546875" style="1125" customWidth="1"/>
    <col min="13918" max="13918" width="14.42578125" style="1125" bestFit="1" customWidth="1"/>
    <col min="13919" max="13919" width="17.140625" style="1125" customWidth="1"/>
    <col min="13920" max="13920" width="23.42578125" style="1125" customWidth="1"/>
    <col min="13921" max="13922" width="19.42578125" style="1125" customWidth="1"/>
    <col min="13923" max="13923" width="39.42578125" style="1125" customWidth="1"/>
    <col min="13924" max="13924" width="19.42578125" style="1125" customWidth="1"/>
    <col min="13925" max="14167" width="9.140625" style="1125"/>
    <col min="14168" max="14168" width="9.85546875" style="1125" bestFit="1" customWidth="1"/>
    <col min="14169" max="14169" width="19.42578125" style="1125" customWidth="1"/>
    <col min="14170" max="14170" width="14.85546875" style="1125" customWidth="1"/>
    <col min="14171" max="14171" width="23.5703125" style="1125" customWidth="1"/>
    <col min="14172" max="14172" width="19.42578125" style="1125" customWidth="1"/>
    <col min="14173" max="14173" width="21.85546875" style="1125" customWidth="1"/>
    <col min="14174" max="14174" width="14.42578125" style="1125" bestFit="1" customWidth="1"/>
    <col min="14175" max="14175" width="17.140625" style="1125" customWidth="1"/>
    <col min="14176" max="14176" width="23.42578125" style="1125" customWidth="1"/>
    <col min="14177" max="14178" width="19.42578125" style="1125" customWidth="1"/>
    <col min="14179" max="14179" width="39.42578125" style="1125" customWidth="1"/>
    <col min="14180" max="14180" width="19.42578125" style="1125" customWidth="1"/>
    <col min="14181" max="14423" width="9.140625" style="1125"/>
    <col min="14424" max="14424" width="9.85546875" style="1125" bestFit="1" customWidth="1"/>
    <col min="14425" max="14425" width="19.42578125" style="1125" customWidth="1"/>
    <col min="14426" max="14426" width="14.85546875" style="1125" customWidth="1"/>
    <col min="14427" max="14427" width="23.5703125" style="1125" customWidth="1"/>
    <col min="14428" max="14428" width="19.42578125" style="1125" customWidth="1"/>
    <col min="14429" max="14429" width="21.85546875" style="1125" customWidth="1"/>
    <col min="14430" max="14430" width="14.42578125" style="1125" bestFit="1" customWidth="1"/>
    <col min="14431" max="14431" width="17.140625" style="1125" customWidth="1"/>
    <col min="14432" max="14432" width="23.42578125" style="1125" customWidth="1"/>
    <col min="14433" max="14434" width="19.42578125" style="1125" customWidth="1"/>
    <col min="14435" max="14435" width="39.42578125" style="1125" customWidth="1"/>
    <col min="14436" max="14436" width="19.42578125" style="1125" customWidth="1"/>
    <col min="14437" max="14679" width="9.140625" style="1125"/>
    <col min="14680" max="14680" width="9.85546875" style="1125" bestFit="1" customWidth="1"/>
    <col min="14681" max="14681" width="19.42578125" style="1125" customWidth="1"/>
    <col min="14682" max="14682" width="14.85546875" style="1125" customWidth="1"/>
    <col min="14683" max="14683" width="23.5703125" style="1125" customWidth="1"/>
    <col min="14684" max="14684" width="19.42578125" style="1125" customWidth="1"/>
    <col min="14685" max="14685" width="21.85546875" style="1125" customWidth="1"/>
    <col min="14686" max="14686" width="14.42578125" style="1125" bestFit="1" customWidth="1"/>
    <col min="14687" max="14687" width="17.140625" style="1125" customWidth="1"/>
    <col min="14688" max="14688" width="23.42578125" style="1125" customWidth="1"/>
    <col min="14689" max="14690" width="19.42578125" style="1125" customWidth="1"/>
    <col min="14691" max="14691" width="39.42578125" style="1125" customWidth="1"/>
    <col min="14692" max="14692" width="19.42578125" style="1125" customWidth="1"/>
    <col min="14693" max="14935" width="9.140625" style="1125"/>
    <col min="14936" max="14936" width="9.85546875" style="1125" bestFit="1" customWidth="1"/>
    <col min="14937" max="14937" width="19.42578125" style="1125" customWidth="1"/>
    <col min="14938" max="14938" width="14.85546875" style="1125" customWidth="1"/>
    <col min="14939" max="14939" width="23.5703125" style="1125" customWidth="1"/>
    <col min="14940" max="14940" width="19.42578125" style="1125" customWidth="1"/>
    <col min="14941" max="14941" width="21.85546875" style="1125" customWidth="1"/>
    <col min="14942" max="14942" width="14.42578125" style="1125" bestFit="1" customWidth="1"/>
    <col min="14943" max="14943" width="17.140625" style="1125" customWidth="1"/>
    <col min="14944" max="14944" width="23.42578125" style="1125" customWidth="1"/>
    <col min="14945" max="14946" width="19.42578125" style="1125" customWidth="1"/>
    <col min="14947" max="14947" width="39.42578125" style="1125" customWidth="1"/>
    <col min="14948" max="14948" width="19.42578125" style="1125" customWidth="1"/>
    <col min="14949" max="15191" width="9.140625" style="1125"/>
    <col min="15192" max="15192" width="9.85546875" style="1125" bestFit="1" customWidth="1"/>
    <col min="15193" max="15193" width="19.42578125" style="1125" customWidth="1"/>
    <col min="15194" max="15194" width="14.85546875" style="1125" customWidth="1"/>
    <col min="15195" max="15195" width="23.5703125" style="1125" customWidth="1"/>
    <col min="15196" max="15196" width="19.42578125" style="1125" customWidth="1"/>
    <col min="15197" max="15197" width="21.85546875" style="1125" customWidth="1"/>
    <col min="15198" max="15198" width="14.42578125" style="1125" bestFit="1" customWidth="1"/>
    <col min="15199" max="15199" width="17.140625" style="1125" customWidth="1"/>
    <col min="15200" max="15200" width="23.42578125" style="1125" customWidth="1"/>
    <col min="15201" max="15202" width="19.42578125" style="1125" customWidth="1"/>
    <col min="15203" max="15203" width="39.42578125" style="1125" customWidth="1"/>
    <col min="15204" max="15204" width="19.42578125" style="1125" customWidth="1"/>
    <col min="15205" max="15447" width="9.140625" style="1125"/>
    <col min="15448" max="15448" width="9.85546875" style="1125" bestFit="1" customWidth="1"/>
    <col min="15449" max="15449" width="19.42578125" style="1125" customWidth="1"/>
    <col min="15450" max="15450" width="14.85546875" style="1125" customWidth="1"/>
    <col min="15451" max="15451" width="23.5703125" style="1125" customWidth="1"/>
    <col min="15452" max="15452" width="19.42578125" style="1125" customWidth="1"/>
    <col min="15453" max="15453" width="21.85546875" style="1125" customWidth="1"/>
    <col min="15454" max="15454" width="14.42578125" style="1125" bestFit="1" customWidth="1"/>
    <col min="15455" max="15455" width="17.140625" style="1125" customWidth="1"/>
    <col min="15456" max="15456" width="23.42578125" style="1125" customWidth="1"/>
    <col min="15457" max="15458" width="19.42578125" style="1125" customWidth="1"/>
    <col min="15459" max="15459" width="39.42578125" style="1125" customWidth="1"/>
    <col min="15460" max="15460" width="19.42578125" style="1125" customWidth="1"/>
    <col min="15461" max="15703" width="9.140625" style="1125"/>
    <col min="15704" max="15704" width="9.85546875" style="1125" bestFit="1" customWidth="1"/>
    <col min="15705" max="15705" width="19.42578125" style="1125" customWidth="1"/>
    <col min="15706" max="15706" width="14.85546875" style="1125" customWidth="1"/>
    <col min="15707" max="15707" width="23.5703125" style="1125" customWidth="1"/>
    <col min="15708" max="15708" width="19.42578125" style="1125" customWidth="1"/>
    <col min="15709" max="15709" width="21.85546875" style="1125" customWidth="1"/>
    <col min="15710" max="15710" width="14.42578125" style="1125" bestFit="1" customWidth="1"/>
    <col min="15711" max="15711" width="17.140625" style="1125" customWidth="1"/>
    <col min="15712" max="15712" width="23.42578125" style="1125" customWidth="1"/>
    <col min="15713" max="15714" width="19.42578125" style="1125" customWidth="1"/>
    <col min="15715" max="15715" width="39.42578125" style="1125" customWidth="1"/>
    <col min="15716" max="15716" width="19.42578125" style="1125" customWidth="1"/>
    <col min="15717" max="15959" width="9.140625" style="1125"/>
    <col min="15960" max="15960" width="9.85546875" style="1125" bestFit="1" customWidth="1"/>
    <col min="15961" max="15961" width="19.42578125" style="1125" customWidth="1"/>
    <col min="15962" max="15962" width="14.85546875" style="1125" customWidth="1"/>
    <col min="15963" max="15963" width="23.5703125" style="1125" customWidth="1"/>
    <col min="15964" max="15964" width="19.42578125" style="1125" customWidth="1"/>
    <col min="15965" max="15965" width="21.85546875" style="1125" customWidth="1"/>
    <col min="15966" max="15966" width="14.42578125" style="1125" bestFit="1" customWidth="1"/>
    <col min="15967" max="15967" width="17.140625" style="1125" customWidth="1"/>
    <col min="15968" max="15968" width="23.42578125" style="1125" customWidth="1"/>
    <col min="15969" max="15970" width="19.42578125" style="1125" customWidth="1"/>
    <col min="15971" max="15971" width="39.42578125" style="1125" customWidth="1"/>
    <col min="15972" max="15972" width="19.42578125" style="1125" customWidth="1"/>
    <col min="15973" max="16384" width="9.140625" style="1125"/>
  </cols>
  <sheetData>
    <row r="1" spans="1:7" ht="24.95" customHeight="1">
      <c r="A1" s="1121" t="s">
        <v>37</v>
      </c>
      <c r="F1" s="1138" t="s">
        <v>570</v>
      </c>
      <c r="G1" s="1142">
        <v>46083</v>
      </c>
    </row>
    <row r="2" spans="1:7" ht="25.5" customHeight="1">
      <c r="A2" s="1141" t="s">
        <v>3324</v>
      </c>
    </row>
    <row r="3" spans="1:7" ht="25.5" customHeight="1">
      <c r="A3" s="1141"/>
    </row>
    <row r="4" spans="1:7" s="1139" customFormat="1" ht="25.5" customHeight="1">
      <c r="A4" s="1138"/>
      <c r="B4" s="1136"/>
      <c r="C4" s="1137"/>
      <c r="D4" s="1140" t="s">
        <v>2671</v>
      </c>
      <c r="E4" s="1126">
        <f>COUNTIF(E7:E247,"Submitted")</f>
        <v>109</v>
      </c>
      <c r="F4" s="1126">
        <f>COUNTIF(F7:F247,"Submitted")</f>
        <v>90</v>
      </c>
      <c r="G4" s="1138"/>
    </row>
    <row r="5" spans="1:7" s="1139" customFormat="1" ht="25.5" customHeight="1">
      <c r="A5" s="1138"/>
      <c r="B5" s="1136"/>
      <c r="C5" s="1137"/>
      <c r="D5" s="1140" t="s">
        <v>3318</v>
      </c>
      <c r="E5" s="1126">
        <f>COUNTIF(E7:E247,"File Ready")</f>
        <v>10</v>
      </c>
      <c r="F5" s="1126">
        <f>COUNTIF(F7:F247,"File Ready")</f>
        <v>8</v>
      </c>
      <c r="G5" s="1138"/>
    </row>
    <row r="6" spans="1:7" s="1138" customFormat="1" ht="66.599999999999994" customHeight="1">
      <c r="A6" s="1127" t="s">
        <v>1782</v>
      </c>
      <c r="B6" s="1127" t="s">
        <v>2877</v>
      </c>
      <c r="C6" s="1127" t="s">
        <v>1405</v>
      </c>
      <c r="D6" s="1127" t="s">
        <v>3323</v>
      </c>
      <c r="E6" s="1128" t="s">
        <v>3314</v>
      </c>
      <c r="F6" s="1128" t="s">
        <v>3315</v>
      </c>
      <c r="G6" s="1128" t="s">
        <v>19</v>
      </c>
    </row>
    <row r="7" spans="1:7" s="1124" customFormat="1">
      <c r="A7" s="1134">
        <v>1</v>
      </c>
      <c r="B7" s="1129" t="s">
        <v>2880</v>
      </c>
      <c r="C7" s="1129" t="s">
        <v>1277</v>
      </c>
      <c r="D7" s="1129"/>
      <c r="E7" s="1129"/>
      <c r="F7" s="1129"/>
      <c r="G7" s="1129"/>
    </row>
    <row r="8" spans="1:7" s="1124" customFormat="1">
      <c r="A8" s="1134">
        <f t="shared" ref="A8:A71" si="0">A7+1</f>
        <v>2</v>
      </c>
      <c r="B8" s="1129" t="s">
        <v>2882</v>
      </c>
      <c r="C8" s="1129" t="s">
        <v>1402</v>
      </c>
      <c r="D8" s="1129"/>
      <c r="E8" s="1130"/>
      <c r="F8" s="1130"/>
      <c r="G8" s="1130"/>
    </row>
    <row r="9" spans="1:7" s="1124" customFormat="1">
      <c r="A9" s="1134">
        <f t="shared" si="0"/>
        <v>3</v>
      </c>
      <c r="B9" s="1129" t="s">
        <v>2884</v>
      </c>
      <c r="C9" s="1129" t="s">
        <v>1995</v>
      </c>
      <c r="D9" s="1129"/>
      <c r="E9" s="1130"/>
      <c r="F9" s="1130"/>
      <c r="G9" s="1130"/>
    </row>
    <row r="10" spans="1:7" s="1124" customFormat="1">
      <c r="A10" s="1134">
        <f t="shared" si="0"/>
        <v>4</v>
      </c>
      <c r="B10" s="1129" t="s">
        <v>702</v>
      </c>
      <c r="C10" s="1129" t="s">
        <v>53</v>
      </c>
      <c r="D10" s="1129"/>
      <c r="E10" s="1130"/>
      <c r="F10" s="1130"/>
      <c r="G10" s="1130"/>
    </row>
    <row r="11" spans="1:7" s="1124" customFormat="1">
      <c r="A11" s="1134">
        <f t="shared" si="0"/>
        <v>5</v>
      </c>
      <c r="B11" s="1129" t="s">
        <v>2885</v>
      </c>
      <c r="C11" s="1129" t="s">
        <v>1361</v>
      </c>
      <c r="D11" s="1129"/>
      <c r="E11" s="1130"/>
      <c r="F11" s="1130"/>
      <c r="G11" s="1130"/>
    </row>
    <row r="12" spans="1:7" s="1124" customFormat="1">
      <c r="A12" s="1134">
        <f t="shared" si="0"/>
        <v>6</v>
      </c>
      <c r="B12" s="1129" t="s">
        <v>753</v>
      </c>
      <c r="C12" s="1129" t="s">
        <v>53</v>
      </c>
      <c r="D12" s="1129"/>
      <c r="E12" s="1130"/>
      <c r="F12" s="1130"/>
      <c r="G12" s="1130"/>
    </row>
    <row r="13" spans="1:7" s="1124" customFormat="1">
      <c r="A13" s="1134">
        <f t="shared" si="0"/>
        <v>7</v>
      </c>
      <c r="B13" s="1129" t="s">
        <v>761</v>
      </c>
      <c r="C13" s="1129" t="s">
        <v>62</v>
      </c>
      <c r="D13" s="1129"/>
      <c r="E13" s="1130"/>
      <c r="F13" s="1130"/>
      <c r="G13" s="1130"/>
    </row>
    <row r="14" spans="1:7" s="1124" customFormat="1">
      <c r="A14" s="1134">
        <f t="shared" si="0"/>
        <v>8</v>
      </c>
      <c r="B14" s="1129" t="s">
        <v>735</v>
      </c>
      <c r="C14" s="1129" t="s">
        <v>53</v>
      </c>
      <c r="D14" s="1129" t="s">
        <v>22</v>
      </c>
      <c r="E14" s="1130"/>
      <c r="F14" s="1130"/>
      <c r="G14" s="1130"/>
    </row>
    <row r="15" spans="1:7" s="1124" customFormat="1">
      <c r="A15" s="1134">
        <f t="shared" si="0"/>
        <v>9</v>
      </c>
      <c r="B15" s="1129" t="s">
        <v>746</v>
      </c>
      <c r="C15" s="1129" t="s">
        <v>53</v>
      </c>
      <c r="D15" s="1129"/>
      <c r="E15" s="1130"/>
      <c r="F15" s="1130"/>
      <c r="G15" s="1130"/>
    </row>
    <row r="16" spans="1:7" s="1124" customFormat="1">
      <c r="A16" s="1134">
        <f t="shared" si="0"/>
        <v>10</v>
      </c>
      <c r="B16" s="1129" t="s">
        <v>2887</v>
      </c>
      <c r="C16" s="1129" t="s">
        <v>1995</v>
      </c>
      <c r="D16" s="1129"/>
      <c r="E16" s="1130"/>
      <c r="F16" s="1130"/>
      <c r="G16" s="1130"/>
    </row>
    <row r="17" spans="1:7">
      <c r="A17" s="1134">
        <f t="shared" si="0"/>
        <v>11</v>
      </c>
      <c r="B17" s="1129" t="s">
        <v>554</v>
      </c>
      <c r="C17" s="1129" t="s">
        <v>76</v>
      </c>
      <c r="D17" s="1129"/>
      <c r="E17" s="1130"/>
      <c r="F17" s="1130"/>
      <c r="G17" s="1130"/>
    </row>
    <row r="18" spans="1:7">
      <c r="A18" s="1134">
        <f t="shared" si="0"/>
        <v>12</v>
      </c>
      <c r="B18" s="1129" t="s">
        <v>125</v>
      </c>
      <c r="C18" s="1129" t="s">
        <v>76</v>
      </c>
      <c r="D18" s="1129"/>
      <c r="E18" s="1130"/>
      <c r="F18" s="1130"/>
      <c r="G18" s="1130"/>
    </row>
    <row r="19" spans="1:7">
      <c r="A19" s="1134">
        <f t="shared" si="0"/>
        <v>13</v>
      </c>
      <c r="B19" s="1129" t="s">
        <v>2889</v>
      </c>
      <c r="C19" s="1129" t="s">
        <v>1277</v>
      </c>
      <c r="D19" s="1129"/>
      <c r="E19" s="1130"/>
      <c r="F19" s="1130"/>
      <c r="G19" s="1130"/>
    </row>
    <row r="20" spans="1:7">
      <c r="A20" s="1134">
        <f t="shared" si="0"/>
        <v>14</v>
      </c>
      <c r="B20" s="1129" t="s">
        <v>2890</v>
      </c>
      <c r="C20" s="1129" t="s">
        <v>1935</v>
      </c>
      <c r="D20" s="1129"/>
      <c r="E20" s="1130"/>
      <c r="F20" s="1130"/>
      <c r="G20" s="1130"/>
    </row>
    <row r="21" spans="1:7">
      <c r="A21" s="1134">
        <f t="shared" si="0"/>
        <v>15</v>
      </c>
      <c r="B21" s="1129" t="s">
        <v>401</v>
      </c>
      <c r="C21" s="1129" t="s">
        <v>62</v>
      </c>
      <c r="D21" s="1129"/>
      <c r="E21" s="1130"/>
      <c r="F21" s="1130"/>
      <c r="G21" s="1130"/>
    </row>
    <row r="22" spans="1:7">
      <c r="A22" s="1134">
        <f t="shared" si="0"/>
        <v>16</v>
      </c>
      <c r="B22" s="1129" t="s">
        <v>2892</v>
      </c>
      <c r="C22" s="1129" t="s">
        <v>1934</v>
      </c>
      <c r="D22" s="1129"/>
      <c r="E22" s="1130"/>
      <c r="F22" s="1130"/>
      <c r="G22" s="1130"/>
    </row>
    <row r="23" spans="1:7">
      <c r="A23" s="1134">
        <f t="shared" si="0"/>
        <v>17</v>
      </c>
      <c r="B23" s="1129" t="s">
        <v>219</v>
      </c>
      <c r="C23" s="1129" t="s">
        <v>76</v>
      </c>
      <c r="D23" s="1129"/>
      <c r="E23" s="1130"/>
      <c r="F23" s="1130"/>
      <c r="G23" s="1130"/>
    </row>
    <row r="24" spans="1:7">
      <c r="A24" s="1134">
        <f t="shared" si="0"/>
        <v>18</v>
      </c>
      <c r="B24" s="1129" t="s">
        <v>2893</v>
      </c>
      <c r="C24" s="1129" t="s">
        <v>1277</v>
      </c>
      <c r="D24" s="1129"/>
      <c r="E24" s="1130"/>
      <c r="F24" s="1130"/>
      <c r="G24" s="1130"/>
    </row>
    <row r="25" spans="1:7">
      <c r="A25" s="1134">
        <f t="shared" si="0"/>
        <v>19</v>
      </c>
      <c r="B25" s="1129" t="s">
        <v>170</v>
      </c>
      <c r="C25" s="1129" t="s">
        <v>76</v>
      </c>
      <c r="D25" s="1129"/>
      <c r="E25" s="1130"/>
      <c r="F25" s="1130"/>
      <c r="G25" s="1130"/>
    </row>
    <row r="26" spans="1:7">
      <c r="A26" s="1134">
        <f t="shared" si="0"/>
        <v>20</v>
      </c>
      <c r="B26" s="1129" t="s">
        <v>2895</v>
      </c>
      <c r="C26" s="1129" t="s">
        <v>1269</v>
      </c>
      <c r="D26" s="1129"/>
      <c r="E26" s="1130"/>
      <c r="F26" s="1130"/>
      <c r="G26" s="1130"/>
    </row>
    <row r="27" spans="1:7">
      <c r="A27" s="1134">
        <f t="shared" si="0"/>
        <v>21</v>
      </c>
      <c r="B27" s="1129" t="s">
        <v>229</v>
      </c>
      <c r="C27" s="1129" t="s">
        <v>76</v>
      </c>
      <c r="D27" s="1129"/>
      <c r="E27" s="1130"/>
      <c r="F27" s="1130"/>
      <c r="G27" s="1130"/>
    </row>
    <row r="28" spans="1:7">
      <c r="A28" s="1134">
        <f t="shared" si="0"/>
        <v>22</v>
      </c>
      <c r="B28" s="1129" t="s">
        <v>106</v>
      </c>
      <c r="C28" s="1129" t="s">
        <v>76</v>
      </c>
      <c r="D28" s="1129"/>
      <c r="E28" s="1130"/>
      <c r="F28" s="1130"/>
      <c r="G28" s="1130"/>
    </row>
    <row r="29" spans="1:7">
      <c r="A29" s="1134">
        <f t="shared" si="0"/>
        <v>23</v>
      </c>
      <c r="B29" s="1129" t="s">
        <v>2897</v>
      </c>
      <c r="C29" s="1129" t="s">
        <v>1977</v>
      </c>
      <c r="D29" s="1129"/>
      <c r="E29" s="1130"/>
      <c r="F29" s="1130"/>
      <c r="G29" s="1130"/>
    </row>
    <row r="30" spans="1:7" s="1124" customFormat="1">
      <c r="A30" s="1134">
        <f t="shared" si="0"/>
        <v>24</v>
      </c>
      <c r="B30" s="1129" t="s">
        <v>2898</v>
      </c>
      <c r="C30" s="1129" t="s">
        <v>1953</v>
      </c>
      <c r="D30" s="1129"/>
      <c r="E30" s="1130"/>
      <c r="F30" s="1130"/>
      <c r="G30" s="1130"/>
    </row>
    <row r="31" spans="1:7">
      <c r="A31" s="1134">
        <f t="shared" si="0"/>
        <v>25</v>
      </c>
      <c r="B31" s="1129" t="s">
        <v>144</v>
      </c>
      <c r="C31" s="1129" t="s">
        <v>76</v>
      </c>
      <c r="D31" s="1129"/>
      <c r="E31" s="1130"/>
      <c r="F31" s="1130"/>
      <c r="G31" s="1130"/>
    </row>
    <row r="32" spans="1:7">
      <c r="A32" s="1134">
        <f t="shared" si="0"/>
        <v>26</v>
      </c>
      <c r="B32" s="1129" t="s">
        <v>2900</v>
      </c>
      <c r="C32" s="1129" t="s">
        <v>1269</v>
      </c>
      <c r="D32" s="1129"/>
      <c r="E32" s="1130"/>
      <c r="F32" s="1130"/>
      <c r="G32" s="1130"/>
    </row>
    <row r="33" spans="1:7">
      <c r="A33" s="1134">
        <f t="shared" si="0"/>
        <v>27</v>
      </c>
      <c r="B33" s="1129" t="s">
        <v>251</v>
      </c>
      <c r="C33" s="1129" t="s">
        <v>76</v>
      </c>
      <c r="D33" s="1129"/>
      <c r="E33" s="1130"/>
      <c r="F33" s="1130"/>
      <c r="G33" s="1130"/>
    </row>
    <row r="34" spans="1:7">
      <c r="A34" s="1134">
        <f t="shared" si="0"/>
        <v>28</v>
      </c>
      <c r="B34" s="1129" t="s">
        <v>118</v>
      </c>
      <c r="C34" s="1129" t="s">
        <v>53</v>
      </c>
      <c r="D34" s="1129"/>
      <c r="E34" s="1130"/>
      <c r="F34" s="1130"/>
      <c r="G34" s="1130"/>
    </row>
    <row r="35" spans="1:7">
      <c r="A35" s="1134">
        <f t="shared" si="0"/>
        <v>29</v>
      </c>
      <c r="B35" s="1129" t="s">
        <v>134</v>
      </c>
      <c r="C35" s="1129" t="s">
        <v>76</v>
      </c>
      <c r="D35" s="1129"/>
      <c r="E35" s="1130"/>
      <c r="F35" s="1130"/>
      <c r="G35" s="1130"/>
    </row>
    <row r="36" spans="1:7">
      <c r="A36" s="1134">
        <f t="shared" si="0"/>
        <v>30</v>
      </c>
      <c r="B36" s="1129" t="s">
        <v>163</v>
      </c>
      <c r="C36" s="1129" t="s">
        <v>62</v>
      </c>
      <c r="D36" s="1129"/>
      <c r="E36" s="1130"/>
      <c r="F36" s="1130"/>
      <c r="G36" s="1130"/>
    </row>
    <row r="37" spans="1:7">
      <c r="A37" s="1134">
        <f t="shared" si="0"/>
        <v>31</v>
      </c>
      <c r="B37" s="1129" t="s">
        <v>151</v>
      </c>
      <c r="C37" s="1129" t="s">
        <v>62</v>
      </c>
      <c r="D37" s="1129"/>
      <c r="E37" s="1130"/>
      <c r="F37" s="1130"/>
      <c r="G37" s="1130"/>
    </row>
    <row r="38" spans="1:7">
      <c r="A38" s="1134">
        <f t="shared" si="0"/>
        <v>32</v>
      </c>
      <c r="B38" s="1129" t="s">
        <v>2902</v>
      </c>
      <c r="C38" s="1129" t="s">
        <v>1277</v>
      </c>
      <c r="D38" s="1129"/>
      <c r="E38" s="1130"/>
      <c r="F38" s="1130"/>
      <c r="G38" s="1130"/>
    </row>
    <row r="39" spans="1:7">
      <c r="A39" s="1134">
        <f t="shared" si="0"/>
        <v>33</v>
      </c>
      <c r="B39" s="1129" t="s">
        <v>2904</v>
      </c>
      <c r="C39" s="1129" t="s">
        <v>1319</v>
      </c>
      <c r="D39" s="1129"/>
      <c r="E39" s="1130"/>
      <c r="F39" s="1130"/>
      <c r="G39" s="1130"/>
    </row>
    <row r="40" spans="1:7">
      <c r="A40" s="1134">
        <f t="shared" si="0"/>
        <v>34</v>
      </c>
      <c r="B40" s="1129" t="s">
        <v>2906</v>
      </c>
      <c r="C40" s="1129" t="s">
        <v>76</v>
      </c>
      <c r="D40" s="1129"/>
      <c r="E40" s="1130"/>
      <c r="F40" s="1130"/>
      <c r="G40" s="1130"/>
    </row>
    <row r="41" spans="1:7">
      <c r="A41" s="1134">
        <f t="shared" si="0"/>
        <v>35</v>
      </c>
      <c r="B41" s="1129" t="s">
        <v>2907</v>
      </c>
      <c r="C41" s="1129" t="s">
        <v>76</v>
      </c>
      <c r="D41" s="1129" t="s">
        <v>22</v>
      </c>
      <c r="E41" s="1130"/>
      <c r="F41" s="1130"/>
      <c r="G41" s="1130"/>
    </row>
    <row r="42" spans="1:7">
      <c r="A42" s="1134">
        <f t="shared" si="0"/>
        <v>36</v>
      </c>
      <c r="B42" s="1129" t="s">
        <v>3309</v>
      </c>
      <c r="C42" s="1129" t="s">
        <v>76</v>
      </c>
      <c r="D42" s="1129" t="s">
        <v>1009</v>
      </c>
      <c r="E42" s="1130"/>
      <c r="F42" s="1130"/>
      <c r="G42" s="1130"/>
    </row>
    <row r="43" spans="1:7">
      <c r="A43" s="1134">
        <f t="shared" si="0"/>
        <v>37</v>
      </c>
      <c r="B43" s="1129" t="s">
        <v>2910</v>
      </c>
      <c r="C43" s="1129" t="s">
        <v>1269</v>
      </c>
      <c r="D43" s="1129" t="s">
        <v>1009</v>
      </c>
      <c r="E43" s="1130" t="s">
        <v>2671</v>
      </c>
      <c r="F43" s="1130" t="s">
        <v>2671</v>
      </c>
      <c r="G43" s="1130"/>
    </row>
    <row r="44" spans="1:7">
      <c r="A44" s="1134">
        <f t="shared" si="0"/>
        <v>38</v>
      </c>
      <c r="B44" s="1129" t="s">
        <v>2912</v>
      </c>
      <c r="C44" s="1129" t="s">
        <v>1269</v>
      </c>
      <c r="D44" s="1129" t="s">
        <v>1009</v>
      </c>
      <c r="E44" s="1130"/>
      <c r="F44" s="1130"/>
      <c r="G44" s="1130"/>
    </row>
    <row r="45" spans="1:7">
      <c r="A45" s="1134">
        <f t="shared" si="0"/>
        <v>39</v>
      </c>
      <c r="B45" s="1129" t="s">
        <v>394</v>
      </c>
      <c r="C45" s="1129" t="s">
        <v>76</v>
      </c>
      <c r="D45" s="1129" t="s">
        <v>1009</v>
      </c>
      <c r="E45" s="1130" t="s">
        <v>2671</v>
      </c>
      <c r="F45" s="1130" t="s">
        <v>2671</v>
      </c>
      <c r="G45" s="1130"/>
    </row>
    <row r="46" spans="1:7">
      <c r="A46" s="1134">
        <f t="shared" si="0"/>
        <v>40</v>
      </c>
      <c r="B46" s="1129" t="s">
        <v>850</v>
      </c>
      <c r="C46" s="1129" t="s">
        <v>76</v>
      </c>
      <c r="D46" s="1129" t="s">
        <v>1009</v>
      </c>
      <c r="E46" s="1130" t="s">
        <v>2671</v>
      </c>
      <c r="F46" s="1130" t="s">
        <v>2671</v>
      </c>
      <c r="G46" s="1130"/>
    </row>
    <row r="47" spans="1:7">
      <c r="A47" s="1134">
        <f t="shared" si="0"/>
        <v>41</v>
      </c>
      <c r="B47" s="1129" t="s">
        <v>853</v>
      </c>
      <c r="C47" s="1129" t="s">
        <v>76</v>
      </c>
      <c r="D47" s="1129" t="s">
        <v>1009</v>
      </c>
      <c r="E47" s="1130" t="s">
        <v>2671</v>
      </c>
      <c r="F47" s="1130" t="s">
        <v>2671</v>
      </c>
      <c r="G47" s="1130"/>
    </row>
    <row r="48" spans="1:7">
      <c r="A48" s="1134">
        <f t="shared" si="0"/>
        <v>42</v>
      </c>
      <c r="B48" s="1129" t="s">
        <v>2915</v>
      </c>
      <c r="C48" s="1129" t="s">
        <v>1361</v>
      </c>
      <c r="D48" s="1129" t="s">
        <v>1009</v>
      </c>
      <c r="E48" s="1130" t="s">
        <v>3318</v>
      </c>
      <c r="F48" s="1130" t="s">
        <v>3318</v>
      </c>
      <c r="G48" s="1130"/>
    </row>
    <row r="49" spans="1:7">
      <c r="A49" s="1134">
        <f t="shared" si="0"/>
        <v>43</v>
      </c>
      <c r="B49" s="1129" t="s">
        <v>538</v>
      </c>
      <c r="C49" s="1129" t="s">
        <v>249</v>
      </c>
      <c r="D49" s="1129" t="s">
        <v>1009</v>
      </c>
      <c r="E49" s="1130" t="s">
        <v>3318</v>
      </c>
      <c r="F49" s="1130"/>
      <c r="G49" s="1130"/>
    </row>
    <row r="50" spans="1:7">
      <c r="A50" s="1134">
        <f t="shared" si="0"/>
        <v>44</v>
      </c>
      <c r="B50" s="1129" t="s">
        <v>529</v>
      </c>
      <c r="C50" s="1129" t="s">
        <v>76</v>
      </c>
      <c r="D50" s="1129" t="s">
        <v>1009</v>
      </c>
      <c r="E50" s="1130" t="s">
        <v>3318</v>
      </c>
      <c r="F50" s="1130"/>
      <c r="G50" s="1130"/>
    </row>
    <row r="51" spans="1:7">
      <c r="A51" s="1134">
        <f t="shared" si="0"/>
        <v>45</v>
      </c>
      <c r="B51" s="1129" t="s">
        <v>2917</v>
      </c>
      <c r="C51" s="1129" t="s">
        <v>2197</v>
      </c>
      <c r="D51" s="1129"/>
      <c r="E51" s="1130"/>
      <c r="F51" s="1130"/>
      <c r="G51" s="1130"/>
    </row>
    <row r="52" spans="1:7">
      <c r="A52" s="1134">
        <f t="shared" si="0"/>
        <v>46</v>
      </c>
      <c r="B52" s="1129" t="s">
        <v>2918</v>
      </c>
      <c r="C52" s="1129" t="s">
        <v>1953</v>
      </c>
      <c r="D52" s="1129" t="s">
        <v>22</v>
      </c>
      <c r="E52" s="1130"/>
      <c r="F52" s="1130"/>
      <c r="G52" s="1130"/>
    </row>
    <row r="53" spans="1:7">
      <c r="A53" s="1134">
        <f t="shared" si="0"/>
        <v>47</v>
      </c>
      <c r="B53" s="1129" t="s">
        <v>497</v>
      </c>
      <c r="C53" s="1129" t="s">
        <v>62</v>
      </c>
      <c r="D53" s="1129"/>
      <c r="E53" s="1130" t="s">
        <v>2671</v>
      </c>
      <c r="F53" s="1130" t="s">
        <v>2671</v>
      </c>
      <c r="G53" s="1130"/>
    </row>
    <row r="54" spans="1:7">
      <c r="A54" s="1134">
        <f t="shared" si="0"/>
        <v>48</v>
      </c>
      <c r="B54" s="1129" t="s">
        <v>495</v>
      </c>
      <c r="C54" s="1131" t="s">
        <v>249</v>
      </c>
      <c r="D54" s="1131" t="s">
        <v>1009</v>
      </c>
      <c r="E54" s="1130"/>
      <c r="F54" s="1130"/>
      <c r="G54" s="1130"/>
    </row>
    <row r="55" spans="1:7">
      <c r="A55" s="1134">
        <f t="shared" si="0"/>
        <v>49</v>
      </c>
      <c r="B55" s="1129" t="s">
        <v>490</v>
      </c>
      <c r="C55" s="1129" t="s">
        <v>53</v>
      </c>
      <c r="D55" s="1129" t="s">
        <v>1009</v>
      </c>
      <c r="E55" s="1130" t="s">
        <v>2671</v>
      </c>
      <c r="F55" s="1130"/>
      <c r="G55" s="1130"/>
    </row>
    <row r="56" spans="1:7">
      <c r="A56" s="1134">
        <f t="shared" si="0"/>
        <v>50</v>
      </c>
      <c r="B56" s="1129" t="s">
        <v>2920</v>
      </c>
      <c r="C56" s="1129" t="s">
        <v>90</v>
      </c>
      <c r="D56" s="1129" t="s">
        <v>1009</v>
      </c>
      <c r="E56" s="1130" t="s">
        <v>2671</v>
      </c>
      <c r="F56" s="1130" t="s">
        <v>2671</v>
      </c>
      <c r="G56" s="1130"/>
    </row>
    <row r="57" spans="1:7">
      <c r="A57" s="1134">
        <f t="shared" si="0"/>
        <v>51</v>
      </c>
      <c r="B57" s="1129" t="s">
        <v>458</v>
      </c>
      <c r="C57" s="1129" t="s">
        <v>62</v>
      </c>
      <c r="D57" s="1129" t="s">
        <v>1009</v>
      </c>
      <c r="E57" s="1130" t="s">
        <v>2671</v>
      </c>
      <c r="F57" s="1130" t="s">
        <v>2671</v>
      </c>
      <c r="G57" s="1130"/>
    </row>
    <row r="58" spans="1:7">
      <c r="A58" s="1134">
        <f t="shared" si="0"/>
        <v>52</v>
      </c>
      <c r="B58" s="1129" t="s">
        <v>402</v>
      </c>
      <c r="C58" s="1129" t="s">
        <v>53</v>
      </c>
      <c r="D58" s="1129" t="s">
        <v>1009</v>
      </c>
      <c r="E58" s="1130" t="s">
        <v>2671</v>
      </c>
      <c r="F58" s="1130"/>
      <c r="G58" s="1130"/>
    </row>
    <row r="59" spans="1:7">
      <c r="A59" s="1134">
        <f t="shared" si="0"/>
        <v>53</v>
      </c>
      <c r="B59" s="1129" t="s">
        <v>2922</v>
      </c>
      <c r="C59" s="1129" t="s">
        <v>1269</v>
      </c>
      <c r="D59" s="1129" t="s">
        <v>1009</v>
      </c>
      <c r="E59" s="1130" t="s">
        <v>2671</v>
      </c>
      <c r="F59" s="1130" t="s">
        <v>2671</v>
      </c>
      <c r="G59" s="1130"/>
    </row>
    <row r="60" spans="1:7">
      <c r="A60" s="1134">
        <f t="shared" si="0"/>
        <v>54</v>
      </c>
      <c r="B60" s="1129" t="s">
        <v>2924</v>
      </c>
      <c r="C60" s="1129" t="s">
        <v>1977</v>
      </c>
      <c r="D60" s="1129" t="s">
        <v>1009</v>
      </c>
      <c r="E60" s="1130" t="s">
        <v>2671</v>
      </c>
      <c r="F60" s="1130" t="s">
        <v>2671</v>
      </c>
      <c r="G60" s="1130"/>
    </row>
    <row r="61" spans="1:7">
      <c r="A61" s="1134">
        <f t="shared" si="0"/>
        <v>55</v>
      </c>
      <c r="B61" s="1129" t="s">
        <v>2926</v>
      </c>
      <c r="C61" s="1129" t="s">
        <v>1953</v>
      </c>
      <c r="D61" s="1129"/>
      <c r="E61" s="1130"/>
      <c r="F61" s="1130"/>
      <c r="G61" s="1130"/>
    </row>
    <row r="62" spans="1:7">
      <c r="A62" s="1134">
        <f t="shared" si="0"/>
        <v>56</v>
      </c>
      <c r="B62" s="1129" t="s">
        <v>2201</v>
      </c>
      <c r="C62" s="1129" t="s">
        <v>76</v>
      </c>
      <c r="D62" s="1129" t="s">
        <v>1009</v>
      </c>
      <c r="E62" s="1130" t="s">
        <v>2671</v>
      </c>
      <c r="F62" s="1130" t="s">
        <v>2671</v>
      </c>
      <c r="G62" s="1130"/>
    </row>
    <row r="63" spans="1:7">
      <c r="A63" s="1134">
        <f t="shared" si="0"/>
        <v>57</v>
      </c>
      <c r="B63" s="1129" t="s">
        <v>2202</v>
      </c>
      <c r="C63" s="1129" t="s">
        <v>62</v>
      </c>
      <c r="D63" s="1129" t="s">
        <v>1009</v>
      </c>
      <c r="E63" s="1130" t="s">
        <v>2671</v>
      </c>
      <c r="F63" s="1130" t="s">
        <v>2671</v>
      </c>
      <c r="G63" s="1130"/>
    </row>
    <row r="64" spans="1:7">
      <c r="A64" s="1134">
        <f t="shared" si="0"/>
        <v>58</v>
      </c>
      <c r="B64" s="1129" t="s">
        <v>2203</v>
      </c>
      <c r="C64" s="1129" t="s">
        <v>62</v>
      </c>
      <c r="D64" s="1129" t="s">
        <v>1009</v>
      </c>
      <c r="E64" s="1130" t="s">
        <v>2671</v>
      </c>
      <c r="F64" s="1130" t="s">
        <v>2671</v>
      </c>
      <c r="G64" s="1130"/>
    </row>
    <row r="65" spans="1:7">
      <c r="A65" s="1135">
        <f t="shared" si="0"/>
        <v>59</v>
      </c>
      <c r="B65" s="1129" t="s">
        <v>2927</v>
      </c>
      <c r="C65" s="1129" t="s">
        <v>90</v>
      </c>
      <c r="D65" s="1129" t="s">
        <v>1009</v>
      </c>
      <c r="E65" s="1130" t="s">
        <v>2671</v>
      </c>
      <c r="F65" s="1130" t="s">
        <v>2671</v>
      </c>
      <c r="G65" s="1130"/>
    </row>
    <row r="66" spans="1:7">
      <c r="A66" s="1134">
        <f t="shared" si="0"/>
        <v>60</v>
      </c>
      <c r="B66" s="1129" t="s">
        <v>2206</v>
      </c>
      <c r="C66" s="1129" t="s">
        <v>62</v>
      </c>
      <c r="D66" s="1129" t="s">
        <v>1009</v>
      </c>
      <c r="E66" s="1130" t="s">
        <v>2671</v>
      </c>
      <c r="F66" s="1130" t="s">
        <v>2671</v>
      </c>
      <c r="G66" s="1130"/>
    </row>
    <row r="67" spans="1:7">
      <c r="A67" s="1134">
        <f t="shared" si="0"/>
        <v>61</v>
      </c>
      <c r="B67" s="1129" t="s">
        <v>2207</v>
      </c>
      <c r="C67" s="1129" t="s">
        <v>1269</v>
      </c>
      <c r="D67" s="1129" t="s">
        <v>1009</v>
      </c>
      <c r="E67" s="1130" t="s">
        <v>2671</v>
      </c>
      <c r="F67" s="1130" t="s">
        <v>2671</v>
      </c>
      <c r="G67" s="1130"/>
    </row>
    <row r="68" spans="1:7">
      <c r="A68" s="1134">
        <f t="shared" si="0"/>
        <v>62</v>
      </c>
      <c r="B68" s="1129" t="s">
        <v>2208</v>
      </c>
      <c r="C68" s="1129" t="s">
        <v>76</v>
      </c>
      <c r="D68" s="1129"/>
      <c r="E68" s="1130"/>
      <c r="F68" s="1130"/>
      <c r="G68" s="1130"/>
    </row>
    <row r="69" spans="1:7">
      <c r="A69" s="1134">
        <f t="shared" si="0"/>
        <v>63</v>
      </c>
      <c r="B69" s="1129" t="s">
        <v>2928</v>
      </c>
      <c r="C69" s="1129" t="s">
        <v>1977</v>
      </c>
      <c r="D69" s="1129"/>
      <c r="E69" s="1130"/>
      <c r="F69" s="1130"/>
      <c r="G69" s="1130"/>
    </row>
    <row r="70" spans="1:7">
      <c r="A70" s="1134">
        <f t="shared" si="0"/>
        <v>64</v>
      </c>
      <c r="B70" s="1129" t="s">
        <v>2930</v>
      </c>
      <c r="C70" s="1132" t="s">
        <v>2212</v>
      </c>
      <c r="D70" s="1132" t="s">
        <v>1009</v>
      </c>
      <c r="E70" s="1130" t="s">
        <v>2671</v>
      </c>
      <c r="F70" s="1130" t="s">
        <v>2671</v>
      </c>
      <c r="G70" s="1130"/>
    </row>
    <row r="71" spans="1:7">
      <c r="A71" s="1134">
        <f t="shared" si="0"/>
        <v>65</v>
      </c>
      <c r="B71" s="1129" t="s">
        <v>2933</v>
      </c>
      <c r="C71" s="1129" t="s">
        <v>1319</v>
      </c>
      <c r="D71" s="1129" t="s">
        <v>1009</v>
      </c>
      <c r="E71" s="1130" t="s">
        <v>2671</v>
      </c>
      <c r="F71" s="1130" t="s">
        <v>2671</v>
      </c>
      <c r="G71" s="1130"/>
    </row>
    <row r="72" spans="1:7">
      <c r="A72" s="1134">
        <f t="shared" ref="A72:A135" si="1">A71+1</f>
        <v>66</v>
      </c>
      <c r="B72" s="1129" t="s">
        <v>2216</v>
      </c>
      <c r="C72" s="1129" t="s">
        <v>90</v>
      </c>
      <c r="D72" s="1129" t="s">
        <v>1009</v>
      </c>
      <c r="E72" s="1130" t="s">
        <v>3318</v>
      </c>
      <c r="F72" s="1130"/>
      <c r="G72" s="1130" t="s">
        <v>3321</v>
      </c>
    </row>
    <row r="73" spans="1:7">
      <c r="A73" s="1134">
        <f t="shared" si="1"/>
        <v>67</v>
      </c>
      <c r="B73" s="1129" t="s">
        <v>2935</v>
      </c>
      <c r="C73" s="1129" t="s">
        <v>2212</v>
      </c>
      <c r="D73" s="1129"/>
      <c r="E73" s="1130"/>
      <c r="F73" s="1130"/>
      <c r="G73" s="1130"/>
    </row>
    <row r="74" spans="1:7">
      <c r="A74" s="1134">
        <f t="shared" si="1"/>
        <v>68</v>
      </c>
      <c r="B74" s="1129" t="s">
        <v>2938</v>
      </c>
      <c r="C74" s="1129" t="s">
        <v>1995</v>
      </c>
      <c r="D74" s="1129"/>
      <c r="E74" s="1130"/>
      <c r="F74" s="1130"/>
      <c r="G74" s="1130"/>
    </row>
    <row r="75" spans="1:7">
      <c r="A75" s="1134">
        <f t="shared" si="1"/>
        <v>69</v>
      </c>
      <c r="B75" s="1129" t="s">
        <v>2221</v>
      </c>
      <c r="C75" s="1129" t="s">
        <v>76</v>
      </c>
      <c r="D75" s="1129" t="s">
        <v>1009</v>
      </c>
      <c r="E75" s="1130" t="s">
        <v>2671</v>
      </c>
      <c r="F75" s="1130" t="s">
        <v>2671</v>
      </c>
      <c r="G75" s="1130"/>
    </row>
    <row r="76" spans="1:7">
      <c r="A76" s="1134">
        <f t="shared" si="1"/>
        <v>70</v>
      </c>
      <c r="B76" s="1129" t="s">
        <v>2222</v>
      </c>
      <c r="C76" s="1129" t="s">
        <v>62</v>
      </c>
      <c r="D76" s="1129" t="s">
        <v>1009</v>
      </c>
      <c r="E76" s="1130" t="s">
        <v>2671</v>
      </c>
      <c r="F76" s="1130" t="s">
        <v>2671</v>
      </c>
      <c r="G76" s="1130"/>
    </row>
    <row r="77" spans="1:7">
      <c r="A77" s="1134">
        <f t="shared" si="1"/>
        <v>71</v>
      </c>
      <c r="B77" s="1129" t="s">
        <v>2939</v>
      </c>
      <c r="C77" s="1129" t="s">
        <v>1988</v>
      </c>
      <c r="D77" s="1129"/>
      <c r="E77" s="1130"/>
      <c r="F77" s="1130"/>
      <c r="G77" s="1130"/>
    </row>
    <row r="78" spans="1:7">
      <c r="A78" s="1134">
        <f t="shared" si="1"/>
        <v>72</v>
      </c>
      <c r="B78" s="1129" t="s">
        <v>2941</v>
      </c>
      <c r="C78" s="1129" t="s">
        <v>2197</v>
      </c>
      <c r="D78" s="1129"/>
      <c r="E78" s="1130"/>
      <c r="F78" s="1130"/>
      <c r="G78" s="1130"/>
    </row>
    <row r="79" spans="1:7">
      <c r="A79" s="1135">
        <f t="shared" si="1"/>
        <v>73</v>
      </c>
      <c r="B79" s="1129" t="s">
        <v>2942</v>
      </c>
      <c r="C79" s="1129" t="s">
        <v>1269</v>
      </c>
      <c r="D79" s="1129" t="s">
        <v>1009</v>
      </c>
      <c r="E79" s="1130" t="s">
        <v>2671</v>
      </c>
      <c r="F79" s="1130" t="s">
        <v>2671</v>
      </c>
      <c r="G79" s="1130"/>
    </row>
    <row r="80" spans="1:7">
      <c r="A80" s="1135">
        <f t="shared" si="1"/>
        <v>74</v>
      </c>
      <c r="B80" s="1133" t="s">
        <v>3140</v>
      </c>
      <c r="C80" s="1129" t="s">
        <v>249</v>
      </c>
      <c r="D80" s="1129" t="s">
        <v>1009</v>
      </c>
      <c r="E80" s="1130" t="s">
        <v>2671</v>
      </c>
      <c r="F80" s="1130" t="s">
        <v>2671</v>
      </c>
      <c r="G80" s="1130"/>
    </row>
    <row r="81" spans="1:7">
      <c r="A81" s="1134">
        <f t="shared" si="1"/>
        <v>75</v>
      </c>
      <c r="B81" s="1129" t="s">
        <v>2944</v>
      </c>
      <c r="C81" s="1129" t="s">
        <v>1277</v>
      </c>
      <c r="D81" s="1129"/>
      <c r="E81" s="1130"/>
      <c r="F81" s="1130"/>
      <c r="G81" s="1130"/>
    </row>
    <row r="82" spans="1:7">
      <c r="A82" s="1135">
        <f t="shared" si="1"/>
        <v>76</v>
      </c>
      <c r="B82" s="1133" t="s">
        <v>3236</v>
      </c>
      <c r="C82" s="1129" t="s">
        <v>62</v>
      </c>
      <c r="D82" s="1129" t="s">
        <v>1009</v>
      </c>
      <c r="E82" s="1130" t="s">
        <v>3318</v>
      </c>
      <c r="F82" s="1130" t="s">
        <v>3318</v>
      </c>
      <c r="G82" s="1130"/>
    </row>
    <row r="83" spans="1:7">
      <c r="A83" s="1134">
        <f t="shared" si="1"/>
        <v>77</v>
      </c>
      <c r="B83" s="1129" t="s">
        <v>2946</v>
      </c>
      <c r="C83" s="1129" t="s">
        <v>1977</v>
      </c>
      <c r="D83" s="1129" t="s">
        <v>1009</v>
      </c>
      <c r="E83" s="1130"/>
      <c r="F83" s="1130"/>
      <c r="G83" s="1130"/>
    </row>
    <row r="84" spans="1:7">
      <c r="A84" s="1134">
        <f t="shared" si="1"/>
        <v>78</v>
      </c>
      <c r="B84" s="1129" t="s">
        <v>2272</v>
      </c>
      <c r="C84" s="1129" t="s">
        <v>62</v>
      </c>
      <c r="D84" s="1129"/>
      <c r="E84" s="1130"/>
      <c r="F84" s="1130"/>
      <c r="G84" s="1130"/>
    </row>
    <row r="85" spans="1:7">
      <c r="A85" s="1134">
        <f t="shared" si="1"/>
        <v>79</v>
      </c>
      <c r="B85" s="1129" t="s">
        <v>2273</v>
      </c>
      <c r="C85" s="1129" t="s">
        <v>62</v>
      </c>
      <c r="D85" s="1129" t="s">
        <v>1009</v>
      </c>
      <c r="E85" s="1130" t="s">
        <v>2671</v>
      </c>
      <c r="F85" s="1130" t="s">
        <v>2671</v>
      </c>
      <c r="G85" s="1130"/>
    </row>
    <row r="86" spans="1:7">
      <c r="A86" s="1134">
        <f t="shared" si="1"/>
        <v>80</v>
      </c>
      <c r="B86" s="1129" t="s">
        <v>2948</v>
      </c>
      <c r="C86" s="1129" t="s">
        <v>2197</v>
      </c>
      <c r="D86" s="1129"/>
      <c r="E86" s="1130"/>
      <c r="F86" s="1130"/>
      <c r="G86" s="1130"/>
    </row>
    <row r="87" spans="1:7">
      <c r="A87" s="1134">
        <f t="shared" si="1"/>
        <v>81</v>
      </c>
      <c r="B87" s="1129" t="s">
        <v>2951</v>
      </c>
      <c r="C87" s="1129" t="s">
        <v>2197</v>
      </c>
      <c r="D87" s="1129"/>
      <c r="E87" s="1130"/>
      <c r="F87" s="1130"/>
      <c r="G87" s="1130"/>
    </row>
    <row r="88" spans="1:7">
      <c r="A88" s="1134">
        <f t="shared" si="1"/>
        <v>82</v>
      </c>
      <c r="B88" s="1133" t="s">
        <v>2851</v>
      </c>
      <c r="C88" s="1129" t="s">
        <v>62</v>
      </c>
      <c r="D88" s="1129" t="s">
        <v>1009</v>
      </c>
      <c r="E88" s="1130" t="s">
        <v>2671</v>
      </c>
      <c r="F88" s="1130" t="s">
        <v>2671</v>
      </c>
      <c r="G88" s="1130"/>
    </row>
    <row r="89" spans="1:7">
      <c r="A89" s="1134">
        <f t="shared" si="1"/>
        <v>83</v>
      </c>
      <c r="B89" s="1129" t="s">
        <v>2867</v>
      </c>
      <c r="C89" s="1129" t="s">
        <v>1319</v>
      </c>
      <c r="D89" s="1129" t="s">
        <v>1009</v>
      </c>
      <c r="E89" s="1130" t="s">
        <v>2671</v>
      </c>
      <c r="F89" s="1130" t="s">
        <v>2671</v>
      </c>
      <c r="G89" s="1130"/>
    </row>
    <row r="90" spans="1:7">
      <c r="A90" s="1135">
        <f t="shared" si="1"/>
        <v>84</v>
      </c>
      <c r="B90" s="1129" t="s">
        <v>2281</v>
      </c>
      <c r="C90" s="1129" t="s">
        <v>62</v>
      </c>
      <c r="D90" s="1129" t="s">
        <v>1009</v>
      </c>
      <c r="E90" s="1130" t="s">
        <v>2671</v>
      </c>
      <c r="F90" s="1130" t="s">
        <v>2671</v>
      </c>
      <c r="G90" s="1130"/>
    </row>
    <row r="91" spans="1:7">
      <c r="A91" s="1134">
        <f t="shared" si="1"/>
        <v>85</v>
      </c>
      <c r="B91" s="1129" t="s">
        <v>2282</v>
      </c>
      <c r="C91" s="1129" t="s">
        <v>76</v>
      </c>
      <c r="D91" s="1129" t="s">
        <v>1009</v>
      </c>
      <c r="E91" s="1130" t="s">
        <v>2671</v>
      </c>
      <c r="F91" s="1130" t="s">
        <v>2671</v>
      </c>
      <c r="G91" s="1130"/>
    </row>
    <row r="92" spans="1:7">
      <c r="A92" s="1134">
        <f t="shared" si="1"/>
        <v>86</v>
      </c>
      <c r="B92" s="1129" t="s">
        <v>2952</v>
      </c>
      <c r="C92" s="1129" t="s">
        <v>1988</v>
      </c>
      <c r="D92" s="1129" t="s">
        <v>1009</v>
      </c>
      <c r="E92" s="1130" t="s">
        <v>3318</v>
      </c>
      <c r="F92" s="1130"/>
      <c r="G92" s="1130"/>
    </row>
    <row r="93" spans="1:7">
      <c r="A93" s="1134">
        <f t="shared" si="1"/>
        <v>87</v>
      </c>
      <c r="B93" s="1129" t="s">
        <v>2954</v>
      </c>
      <c r="C93" s="1129" t="s">
        <v>1988</v>
      </c>
      <c r="D93" s="1129" t="s">
        <v>1009</v>
      </c>
      <c r="E93" s="1130" t="s">
        <v>2671</v>
      </c>
      <c r="F93" s="1130" t="s">
        <v>2671</v>
      </c>
      <c r="G93" s="1130"/>
    </row>
    <row r="94" spans="1:7">
      <c r="A94" s="1134">
        <f t="shared" si="1"/>
        <v>88</v>
      </c>
      <c r="B94" s="1133" t="s">
        <v>2871</v>
      </c>
      <c r="C94" s="1129" t="s">
        <v>62</v>
      </c>
      <c r="D94" s="1129" t="s">
        <v>1009</v>
      </c>
      <c r="E94" s="1130" t="s">
        <v>2671</v>
      </c>
      <c r="F94" s="1130" t="s">
        <v>2671</v>
      </c>
      <c r="G94" s="1130"/>
    </row>
    <row r="95" spans="1:7">
      <c r="A95" s="1134">
        <f t="shared" si="1"/>
        <v>89</v>
      </c>
      <c r="B95" s="1129" t="s">
        <v>2288</v>
      </c>
      <c r="C95" s="1129" t="s">
        <v>53</v>
      </c>
      <c r="D95" s="1129" t="s">
        <v>1009</v>
      </c>
      <c r="E95" s="1130" t="s">
        <v>2671</v>
      </c>
      <c r="F95" s="1130" t="s">
        <v>2671</v>
      </c>
      <c r="G95" s="1130"/>
    </row>
    <row r="96" spans="1:7">
      <c r="A96" s="1134">
        <f t="shared" si="1"/>
        <v>90</v>
      </c>
      <c r="B96" s="1129" t="s">
        <v>2289</v>
      </c>
      <c r="C96" s="1129" t="s">
        <v>76</v>
      </c>
      <c r="D96" s="1129" t="s">
        <v>1009</v>
      </c>
      <c r="E96" s="1130" t="s">
        <v>2671</v>
      </c>
      <c r="F96" s="1130" t="s">
        <v>2671</v>
      </c>
      <c r="G96" s="1130"/>
    </row>
    <row r="97" spans="1:7">
      <c r="A97" s="1134">
        <f t="shared" si="1"/>
        <v>91</v>
      </c>
      <c r="B97" s="1129" t="s">
        <v>2955</v>
      </c>
      <c r="C97" s="1129" t="s">
        <v>1277</v>
      </c>
      <c r="D97" s="1129" t="s">
        <v>1009</v>
      </c>
      <c r="E97" s="1130" t="s">
        <v>2671</v>
      </c>
      <c r="F97" s="1130" t="s">
        <v>2671</v>
      </c>
      <c r="G97" s="1130"/>
    </row>
    <row r="98" spans="1:7">
      <c r="A98" s="1134">
        <f t="shared" si="1"/>
        <v>92</v>
      </c>
      <c r="B98" s="1133" t="s">
        <v>2852</v>
      </c>
      <c r="C98" s="1129" t="s">
        <v>76</v>
      </c>
      <c r="D98" s="1129" t="s">
        <v>1009</v>
      </c>
      <c r="E98" s="1130" t="s">
        <v>2671</v>
      </c>
      <c r="F98" s="1130" t="s">
        <v>2671</v>
      </c>
      <c r="G98" s="1130"/>
    </row>
    <row r="99" spans="1:7">
      <c r="A99" s="1134">
        <f t="shared" si="1"/>
        <v>93</v>
      </c>
      <c r="B99" s="1129" t="s">
        <v>2859</v>
      </c>
      <c r="C99" s="1129" t="s">
        <v>76</v>
      </c>
      <c r="D99" s="1129" t="s">
        <v>1009</v>
      </c>
      <c r="E99" s="1130" t="s">
        <v>2671</v>
      </c>
      <c r="F99" s="1130" t="s">
        <v>2671</v>
      </c>
      <c r="G99" s="1130"/>
    </row>
    <row r="100" spans="1:7">
      <c r="A100" s="1134">
        <f t="shared" si="1"/>
        <v>94</v>
      </c>
      <c r="B100" s="1129" t="s">
        <v>2957</v>
      </c>
      <c r="C100" s="1129" t="s">
        <v>1269</v>
      </c>
      <c r="D100" s="1129" t="s">
        <v>1009</v>
      </c>
      <c r="E100" s="1130" t="s">
        <v>2671</v>
      </c>
      <c r="F100" s="1130" t="s">
        <v>2671</v>
      </c>
      <c r="G100" s="1130"/>
    </row>
    <row r="101" spans="1:7">
      <c r="A101" s="1134">
        <f t="shared" si="1"/>
        <v>95</v>
      </c>
      <c r="B101" s="1129" t="s">
        <v>2958</v>
      </c>
      <c r="C101" s="1129" t="s">
        <v>1361</v>
      </c>
      <c r="D101" s="1129" t="s">
        <v>1009</v>
      </c>
      <c r="E101" s="1130" t="s">
        <v>2671</v>
      </c>
      <c r="F101" s="1130" t="s">
        <v>2671</v>
      </c>
      <c r="G101" s="1130"/>
    </row>
    <row r="102" spans="1:7">
      <c r="A102" s="1134">
        <f t="shared" si="1"/>
        <v>96</v>
      </c>
      <c r="B102" s="1133" t="s">
        <v>3091</v>
      </c>
      <c r="C102" s="1129" t="s">
        <v>76</v>
      </c>
      <c r="D102" s="1129" t="s">
        <v>1009</v>
      </c>
      <c r="E102" s="1130" t="s">
        <v>2671</v>
      </c>
      <c r="F102" s="1130" t="s">
        <v>2671</v>
      </c>
      <c r="G102" s="1130"/>
    </row>
    <row r="103" spans="1:7">
      <c r="A103" s="1134">
        <f t="shared" si="1"/>
        <v>97</v>
      </c>
      <c r="B103" s="1133" t="s">
        <v>2858</v>
      </c>
      <c r="C103" s="1129" t="s">
        <v>76</v>
      </c>
      <c r="D103" s="1129" t="s">
        <v>1009</v>
      </c>
      <c r="E103" s="1130" t="s">
        <v>2671</v>
      </c>
      <c r="F103" s="1130" t="s">
        <v>2671</v>
      </c>
      <c r="G103" s="1130"/>
    </row>
    <row r="104" spans="1:7">
      <c r="A104" s="1134">
        <f t="shared" si="1"/>
        <v>98</v>
      </c>
      <c r="B104" s="1133" t="s">
        <v>2869</v>
      </c>
      <c r="C104" s="1129" t="s">
        <v>76</v>
      </c>
      <c r="D104" s="1129" t="s">
        <v>1009</v>
      </c>
      <c r="E104" s="1130" t="s">
        <v>2671</v>
      </c>
      <c r="F104" s="1130" t="s">
        <v>2671</v>
      </c>
      <c r="G104" s="1130"/>
    </row>
    <row r="105" spans="1:7">
      <c r="A105" s="1134">
        <f t="shared" si="1"/>
        <v>99</v>
      </c>
      <c r="B105" s="1133" t="s">
        <v>3094</v>
      </c>
      <c r="C105" s="1129" t="s">
        <v>76</v>
      </c>
      <c r="D105" s="1129" t="s">
        <v>1009</v>
      </c>
      <c r="E105" s="1130" t="s">
        <v>2671</v>
      </c>
      <c r="F105" s="1130" t="s">
        <v>2671</v>
      </c>
      <c r="G105" s="1130"/>
    </row>
    <row r="106" spans="1:7">
      <c r="A106" s="1134">
        <f t="shared" si="1"/>
        <v>100</v>
      </c>
      <c r="B106" s="1129" t="s">
        <v>2960</v>
      </c>
      <c r="C106" s="1129" t="s">
        <v>1277</v>
      </c>
      <c r="D106" s="1129" t="s">
        <v>1009</v>
      </c>
      <c r="E106" s="1130" t="s">
        <v>2671</v>
      </c>
      <c r="F106" s="1130" t="s">
        <v>2671</v>
      </c>
      <c r="G106" s="1130"/>
    </row>
    <row r="107" spans="1:7">
      <c r="A107" s="1134">
        <f t="shared" si="1"/>
        <v>101</v>
      </c>
      <c r="B107" s="1129" t="s">
        <v>2389</v>
      </c>
      <c r="C107" s="1129" t="s">
        <v>1995</v>
      </c>
      <c r="D107" s="1129" t="s">
        <v>1009</v>
      </c>
      <c r="E107" s="1130" t="s">
        <v>2671</v>
      </c>
      <c r="F107" s="1130" t="s">
        <v>2671</v>
      </c>
      <c r="G107" s="1130"/>
    </row>
    <row r="108" spans="1:7">
      <c r="A108" s="1134">
        <f t="shared" si="1"/>
        <v>102</v>
      </c>
      <c r="B108" s="1133" t="s">
        <v>2870</v>
      </c>
      <c r="C108" s="1129" t="s">
        <v>76</v>
      </c>
      <c r="D108" s="1129" t="s">
        <v>1009</v>
      </c>
      <c r="E108" s="1130" t="s">
        <v>2671</v>
      </c>
      <c r="F108" s="1130"/>
      <c r="G108" s="1130" t="s">
        <v>3322</v>
      </c>
    </row>
    <row r="109" spans="1:7">
      <c r="A109" s="1134">
        <f t="shared" si="1"/>
        <v>103</v>
      </c>
      <c r="B109" s="1133" t="s">
        <v>2860</v>
      </c>
      <c r="C109" s="1129" t="s">
        <v>76</v>
      </c>
      <c r="D109" s="1129" t="s">
        <v>1009</v>
      </c>
      <c r="E109" s="1130" t="s">
        <v>2671</v>
      </c>
      <c r="F109" s="1130" t="s">
        <v>2671</v>
      </c>
      <c r="G109" s="1130"/>
    </row>
    <row r="110" spans="1:7">
      <c r="A110" s="1134">
        <f t="shared" si="1"/>
        <v>104</v>
      </c>
      <c r="B110" s="1133" t="s">
        <v>3093</v>
      </c>
      <c r="C110" s="1129" t="s">
        <v>62</v>
      </c>
      <c r="D110" s="1129" t="s">
        <v>1009</v>
      </c>
      <c r="E110" s="1130" t="s">
        <v>2671</v>
      </c>
      <c r="F110" s="1130" t="s">
        <v>2671</v>
      </c>
      <c r="G110" s="1130"/>
    </row>
    <row r="111" spans="1:7">
      <c r="A111" s="1134">
        <f t="shared" si="1"/>
        <v>105</v>
      </c>
      <c r="B111" s="1129" t="s">
        <v>2963</v>
      </c>
      <c r="C111" s="1129" t="s">
        <v>90</v>
      </c>
      <c r="D111" s="1129" t="s">
        <v>1009</v>
      </c>
      <c r="E111" s="1130" t="s">
        <v>2671</v>
      </c>
      <c r="F111" s="1130" t="s">
        <v>2671</v>
      </c>
      <c r="G111" s="1130"/>
    </row>
    <row r="112" spans="1:7">
      <c r="A112" s="1134">
        <f t="shared" si="1"/>
        <v>106</v>
      </c>
      <c r="B112" s="1133" t="s">
        <v>3108</v>
      </c>
      <c r="C112" s="1129" t="s">
        <v>62</v>
      </c>
      <c r="D112" s="1129" t="s">
        <v>1009</v>
      </c>
      <c r="E112" s="1130" t="s">
        <v>2671</v>
      </c>
      <c r="F112" s="1130" t="s">
        <v>2671</v>
      </c>
      <c r="G112" s="1130"/>
    </row>
    <row r="113" spans="1:7">
      <c r="A113" s="1134">
        <f t="shared" si="1"/>
        <v>107</v>
      </c>
      <c r="B113" s="1129" t="s">
        <v>2965</v>
      </c>
      <c r="C113" s="1129" t="s">
        <v>1269</v>
      </c>
      <c r="D113" s="1129" t="s">
        <v>1009</v>
      </c>
      <c r="E113" s="1130" t="s">
        <v>2671</v>
      </c>
      <c r="F113" s="1130" t="s">
        <v>2671</v>
      </c>
      <c r="G113" s="1130"/>
    </row>
    <row r="114" spans="1:7">
      <c r="A114" s="1134">
        <f t="shared" si="1"/>
        <v>108</v>
      </c>
      <c r="B114" s="1133" t="s">
        <v>3135</v>
      </c>
      <c r="C114" s="1129" t="s">
        <v>249</v>
      </c>
      <c r="D114" s="1129" t="s">
        <v>1009</v>
      </c>
      <c r="E114" s="1130" t="s">
        <v>2671</v>
      </c>
      <c r="F114" s="1130" t="s">
        <v>2671</v>
      </c>
      <c r="G114" s="1130"/>
    </row>
    <row r="115" spans="1:7">
      <c r="A115" s="1134">
        <f t="shared" si="1"/>
        <v>109</v>
      </c>
      <c r="B115" s="1129" t="s">
        <v>2967</v>
      </c>
      <c r="C115" s="1129" t="s">
        <v>1361</v>
      </c>
      <c r="D115" s="1129" t="s">
        <v>1009</v>
      </c>
      <c r="E115" s="1130" t="s">
        <v>3318</v>
      </c>
      <c r="F115" s="1130" t="s">
        <v>3318</v>
      </c>
      <c r="G115" s="1130"/>
    </row>
    <row r="116" spans="1:7">
      <c r="A116" s="1134">
        <f t="shared" si="1"/>
        <v>110</v>
      </c>
      <c r="B116" s="1129" t="s">
        <v>2969</v>
      </c>
      <c r="C116" s="1129" t="s">
        <v>1277</v>
      </c>
      <c r="D116" s="1129"/>
      <c r="E116" s="1130"/>
      <c r="F116" s="1130"/>
      <c r="G116" s="1130"/>
    </row>
    <row r="117" spans="1:7">
      <c r="A117" s="1135">
        <f t="shared" si="1"/>
        <v>111</v>
      </c>
      <c r="B117" s="1129" t="s">
        <v>2971</v>
      </c>
      <c r="C117" s="1129" t="s">
        <v>1269</v>
      </c>
      <c r="D117" s="1129" t="s">
        <v>1009</v>
      </c>
      <c r="E117" s="1130" t="s">
        <v>2671</v>
      </c>
      <c r="F117" s="1130" t="s">
        <v>2671</v>
      </c>
      <c r="G117" s="1130"/>
    </row>
    <row r="118" spans="1:7">
      <c r="A118" s="1135">
        <f t="shared" si="1"/>
        <v>112</v>
      </c>
      <c r="B118" s="1129" t="s">
        <v>2973</v>
      </c>
      <c r="C118" s="1129" t="s">
        <v>53</v>
      </c>
      <c r="D118" s="1129" t="s">
        <v>1009</v>
      </c>
      <c r="E118" s="1130" t="s">
        <v>2671</v>
      </c>
      <c r="F118" s="1130" t="s">
        <v>2671</v>
      </c>
      <c r="G118" s="1130" t="s">
        <v>3320</v>
      </c>
    </row>
    <row r="119" spans="1:7">
      <c r="A119" s="1135">
        <f t="shared" si="1"/>
        <v>113</v>
      </c>
      <c r="B119" s="1129" t="s">
        <v>2974</v>
      </c>
      <c r="C119" s="1129" t="s">
        <v>1319</v>
      </c>
      <c r="D119" s="1129" t="s">
        <v>1009</v>
      </c>
      <c r="E119" s="1130" t="s">
        <v>2671</v>
      </c>
      <c r="F119" s="1130" t="s">
        <v>2671</v>
      </c>
      <c r="G119" s="1130"/>
    </row>
    <row r="120" spans="1:7">
      <c r="A120" s="1134">
        <f t="shared" si="1"/>
        <v>114</v>
      </c>
      <c r="B120" s="1133" t="s">
        <v>3109</v>
      </c>
      <c r="C120" s="1129" t="s">
        <v>76</v>
      </c>
      <c r="D120" s="1129" t="s">
        <v>1009</v>
      </c>
      <c r="E120" s="1130" t="s">
        <v>2671</v>
      </c>
      <c r="F120" s="1130" t="s">
        <v>2671</v>
      </c>
      <c r="G120" s="1130"/>
    </row>
    <row r="121" spans="1:7">
      <c r="A121" s="1135">
        <f t="shared" si="1"/>
        <v>115</v>
      </c>
      <c r="B121" s="1129" t="s">
        <v>2976</v>
      </c>
      <c r="C121" s="1129" t="s">
        <v>1269</v>
      </c>
      <c r="D121" s="1129" t="s">
        <v>1009</v>
      </c>
      <c r="E121" s="1130" t="s">
        <v>2671</v>
      </c>
      <c r="F121" s="1130" t="s">
        <v>2671</v>
      </c>
      <c r="G121" s="1130"/>
    </row>
    <row r="122" spans="1:7">
      <c r="A122" s="1134">
        <f t="shared" si="1"/>
        <v>116</v>
      </c>
      <c r="B122" s="1133" t="s">
        <v>3134</v>
      </c>
      <c r="C122" s="1129" t="s">
        <v>62</v>
      </c>
      <c r="D122" s="1129" t="s">
        <v>1009</v>
      </c>
      <c r="E122" s="1130" t="s">
        <v>2671</v>
      </c>
      <c r="F122" s="1130" t="s">
        <v>2671</v>
      </c>
      <c r="G122" s="1130"/>
    </row>
    <row r="123" spans="1:7">
      <c r="A123" s="1134">
        <f t="shared" si="1"/>
        <v>117</v>
      </c>
      <c r="B123" s="1129" t="s">
        <v>2978</v>
      </c>
      <c r="C123" s="1129" t="s">
        <v>1995</v>
      </c>
      <c r="D123" s="1129"/>
      <c r="E123" s="1130"/>
      <c r="F123" s="1130"/>
      <c r="G123" s="1130"/>
    </row>
    <row r="124" spans="1:7">
      <c r="A124" s="1135">
        <f t="shared" si="1"/>
        <v>118</v>
      </c>
      <c r="B124" s="1129" t="s">
        <v>2387</v>
      </c>
      <c r="C124" s="1129" t="s">
        <v>1935</v>
      </c>
      <c r="D124" s="1129" t="s">
        <v>1009</v>
      </c>
      <c r="E124" s="1130" t="s">
        <v>2671</v>
      </c>
      <c r="F124" s="1130" t="s">
        <v>2671</v>
      </c>
      <c r="G124" s="1130"/>
    </row>
    <row r="125" spans="1:7">
      <c r="A125" s="1135">
        <f t="shared" si="1"/>
        <v>119</v>
      </c>
      <c r="B125" s="1133" t="s">
        <v>3197</v>
      </c>
      <c r="C125" s="1129" t="s">
        <v>76</v>
      </c>
      <c r="D125" s="1129" t="s">
        <v>1009</v>
      </c>
      <c r="E125" s="1130" t="s">
        <v>3318</v>
      </c>
      <c r="F125" s="1130"/>
      <c r="G125" s="1130" t="s">
        <v>3316</v>
      </c>
    </row>
    <row r="126" spans="1:7">
      <c r="A126" s="1134">
        <f t="shared" si="1"/>
        <v>120</v>
      </c>
      <c r="B126" s="1129" t="s">
        <v>2388</v>
      </c>
      <c r="C126" s="1129" t="s">
        <v>1269</v>
      </c>
      <c r="D126" s="1129"/>
      <c r="E126" s="1130"/>
      <c r="F126" s="1130"/>
      <c r="G126" s="1130"/>
    </row>
    <row r="127" spans="1:7">
      <c r="A127" s="1134">
        <f t="shared" si="1"/>
        <v>121</v>
      </c>
      <c r="B127" s="1129" t="s">
        <v>2981</v>
      </c>
      <c r="C127" s="1129" t="s">
        <v>1988</v>
      </c>
      <c r="D127" s="1129" t="s">
        <v>22</v>
      </c>
      <c r="E127" s="1130"/>
      <c r="F127" s="1130"/>
      <c r="G127" s="1130"/>
    </row>
    <row r="128" spans="1:7">
      <c r="A128" s="1134">
        <f t="shared" si="1"/>
        <v>122</v>
      </c>
      <c r="B128" s="1129" t="s">
        <v>2984</v>
      </c>
      <c r="C128" s="1129" t="s">
        <v>2023</v>
      </c>
      <c r="D128" s="1129"/>
      <c r="E128" s="1130"/>
      <c r="F128" s="1130"/>
      <c r="G128" s="1130"/>
    </row>
    <row r="129" spans="1:7">
      <c r="A129" s="1134">
        <f t="shared" si="1"/>
        <v>123</v>
      </c>
      <c r="B129" s="1129" t="s">
        <v>2986</v>
      </c>
      <c r="C129" s="1129" t="s">
        <v>1319</v>
      </c>
      <c r="D129" s="1129"/>
      <c r="E129" s="1130"/>
      <c r="F129" s="1130"/>
      <c r="G129" s="1130"/>
    </row>
    <row r="130" spans="1:7">
      <c r="A130" s="1134">
        <f t="shared" si="1"/>
        <v>124</v>
      </c>
      <c r="B130" s="1129" t="s">
        <v>2988</v>
      </c>
      <c r="C130" s="1129" t="s">
        <v>1277</v>
      </c>
      <c r="D130" s="1129" t="s">
        <v>1009</v>
      </c>
      <c r="E130" s="1130" t="s">
        <v>2671</v>
      </c>
      <c r="F130" s="1130"/>
      <c r="G130" s="1130" t="s">
        <v>3317</v>
      </c>
    </row>
    <row r="131" spans="1:7">
      <c r="A131" s="1134">
        <f t="shared" si="1"/>
        <v>125</v>
      </c>
      <c r="B131" s="1129" t="s">
        <v>2990</v>
      </c>
      <c r="C131" s="1129" t="s">
        <v>2023</v>
      </c>
      <c r="D131" s="1129"/>
      <c r="E131" s="1130"/>
      <c r="F131" s="1130"/>
      <c r="G131" s="1130"/>
    </row>
    <row r="132" spans="1:7">
      <c r="A132" s="1134">
        <f t="shared" si="1"/>
        <v>126</v>
      </c>
      <c r="B132" s="1129" t="s">
        <v>2992</v>
      </c>
      <c r="C132" s="1129" t="s">
        <v>1988</v>
      </c>
      <c r="D132" s="1129"/>
      <c r="E132" s="1130"/>
      <c r="F132" s="1130"/>
      <c r="G132" s="1130"/>
    </row>
    <row r="133" spans="1:7">
      <c r="A133" s="1134">
        <f t="shared" si="1"/>
        <v>127</v>
      </c>
      <c r="B133" s="1129" t="s">
        <v>2994</v>
      </c>
      <c r="C133" s="1129" t="s">
        <v>1269</v>
      </c>
      <c r="D133" s="1129" t="s">
        <v>1009</v>
      </c>
      <c r="E133" s="1130"/>
      <c r="F133" s="1130"/>
      <c r="G133" s="1130"/>
    </row>
    <row r="134" spans="1:7">
      <c r="A134" s="1134">
        <f t="shared" si="1"/>
        <v>128</v>
      </c>
      <c r="B134" s="1129" t="s">
        <v>2995</v>
      </c>
      <c r="C134" s="1129" t="s">
        <v>1269</v>
      </c>
      <c r="D134" s="1129" t="s">
        <v>1009</v>
      </c>
      <c r="E134" s="1130" t="s">
        <v>2671</v>
      </c>
      <c r="F134" s="1130" t="s">
        <v>2671</v>
      </c>
      <c r="G134" s="1130"/>
    </row>
    <row r="135" spans="1:7">
      <c r="A135" s="1134">
        <f t="shared" si="1"/>
        <v>129</v>
      </c>
      <c r="B135" s="1129" t="s">
        <v>2447</v>
      </c>
      <c r="C135" s="1129" t="s">
        <v>53</v>
      </c>
      <c r="D135" s="1129" t="s">
        <v>1009</v>
      </c>
      <c r="E135" s="1130"/>
      <c r="F135" s="1130"/>
      <c r="G135" s="1130"/>
    </row>
    <row r="136" spans="1:7">
      <c r="A136" s="1134">
        <f t="shared" ref="A136:A199" si="2">A135+1</f>
        <v>130</v>
      </c>
      <c r="B136" s="1129" t="s">
        <v>2996</v>
      </c>
      <c r="C136" s="1129" t="s">
        <v>915</v>
      </c>
      <c r="D136" s="1129" t="s">
        <v>1009</v>
      </c>
      <c r="E136" s="1130" t="s">
        <v>2671</v>
      </c>
      <c r="F136" s="1130" t="s">
        <v>2671</v>
      </c>
      <c r="G136" s="1130"/>
    </row>
    <row r="137" spans="1:7">
      <c r="A137" s="1134">
        <f t="shared" si="2"/>
        <v>131</v>
      </c>
      <c r="B137" s="1129" t="s">
        <v>2450</v>
      </c>
      <c r="C137" s="1129" t="s">
        <v>76</v>
      </c>
      <c r="D137" s="1129" t="s">
        <v>1009</v>
      </c>
      <c r="E137" s="1130" t="s">
        <v>2671</v>
      </c>
      <c r="F137" s="1130" t="s">
        <v>2671</v>
      </c>
      <c r="G137" s="1130"/>
    </row>
    <row r="138" spans="1:7">
      <c r="A138" s="1134">
        <f t="shared" si="2"/>
        <v>132</v>
      </c>
      <c r="B138" s="1129" t="s">
        <v>2997</v>
      </c>
      <c r="C138" s="1129" t="s">
        <v>1269</v>
      </c>
      <c r="D138" s="1129" t="s">
        <v>1009</v>
      </c>
      <c r="E138" s="1130" t="s">
        <v>2671</v>
      </c>
      <c r="F138" s="1130" t="s">
        <v>2671</v>
      </c>
      <c r="G138" s="1130"/>
    </row>
    <row r="139" spans="1:7">
      <c r="A139" s="1134">
        <f t="shared" si="2"/>
        <v>133</v>
      </c>
      <c r="B139" s="1129" t="s">
        <v>2378</v>
      </c>
      <c r="C139" s="1129" t="s">
        <v>76</v>
      </c>
      <c r="D139" s="1129" t="s">
        <v>1009</v>
      </c>
      <c r="E139" s="1130" t="s">
        <v>2671</v>
      </c>
      <c r="F139" s="1130" t="s">
        <v>2671</v>
      </c>
      <c r="G139" s="1130"/>
    </row>
    <row r="140" spans="1:7">
      <c r="A140" s="1134">
        <f t="shared" si="2"/>
        <v>134</v>
      </c>
      <c r="B140" s="1129" t="s">
        <v>2453</v>
      </c>
      <c r="C140" s="1129" t="s">
        <v>62</v>
      </c>
      <c r="D140" s="1129" t="s">
        <v>1009</v>
      </c>
      <c r="E140" s="1130" t="s">
        <v>2671</v>
      </c>
      <c r="F140" s="1130" t="s">
        <v>2671</v>
      </c>
      <c r="G140" s="1130"/>
    </row>
    <row r="141" spans="1:7">
      <c r="A141" s="1134">
        <f t="shared" si="2"/>
        <v>135</v>
      </c>
      <c r="B141" s="1129" t="s">
        <v>2379</v>
      </c>
      <c r="C141" s="1129" t="s">
        <v>76</v>
      </c>
      <c r="D141" s="1129" t="s">
        <v>1009</v>
      </c>
      <c r="E141" s="1130" t="s">
        <v>2671</v>
      </c>
      <c r="F141" s="1130" t="s">
        <v>2671</v>
      </c>
      <c r="G141" s="1130"/>
    </row>
    <row r="142" spans="1:7">
      <c r="A142" s="1134">
        <f t="shared" si="2"/>
        <v>136</v>
      </c>
      <c r="B142" s="1129" t="s">
        <v>2998</v>
      </c>
      <c r="C142" s="1129" t="s">
        <v>1277</v>
      </c>
      <c r="D142" s="1129" t="s">
        <v>1009</v>
      </c>
      <c r="E142" s="1130" t="s">
        <v>2671</v>
      </c>
      <c r="F142" s="1130" t="s">
        <v>2671</v>
      </c>
      <c r="G142" s="1130"/>
    </row>
    <row r="143" spans="1:7">
      <c r="A143" s="1134">
        <f t="shared" si="2"/>
        <v>137</v>
      </c>
      <c r="B143" s="1129" t="s">
        <v>2377</v>
      </c>
      <c r="C143" s="1129" t="s">
        <v>76</v>
      </c>
      <c r="D143" s="1129" t="s">
        <v>1009</v>
      </c>
      <c r="E143" s="1130" t="s">
        <v>2671</v>
      </c>
      <c r="F143" s="1130" t="s">
        <v>2671</v>
      </c>
      <c r="G143" s="1130"/>
    </row>
    <row r="144" spans="1:7">
      <c r="A144" s="1134">
        <f t="shared" si="2"/>
        <v>138</v>
      </c>
      <c r="B144" s="1129" t="s">
        <v>2999</v>
      </c>
      <c r="C144" s="1129" t="s">
        <v>1277</v>
      </c>
      <c r="D144" s="1129"/>
      <c r="E144" s="1130"/>
      <c r="F144" s="1130"/>
      <c r="G144" s="1130"/>
    </row>
    <row r="145" spans="1:7">
      <c r="A145" s="1134">
        <f t="shared" si="2"/>
        <v>139</v>
      </c>
      <c r="B145" s="1129" t="s">
        <v>2458</v>
      </c>
      <c r="C145" s="1129" t="s">
        <v>76</v>
      </c>
      <c r="D145" s="1129"/>
      <c r="E145" s="1130"/>
      <c r="F145" s="1130"/>
      <c r="G145" s="1130"/>
    </row>
    <row r="146" spans="1:7">
      <c r="A146" s="1134">
        <f t="shared" si="2"/>
        <v>140</v>
      </c>
      <c r="B146" s="1129" t="s">
        <v>3000</v>
      </c>
      <c r="C146" s="1129" t="s">
        <v>1319</v>
      </c>
      <c r="D146" s="1129"/>
      <c r="E146" s="1130"/>
      <c r="F146" s="1130"/>
      <c r="G146" s="1130"/>
    </row>
    <row r="147" spans="1:7">
      <c r="A147" s="1134">
        <f t="shared" si="2"/>
        <v>141</v>
      </c>
      <c r="B147" s="1129" t="s">
        <v>2461</v>
      </c>
      <c r="C147" s="1129" t="s">
        <v>62</v>
      </c>
      <c r="D147" s="1129"/>
      <c r="E147" s="1130"/>
      <c r="F147" s="1130"/>
      <c r="G147" s="1130"/>
    </row>
    <row r="148" spans="1:7">
      <c r="A148" s="1134">
        <f t="shared" si="2"/>
        <v>142</v>
      </c>
      <c r="B148" s="1129" t="s">
        <v>2462</v>
      </c>
      <c r="C148" s="1129" t="s">
        <v>53</v>
      </c>
      <c r="D148" s="1129"/>
      <c r="E148" s="1130"/>
      <c r="F148" s="1130"/>
      <c r="G148" s="1130"/>
    </row>
    <row r="149" spans="1:7">
      <c r="A149" s="1134">
        <f t="shared" si="2"/>
        <v>143</v>
      </c>
      <c r="B149" s="1129" t="s">
        <v>3001</v>
      </c>
      <c r="C149" s="1129" t="s">
        <v>1361</v>
      </c>
      <c r="D149" s="1129"/>
      <c r="E149" s="1130"/>
      <c r="F149" s="1130"/>
      <c r="G149" s="1130"/>
    </row>
    <row r="150" spans="1:7">
      <c r="A150" s="1134">
        <f t="shared" si="2"/>
        <v>144</v>
      </c>
      <c r="B150" s="1129" t="s">
        <v>2464</v>
      </c>
      <c r="C150" s="1129" t="s">
        <v>76</v>
      </c>
      <c r="D150" s="1129"/>
      <c r="E150" s="1130"/>
      <c r="F150" s="1130"/>
      <c r="G150" s="1130"/>
    </row>
    <row r="151" spans="1:7">
      <c r="A151" s="1134">
        <f t="shared" si="2"/>
        <v>145</v>
      </c>
      <c r="B151" s="1129" t="s">
        <v>2465</v>
      </c>
      <c r="C151" s="1129" t="s">
        <v>76</v>
      </c>
      <c r="D151" s="1129"/>
      <c r="E151" s="1130"/>
      <c r="F151" s="1130"/>
      <c r="G151" s="1130"/>
    </row>
    <row r="152" spans="1:7">
      <c r="A152" s="1134">
        <f t="shared" si="2"/>
        <v>146</v>
      </c>
      <c r="B152" s="1129" t="s">
        <v>3002</v>
      </c>
      <c r="C152" s="1129" t="s">
        <v>1269</v>
      </c>
      <c r="D152" s="1129"/>
      <c r="E152" s="1130"/>
      <c r="F152" s="1130"/>
      <c r="G152" s="1130"/>
    </row>
    <row r="153" spans="1:7">
      <c r="A153" s="1134">
        <f t="shared" si="2"/>
        <v>147</v>
      </c>
      <c r="B153" s="1129" t="s">
        <v>2467</v>
      </c>
      <c r="C153" s="1129" t="s">
        <v>62</v>
      </c>
      <c r="D153" s="1129"/>
      <c r="E153" s="1130"/>
      <c r="F153" s="1130"/>
      <c r="G153" s="1130"/>
    </row>
    <row r="154" spans="1:7">
      <c r="A154" s="1134">
        <f t="shared" si="2"/>
        <v>148</v>
      </c>
      <c r="B154" s="1129" t="s">
        <v>3003</v>
      </c>
      <c r="C154" s="1132" t="s">
        <v>1277</v>
      </c>
      <c r="D154" s="1132"/>
      <c r="E154" s="1130"/>
      <c r="F154" s="1130"/>
      <c r="G154" s="1130"/>
    </row>
    <row r="155" spans="1:7">
      <c r="A155" s="1134">
        <f t="shared" si="2"/>
        <v>149</v>
      </c>
      <c r="B155" s="1129" t="s">
        <v>3119</v>
      </c>
      <c r="C155" s="1132" t="s">
        <v>1977</v>
      </c>
      <c r="D155" s="1132"/>
      <c r="E155" s="1130"/>
      <c r="F155" s="1130"/>
      <c r="G155" s="1130"/>
    </row>
    <row r="156" spans="1:7">
      <c r="A156" s="1134">
        <f t="shared" si="2"/>
        <v>150</v>
      </c>
      <c r="B156" s="1129" t="s">
        <v>3120</v>
      </c>
      <c r="C156" s="1129" t="s">
        <v>2197</v>
      </c>
      <c r="D156" s="1129"/>
      <c r="E156" s="1130"/>
      <c r="F156" s="1130"/>
      <c r="G156" s="1130"/>
    </row>
    <row r="157" spans="1:7">
      <c r="A157" s="1134">
        <f t="shared" si="2"/>
        <v>151</v>
      </c>
      <c r="B157" s="1129" t="s">
        <v>3121</v>
      </c>
      <c r="C157" s="1129" t="s">
        <v>3222</v>
      </c>
      <c r="D157" s="1129"/>
      <c r="E157" s="1130"/>
      <c r="F157" s="1130"/>
      <c r="G157" s="1130"/>
    </row>
    <row r="158" spans="1:7">
      <c r="A158" s="1134">
        <f t="shared" si="2"/>
        <v>152</v>
      </c>
      <c r="B158" s="1129" t="s">
        <v>3122</v>
      </c>
      <c r="C158" s="1129" t="s">
        <v>2023</v>
      </c>
      <c r="D158" s="1129" t="s">
        <v>22</v>
      </c>
      <c r="E158" s="1130"/>
      <c r="F158" s="1130"/>
      <c r="G158" s="1130"/>
    </row>
    <row r="159" spans="1:7">
      <c r="A159" s="1134">
        <f t="shared" si="2"/>
        <v>153</v>
      </c>
      <c r="B159" s="1129" t="s">
        <v>3123</v>
      </c>
      <c r="C159" s="1129" t="s">
        <v>3223</v>
      </c>
      <c r="D159" s="1129"/>
      <c r="E159" s="1130"/>
      <c r="F159" s="1130"/>
      <c r="G159" s="1130"/>
    </row>
    <row r="160" spans="1:7">
      <c r="A160" s="1134">
        <f t="shared" si="2"/>
        <v>154</v>
      </c>
      <c r="B160" s="1129" t="s">
        <v>3124</v>
      </c>
      <c r="C160" s="1132" t="s">
        <v>1977</v>
      </c>
      <c r="D160" s="1132" t="s">
        <v>1009</v>
      </c>
      <c r="E160" s="1130" t="s">
        <v>2671</v>
      </c>
      <c r="F160" s="1130" t="s">
        <v>2671</v>
      </c>
      <c r="G160" s="1130"/>
    </row>
    <row r="161" spans="1:7">
      <c r="A161" s="1134">
        <f t="shared" si="2"/>
        <v>155</v>
      </c>
      <c r="B161" s="1129" t="s">
        <v>3125</v>
      </c>
      <c r="C161" s="1129" t="s">
        <v>2197</v>
      </c>
      <c r="D161" s="1129" t="s">
        <v>1009</v>
      </c>
      <c r="E161" s="1130" t="s">
        <v>2671</v>
      </c>
      <c r="F161" s="1130" t="s">
        <v>2671</v>
      </c>
      <c r="G161" s="1130"/>
    </row>
    <row r="162" spans="1:7">
      <c r="A162" s="1134">
        <f t="shared" si="2"/>
        <v>156</v>
      </c>
      <c r="B162" s="1129" t="s">
        <v>3117</v>
      </c>
      <c r="C162" s="1129" t="s">
        <v>3151</v>
      </c>
      <c r="D162" s="1129" t="s">
        <v>1009</v>
      </c>
      <c r="E162" s="1130" t="s">
        <v>2671</v>
      </c>
      <c r="F162" s="1130" t="s">
        <v>2671</v>
      </c>
      <c r="G162" s="1130"/>
    </row>
    <row r="163" spans="1:7">
      <c r="A163" s="1134">
        <f t="shared" si="2"/>
        <v>157</v>
      </c>
      <c r="B163" s="1129" t="s">
        <v>3118</v>
      </c>
      <c r="C163" s="1129" t="s">
        <v>76</v>
      </c>
      <c r="D163" s="1129" t="s">
        <v>1009</v>
      </c>
      <c r="E163" s="1130" t="s">
        <v>2671</v>
      </c>
      <c r="F163" s="1130" t="s">
        <v>2671</v>
      </c>
      <c r="G163" s="1130"/>
    </row>
    <row r="164" spans="1:7">
      <c r="A164" s="1134">
        <f t="shared" si="2"/>
        <v>158</v>
      </c>
      <c r="B164" s="1129" t="s">
        <v>3004</v>
      </c>
      <c r="C164" s="1129" t="s">
        <v>3132</v>
      </c>
      <c r="D164" s="1129" t="s">
        <v>1009</v>
      </c>
      <c r="E164" s="1130" t="s">
        <v>2671</v>
      </c>
      <c r="F164" s="1130" t="s">
        <v>2671</v>
      </c>
      <c r="G164" s="1130"/>
    </row>
    <row r="165" spans="1:7">
      <c r="A165" s="1134">
        <f t="shared" si="2"/>
        <v>159</v>
      </c>
      <c r="B165" s="1129" t="s">
        <v>2500</v>
      </c>
      <c r="C165" s="1129" t="s">
        <v>62</v>
      </c>
      <c r="D165" s="1129" t="s">
        <v>1009</v>
      </c>
      <c r="E165" s="1130" t="s">
        <v>2671</v>
      </c>
      <c r="F165" s="1130" t="s">
        <v>2671</v>
      </c>
      <c r="G165" s="1130"/>
    </row>
    <row r="166" spans="1:7">
      <c r="A166" s="1134">
        <f t="shared" si="2"/>
        <v>160</v>
      </c>
      <c r="B166" s="1129" t="s">
        <v>2501</v>
      </c>
      <c r="C166" s="1129" t="s">
        <v>62</v>
      </c>
      <c r="D166" s="1129" t="s">
        <v>1009</v>
      </c>
      <c r="E166" s="1130" t="s">
        <v>2671</v>
      </c>
      <c r="F166" s="1130" t="s">
        <v>2671</v>
      </c>
      <c r="G166" s="1130"/>
    </row>
    <row r="167" spans="1:7">
      <c r="A167" s="1134">
        <f t="shared" si="2"/>
        <v>161</v>
      </c>
      <c r="B167" s="1129" t="s">
        <v>2502</v>
      </c>
      <c r="C167" s="1129" t="s">
        <v>62</v>
      </c>
      <c r="D167" s="1129" t="s">
        <v>1009</v>
      </c>
      <c r="E167" s="1130" t="s">
        <v>2671</v>
      </c>
      <c r="F167" s="1130" t="s">
        <v>2671</v>
      </c>
      <c r="G167" s="1130"/>
    </row>
    <row r="168" spans="1:7">
      <c r="A168" s="1134">
        <f t="shared" si="2"/>
        <v>162</v>
      </c>
      <c r="B168" s="1129" t="s">
        <v>2503</v>
      </c>
      <c r="C168" s="1129" t="s">
        <v>76</v>
      </c>
      <c r="D168" s="1129" t="s">
        <v>1009</v>
      </c>
      <c r="E168" s="1130" t="s">
        <v>2671</v>
      </c>
      <c r="F168" s="1130" t="s">
        <v>2671</v>
      </c>
      <c r="G168" s="1130"/>
    </row>
    <row r="169" spans="1:7">
      <c r="A169" s="1134">
        <f t="shared" si="2"/>
        <v>163</v>
      </c>
      <c r="B169" s="1129" t="s">
        <v>2504</v>
      </c>
      <c r="C169" s="1129" t="s">
        <v>62</v>
      </c>
      <c r="D169" s="1129" t="s">
        <v>1009</v>
      </c>
      <c r="E169" s="1130" t="s">
        <v>2671</v>
      </c>
      <c r="F169" s="1130" t="s">
        <v>2671</v>
      </c>
      <c r="G169" s="1130"/>
    </row>
    <row r="170" spans="1:7">
      <c r="A170" s="1134">
        <f t="shared" si="2"/>
        <v>164</v>
      </c>
      <c r="B170" s="1129" t="s">
        <v>2505</v>
      </c>
      <c r="C170" s="1131" t="s">
        <v>249</v>
      </c>
      <c r="D170" s="1131" t="s">
        <v>1009</v>
      </c>
      <c r="E170" s="1130" t="s">
        <v>2671</v>
      </c>
      <c r="F170" s="1130" t="s">
        <v>2671</v>
      </c>
      <c r="G170" s="1130"/>
    </row>
    <row r="171" spans="1:7">
      <c r="A171" s="1134">
        <f t="shared" si="2"/>
        <v>165</v>
      </c>
      <c r="B171" s="1129" t="s">
        <v>3005</v>
      </c>
      <c r="C171" s="1129" t="s">
        <v>1953</v>
      </c>
      <c r="D171" s="1129" t="s">
        <v>1009</v>
      </c>
      <c r="E171" s="1130"/>
      <c r="F171" s="1130"/>
      <c r="G171" s="1130"/>
    </row>
    <row r="172" spans="1:7">
      <c r="A172" s="1134">
        <f t="shared" si="2"/>
        <v>166</v>
      </c>
      <c r="B172" s="1129" t="s">
        <v>2508</v>
      </c>
      <c r="C172" s="1129" t="s">
        <v>62</v>
      </c>
      <c r="D172" s="1129" t="s">
        <v>1009</v>
      </c>
      <c r="E172" s="1130" t="s">
        <v>2671</v>
      </c>
      <c r="F172" s="1130"/>
      <c r="G172" s="1130"/>
    </row>
    <row r="173" spans="1:7">
      <c r="A173" s="1134">
        <f t="shared" si="2"/>
        <v>167</v>
      </c>
      <c r="B173" s="1129" t="s">
        <v>3006</v>
      </c>
      <c r="C173" s="1129" t="s">
        <v>1402</v>
      </c>
      <c r="D173" s="1129"/>
      <c r="E173" s="1130"/>
      <c r="F173" s="1130"/>
      <c r="G173" s="1130"/>
    </row>
    <row r="174" spans="1:7">
      <c r="A174" s="1134">
        <f t="shared" si="2"/>
        <v>168</v>
      </c>
      <c r="B174" s="1129" t="s">
        <v>3007</v>
      </c>
      <c r="C174" s="1129" t="s">
        <v>90</v>
      </c>
      <c r="D174" s="1129"/>
      <c r="E174" s="1130"/>
      <c r="F174" s="1130"/>
      <c r="G174" s="1130"/>
    </row>
    <row r="175" spans="1:7">
      <c r="A175" s="1134">
        <f t="shared" si="2"/>
        <v>169</v>
      </c>
      <c r="B175" s="1129" t="s">
        <v>3008</v>
      </c>
      <c r="C175" s="1129" t="s">
        <v>90</v>
      </c>
      <c r="D175" s="1129" t="s">
        <v>1009</v>
      </c>
      <c r="E175" s="1130" t="s">
        <v>2671</v>
      </c>
      <c r="F175" s="1130" t="s">
        <v>2671</v>
      </c>
      <c r="G175" s="1130"/>
    </row>
    <row r="176" spans="1:7">
      <c r="A176" s="1134">
        <f t="shared" si="2"/>
        <v>170</v>
      </c>
      <c r="B176" s="1129" t="s">
        <v>2515</v>
      </c>
      <c r="C176" s="1129" t="s">
        <v>53</v>
      </c>
      <c r="D176" s="1129" t="s">
        <v>1009</v>
      </c>
      <c r="E176" s="1130" t="s">
        <v>2671</v>
      </c>
      <c r="F176" s="1130"/>
      <c r="G176" s="1130" t="s">
        <v>3319</v>
      </c>
    </row>
    <row r="177" spans="1:7">
      <c r="A177" s="1134">
        <f t="shared" si="2"/>
        <v>171</v>
      </c>
      <c r="B177" s="1129" t="s">
        <v>2516</v>
      </c>
      <c r="C177" s="1129" t="s">
        <v>62</v>
      </c>
      <c r="D177" s="1129" t="s">
        <v>1009</v>
      </c>
      <c r="E177" s="1130" t="s">
        <v>2671</v>
      </c>
      <c r="F177" s="1130" t="s">
        <v>3318</v>
      </c>
      <c r="G177" s="1130"/>
    </row>
    <row r="178" spans="1:7">
      <c r="A178" s="1134">
        <f t="shared" si="2"/>
        <v>172</v>
      </c>
      <c r="B178" s="1129" t="s">
        <v>3009</v>
      </c>
      <c r="C178" s="1129" t="s">
        <v>1361</v>
      </c>
      <c r="D178" s="1129" t="s">
        <v>22</v>
      </c>
      <c r="E178" s="1130"/>
      <c r="F178" s="1130"/>
      <c r="G178" s="1130"/>
    </row>
    <row r="179" spans="1:7">
      <c r="A179" s="1134">
        <f t="shared" si="2"/>
        <v>173</v>
      </c>
      <c r="B179" s="1129" t="s">
        <v>2519</v>
      </c>
      <c r="C179" s="1129" t="s">
        <v>62</v>
      </c>
      <c r="D179" s="1129" t="s">
        <v>1009</v>
      </c>
      <c r="E179" s="1130" t="s">
        <v>2671</v>
      </c>
      <c r="F179" s="1130"/>
      <c r="G179" s="1130"/>
    </row>
    <row r="180" spans="1:7">
      <c r="A180" s="1134">
        <f t="shared" si="2"/>
        <v>174</v>
      </c>
      <c r="B180" s="1129" t="s">
        <v>2520</v>
      </c>
      <c r="C180" s="1129" t="s">
        <v>62</v>
      </c>
      <c r="D180" s="1129" t="s">
        <v>1009</v>
      </c>
      <c r="E180" s="1130" t="s">
        <v>3318</v>
      </c>
      <c r="F180" s="1130"/>
      <c r="G180" s="1130"/>
    </row>
    <row r="181" spans="1:7">
      <c r="A181" s="1134">
        <f t="shared" si="2"/>
        <v>175</v>
      </c>
      <c r="B181" s="1129" t="s">
        <v>2521</v>
      </c>
      <c r="C181" s="1129" t="s">
        <v>76</v>
      </c>
      <c r="D181" s="1129" t="s">
        <v>1009</v>
      </c>
      <c r="E181" s="1130" t="s">
        <v>3318</v>
      </c>
      <c r="F181" s="1130"/>
      <c r="G181" s="1130"/>
    </row>
    <row r="182" spans="1:7">
      <c r="A182" s="1134">
        <f t="shared" si="2"/>
        <v>176</v>
      </c>
      <c r="B182" s="1129" t="s">
        <v>2522</v>
      </c>
      <c r="C182" s="1129" t="s">
        <v>62</v>
      </c>
      <c r="D182" s="1129" t="s">
        <v>1009</v>
      </c>
      <c r="E182" s="1130"/>
      <c r="F182" s="1130"/>
      <c r="G182" s="1130"/>
    </row>
    <row r="183" spans="1:7">
      <c r="A183" s="1134">
        <f t="shared" si="2"/>
        <v>177</v>
      </c>
      <c r="B183" s="1129" t="s">
        <v>3010</v>
      </c>
      <c r="C183" s="1129" t="s">
        <v>1361</v>
      </c>
      <c r="D183" s="1129" t="s">
        <v>1009</v>
      </c>
      <c r="E183" s="1130"/>
      <c r="F183" s="1130"/>
      <c r="G183" s="1130"/>
    </row>
    <row r="184" spans="1:7">
      <c r="A184" s="1134">
        <f t="shared" si="2"/>
        <v>178</v>
      </c>
      <c r="B184" s="1129" t="s">
        <v>2525</v>
      </c>
      <c r="C184" s="1129" t="s">
        <v>76</v>
      </c>
      <c r="D184" s="1129" t="s">
        <v>1009</v>
      </c>
      <c r="E184" s="1130" t="s">
        <v>2671</v>
      </c>
      <c r="F184" s="1130"/>
      <c r="G184" s="1130"/>
    </row>
    <row r="185" spans="1:7">
      <c r="A185" s="1134">
        <f t="shared" si="2"/>
        <v>179</v>
      </c>
      <c r="B185" s="1129" t="s">
        <v>2526</v>
      </c>
      <c r="C185" s="1129" t="s">
        <v>76</v>
      </c>
      <c r="D185" s="1129" t="s">
        <v>1009</v>
      </c>
      <c r="E185" s="1130" t="s">
        <v>2671</v>
      </c>
      <c r="F185" s="1130"/>
      <c r="G185" s="1130"/>
    </row>
    <row r="186" spans="1:7">
      <c r="A186" s="1134">
        <f t="shared" si="2"/>
        <v>180</v>
      </c>
      <c r="B186" s="1129" t="s">
        <v>3011</v>
      </c>
      <c r="C186" s="1129" t="s">
        <v>1319</v>
      </c>
      <c r="D186" s="1129" t="s">
        <v>1009</v>
      </c>
      <c r="E186" s="1130" t="s">
        <v>2671</v>
      </c>
      <c r="F186" s="1130" t="s">
        <v>3318</v>
      </c>
      <c r="G186" s="1130"/>
    </row>
    <row r="187" spans="1:7">
      <c r="A187" s="1134">
        <f t="shared" si="2"/>
        <v>181</v>
      </c>
      <c r="B187" s="1129" t="s">
        <v>2531</v>
      </c>
      <c r="C187" s="1129" t="s">
        <v>76</v>
      </c>
      <c r="D187" s="1129" t="s">
        <v>1009</v>
      </c>
      <c r="E187" s="1130" t="s">
        <v>2671</v>
      </c>
      <c r="F187" s="1130" t="s">
        <v>3318</v>
      </c>
      <c r="G187" s="1130"/>
    </row>
    <row r="188" spans="1:7">
      <c r="A188" s="1134">
        <f t="shared" si="2"/>
        <v>182</v>
      </c>
      <c r="B188" s="1129" t="s">
        <v>2532</v>
      </c>
      <c r="C188" s="1129" t="s">
        <v>76</v>
      </c>
      <c r="D188" s="1129" t="s">
        <v>1009</v>
      </c>
      <c r="E188" s="1130" t="s">
        <v>2671</v>
      </c>
      <c r="F188" s="1130" t="s">
        <v>3318</v>
      </c>
      <c r="G188" s="1130"/>
    </row>
    <row r="189" spans="1:7">
      <c r="A189" s="1134">
        <f t="shared" si="2"/>
        <v>183</v>
      </c>
      <c r="B189" s="1129" t="s">
        <v>3012</v>
      </c>
      <c r="C189" s="1129" t="s">
        <v>1269</v>
      </c>
      <c r="D189" s="1129" t="s">
        <v>1009</v>
      </c>
      <c r="E189" s="1130"/>
      <c r="F189" s="1130"/>
      <c r="G189" s="1130"/>
    </row>
    <row r="190" spans="1:7">
      <c r="A190" s="1134">
        <f t="shared" si="2"/>
        <v>184</v>
      </c>
      <c r="B190" s="1129" t="s">
        <v>2534</v>
      </c>
      <c r="C190" s="1129" t="s">
        <v>62</v>
      </c>
      <c r="D190" s="1129" t="s">
        <v>1009</v>
      </c>
      <c r="E190" s="1130" t="s">
        <v>2671</v>
      </c>
      <c r="F190" s="1130" t="s">
        <v>3318</v>
      </c>
      <c r="G190" s="1130"/>
    </row>
    <row r="191" spans="1:7">
      <c r="A191" s="1134">
        <f t="shared" si="2"/>
        <v>185</v>
      </c>
      <c r="B191" s="1129" t="s">
        <v>3013</v>
      </c>
      <c r="C191" s="1129" t="s">
        <v>2197</v>
      </c>
      <c r="D191" s="1129"/>
      <c r="E191" s="1130"/>
      <c r="F191" s="1130"/>
      <c r="G191" s="1130"/>
    </row>
    <row r="192" spans="1:7">
      <c r="A192" s="1134">
        <f t="shared" si="2"/>
        <v>186</v>
      </c>
      <c r="B192" s="1129" t="s">
        <v>3180</v>
      </c>
      <c r="C192" s="1129" t="s">
        <v>1319</v>
      </c>
      <c r="D192" s="1129"/>
      <c r="E192" s="1130"/>
      <c r="F192" s="1130"/>
      <c r="G192" s="1130"/>
    </row>
    <row r="193" spans="1:7">
      <c r="A193" s="1134">
        <f t="shared" si="2"/>
        <v>187</v>
      </c>
      <c r="B193" s="1129" t="s">
        <v>3143</v>
      </c>
      <c r="C193" s="1129" t="s">
        <v>76</v>
      </c>
      <c r="D193" s="1129"/>
      <c r="E193" s="1130"/>
      <c r="F193" s="1130"/>
      <c r="G193" s="1130"/>
    </row>
    <row r="194" spans="1:7">
      <c r="A194" s="1134">
        <f t="shared" si="2"/>
        <v>188</v>
      </c>
      <c r="B194" s="1129" t="s">
        <v>3181</v>
      </c>
      <c r="C194" s="1129" t="s">
        <v>1269</v>
      </c>
      <c r="D194" s="1129"/>
      <c r="E194" s="1130"/>
      <c r="F194" s="1130"/>
      <c r="G194" s="1130"/>
    </row>
    <row r="195" spans="1:7">
      <c r="A195" s="1134">
        <f t="shared" si="2"/>
        <v>189</v>
      </c>
      <c r="B195" s="1129" t="s">
        <v>3144</v>
      </c>
      <c r="C195" s="1129" t="s">
        <v>76</v>
      </c>
      <c r="D195" s="1129"/>
      <c r="E195" s="1130"/>
      <c r="F195" s="1130"/>
      <c r="G195" s="1130"/>
    </row>
    <row r="196" spans="1:7">
      <c r="A196" s="1134">
        <f t="shared" si="2"/>
        <v>190</v>
      </c>
      <c r="B196" s="1129" t="s">
        <v>3145</v>
      </c>
      <c r="C196" s="1129" t="s">
        <v>76</v>
      </c>
      <c r="D196" s="1129"/>
      <c r="E196" s="1130"/>
      <c r="F196" s="1130"/>
      <c r="G196" s="1130"/>
    </row>
    <row r="197" spans="1:7">
      <c r="A197" s="1134">
        <f t="shared" si="2"/>
        <v>191</v>
      </c>
      <c r="B197" s="1129" t="s">
        <v>3182</v>
      </c>
      <c r="C197" s="1129" t="s">
        <v>3146</v>
      </c>
      <c r="D197" s="1129"/>
      <c r="E197" s="1130"/>
      <c r="F197" s="1130"/>
      <c r="G197" s="1130"/>
    </row>
    <row r="198" spans="1:7">
      <c r="A198" s="1134">
        <f t="shared" si="2"/>
        <v>192</v>
      </c>
      <c r="B198" s="1129" t="s">
        <v>3147</v>
      </c>
      <c r="C198" s="1129" t="s">
        <v>62</v>
      </c>
      <c r="D198" s="1129"/>
      <c r="E198" s="1130"/>
      <c r="F198" s="1130"/>
      <c r="G198" s="1130"/>
    </row>
    <row r="199" spans="1:7">
      <c r="A199" s="1134">
        <f t="shared" si="2"/>
        <v>193</v>
      </c>
      <c r="B199" s="1129" t="s">
        <v>3148</v>
      </c>
      <c r="C199" s="1129" t="s">
        <v>76</v>
      </c>
      <c r="D199" s="1129"/>
      <c r="E199" s="1130"/>
      <c r="F199" s="1130"/>
      <c r="G199" s="1130"/>
    </row>
    <row r="200" spans="1:7">
      <c r="A200" s="1134">
        <f t="shared" ref="A200:A247" si="3">A199+1</f>
        <v>194</v>
      </c>
      <c r="B200" s="1129" t="s">
        <v>3149</v>
      </c>
      <c r="C200" s="1129" t="s">
        <v>53</v>
      </c>
      <c r="D200" s="1129"/>
      <c r="E200" s="1130"/>
      <c r="F200" s="1130"/>
      <c r="G200" s="1130"/>
    </row>
    <row r="201" spans="1:7">
      <c r="A201" s="1134">
        <f t="shared" si="3"/>
        <v>195</v>
      </c>
      <c r="B201" s="1129" t="s">
        <v>3150</v>
      </c>
      <c r="C201" s="1129" t="s">
        <v>76</v>
      </c>
      <c r="D201" s="1129"/>
      <c r="E201" s="1130"/>
      <c r="F201" s="1130"/>
      <c r="G201" s="1130"/>
    </row>
    <row r="202" spans="1:7">
      <c r="A202" s="1134">
        <f t="shared" si="3"/>
        <v>196</v>
      </c>
      <c r="B202" s="1129" t="s">
        <v>3014</v>
      </c>
      <c r="C202" s="1129" t="s">
        <v>1269</v>
      </c>
      <c r="D202" s="1129" t="s">
        <v>22</v>
      </c>
      <c r="E202" s="1130"/>
      <c r="F202" s="1130"/>
      <c r="G202" s="1130"/>
    </row>
    <row r="203" spans="1:7">
      <c r="A203" s="1134">
        <f t="shared" si="3"/>
        <v>197</v>
      </c>
      <c r="B203" s="1129" t="s">
        <v>2558</v>
      </c>
      <c r="C203" s="1129" t="s">
        <v>76</v>
      </c>
      <c r="D203" s="1129" t="s">
        <v>1009</v>
      </c>
      <c r="E203" s="1130"/>
      <c r="F203" s="1130"/>
      <c r="G203" s="1130"/>
    </row>
    <row r="204" spans="1:7">
      <c r="A204" s="1134">
        <f t="shared" si="3"/>
        <v>198</v>
      </c>
      <c r="B204" s="1129" t="s">
        <v>2559</v>
      </c>
      <c r="C204" s="1129" t="s">
        <v>62</v>
      </c>
      <c r="D204" s="1129" t="s">
        <v>1009</v>
      </c>
      <c r="E204" s="1130" t="s">
        <v>2671</v>
      </c>
      <c r="F204" s="1130"/>
      <c r="G204" s="1130"/>
    </row>
    <row r="205" spans="1:7">
      <c r="A205" s="1134">
        <f t="shared" si="3"/>
        <v>199</v>
      </c>
      <c r="B205" s="1129" t="s">
        <v>3015</v>
      </c>
      <c r="C205" s="1129" t="s">
        <v>1277</v>
      </c>
      <c r="D205" s="1129" t="s">
        <v>1009</v>
      </c>
      <c r="E205" s="1130" t="s">
        <v>2671</v>
      </c>
      <c r="F205" s="1130"/>
      <c r="G205" s="1130"/>
    </row>
    <row r="206" spans="1:7">
      <c r="A206" s="1134">
        <f t="shared" si="3"/>
        <v>200</v>
      </c>
      <c r="B206" s="1129" t="s">
        <v>3016</v>
      </c>
      <c r="C206" s="1129" t="s">
        <v>1269</v>
      </c>
      <c r="D206" s="1129" t="s">
        <v>1009</v>
      </c>
      <c r="E206" s="1130" t="s">
        <v>2671</v>
      </c>
      <c r="F206" s="1130"/>
      <c r="G206" s="1130"/>
    </row>
    <row r="207" spans="1:7">
      <c r="A207" s="1134">
        <f t="shared" si="3"/>
        <v>201</v>
      </c>
      <c r="B207" s="1129" t="s">
        <v>3017</v>
      </c>
      <c r="C207" s="1129" t="s">
        <v>1988</v>
      </c>
      <c r="D207" s="1129" t="s">
        <v>22</v>
      </c>
      <c r="E207" s="1130"/>
      <c r="F207" s="1130"/>
      <c r="G207" s="1130"/>
    </row>
    <row r="208" spans="1:7">
      <c r="A208" s="1134">
        <f t="shared" si="3"/>
        <v>202</v>
      </c>
      <c r="B208" s="1129" t="s">
        <v>3018</v>
      </c>
      <c r="C208" s="1129" t="s">
        <v>1988</v>
      </c>
      <c r="D208" s="1129" t="s">
        <v>22</v>
      </c>
      <c r="E208" s="1130"/>
      <c r="F208" s="1130"/>
      <c r="G208" s="1130"/>
    </row>
    <row r="209" spans="1:7">
      <c r="A209" s="1134">
        <f t="shared" si="3"/>
        <v>203</v>
      </c>
      <c r="B209" s="1129" t="s">
        <v>3019</v>
      </c>
      <c r="C209" s="1129" t="s">
        <v>1277</v>
      </c>
      <c r="D209" s="1129" t="s">
        <v>1009</v>
      </c>
      <c r="E209" s="1130"/>
      <c r="F209" s="1130"/>
      <c r="G209" s="1130"/>
    </row>
    <row r="210" spans="1:7">
      <c r="A210" s="1134">
        <f t="shared" si="3"/>
        <v>204</v>
      </c>
      <c r="B210" s="1129" t="s">
        <v>2569</v>
      </c>
      <c r="C210" s="1129" t="s">
        <v>76</v>
      </c>
      <c r="D210" s="1129" t="s">
        <v>1009</v>
      </c>
      <c r="E210" s="1130" t="s">
        <v>2671</v>
      </c>
      <c r="F210" s="1130" t="s">
        <v>2671</v>
      </c>
      <c r="G210" s="1130"/>
    </row>
    <row r="211" spans="1:7">
      <c r="A211" s="1134">
        <f t="shared" si="3"/>
        <v>205</v>
      </c>
      <c r="B211" s="1129" t="s">
        <v>2570</v>
      </c>
      <c r="C211" s="1129" t="s">
        <v>76</v>
      </c>
      <c r="D211" s="1129" t="s">
        <v>1009</v>
      </c>
      <c r="E211" s="1130" t="s">
        <v>2671</v>
      </c>
      <c r="F211" s="1130"/>
      <c r="G211" s="1130"/>
    </row>
    <row r="212" spans="1:7">
      <c r="A212" s="1134">
        <f t="shared" si="3"/>
        <v>206</v>
      </c>
      <c r="B212" s="1129" t="s">
        <v>3020</v>
      </c>
      <c r="C212" s="1129" t="s">
        <v>1277</v>
      </c>
      <c r="D212" s="1129"/>
      <c r="E212" s="1130"/>
      <c r="F212" s="1130"/>
      <c r="G212" s="1130"/>
    </row>
    <row r="213" spans="1:7">
      <c r="A213" s="1134">
        <f t="shared" si="3"/>
        <v>207</v>
      </c>
      <c r="B213" s="1129" t="s">
        <v>2573</v>
      </c>
      <c r="C213" s="1129" t="s">
        <v>76</v>
      </c>
      <c r="D213" s="1129" t="s">
        <v>1009</v>
      </c>
      <c r="E213" s="1130" t="s">
        <v>2671</v>
      </c>
      <c r="F213" s="1130"/>
      <c r="G213" s="1130"/>
    </row>
    <row r="214" spans="1:7">
      <c r="A214" s="1134">
        <f t="shared" si="3"/>
        <v>208</v>
      </c>
      <c r="B214" s="1129" t="s">
        <v>2574</v>
      </c>
      <c r="C214" s="1129" t="s">
        <v>62</v>
      </c>
      <c r="D214" s="1129" t="s">
        <v>1009</v>
      </c>
      <c r="E214" s="1130"/>
      <c r="F214" s="1130"/>
      <c r="G214" s="1130"/>
    </row>
    <row r="215" spans="1:7">
      <c r="A215" s="1134">
        <f t="shared" si="3"/>
        <v>209</v>
      </c>
      <c r="B215" s="1129" t="s">
        <v>3021</v>
      </c>
      <c r="C215" s="1129" t="s">
        <v>1319</v>
      </c>
      <c r="D215" s="1129" t="s">
        <v>22</v>
      </c>
      <c r="E215" s="1130"/>
      <c r="F215" s="1130"/>
      <c r="G215" s="1130"/>
    </row>
    <row r="216" spans="1:7">
      <c r="A216" s="1134">
        <f t="shared" si="3"/>
        <v>210</v>
      </c>
      <c r="B216" s="1129" t="s">
        <v>2577</v>
      </c>
      <c r="C216" s="1129" t="s">
        <v>62</v>
      </c>
      <c r="D216" s="1129" t="s">
        <v>1009</v>
      </c>
      <c r="E216" s="1130" t="s">
        <v>2671</v>
      </c>
      <c r="F216" s="1130" t="s">
        <v>2671</v>
      </c>
      <c r="G216" s="1130"/>
    </row>
    <row r="217" spans="1:7">
      <c r="A217" s="1134">
        <f t="shared" si="3"/>
        <v>211</v>
      </c>
      <c r="B217" s="1129" t="s">
        <v>2578</v>
      </c>
      <c r="C217" s="1129" t="s">
        <v>76</v>
      </c>
      <c r="D217" s="1129" t="s">
        <v>1009</v>
      </c>
      <c r="E217" s="1130"/>
      <c r="F217" s="1130"/>
      <c r="G217" s="1130"/>
    </row>
    <row r="218" spans="1:7">
      <c r="A218" s="1134">
        <f t="shared" si="3"/>
        <v>212</v>
      </c>
      <c r="B218" s="1129" t="s">
        <v>2579</v>
      </c>
      <c r="C218" s="1129" t="s">
        <v>76</v>
      </c>
      <c r="D218" s="1129"/>
      <c r="E218" s="1130"/>
      <c r="F218" s="1130"/>
      <c r="G218" s="1130"/>
    </row>
    <row r="219" spans="1:7">
      <c r="A219" s="1134">
        <f t="shared" si="3"/>
        <v>213</v>
      </c>
      <c r="B219" s="1129" t="s">
        <v>2580</v>
      </c>
      <c r="C219" s="1129" t="s">
        <v>76</v>
      </c>
      <c r="D219" s="1129" t="s">
        <v>1009</v>
      </c>
      <c r="E219" s="1130" t="s">
        <v>2671</v>
      </c>
      <c r="F219" s="1130" t="s">
        <v>2671</v>
      </c>
      <c r="G219" s="1130"/>
    </row>
    <row r="220" spans="1:7">
      <c r="A220" s="1134">
        <f t="shared" si="3"/>
        <v>214</v>
      </c>
      <c r="B220" s="1129" t="s">
        <v>3022</v>
      </c>
      <c r="C220" s="1129" t="s">
        <v>1277</v>
      </c>
      <c r="D220" s="1129" t="s">
        <v>1009</v>
      </c>
      <c r="E220" s="1130" t="s">
        <v>2671</v>
      </c>
      <c r="F220" s="1130" t="s">
        <v>2671</v>
      </c>
      <c r="G220" s="1130"/>
    </row>
    <row r="221" spans="1:7">
      <c r="A221" s="1134">
        <f t="shared" si="3"/>
        <v>215</v>
      </c>
      <c r="B221" s="1129" t="s">
        <v>3152</v>
      </c>
      <c r="C221" s="1129" t="s">
        <v>76</v>
      </c>
      <c r="D221" s="1129" t="s">
        <v>1009</v>
      </c>
      <c r="E221" s="1130" t="s">
        <v>2671</v>
      </c>
      <c r="F221" s="1130" t="s">
        <v>2671</v>
      </c>
      <c r="G221" s="1130"/>
    </row>
    <row r="222" spans="1:7">
      <c r="A222" s="1134">
        <f t="shared" si="3"/>
        <v>216</v>
      </c>
      <c r="B222" s="1129" t="s">
        <v>3153</v>
      </c>
      <c r="C222" s="1129" t="s">
        <v>62</v>
      </c>
      <c r="D222" s="1129" t="s">
        <v>1009</v>
      </c>
      <c r="E222" s="1130" t="s">
        <v>2671</v>
      </c>
      <c r="F222" s="1130" t="s">
        <v>2671</v>
      </c>
      <c r="G222" s="1130"/>
    </row>
    <row r="223" spans="1:7">
      <c r="A223" s="1134">
        <f t="shared" si="3"/>
        <v>217</v>
      </c>
      <c r="B223" s="1129" t="s">
        <v>3183</v>
      </c>
      <c r="C223" s="1129" t="s">
        <v>1277</v>
      </c>
      <c r="D223" s="1129" t="s">
        <v>1009</v>
      </c>
      <c r="E223" s="1130" t="s">
        <v>2671</v>
      </c>
      <c r="F223" s="1130" t="s">
        <v>2671</v>
      </c>
      <c r="G223" s="1130"/>
    </row>
    <row r="224" spans="1:7">
      <c r="A224" s="1134">
        <f t="shared" si="3"/>
        <v>218</v>
      </c>
      <c r="B224" s="1129" t="s">
        <v>3184</v>
      </c>
      <c r="C224" s="1129" t="s">
        <v>1319</v>
      </c>
      <c r="D224" s="1129" t="s">
        <v>1009</v>
      </c>
      <c r="E224" s="1130" t="s">
        <v>2671</v>
      </c>
      <c r="F224" s="1130" t="s">
        <v>2671</v>
      </c>
      <c r="G224" s="1130"/>
    </row>
    <row r="225" spans="1:7">
      <c r="A225" s="1134">
        <f t="shared" si="3"/>
        <v>219</v>
      </c>
      <c r="B225" s="1129" t="s">
        <v>3154</v>
      </c>
      <c r="C225" s="1129" t="s">
        <v>76</v>
      </c>
      <c r="D225" s="1129" t="s">
        <v>1009</v>
      </c>
      <c r="E225" s="1130" t="s">
        <v>2671</v>
      </c>
      <c r="F225" s="1130" t="s">
        <v>2671</v>
      </c>
      <c r="G225" s="1130"/>
    </row>
    <row r="226" spans="1:7">
      <c r="A226" s="1134">
        <f t="shared" si="3"/>
        <v>220</v>
      </c>
      <c r="B226" s="1129" t="s">
        <v>3155</v>
      </c>
      <c r="C226" s="1129" t="s">
        <v>76</v>
      </c>
      <c r="D226" s="1129" t="s">
        <v>1009</v>
      </c>
      <c r="E226" s="1130"/>
      <c r="F226" s="1130"/>
      <c r="G226" s="1130"/>
    </row>
    <row r="227" spans="1:7">
      <c r="A227" s="1134">
        <f t="shared" si="3"/>
        <v>221</v>
      </c>
      <c r="B227" s="1129" t="s">
        <v>3156</v>
      </c>
      <c r="C227" s="1129" t="s">
        <v>76</v>
      </c>
      <c r="D227" s="1129" t="s">
        <v>1009</v>
      </c>
      <c r="E227" s="1130" t="s">
        <v>2671</v>
      </c>
      <c r="F227" s="1130" t="s">
        <v>2671</v>
      </c>
      <c r="G227" s="1130"/>
    </row>
    <row r="228" spans="1:7">
      <c r="A228" s="1134">
        <f t="shared" si="3"/>
        <v>222</v>
      </c>
      <c r="B228" s="1129" t="s">
        <v>3185</v>
      </c>
      <c r="C228" s="1129" t="s">
        <v>1277</v>
      </c>
      <c r="D228" s="1129" t="s">
        <v>1009</v>
      </c>
      <c r="E228" s="1130"/>
      <c r="F228" s="1130"/>
      <c r="G228" s="1130"/>
    </row>
    <row r="229" spans="1:7">
      <c r="A229" s="1134">
        <f t="shared" si="3"/>
        <v>223</v>
      </c>
      <c r="B229" s="1129" t="s">
        <v>3157</v>
      </c>
      <c r="C229" s="1129" t="s">
        <v>53</v>
      </c>
      <c r="D229" s="1129" t="s">
        <v>1009</v>
      </c>
      <c r="E229" s="1130"/>
      <c r="F229" s="1130"/>
      <c r="G229" s="1130"/>
    </row>
    <row r="230" spans="1:7">
      <c r="A230" s="1134">
        <f t="shared" si="3"/>
        <v>224</v>
      </c>
      <c r="B230" s="1129" t="s">
        <v>3158</v>
      </c>
      <c r="C230" s="1129" t="s">
        <v>76</v>
      </c>
      <c r="D230" s="1129" t="s">
        <v>1009</v>
      </c>
      <c r="E230" s="1130" t="s">
        <v>2671</v>
      </c>
      <c r="F230" s="1130" t="s">
        <v>2671</v>
      </c>
      <c r="G230" s="1130"/>
    </row>
    <row r="231" spans="1:7">
      <c r="A231" s="1134">
        <f t="shared" si="3"/>
        <v>225</v>
      </c>
      <c r="B231" s="1129" t="s">
        <v>3159</v>
      </c>
      <c r="C231" s="1129" t="s">
        <v>76</v>
      </c>
      <c r="D231" s="1129" t="s">
        <v>1009</v>
      </c>
      <c r="E231" s="1130" t="s">
        <v>2671</v>
      </c>
      <c r="F231" s="1130" t="s">
        <v>2671</v>
      </c>
      <c r="G231" s="1130"/>
    </row>
    <row r="232" spans="1:7">
      <c r="A232" s="1134">
        <f t="shared" si="3"/>
        <v>226</v>
      </c>
      <c r="B232" s="1129" t="s">
        <v>3160</v>
      </c>
      <c r="C232" s="1129" t="s">
        <v>76</v>
      </c>
      <c r="D232" s="1129" t="s">
        <v>1009</v>
      </c>
      <c r="E232" s="1130" t="s">
        <v>2671</v>
      </c>
      <c r="F232" s="1130" t="s">
        <v>2671</v>
      </c>
      <c r="G232" s="1130"/>
    </row>
    <row r="233" spans="1:7">
      <c r="A233" s="1134">
        <f t="shared" si="3"/>
        <v>227</v>
      </c>
      <c r="B233" s="1129" t="s">
        <v>3186</v>
      </c>
      <c r="C233" s="1129" t="s">
        <v>1269</v>
      </c>
      <c r="D233" s="1129" t="s">
        <v>1009</v>
      </c>
      <c r="E233" s="1130" t="s">
        <v>2671</v>
      </c>
      <c r="F233" s="1130" t="s">
        <v>2671</v>
      </c>
      <c r="G233" s="1130"/>
    </row>
    <row r="234" spans="1:7">
      <c r="A234" s="1134">
        <f t="shared" si="3"/>
        <v>228</v>
      </c>
      <c r="B234" s="1129" t="s">
        <v>3161</v>
      </c>
      <c r="C234" s="1129" t="s">
        <v>76</v>
      </c>
      <c r="D234" s="1129" t="s">
        <v>1009</v>
      </c>
      <c r="E234" s="1130" t="s">
        <v>2671</v>
      </c>
      <c r="F234" s="1130" t="s">
        <v>2671</v>
      </c>
      <c r="G234" s="1130"/>
    </row>
    <row r="235" spans="1:7">
      <c r="A235" s="1134">
        <f t="shared" si="3"/>
        <v>229</v>
      </c>
      <c r="B235" s="1129" t="s">
        <v>3187</v>
      </c>
      <c r="C235" s="1129" t="s">
        <v>2212</v>
      </c>
      <c r="D235" s="1129"/>
      <c r="E235" s="1130"/>
      <c r="F235" s="1130"/>
      <c r="G235" s="1130"/>
    </row>
    <row r="236" spans="1:7">
      <c r="A236" s="1134">
        <f t="shared" si="3"/>
        <v>230</v>
      </c>
      <c r="B236" s="1129" t="s">
        <v>3188</v>
      </c>
      <c r="C236" s="1129" t="s">
        <v>2197</v>
      </c>
      <c r="D236" s="1129" t="s">
        <v>1009</v>
      </c>
      <c r="E236" s="1130"/>
      <c r="F236" s="1130"/>
      <c r="G236" s="1130"/>
    </row>
    <row r="237" spans="1:7">
      <c r="A237" s="1134">
        <f t="shared" si="3"/>
        <v>231</v>
      </c>
      <c r="B237" s="1129" t="s">
        <v>3261</v>
      </c>
      <c r="C237" s="1129" t="s">
        <v>76</v>
      </c>
      <c r="D237" s="1129"/>
      <c r="E237" s="1130"/>
      <c r="F237" s="1130"/>
      <c r="G237" s="1130"/>
    </row>
    <row r="238" spans="1:7">
      <c r="A238" s="1134">
        <f t="shared" si="3"/>
        <v>232</v>
      </c>
      <c r="B238" s="1129" t="s">
        <v>3262</v>
      </c>
      <c r="C238" s="1129" t="s">
        <v>76</v>
      </c>
      <c r="D238" s="1129"/>
      <c r="E238" s="1130"/>
      <c r="F238" s="1130"/>
      <c r="G238" s="1130"/>
    </row>
    <row r="239" spans="1:7">
      <c r="A239" s="1134">
        <f t="shared" si="3"/>
        <v>233</v>
      </c>
      <c r="B239" s="1129" t="s">
        <v>3263</v>
      </c>
      <c r="C239" s="1129" t="s">
        <v>76</v>
      </c>
      <c r="D239" s="1129"/>
      <c r="E239" s="1130"/>
      <c r="F239" s="1130"/>
      <c r="G239" s="1130"/>
    </row>
    <row r="240" spans="1:7">
      <c r="A240" s="1134">
        <f t="shared" si="3"/>
        <v>234</v>
      </c>
      <c r="B240" s="1129" t="s">
        <v>3189</v>
      </c>
      <c r="C240" s="1129" t="s">
        <v>2212</v>
      </c>
      <c r="D240" s="1129"/>
      <c r="E240" s="1130"/>
      <c r="F240" s="1130"/>
      <c r="G240" s="1130"/>
    </row>
    <row r="241" spans="1:7">
      <c r="A241" s="1134">
        <f t="shared" si="3"/>
        <v>235</v>
      </c>
      <c r="B241" s="1129" t="s">
        <v>3190</v>
      </c>
      <c r="C241" s="1129" t="s">
        <v>2197</v>
      </c>
      <c r="D241" s="1129"/>
      <c r="E241" s="1130"/>
      <c r="F241" s="1130"/>
      <c r="G241" s="1130"/>
    </row>
    <row r="242" spans="1:7">
      <c r="A242" s="1134">
        <f t="shared" si="3"/>
        <v>236</v>
      </c>
      <c r="B242" s="1129" t="s">
        <v>3191</v>
      </c>
      <c r="C242" s="1129" t="s">
        <v>1977</v>
      </c>
      <c r="D242" s="1129"/>
      <c r="E242" s="1130"/>
      <c r="F242" s="1130"/>
      <c r="G242" s="1130"/>
    </row>
    <row r="243" spans="1:7">
      <c r="A243" s="1134">
        <f t="shared" si="3"/>
        <v>237</v>
      </c>
      <c r="B243" s="1129" t="s">
        <v>3192</v>
      </c>
      <c r="C243" s="1129" t="s">
        <v>90</v>
      </c>
      <c r="D243" s="1129"/>
      <c r="E243" s="1130"/>
      <c r="F243" s="1130"/>
      <c r="G243" s="1130"/>
    </row>
    <row r="244" spans="1:7">
      <c r="A244" s="1134">
        <f t="shared" si="3"/>
        <v>238</v>
      </c>
      <c r="B244" s="1129" t="s">
        <v>3193</v>
      </c>
      <c r="C244" s="1129" t="s">
        <v>1934</v>
      </c>
      <c r="D244" s="1129"/>
      <c r="E244" s="1130"/>
      <c r="F244" s="1130"/>
      <c r="G244" s="1130"/>
    </row>
    <row r="245" spans="1:7">
      <c r="A245" s="1134">
        <f t="shared" si="3"/>
        <v>239</v>
      </c>
      <c r="B245" s="1129" t="s">
        <v>3194</v>
      </c>
      <c r="C245" s="1129" t="s">
        <v>1934</v>
      </c>
      <c r="D245" s="1129"/>
      <c r="E245" s="1130"/>
      <c r="F245" s="1130"/>
      <c r="G245" s="1130"/>
    </row>
    <row r="246" spans="1:7">
      <c r="A246" s="1134">
        <f t="shared" si="3"/>
        <v>240</v>
      </c>
      <c r="B246" s="1129" t="s">
        <v>3195</v>
      </c>
      <c r="C246" s="1129" t="s">
        <v>2212</v>
      </c>
      <c r="D246" s="1129"/>
      <c r="E246" s="1130"/>
      <c r="F246" s="1130"/>
      <c r="G246" s="1130"/>
    </row>
    <row r="247" spans="1:7">
      <c r="A247" s="1134">
        <f t="shared" si="3"/>
        <v>241</v>
      </c>
      <c r="B247" s="1129" t="s">
        <v>3196</v>
      </c>
      <c r="C247" s="1129" t="s">
        <v>2212</v>
      </c>
      <c r="D247" s="1129"/>
      <c r="E247" s="1130"/>
      <c r="F247" s="1130"/>
      <c r="G247" s="1130"/>
    </row>
  </sheetData>
  <autoFilter ref="A6:G247" xr:uid="{72B9F5E0-830F-4B9C-8C57-D683B31BACA9}"/>
  <conditionalFormatting sqref="A1:XFD1048576">
    <cfRule type="cellIs" dxfId="3607" priority="6" operator="equal">
      <formula>"WIP"</formula>
    </cfRule>
    <cfRule type="cellIs" dxfId="3606" priority="7" operator="equal">
      <formula>"C"</formula>
    </cfRule>
  </conditionalFormatting>
  <conditionalFormatting sqref="B1:B1048576">
    <cfRule type="duplicateValues" dxfId="3605" priority="3"/>
  </conditionalFormatting>
  <conditionalFormatting sqref="E1:F1048576">
    <cfRule type="cellIs" dxfId="3604" priority="1" operator="equal">
      <formula>"File Ready"</formula>
    </cfRule>
    <cfRule type="cellIs" dxfId="360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3381</v>
      </c>
      <c r="D2" s="12" t="s">
        <v>3387</v>
      </c>
      <c r="E2" s="12" t="s">
        <v>3388</v>
      </c>
    </row>
    <row r="3" spans="3:5">
      <c r="C3" s="12" t="s">
        <v>3382</v>
      </c>
      <c r="D3" s="12" t="s">
        <v>3389</v>
      </c>
      <c r="E3" s="12" t="s">
        <v>3390</v>
      </c>
    </row>
    <row r="4" spans="3:5">
      <c r="D4" s="1166">
        <f>137/173</f>
        <v>0.79190751445086704</v>
      </c>
      <c r="E4" s="1166">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theme="2"/>
  </sheetPr>
  <dimension ref="A1:W75"/>
  <sheetViews>
    <sheetView showZeros="0" topLeftCell="A26" zoomScale="90" zoomScaleNormal="90" workbookViewId="0">
      <selection activeCell="D39" sqref="D39"/>
    </sheetView>
  </sheetViews>
  <sheetFormatPr defaultColWidth="9.140625" defaultRowHeight="15"/>
  <cols>
    <col min="1" max="1" width="20.85546875" style="643" customWidth="1"/>
    <col min="2" max="2" width="11.140625" style="643" bestFit="1" customWidth="1"/>
    <col min="3" max="3" width="15.5703125" style="643" bestFit="1" customWidth="1"/>
    <col min="4" max="4" width="10.7109375" style="643" bestFit="1" customWidth="1"/>
    <col min="5" max="5" width="11.140625" style="643" customWidth="1"/>
    <col min="6" max="6" width="9.85546875" style="643" bestFit="1" customWidth="1"/>
    <col min="7" max="7" width="10.7109375" style="643" bestFit="1" customWidth="1"/>
    <col min="8" max="8" width="15.140625" style="643" customWidth="1"/>
    <col min="9" max="9" width="15.28515625" style="643" bestFit="1" customWidth="1"/>
    <col min="10" max="10" width="15.42578125" style="643" bestFit="1" customWidth="1"/>
    <col min="11" max="11" width="8" style="643" bestFit="1" customWidth="1"/>
    <col min="12" max="12" width="9.42578125" style="643" customWidth="1"/>
    <col min="13" max="13" width="9.5703125" style="643" customWidth="1"/>
    <col min="14" max="14" width="13.140625" style="643" customWidth="1"/>
    <col min="15" max="15" width="21.140625" style="643" customWidth="1"/>
    <col min="16" max="16" width="12.28515625" style="643" customWidth="1"/>
    <col min="17" max="17" width="12.5703125" style="643" customWidth="1"/>
    <col min="18" max="19" width="9.140625" style="1231"/>
    <col min="20" max="16384" width="9.140625" style="643"/>
  </cols>
  <sheetData>
    <row r="1" spans="1:19" ht="21.95" customHeight="1">
      <c r="A1" s="1475"/>
      <c r="B1" s="659" t="s">
        <v>569</v>
      </c>
      <c r="C1" s="660" t="s">
        <v>1766</v>
      </c>
      <c r="D1" s="659" t="s">
        <v>570</v>
      </c>
      <c r="E1" s="667">
        <v>46246</v>
      </c>
      <c r="F1" s="659"/>
      <c r="G1" s="660"/>
      <c r="H1" s="659" t="s">
        <v>1755</v>
      </c>
      <c r="I1" s="1287" t="s">
        <v>1767</v>
      </c>
      <c r="J1" s="1454"/>
      <c r="K1" s="1455"/>
      <c r="L1" s="1455"/>
      <c r="M1" s="1455"/>
      <c r="N1" s="1455"/>
      <c r="O1" s="1456"/>
    </row>
    <row r="2" spans="1:19" ht="53.1" customHeight="1">
      <c r="A2" s="1475"/>
      <c r="B2" s="659" t="s">
        <v>574</v>
      </c>
      <c r="C2" s="1476" t="s">
        <v>1768</v>
      </c>
      <c r="D2" s="1477"/>
      <c r="E2" s="1478"/>
      <c r="F2" s="659" t="s">
        <v>571</v>
      </c>
      <c r="G2" s="667">
        <v>45793</v>
      </c>
      <c r="H2" s="659" t="s">
        <v>1771</v>
      </c>
      <c r="I2" s="660" t="s">
        <v>573</v>
      </c>
      <c r="J2" s="1454"/>
      <c r="K2" s="1455"/>
      <c r="L2" s="1455"/>
      <c r="M2" s="1455"/>
      <c r="N2" s="1455"/>
      <c r="O2" s="1456"/>
    </row>
    <row r="3" spans="1:19" ht="29.25" customHeight="1">
      <c r="A3" s="1475"/>
      <c r="B3" s="659" t="s">
        <v>578</v>
      </c>
      <c r="C3" s="1479" t="s">
        <v>1769</v>
      </c>
      <c r="D3" s="1479"/>
      <c r="E3" s="1479"/>
      <c r="F3" s="659" t="s">
        <v>575</v>
      </c>
      <c r="G3" s="667">
        <v>46461</v>
      </c>
      <c r="H3" s="659" t="s">
        <v>576</v>
      </c>
      <c r="I3" s="660" t="s">
        <v>3487</v>
      </c>
      <c r="J3" s="1454"/>
      <c r="K3" s="1455"/>
      <c r="L3" s="1455"/>
      <c r="M3" s="1455"/>
      <c r="N3" s="1455"/>
      <c r="O3" s="1456"/>
    </row>
    <row r="4" spans="1:19" ht="30" customHeight="1">
      <c r="A4" s="1475"/>
      <c r="B4" s="659" t="s">
        <v>1756</v>
      </c>
      <c r="C4" s="1479"/>
      <c r="D4" s="1479"/>
      <c r="E4" s="1479"/>
      <c r="F4" s="659" t="s">
        <v>1832</v>
      </c>
      <c r="G4" s="660" t="s">
        <v>3430</v>
      </c>
      <c r="H4" s="659" t="s">
        <v>587</v>
      </c>
      <c r="I4" s="660" t="s">
        <v>1770</v>
      </c>
      <c r="J4" s="1457"/>
      <c r="K4" s="1458"/>
      <c r="L4" s="1458"/>
      <c r="M4" s="1458"/>
      <c r="N4" s="1458"/>
      <c r="O4" s="1459"/>
      <c r="P4" s="1316"/>
    </row>
    <row r="5" spans="1:19">
      <c r="A5" s="1468" t="s">
        <v>3335</v>
      </c>
      <c r="B5" s="1468"/>
      <c r="C5" s="1468"/>
      <c r="D5" s="1468"/>
      <c r="E5" s="1468"/>
      <c r="F5" s="1468"/>
      <c r="G5" s="1468"/>
      <c r="H5" s="1468"/>
      <c r="I5" s="1468"/>
      <c r="J5" s="1468"/>
      <c r="K5" s="1468"/>
      <c r="L5" s="1468"/>
      <c r="M5" s="1468"/>
      <c r="N5" s="1468"/>
      <c r="O5" s="1468"/>
    </row>
    <row r="6" spans="1:19" ht="76.5">
      <c r="A6" s="659" t="s">
        <v>10</v>
      </c>
      <c r="B6" s="659" t="s">
        <v>2826</v>
      </c>
      <c r="C6" s="659" t="s">
        <v>1757</v>
      </c>
      <c r="D6" s="659" t="s">
        <v>1758</v>
      </c>
      <c r="E6" s="1364" t="s">
        <v>3641</v>
      </c>
      <c r="F6" s="659" t="s">
        <v>1759</v>
      </c>
      <c r="G6" s="659" t="s">
        <v>596</v>
      </c>
      <c r="H6" s="659" t="s">
        <v>1760</v>
      </c>
      <c r="I6" s="659" t="s">
        <v>1781</v>
      </c>
      <c r="J6" s="659" t="s">
        <v>1779</v>
      </c>
      <c r="K6" s="659" t="s">
        <v>1777</v>
      </c>
      <c r="L6" s="659" t="s">
        <v>1775</v>
      </c>
      <c r="M6" s="659" t="s">
        <v>598</v>
      </c>
      <c r="N6" s="1463" t="s">
        <v>19</v>
      </c>
      <c r="O6" s="1463"/>
      <c r="P6" s="659" t="s">
        <v>3705</v>
      </c>
      <c r="Q6" s="659" t="s">
        <v>3706</v>
      </c>
    </row>
    <row r="7" spans="1:19">
      <c r="A7" s="660" t="s">
        <v>27</v>
      </c>
      <c r="B7" s="661">
        <f t="shared" ref="B7:H13" si="0">B17+B26+B35+B44</f>
        <v>175.71900000000002</v>
      </c>
      <c r="C7" s="661">
        <f t="shared" si="0"/>
        <v>179.10300000000001</v>
      </c>
      <c r="D7" s="661">
        <f t="shared" si="0"/>
        <v>175.71900000000002</v>
      </c>
      <c r="E7" s="661">
        <f t="shared" si="0"/>
        <v>0</v>
      </c>
      <c r="F7" s="661">
        <f t="shared" si="0"/>
        <v>0</v>
      </c>
      <c r="G7" s="928">
        <f>G17+G26+G35+G44</f>
        <v>0</v>
      </c>
      <c r="H7" s="1002">
        <f t="shared" si="0"/>
        <v>0</v>
      </c>
      <c r="I7" s="661">
        <f t="shared" ref="I7" si="1">+C7+E7</f>
        <v>179.10300000000001</v>
      </c>
      <c r="J7" s="661">
        <f t="shared" ref="J7:J9" si="2">+H7+D7</f>
        <v>175.71900000000002</v>
      </c>
      <c r="K7" s="661"/>
      <c r="L7" s="660">
        <f t="shared" ref="L7:M11" si="3">L17+L26+L35+L44</f>
        <v>0</v>
      </c>
      <c r="M7" s="660"/>
      <c r="N7" s="1461"/>
      <c r="O7" s="1461"/>
      <c r="P7" s="660"/>
      <c r="Q7" s="660"/>
    </row>
    <row r="8" spans="1:19" s="1229" customFormat="1" ht="15.75">
      <c r="A8" s="1226" t="s">
        <v>28</v>
      </c>
      <c r="B8" s="1227">
        <f t="shared" si="0"/>
        <v>523</v>
      </c>
      <c r="C8" s="1227">
        <f t="shared" si="0"/>
        <v>510</v>
      </c>
      <c r="D8" s="1227">
        <f t="shared" si="0"/>
        <v>431</v>
      </c>
      <c r="E8" s="1227">
        <f t="shared" si="0"/>
        <v>24</v>
      </c>
      <c r="F8" s="1227">
        <f t="shared" si="0"/>
        <v>26</v>
      </c>
      <c r="G8" s="1228">
        <f t="shared" si="0"/>
        <v>0</v>
      </c>
      <c r="H8" s="1228">
        <f t="shared" si="0"/>
        <v>3</v>
      </c>
      <c r="I8" s="1227">
        <f>+C8+E8</f>
        <v>534</v>
      </c>
      <c r="J8" s="1227">
        <f>+H8+D8</f>
        <v>434</v>
      </c>
      <c r="K8" s="1227">
        <f t="shared" ref="K8:K13" si="4">+B8-J8</f>
        <v>89</v>
      </c>
      <c r="L8" s="1226">
        <f t="shared" si="3"/>
        <v>28</v>
      </c>
      <c r="M8" s="1226">
        <f t="shared" si="3"/>
        <v>22</v>
      </c>
      <c r="N8" s="1469"/>
      <c r="O8" s="1469"/>
      <c r="P8" s="1227">
        <f t="shared" ref="P8:Q13" si="5">P18+P27+P36+P45</f>
        <v>100</v>
      </c>
      <c r="Q8" s="1227">
        <f t="shared" si="5"/>
        <v>23</v>
      </c>
      <c r="R8" s="1233"/>
      <c r="S8" s="1355"/>
    </row>
    <row r="9" spans="1:19">
      <c r="A9" s="660" t="s">
        <v>609</v>
      </c>
      <c r="B9" s="661">
        <f t="shared" si="0"/>
        <v>523</v>
      </c>
      <c r="C9" s="661">
        <f t="shared" si="0"/>
        <v>506</v>
      </c>
      <c r="D9" s="661">
        <f t="shared" si="0"/>
        <v>379</v>
      </c>
      <c r="E9" s="661">
        <f t="shared" si="0"/>
        <v>24</v>
      </c>
      <c r="F9" s="661">
        <f t="shared" si="0"/>
        <v>26</v>
      </c>
      <c r="G9" s="1002">
        <f t="shared" si="0"/>
        <v>0</v>
      </c>
      <c r="H9" s="1002">
        <f t="shared" si="0"/>
        <v>0</v>
      </c>
      <c r="I9" s="661">
        <f t="shared" ref="I9:I13" si="6">+C9+E9</f>
        <v>530</v>
      </c>
      <c r="J9" s="661">
        <f t="shared" si="2"/>
        <v>379</v>
      </c>
      <c r="K9" s="661">
        <f t="shared" si="4"/>
        <v>144</v>
      </c>
      <c r="L9" s="660">
        <f t="shared" si="3"/>
        <v>0</v>
      </c>
      <c r="M9" s="660">
        <f t="shared" si="3"/>
        <v>0</v>
      </c>
      <c r="N9" s="1461"/>
      <c r="O9" s="1461"/>
      <c r="P9" s="661">
        <f t="shared" si="5"/>
        <v>151</v>
      </c>
      <c r="Q9" s="661">
        <f t="shared" si="5"/>
        <v>26</v>
      </c>
    </row>
    <row r="10" spans="1:19" s="1229" customFormat="1" ht="15.75">
      <c r="A10" s="1226" t="s">
        <v>610</v>
      </c>
      <c r="B10" s="1227">
        <f>B20+B29+B38+B47</f>
        <v>523</v>
      </c>
      <c r="C10" s="1227">
        <f t="shared" si="0"/>
        <v>410</v>
      </c>
      <c r="D10" s="1227">
        <f t="shared" si="0"/>
        <v>273</v>
      </c>
      <c r="E10" s="1227">
        <f t="shared" si="0"/>
        <v>56</v>
      </c>
      <c r="F10" s="1227">
        <f t="shared" si="0"/>
        <v>32</v>
      </c>
      <c r="G10" s="1228">
        <f t="shared" si="0"/>
        <v>1</v>
      </c>
      <c r="H10" s="1228">
        <f t="shared" si="0"/>
        <v>9</v>
      </c>
      <c r="I10" s="1227">
        <f t="shared" si="6"/>
        <v>466</v>
      </c>
      <c r="J10" s="1227">
        <f>+H10+D10</f>
        <v>282</v>
      </c>
      <c r="K10" s="1227">
        <f t="shared" si="4"/>
        <v>241</v>
      </c>
      <c r="L10" s="1226">
        <f>L20+L29+L38+L47</f>
        <v>13</v>
      </c>
      <c r="M10" s="1226">
        <f>M20+M29+M38+M47</f>
        <v>13</v>
      </c>
      <c r="N10" s="1469"/>
      <c r="O10" s="1469"/>
      <c r="P10" s="1227">
        <f t="shared" si="5"/>
        <v>184</v>
      </c>
      <c r="Q10" s="1227">
        <f t="shared" si="5"/>
        <v>23</v>
      </c>
      <c r="R10" s="1233"/>
      <c r="S10" s="1355"/>
    </row>
    <row r="11" spans="1:19">
      <c r="A11" s="660" t="s">
        <v>612</v>
      </c>
      <c r="B11" s="661">
        <f t="shared" si="0"/>
        <v>523</v>
      </c>
      <c r="C11" s="661">
        <f t="shared" si="0"/>
        <v>410</v>
      </c>
      <c r="D11" s="661">
        <f t="shared" si="0"/>
        <v>0</v>
      </c>
      <c r="E11" s="661">
        <f t="shared" si="0"/>
        <v>56</v>
      </c>
      <c r="F11" s="661">
        <f t="shared" si="0"/>
        <v>32</v>
      </c>
      <c r="G11" s="928">
        <f t="shared" si="0"/>
        <v>0</v>
      </c>
      <c r="H11" s="1002">
        <f t="shared" si="0"/>
        <v>0</v>
      </c>
      <c r="I11" s="661">
        <f t="shared" si="6"/>
        <v>466</v>
      </c>
      <c r="J11" s="661">
        <f t="shared" ref="J11:J13" si="7">+H11+D11</f>
        <v>0</v>
      </c>
      <c r="K11" s="661">
        <f t="shared" si="4"/>
        <v>523</v>
      </c>
      <c r="L11" s="660">
        <f t="shared" si="3"/>
        <v>0</v>
      </c>
      <c r="M11" s="660">
        <f t="shared" si="3"/>
        <v>0</v>
      </c>
      <c r="N11" s="1461"/>
      <c r="O11" s="1461"/>
      <c r="P11" s="661">
        <f t="shared" si="5"/>
        <v>466</v>
      </c>
      <c r="Q11" s="661">
        <f t="shared" si="5"/>
        <v>32</v>
      </c>
    </row>
    <row r="12" spans="1:19" s="1229" customFormat="1" ht="19.5" customHeight="1">
      <c r="A12" s="1226" t="s">
        <v>3626</v>
      </c>
      <c r="B12" s="1227">
        <f t="shared" si="0"/>
        <v>175.71900000000002</v>
      </c>
      <c r="C12" s="1227">
        <f t="shared" si="0"/>
        <v>48</v>
      </c>
      <c r="D12" s="1290">
        <f t="shared" si="0"/>
        <v>5.6549999999999994</v>
      </c>
      <c r="E12" s="1227">
        <f t="shared" si="0"/>
        <v>22</v>
      </c>
      <c r="F12" s="1227">
        <f t="shared" si="0"/>
        <v>11</v>
      </c>
      <c r="G12" s="1300">
        <f t="shared" si="0"/>
        <v>0</v>
      </c>
      <c r="H12" s="1300">
        <f t="shared" si="0"/>
        <v>0</v>
      </c>
      <c r="I12" s="1227">
        <f t="shared" si="6"/>
        <v>70</v>
      </c>
      <c r="J12" s="1290">
        <f t="shared" si="7"/>
        <v>5.6549999999999994</v>
      </c>
      <c r="K12" s="1227">
        <f t="shared" si="4"/>
        <v>170.06400000000002</v>
      </c>
      <c r="L12" s="1290">
        <f>L22</f>
        <v>4.79</v>
      </c>
      <c r="M12" s="1473">
        <v>6</v>
      </c>
      <c r="N12" s="1466" t="s">
        <v>3761</v>
      </c>
      <c r="O12" s="1466"/>
      <c r="P12" s="1227">
        <f t="shared" si="5"/>
        <v>64.344999999999999</v>
      </c>
      <c r="Q12" s="1227">
        <f t="shared" si="5"/>
        <v>11</v>
      </c>
      <c r="R12" s="1233"/>
      <c r="S12" s="1355"/>
    </row>
    <row r="13" spans="1:19" s="1229" customFormat="1" ht="17.45" customHeight="1">
      <c r="A13" s="1226" t="s">
        <v>3625</v>
      </c>
      <c r="B13" s="1227">
        <f>B23+B32+B41+B50</f>
        <v>175.71900000000002</v>
      </c>
      <c r="C13" s="1227">
        <f>C23+C32+C41+C50</f>
        <v>48</v>
      </c>
      <c r="D13" s="1290">
        <f t="shared" si="0"/>
        <v>4.7149999999999999</v>
      </c>
      <c r="E13" s="1227">
        <f>E23+E32+E41+E50</f>
        <v>22</v>
      </c>
      <c r="F13" s="1227">
        <f>F23+F32+F41+F50</f>
        <v>11</v>
      </c>
      <c r="G13" s="1300">
        <f t="shared" si="0"/>
        <v>0</v>
      </c>
      <c r="H13" s="1228">
        <f>H23+H32+H41+H50</f>
        <v>0.95199999999999996</v>
      </c>
      <c r="I13" s="1227">
        <f t="shared" si="6"/>
        <v>70</v>
      </c>
      <c r="J13" s="1290">
        <f t="shared" si="7"/>
        <v>5.6669999999999998</v>
      </c>
      <c r="K13" s="1227">
        <f t="shared" si="4"/>
        <v>170.05200000000002</v>
      </c>
      <c r="L13" s="1290">
        <f>L23</f>
        <v>0</v>
      </c>
      <c r="M13" s="1474"/>
      <c r="N13" s="1469"/>
      <c r="O13" s="1469"/>
      <c r="P13" s="1227">
        <f t="shared" si="5"/>
        <v>60.332999999999998</v>
      </c>
      <c r="Q13" s="1227">
        <f t="shared" si="5"/>
        <v>10.048</v>
      </c>
      <c r="R13" s="1233"/>
      <c r="S13" s="1234"/>
    </row>
    <row r="14" spans="1:19">
      <c r="A14" s="1468" t="s">
        <v>3336</v>
      </c>
      <c r="B14" s="1468"/>
      <c r="C14" s="1468"/>
      <c r="D14" s="1468"/>
      <c r="E14" s="1468"/>
      <c r="F14" s="1468"/>
      <c r="G14" s="1468"/>
      <c r="H14" s="1468"/>
      <c r="I14" s="1468"/>
      <c r="J14" s="1468"/>
      <c r="K14" s="1468"/>
      <c r="L14" s="1468"/>
      <c r="M14" s="1468"/>
      <c r="N14" s="1468"/>
      <c r="O14" s="1468"/>
    </row>
    <row r="15" spans="1:19">
      <c r="A15" s="1468" t="s">
        <v>2739</v>
      </c>
      <c r="B15" s="1468"/>
      <c r="C15" s="1468"/>
      <c r="D15" s="1468"/>
      <c r="E15" s="1468"/>
      <c r="F15" s="1468"/>
      <c r="G15" s="1468"/>
      <c r="H15" s="1468"/>
      <c r="I15" s="1468"/>
      <c r="J15" s="1468"/>
      <c r="K15" s="1468"/>
      <c r="L15" s="1468"/>
      <c r="M15" s="1468"/>
      <c r="N15" s="1468"/>
      <c r="O15" s="1468"/>
    </row>
    <row r="16" spans="1:19" ht="76.5">
      <c r="A16" s="659" t="s">
        <v>10</v>
      </c>
      <c r="B16" s="659" t="s">
        <v>2826</v>
      </c>
      <c r="C16" s="659" t="s">
        <v>1757</v>
      </c>
      <c r="D16" s="659" t="s">
        <v>1758</v>
      </c>
      <c r="E16" s="1364" t="s">
        <v>3641</v>
      </c>
      <c r="F16" s="659" t="s">
        <v>1759</v>
      </c>
      <c r="G16" s="659" t="s">
        <v>596</v>
      </c>
      <c r="H16" s="659" t="s">
        <v>1760</v>
      </c>
      <c r="I16" s="659" t="s">
        <v>1781</v>
      </c>
      <c r="J16" s="659" t="s">
        <v>1779</v>
      </c>
      <c r="K16" s="659" t="s">
        <v>1777</v>
      </c>
      <c r="L16" s="659" t="s">
        <v>1775</v>
      </c>
      <c r="M16" s="659" t="s">
        <v>598</v>
      </c>
      <c r="N16" s="1463" t="s">
        <v>19</v>
      </c>
      <c r="O16" s="1463"/>
      <c r="P16" s="659" t="s">
        <v>3619</v>
      </c>
      <c r="Q16" s="659" t="s">
        <v>3620</v>
      </c>
    </row>
    <row r="17" spans="1:23" ht="26.1" customHeight="1">
      <c r="A17" s="660" t="s">
        <v>27</v>
      </c>
      <c r="B17" s="661">
        <v>46.92</v>
      </c>
      <c r="C17" s="660">
        <v>49</v>
      </c>
      <c r="D17" s="661">
        <v>46.92</v>
      </c>
      <c r="E17" s="660"/>
      <c r="F17" s="660"/>
      <c r="G17" s="662"/>
      <c r="H17" s="790"/>
      <c r="I17" s="660">
        <f t="shared" ref="I17:I23" si="8">+C17+E17</f>
        <v>49</v>
      </c>
      <c r="J17" s="661">
        <f t="shared" ref="J17:J23" si="9">+H17+D17</f>
        <v>46.92</v>
      </c>
      <c r="K17" s="1024">
        <f t="shared" ref="K17:K23" si="10">+B17-J17</f>
        <v>0</v>
      </c>
      <c r="L17" s="660"/>
      <c r="M17" s="660"/>
      <c r="N17" s="1461"/>
      <c r="O17" s="1461"/>
      <c r="P17" s="660"/>
      <c r="Q17" s="660"/>
    </row>
    <row r="18" spans="1:23">
      <c r="A18" s="660" t="s">
        <v>28</v>
      </c>
      <c r="B18" s="660">
        <v>126</v>
      </c>
      <c r="C18" s="660">
        <v>141</v>
      </c>
      <c r="D18" s="661">
        <v>119</v>
      </c>
      <c r="E18" s="660"/>
      <c r="F18" s="660">
        <v>3</v>
      </c>
      <c r="G18" s="662"/>
      <c r="H18" s="662"/>
      <c r="I18" s="660">
        <f>+C18+E18</f>
        <v>141</v>
      </c>
      <c r="J18" s="660">
        <f t="shared" si="9"/>
        <v>119</v>
      </c>
      <c r="K18" s="660">
        <f t="shared" si="10"/>
        <v>7</v>
      </c>
      <c r="L18" s="660">
        <v>2</v>
      </c>
      <c r="M18" s="660">
        <v>2</v>
      </c>
      <c r="N18" s="1461"/>
      <c r="O18" s="1461"/>
      <c r="P18" s="660">
        <f t="shared" ref="P18:P23" si="11">I18-J18</f>
        <v>22</v>
      </c>
      <c r="Q18" s="660">
        <f t="shared" ref="Q18:Q23" si="12">F18-H18</f>
        <v>3</v>
      </c>
      <c r="R18" s="1235"/>
    </row>
    <row r="19" spans="1:23" s="644" customFormat="1">
      <c r="A19" s="663" t="s">
        <v>609</v>
      </c>
      <c r="B19" s="660">
        <v>126</v>
      </c>
      <c r="C19" s="660">
        <v>141</v>
      </c>
      <c r="D19" s="944">
        <v>99</v>
      </c>
      <c r="E19" s="660"/>
      <c r="F19" s="660">
        <v>3</v>
      </c>
      <c r="G19" s="664"/>
      <c r="H19" s="664"/>
      <c r="I19" s="660">
        <f t="shared" si="8"/>
        <v>141</v>
      </c>
      <c r="J19" s="660">
        <f t="shared" si="9"/>
        <v>99</v>
      </c>
      <c r="K19" s="660">
        <f t="shared" si="10"/>
        <v>27</v>
      </c>
      <c r="L19" s="663"/>
      <c r="M19" s="663"/>
      <c r="N19" s="1460"/>
      <c r="O19" s="1461"/>
      <c r="P19" s="660">
        <f t="shared" si="11"/>
        <v>42</v>
      </c>
      <c r="Q19" s="660">
        <f t="shared" si="12"/>
        <v>3</v>
      </c>
      <c r="R19" s="1236"/>
      <c r="S19" s="1237"/>
    </row>
    <row r="20" spans="1:23" s="1303" customFormat="1">
      <c r="A20" s="663" t="s">
        <v>610</v>
      </c>
      <c r="B20" s="660">
        <v>126</v>
      </c>
      <c r="C20" s="660">
        <v>118</v>
      </c>
      <c r="D20" s="944">
        <v>103</v>
      </c>
      <c r="E20" s="660">
        <v>14</v>
      </c>
      <c r="F20" s="660">
        <v>4</v>
      </c>
      <c r="G20" s="664"/>
      <c r="H20" s="664">
        <v>1</v>
      </c>
      <c r="I20" s="660">
        <f t="shared" si="8"/>
        <v>132</v>
      </c>
      <c r="J20" s="660">
        <f>+H20+D20</f>
        <v>104</v>
      </c>
      <c r="K20" s="660">
        <f t="shared" si="10"/>
        <v>22</v>
      </c>
      <c r="L20" s="663">
        <v>2</v>
      </c>
      <c r="M20" s="663">
        <v>2</v>
      </c>
      <c r="N20" s="1464" t="s">
        <v>3700</v>
      </c>
      <c r="O20" s="1465"/>
      <c r="P20" s="660">
        <f t="shared" si="11"/>
        <v>28</v>
      </c>
      <c r="Q20" s="660">
        <f t="shared" si="12"/>
        <v>3</v>
      </c>
      <c r="R20" s="1301"/>
      <c r="S20" s="1302"/>
    </row>
    <row r="21" spans="1:23">
      <c r="A21" s="665" t="s">
        <v>612</v>
      </c>
      <c r="B21" s="660">
        <v>126</v>
      </c>
      <c r="C21" s="665">
        <v>118</v>
      </c>
      <c r="D21" s="788">
        <v>0</v>
      </c>
      <c r="E21" s="660">
        <v>14</v>
      </c>
      <c r="F21" s="660">
        <v>4</v>
      </c>
      <c r="G21" s="666"/>
      <c r="H21" s="666"/>
      <c r="I21" s="660">
        <f t="shared" si="8"/>
        <v>132</v>
      </c>
      <c r="J21" s="660">
        <f t="shared" si="9"/>
        <v>0</v>
      </c>
      <c r="K21" s="660">
        <f t="shared" si="10"/>
        <v>126</v>
      </c>
      <c r="L21" s="665">
        <v>0</v>
      </c>
      <c r="M21" s="665">
        <v>0</v>
      </c>
      <c r="N21" s="1462"/>
      <c r="O21" s="1462"/>
      <c r="P21" s="660">
        <f t="shared" si="11"/>
        <v>132</v>
      </c>
      <c r="Q21" s="660">
        <f t="shared" si="12"/>
        <v>4</v>
      </c>
    </row>
    <row r="22" spans="1:23">
      <c r="A22" s="665" t="s">
        <v>3626</v>
      </c>
      <c r="B22" s="661">
        <v>46.92</v>
      </c>
      <c r="C22" s="665">
        <v>23</v>
      </c>
      <c r="D22" s="788">
        <v>5.6549999999999994</v>
      </c>
      <c r="E22" s="665">
        <v>5</v>
      </c>
      <c r="F22" s="1061">
        <v>10</v>
      </c>
      <c r="G22" s="1299"/>
      <c r="H22" s="1299"/>
      <c r="I22" s="660">
        <f t="shared" si="8"/>
        <v>28</v>
      </c>
      <c r="J22" s="1230">
        <f t="shared" si="9"/>
        <v>5.6549999999999994</v>
      </c>
      <c r="K22" s="661">
        <f t="shared" si="10"/>
        <v>41.265000000000001</v>
      </c>
      <c r="L22" s="788">
        <v>4.79</v>
      </c>
      <c r="M22" s="1470">
        <v>5</v>
      </c>
      <c r="N22" s="1472" t="s">
        <v>3759</v>
      </c>
      <c r="O22" s="1472"/>
      <c r="P22" s="1230">
        <f t="shared" si="11"/>
        <v>22.344999999999999</v>
      </c>
      <c r="Q22" s="1230">
        <f t="shared" si="12"/>
        <v>10</v>
      </c>
    </row>
    <row r="23" spans="1:23">
      <c r="A23" s="665" t="s">
        <v>3624</v>
      </c>
      <c r="B23" s="661">
        <v>46.92</v>
      </c>
      <c r="C23" s="665">
        <v>23</v>
      </c>
      <c r="D23" s="788">
        <v>4.7149999999999999</v>
      </c>
      <c r="E23" s="665">
        <v>5</v>
      </c>
      <c r="F23" s="1061">
        <v>10</v>
      </c>
      <c r="G23" s="1299"/>
      <c r="H23" s="1393">
        <f>0.466+0.486</f>
        <v>0.95199999999999996</v>
      </c>
      <c r="I23" s="660">
        <f t="shared" si="8"/>
        <v>28</v>
      </c>
      <c r="J23" s="1230">
        <f t="shared" si="9"/>
        <v>5.6669999999999998</v>
      </c>
      <c r="K23" s="661">
        <f t="shared" si="10"/>
        <v>41.253</v>
      </c>
      <c r="L23" s="788"/>
      <c r="M23" s="1471"/>
      <c r="N23" s="1472"/>
      <c r="O23" s="1472"/>
      <c r="P23" s="1230">
        <f t="shared" si="11"/>
        <v>22.332999999999998</v>
      </c>
      <c r="Q23" s="1230">
        <f t="shared" si="12"/>
        <v>9.048</v>
      </c>
      <c r="S23" s="1231">
        <f>4.72-3.64</f>
        <v>1.0799999999999996</v>
      </c>
    </row>
    <row r="24" spans="1:23">
      <c r="A24" s="1468" t="s">
        <v>2740</v>
      </c>
      <c r="B24" s="1468"/>
      <c r="C24" s="1468"/>
      <c r="D24" s="1468"/>
      <c r="E24" s="1468"/>
      <c r="F24" s="1468"/>
      <c r="G24" s="1468"/>
      <c r="H24" s="1468"/>
      <c r="I24" s="1468"/>
      <c r="J24" s="1468"/>
      <c r="K24" s="1468"/>
      <c r="L24" s="1468"/>
      <c r="M24" s="1468"/>
      <c r="N24" s="1468"/>
      <c r="O24" s="1468"/>
    </row>
    <row r="25" spans="1:23" ht="76.5">
      <c r="A25" s="659" t="s">
        <v>10</v>
      </c>
      <c r="B25" s="659" t="s">
        <v>2826</v>
      </c>
      <c r="C25" s="659" t="s">
        <v>1757</v>
      </c>
      <c r="D25" s="659" t="s">
        <v>1758</v>
      </c>
      <c r="E25" s="1364" t="s">
        <v>3641</v>
      </c>
      <c r="F25" s="659" t="s">
        <v>1759</v>
      </c>
      <c r="G25" s="659" t="s">
        <v>596</v>
      </c>
      <c r="H25" s="659" t="s">
        <v>1760</v>
      </c>
      <c r="I25" s="659" t="s">
        <v>1781</v>
      </c>
      <c r="J25" s="659" t="s">
        <v>1779</v>
      </c>
      <c r="K25" s="659" t="s">
        <v>1777</v>
      </c>
      <c r="L25" s="659" t="s">
        <v>1775</v>
      </c>
      <c r="M25" s="659" t="s">
        <v>598</v>
      </c>
      <c r="N25" s="1463" t="s">
        <v>19</v>
      </c>
      <c r="O25" s="1463"/>
      <c r="P25" s="659" t="s">
        <v>3619</v>
      </c>
      <c r="Q25" s="659" t="s">
        <v>3620</v>
      </c>
    </row>
    <row r="26" spans="1:23">
      <c r="A26" s="660" t="s">
        <v>27</v>
      </c>
      <c r="B26" s="661">
        <v>92.281000000000006</v>
      </c>
      <c r="C26" s="660">
        <v>95</v>
      </c>
      <c r="D26" s="661">
        <v>92.281000000000006</v>
      </c>
      <c r="E26" s="660"/>
      <c r="F26" s="660"/>
      <c r="G26" s="928"/>
      <c r="H26" s="1002"/>
      <c r="I26" s="660">
        <f t="shared" ref="I26:I32" si="13">+C26+E26</f>
        <v>95</v>
      </c>
      <c r="J26" s="661">
        <f t="shared" ref="J26:J31" si="14">+H26+D26</f>
        <v>92.281000000000006</v>
      </c>
      <c r="K26" s="661">
        <f t="shared" ref="K26:K32" si="15">+B26-J26</f>
        <v>0</v>
      </c>
      <c r="L26" s="660"/>
      <c r="M26" s="660"/>
      <c r="N26" s="1480"/>
      <c r="O26" s="1481"/>
      <c r="P26" s="660"/>
      <c r="Q26" s="660"/>
      <c r="R26" s="1079"/>
      <c r="S26" s="1079"/>
      <c r="T26" s="1079"/>
      <c r="U26" s="1079"/>
      <c r="V26" s="1078"/>
      <c r="W26" s="1078"/>
    </row>
    <row r="27" spans="1:23">
      <c r="A27" s="663" t="s">
        <v>28</v>
      </c>
      <c r="B27" s="660">
        <v>263</v>
      </c>
      <c r="C27" s="660">
        <v>267</v>
      </c>
      <c r="D27" s="944">
        <v>237</v>
      </c>
      <c r="E27" s="660">
        <v>12</v>
      </c>
      <c r="F27" s="660">
        <v>2</v>
      </c>
      <c r="G27" s="664"/>
      <c r="H27" s="664"/>
      <c r="I27" s="660">
        <f>+C27+E27</f>
        <v>279</v>
      </c>
      <c r="J27" s="660">
        <f t="shared" si="14"/>
        <v>237</v>
      </c>
      <c r="K27" s="660">
        <f t="shared" si="15"/>
        <v>26</v>
      </c>
      <c r="L27" s="663">
        <v>2</v>
      </c>
      <c r="M27" s="663">
        <v>2</v>
      </c>
      <c r="N27" s="1461" t="s">
        <v>3715</v>
      </c>
      <c r="O27" s="1461"/>
      <c r="P27" s="660">
        <f t="shared" ref="P27:P32" si="16">I27-J27</f>
        <v>42</v>
      </c>
      <c r="Q27" s="660">
        <f t="shared" ref="Q27:Q32" si="17">F27-H27</f>
        <v>2</v>
      </c>
      <c r="R27" s="1238"/>
      <c r="S27" s="1232"/>
    </row>
    <row r="28" spans="1:23">
      <c r="A28" s="663" t="s">
        <v>609</v>
      </c>
      <c r="B28" s="660">
        <v>263</v>
      </c>
      <c r="C28" s="660">
        <v>267</v>
      </c>
      <c r="D28" s="944">
        <v>227</v>
      </c>
      <c r="E28" s="660">
        <v>12</v>
      </c>
      <c r="F28" s="660">
        <v>2</v>
      </c>
      <c r="G28" s="664"/>
      <c r="H28" s="664"/>
      <c r="I28" s="660">
        <f t="shared" si="13"/>
        <v>279</v>
      </c>
      <c r="J28" s="660">
        <f t="shared" si="14"/>
        <v>227</v>
      </c>
      <c r="K28" s="660">
        <f t="shared" si="15"/>
        <v>36</v>
      </c>
      <c r="L28" s="663">
        <v>0</v>
      </c>
      <c r="M28" s="663"/>
      <c r="N28" s="1460"/>
      <c r="O28" s="1461"/>
      <c r="P28" s="660">
        <f t="shared" si="16"/>
        <v>52</v>
      </c>
      <c r="Q28" s="660">
        <f t="shared" si="17"/>
        <v>2</v>
      </c>
      <c r="R28" s="1238"/>
      <c r="S28" s="1232"/>
    </row>
    <row r="29" spans="1:23" s="1180" customFormat="1">
      <c r="A29" s="660" t="s">
        <v>610</v>
      </c>
      <c r="B29" s="660">
        <v>263</v>
      </c>
      <c r="C29" s="660">
        <v>227</v>
      </c>
      <c r="D29" s="661">
        <v>154</v>
      </c>
      <c r="E29" s="660">
        <v>20</v>
      </c>
      <c r="F29" s="660">
        <v>2</v>
      </c>
      <c r="G29" s="662"/>
      <c r="H29" s="662">
        <v>1</v>
      </c>
      <c r="I29" s="660">
        <f t="shared" si="13"/>
        <v>247</v>
      </c>
      <c r="J29" s="660">
        <f t="shared" si="14"/>
        <v>155</v>
      </c>
      <c r="K29" s="660">
        <f t="shared" si="15"/>
        <v>108</v>
      </c>
      <c r="L29" s="660">
        <v>1</v>
      </c>
      <c r="M29" s="660">
        <v>1</v>
      </c>
      <c r="N29" s="1464" t="s">
        <v>3634</v>
      </c>
      <c r="O29" s="1464"/>
      <c r="P29" s="660">
        <f t="shared" si="16"/>
        <v>92</v>
      </c>
      <c r="Q29" s="660">
        <f t="shared" si="17"/>
        <v>1</v>
      </c>
      <c r="R29" s="1239"/>
      <c r="S29" s="1232"/>
    </row>
    <row r="30" spans="1:23">
      <c r="A30" s="665" t="s">
        <v>612</v>
      </c>
      <c r="B30" s="660">
        <v>263</v>
      </c>
      <c r="C30" s="665">
        <v>227</v>
      </c>
      <c r="D30" s="788">
        <v>0</v>
      </c>
      <c r="E30" s="660">
        <v>20</v>
      </c>
      <c r="F30" s="660">
        <v>2</v>
      </c>
      <c r="G30" s="666"/>
      <c r="H30" s="666"/>
      <c r="I30" s="660">
        <f t="shared" si="13"/>
        <v>247</v>
      </c>
      <c r="J30" s="660">
        <f t="shared" si="14"/>
        <v>0</v>
      </c>
      <c r="K30" s="660">
        <f t="shared" si="15"/>
        <v>263</v>
      </c>
      <c r="L30" s="665">
        <v>0</v>
      </c>
      <c r="M30" s="665">
        <v>0</v>
      </c>
      <c r="N30" s="1462"/>
      <c r="O30" s="1462"/>
      <c r="P30" s="660">
        <f t="shared" si="16"/>
        <v>247</v>
      </c>
      <c r="Q30" s="660">
        <f t="shared" si="17"/>
        <v>2</v>
      </c>
      <c r="R30" s="1238"/>
      <c r="S30" s="1232"/>
    </row>
    <row r="31" spans="1:23">
      <c r="A31" s="665" t="s">
        <v>3626</v>
      </c>
      <c r="B31" s="661">
        <v>92.281000000000006</v>
      </c>
      <c r="C31" s="665">
        <v>25</v>
      </c>
      <c r="D31" s="788">
        <v>0</v>
      </c>
      <c r="E31" s="665">
        <v>13</v>
      </c>
      <c r="F31" s="1061"/>
      <c r="G31" s="666"/>
      <c r="H31" s="666"/>
      <c r="I31" s="660">
        <f t="shared" si="13"/>
        <v>38</v>
      </c>
      <c r="J31" s="660">
        <f t="shared" si="14"/>
        <v>0</v>
      </c>
      <c r="K31" s="661">
        <f t="shared" si="15"/>
        <v>92.281000000000006</v>
      </c>
      <c r="L31" s="665">
        <v>0</v>
      </c>
      <c r="M31" s="665"/>
      <c r="N31" s="1462"/>
      <c r="O31" s="1462"/>
      <c r="P31" s="660">
        <f t="shared" si="16"/>
        <v>38</v>
      </c>
      <c r="Q31" s="660">
        <f t="shared" si="17"/>
        <v>0</v>
      </c>
      <c r="R31" s="1238"/>
      <c r="S31" s="1232"/>
    </row>
    <row r="32" spans="1:23">
      <c r="A32" s="665" t="s">
        <v>3625</v>
      </c>
      <c r="B32" s="661">
        <v>92.281000000000006</v>
      </c>
      <c r="C32" s="665">
        <v>25</v>
      </c>
      <c r="D32" s="788"/>
      <c r="E32" s="665">
        <v>13</v>
      </c>
      <c r="F32" s="1061"/>
      <c r="G32" s="666"/>
      <c r="H32" s="666"/>
      <c r="I32" s="660">
        <f t="shared" si="13"/>
        <v>38</v>
      </c>
      <c r="J32" s="660"/>
      <c r="K32" s="661">
        <f t="shared" si="15"/>
        <v>92.281000000000006</v>
      </c>
      <c r="L32" s="665"/>
      <c r="M32" s="665"/>
      <c r="N32" s="1462"/>
      <c r="O32" s="1462"/>
      <c r="P32" s="660">
        <f t="shared" si="16"/>
        <v>38</v>
      </c>
      <c r="Q32" s="660">
        <f t="shared" si="17"/>
        <v>0</v>
      </c>
      <c r="R32" s="1238"/>
      <c r="S32" s="1232"/>
    </row>
    <row r="33" spans="1:19">
      <c r="A33" s="1468" t="s">
        <v>1773</v>
      </c>
      <c r="B33" s="1468"/>
      <c r="C33" s="1468"/>
      <c r="D33" s="1468"/>
      <c r="E33" s="1468"/>
      <c r="F33" s="1468"/>
      <c r="G33" s="1468"/>
      <c r="H33" s="1468"/>
      <c r="I33" s="1468"/>
      <c r="J33" s="1468"/>
      <c r="K33" s="1468"/>
      <c r="L33" s="1468"/>
      <c r="M33" s="1468"/>
      <c r="N33" s="1468"/>
      <c r="O33" s="1468"/>
      <c r="R33" s="1238"/>
      <c r="S33" s="1232"/>
    </row>
    <row r="34" spans="1:19" ht="76.5">
      <c r="A34" s="659" t="s">
        <v>10</v>
      </c>
      <c r="B34" s="659" t="s">
        <v>2826</v>
      </c>
      <c r="C34" s="659" t="s">
        <v>1757</v>
      </c>
      <c r="D34" s="659" t="s">
        <v>1758</v>
      </c>
      <c r="E34" s="1364" t="s">
        <v>3641</v>
      </c>
      <c r="F34" s="659" t="s">
        <v>1759</v>
      </c>
      <c r="G34" s="659" t="s">
        <v>596</v>
      </c>
      <c r="H34" s="659" t="s">
        <v>1760</v>
      </c>
      <c r="I34" s="659" t="s">
        <v>1781</v>
      </c>
      <c r="J34" s="659" t="s">
        <v>1779</v>
      </c>
      <c r="K34" s="659" t="s">
        <v>1777</v>
      </c>
      <c r="L34" s="659" t="s">
        <v>1776</v>
      </c>
      <c r="M34" s="659" t="s">
        <v>598</v>
      </c>
      <c r="N34" s="1463" t="s">
        <v>19</v>
      </c>
      <c r="O34" s="1463"/>
      <c r="P34" s="659" t="s">
        <v>3619</v>
      </c>
      <c r="Q34" s="659" t="s">
        <v>3620</v>
      </c>
      <c r="R34" s="1238"/>
      <c r="S34" s="1232"/>
    </row>
    <row r="35" spans="1:19" s="1180" customFormat="1" ht="17.100000000000001" customHeight="1">
      <c r="A35" s="660" t="s">
        <v>27</v>
      </c>
      <c r="B35" s="661">
        <v>33.103000000000002</v>
      </c>
      <c r="C35" s="661">
        <v>33.103000000000002</v>
      </c>
      <c r="D35" s="661">
        <v>33.103000000000002</v>
      </c>
      <c r="E35" s="661"/>
      <c r="F35" s="660"/>
      <c r="G35" s="790"/>
      <c r="H35" s="1002"/>
      <c r="I35" s="661">
        <f t="shared" ref="I35:I40" si="18">+C35+E35</f>
        <v>33.103000000000002</v>
      </c>
      <c r="J35" s="661">
        <f>+H35+D35</f>
        <v>33.103000000000002</v>
      </c>
      <c r="K35" s="661">
        <f t="shared" ref="K35" si="19">+B35-J35</f>
        <v>0</v>
      </c>
      <c r="L35" s="660"/>
      <c r="M35" s="660"/>
      <c r="N35" s="1461"/>
      <c r="O35" s="1461"/>
      <c r="P35" s="660"/>
      <c r="Q35" s="660"/>
      <c r="R35" s="1239"/>
      <c r="S35" s="1232"/>
    </row>
    <row r="36" spans="1:19" s="1180" customFormat="1">
      <c r="A36" s="660" t="s">
        <v>28</v>
      </c>
      <c r="B36" s="660">
        <v>116</v>
      </c>
      <c r="C36" s="660">
        <v>97</v>
      </c>
      <c r="D36" s="660">
        <v>70</v>
      </c>
      <c r="E36" s="660">
        <v>10</v>
      </c>
      <c r="F36" s="660">
        <v>16</v>
      </c>
      <c r="G36" s="662"/>
      <c r="H36" s="662">
        <v>1</v>
      </c>
      <c r="I36" s="660">
        <f t="shared" si="18"/>
        <v>107</v>
      </c>
      <c r="J36" s="660">
        <f>+H36+D36</f>
        <v>71</v>
      </c>
      <c r="K36" s="661">
        <f t="shared" ref="K36" si="20">+B36-J36</f>
        <v>45</v>
      </c>
      <c r="L36" s="660">
        <v>18</v>
      </c>
      <c r="M36" s="660">
        <v>13</v>
      </c>
      <c r="N36" s="1466"/>
      <c r="O36" s="1466"/>
      <c r="P36" s="660">
        <f t="shared" ref="P36:P41" si="21">I36-J36</f>
        <v>36</v>
      </c>
      <c r="Q36" s="660">
        <f t="shared" ref="Q36:Q41" si="22">F36-H36</f>
        <v>15</v>
      </c>
      <c r="R36" s="1232"/>
      <c r="S36" s="1232"/>
    </row>
    <row r="37" spans="1:19" s="1180" customFormat="1">
      <c r="A37" s="663" t="s">
        <v>609</v>
      </c>
      <c r="B37" s="660">
        <v>116</v>
      </c>
      <c r="C37" s="663">
        <v>97</v>
      </c>
      <c r="D37" s="663">
        <v>53</v>
      </c>
      <c r="E37" s="660">
        <v>10</v>
      </c>
      <c r="F37" s="660">
        <v>16</v>
      </c>
      <c r="G37" s="664"/>
      <c r="H37" s="664"/>
      <c r="I37" s="660">
        <f t="shared" si="18"/>
        <v>107</v>
      </c>
      <c r="J37" s="660">
        <f t="shared" ref="J37:J40" si="23">+H37+D37</f>
        <v>53</v>
      </c>
      <c r="K37" s="661">
        <f t="shared" ref="K37:K41" si="24">+B37-J37</f>
        <v>63</v>
      </c>
      <c r="L37" s="663">
        <v>0</v>
      </c>
      <c r="M37" s="663"/>
      <c r="N37" s="1460"/>
      <c r="O37" s="1461"/>
      <c r="P37" s="660">
        <f t="shared" si="21"/>
        <v>54</v>
      </c>
      <c r="Q37" s="660">
        <f t="shared" si="22"/>
        <v>16</v>
      </c>
      <c r="R37" s="1232"/>
      <c r="S37" s="1232"/>
    </row>
    <row r="38" spans="1:19" s="1180" customFormat="1">
      <c r="A38" s="660" t="s">
        <v>610</v>
      </c>
      <c r="B38" s="660">
        <v>116</v>
      </c>
      <c r="C38" s="660">
        <v>65</v>
      </c>
      <c r="D38" s="660">
        <v>16</v>
      </c>
      <c r="E38" s="660">
        <v>20</v>
      </c>
      <c r="F38" s="660">
        <v>26</v>
      </c>
      <c r="G38" s="662">
        <v>1</v>
      </c>
      <c r="H38" s="662">
        <v>7</v>
      </c>
      <c r="I38" s="660">
        <f t="shared" si="18"/>
        <v>85</v>
      </c>
      <c r="J38" s="660">
        <f t="shared" si="23"/>
        <v>23</v>
      </c>
      <c r="K38" s="661">
        <f t="shared" si="24"/>
        <v>93</v>
      </c>
      <c r="L38" s="660">
        <v>10</v>
      </c>
      <c r="M38" s="660">
        <v>10</v>
      </c>
      <c r="N38" s="1467"/>
      <c r="O38" s="1467"/>
      <c r="P38" s="660">
        <f t="shared" si="21"/>
        <v>62</v>
      </c>
      <c r="Q38" s="660">
        <f t="shared" si="22"/>
        <v>19</v>
      </c>
      <c r="R38" s="1232"/>
      <c r="S38" s="1232"/>
    </row>
    <row r="39" spans="1:19" s="1180" customFormat="1">
      <c r="A39" s="660" t="s">
        <v>612</v>
      </c>
      <c r="B39" s="660">
        <v>116</v>
      </c>
      <c r="C39" s="660">
        <v>65</v>
      </c>
      <c r="D39" s="660">
        <v>0</v>
      </c>
      <c r="E39" s="660">
        <v>20</v>
      </c>
      <c r="F39" s="660">
        <v>26</v>
      </c>
      <c r="G39" s="662"/>
      <c r="H39" s="662"/>
      <c r="I39" s="660">
        <f t="shared" si="18"/>
        <v>85</v>
      </c>
      <c r="J39" s="660">
        <f t="shared" si="23"/>
        <v>0</v>
      </c>
      <c r="K39" s="661">
        <f t="shared" si="24"/>
        <v>116</v>
      </c>
      <c r="L39" s="660">
        <v>0</v>
      </c>
      <c r="M39" s="660">
        <v>0</v>
      </c>
      <c r="N39" s="1467"/>
      <c r="O39" s="1467"/>
      <c r="P39" s="660">
        <f t="shared" si="21"/>
        <v>85</v>
      </c>
      <c r="Q39" s="660">
        <f t="shared" si="22"/>
        <v>26</v>
      </c>
      <c r="R39" s="1232"/>
      <c r="S39" s="1232"/>
    </row>
    <row r="40" spans="1:19" s="1180" customFormat="1">
      <c r="A40" s="665" t="s">
        <v>3626</v>
      </c>
      <c r="B40" s="661">
        <v>33.103000000000002</v>
      </c>
      <c r="C40" s="660">
        <v>0</v>
      </c>
      <c r="D40" s="661">
        <v>0</v>
      </c>
      <c r="E40" s="660">
        <v>4</v>
      </c>
      <c r="F40" s="660">
        <v>1</v>
      </c>
      <c r="G40" s="662"/>
      <c r="H40" s="662"/>
      <c r="I40" s="660">
        <f t="shared" si="18"/>
        <v>4</v>
      </c>
      <c r="J40" s="660">
        <f t="shared" si="23"/>
        <v>0</v>
      </c>
      <c r="K40" s="661">
        <f t="shared" si="24"/>
        <v>33.103000000000002</v>
      </c>
      <c r="L40" s="660"/>
      <c r="M40" s="660">
        <v>1</v>
      </c>
      <c r="N40" s="1467" t="s">
        <v>3760</v>
      </c>
      <c r="O40" s="1467"/>
      <c r="P40" s="660">
        <f t="shared" si="21"/>
        <v>4</v>
      </c>
      <c r="Q40" s="660">
        <f t="shared" si="22"/>
        <v>1</v>
      </c>
      <c r="R40" s="1232"/>
      <c r="S40" s="1232"/>
    </row>
    <row r="41" spans="1:19" s="1180" customFormat="1">
      <c r="A41" s="660" t="s">
        <v>3625</v>
      </c>
      <c r="B41" s="661">
        <v>33.103000000000002</v>
      </c>
      <c r="C41" s="660"/>
      <c r="D41" s="661"/>
      <c r="E41" s="660">
        <v>4</v>
      </c>
      <c r="F41" s="660">
        <v>1</v>
      </c>
      <c r="G41" s="662"/>
      <c r="H41" s="662"/>
      <c r="I41" s="660"/>
      <c r="J41" s="660"/>
      <c r="K41" s="661">
        <f t="shared" si="24"/>
        <v>33.103000000000002</v>
      </c>
      <c r="L41" s="660"/>
      <c r="M41" s="660"/>
      <c r="N41" s="1467"/>
      <c r="O41" s="1467"/>
      <c r="P41" s="660">
        <f t="shared" si="21"/>
        <v>0</v>
      </c>
      <c r="Q41" s="660">
        <f t="shared" si="22"/>
        <v>1</v>
      </c>
      <c r="R41" s="1232"/>
      <c r="S41" s="1232"/>
    </row>
    <row r="42" spans="1:19">
      <c r="A42" s="1468" t="s">
        <v>1774</v>
      </c>
      <c r="B42" s="1468"/>
      <c r="C42" s="1468"/>
      <c r="D42" s="1468"/>
      <c r="E42" s="1468"/>
      <c r="F42" s="1468"/>
      <c r="G42" s="1468"/>
      <c r="H42" s="1468"/>
      <c r="I42" s="1468"/>
      <c r="J42" s="1468"/>
      <c r="K42" s="1468"/>
      <c r="L42" s="1468"/>
      <c r="M42" s="1468"/>
      <c r="N42" s="1468"/>
      <c r="O42" s="1468"/>
    </row>
    <row r="43" spans="1:19" ht="76.5">
      <c r="A43" s="659" t="s">
        <v>10</v>
      </c>
      <c r="B43" s="659" t="s">
        <v>2826</v>
      </c>
      <c r="C43" s="659" t="s">
        <v>1757</v>
      </c>
      <c r="D43" s="659" t="s">
        <v>1758</v>
      </c>
      <c r="E43" s="1364" t="s">
        <v>3641</v>
      </c>
      <c r="F43" s="659" t="s">
        <v>1759</v>
      </c>
      <c r="G43" s="659" t="s">
        <v>596</v>
      </c>
      <c r="H43" s="659" t="s">
        <v>1760</v>
      </c>
      <c r="I43" s="659" t="s">
        <v>1781</v>
      </c>
      <c r="J43" s="659" t="s">
        <v>1780</v>
      </c>
      <c r="K43" s="659" t="s">
        <v>1778</v>
      </c>
      <c r="L43" s="659" t="s">
        <v>1775</v>
      </c>
      <c r="M43" s="659" t="s">
        <v>598</v>
      </c>
      <c r="N43" s="1463" t="s">
        <v>19</v>
      </c>
      <c r="O43" s="1463"/>
      <c r="P43" s="659" t="s">
        <v>3619</v>
      </c>
      <c r="Q43" s="659" t="s">
        <v>3620</v>
      </c>
    </row>
    <row r="44" spans="1:19">
      <c r="A44" s="663" t="s">
        <v>27</v>
      </c>
      <c r="B44" s="1230">
        <v>3.415</v>
      </c>
      <c r="C44" s="1291">
        <v>2</v>
      </c>
      <c r="D44" s="1291">
        <v>3.415</v>
      </c>
      <c r="E44" s="660"/>
      <c r="F44" s="663"/>
      <c r="G44" s="664"/>
      <c r="H44" s="664"/>
      <c r="I44" s="660">
        <f>+C44+F44</f>
        <v>2</v>
      </c>
      <c r="J44" s="1230">
        <f t="shared" ref="J44:J49" si="25">+H44+D44</f>
        <v>3.415</v>
      </c>
      <c r="K44" s="661">
        <f t="shared" ref="K44:K50" si="26">+B44-J44</f>
        <v>0</v>
      </c>
      <c r="L44" s="663"/>
      <c r="M44" s="663"/>
      <c r="N44" s="1460"/>
      <c r="O44" s="1461"/>
      <c r="P44" s="663"/>
      <c r="Q44" s="663"/>
    </row>
    <row r="45" spans="1:19">
      <c r="A45" s="663" t="s">
        <v>28</v>
      </c>
      <c r="B45" s="660">
        <v>18</v>
      </c>
      <c r="C45" s="663">
        <v>5</v>
      </c>
      <c r="D45" s="663">
        <v>5</v>
      </c>
      <c r="E45" s="660">
        <v>2</v>
      </c>
      <c r="F45" s="663">
        <v>5</v>
      </c>
      <c r="G45" s="664"/>
      <c r="H45" s="664">
        <v>2</v>
      </c>
      <c r="I45" s="660">
        <f t="shared" ref="I45:I49" si="27">+C45+E45</f>
        <v>7</v>
      </c>
      <c r="J45" s="660">
        <f t="shared" si="25"/>
        <v>7</v>
      </c>
      <c r="K45" s="661">
        <f t="shared" si="26"/>
        <v>11</v>
      </c>
      <c r="L45" s="663">
        <v>6</v>
      </c>
      <c r="M45" s="663">
        <v>5</v>
      </c>
      <c r="N45" s="1460"/>
      <c r="O45" s="1461"/>
      <c r="P45" s="660">
        <f>I45-J45</f>
        <v>0</v>
      </c>
      <c r="Q45" s="660">
        <f>F45-H45</f>
        <v>3</v>
      </c>
    </row>
    <row r="46" spans="1:19">
      <c r="A46" s="663" t="s">
        <v>609</v>
      </c>
      <c r="B46" s="660">
        <v>18</v>
      </c>
      <c r="C46" s="663">
        <v>1</v>
      </c>
      <c r="D46" s="663">
        <v>0</v>
      </c>
      <c r="E46" s="660">
        <v>2</v>
      </c>
      <c r="F46" s="663">
        <v>5</v>
      </c>
      <c r="G46" s="664"/>
      <c r="H46" s="664"/>
      <c r="I46" s="660">
        <f t="shared" si="27"/>
        <v>3</v>
      </c>
      <c r="J46" s="660">
        <f t="shared" si="25"/>
        <v>0</v>
      </c>
      <c r="K46" s="661">
        <f t="shared" si="26"/>
        <v>18</v>
      </c>
      <c r="L46" s="663">
        <v>0</v>
      </c>
      <c r="M46" s="663"/>
      <c r="N46" s="1460"/>
      <c r="O46" s="1461"/>
      <c r="P46" s="660">
        <f t="shared" ref="P46:P49" si="28">I46-J46</f>
        <v>3</v>
      </c>
      <c r="Q46" s="660">
        <f>F46-H46</f>
        <v>5</v>
      </c>
    </row>
    <row r="47" spans="1:19">
      <c r="A47" s="663" t="s">
        <v>610</v>
      </c>
      <c r="B47" s="660">
        <v>18</v>
      </c>
      <c r="C47" s="663">
        <v>0</v>
      </c>
      <c r="D47" s="663">
        <v>0</v>
      </c>
      <c r="E47" s="660">
        <v>2</v>
      </c>
      <c r="F47" s="663"/>
      <c r="G47" s="664"/>
      <c r="H47" s="664"/>
      <c r="I47" s="660">
        <f t="shared" si="27"/>
        <v>2</v>
      </c>
      <c r="J47" s="660">
        <f t="shared" si="25"/>
        <v>0</v>
      </c>
      <c r="K47" s="661">
        <f t="shared" si="26"/>
        <v>18</v>
      </c>
      <c r="L47" s="663">
        <v>0</v>
      </c>
      <c r="M47" s="663">
        <v>0</v>
      </c>
      <c r="N47" s="1460"/>
      <c r="O47" s="1461"/>
      <c r="P47" s="660">
        <f t="shared" si="28"/>
        <v>2</v>
      </c>
      <c r="Q47" s="660">
        <f>F47-H47</f>
        <v>0</v>
      </c>
    </row>
    <row r="48" spans="1:19">
      <c r="A48" s="663" t="s">
        <v>612</v>
      </c>
      <c r="B48" s="660">
        <v>18</v>
      </c>
      <c r="C48" s="663">
        <v>0</v>
      </c>
      <c r="D48" s="663">
        <v>0</v>
      </c>
      <c r="E48" s="660">
        <v>2</v>
      </c>
      <c r="F48" s="663"/>
      <c r="G48" s="664"/>
      <c r="H48" s="664"/>
      <c r="I48" s="660">
        <f t="shared" si="27"/>
        <v>2</v>
      </c>
      <c r="J48" s="660">
        <f t="shared" si="25"/>
        <v>0</v>
      </c>
      <c r="K48" s="661">
        <f t="shared" si="26"/>
        <v>18</v>
      </c>
      <c r="L48" s="663">
        <v>0</v>
      </c>
      <c r="M48" s="663">
        <v>0</v>
      </c>
      <c r="N48" s="1460"/>
      <c r="O48" s="1461"/>
      <c r="P48" s="660">
        <f t="shared" si="28"/>
        <v>2</v>
      </c>
      <c r="Q48" s="660">
        <f>F48-H48</f>
        <v>0</v>
      </c>
    </row>
    <row r="49" spans="1:21">
      <c r="A49" s="665" t="s">
        <v>3626</v>
      </c>
      <c r="B49" s="1230">
        <v>3.415</v>
      </c>
      <c r="C49" s="663">
        <v>0</v>
      </c>
      <c r="D49" s="663">
        <v>0</v>
      </c>
      <c r="E49" s="660"/>
      <c r="F49" s="663"/>
      <c r="G49" s="664"/>
      <c r="H49" s="664"/>
      <c r="I49" s="660">
        <f t="shared" si="27"/>
        <v>0</v>
      </c>
      <c r="J49" s="660">
        <f t="shared" si="25"/>
        <v>0</v>
      </c>
      <c r="K49" s="661">
        <f t="shared" si="26"/>
        <v>3.415</v>
      </c>
      <c r="L49" s="663">
        <v>0</v>
      </c>
      <c r="M49" s="663">
        <v>0</v>
      </c>
      <c r="N49" s="1460"/>
      <c r="O49" s="1461"/>
      <c r="P49" s="660">
        <f t="shared" si="28"/>
        <v>0</v>
      </c>
      <c r="Q49" s="663"/>
    </row>
    <row r="50" spans="1:21">
      <c r="A50" s="663" t="s">
        <v>3625</v>
      </c>
      <c r="B50" s="1230">
        <v>3.415</v>
      </c>
      <c r="C50" s="663"/>
      <c r="D50" s="663"/>
      <c r="E50" s="660"/>
      <c r="F50" s="663"/>
      <c r="G50" s="664"/>
      <c r="H50" s="664"/>
      <c r="I50" s="660"/>
      <c r="J50" s="660"/>
      <c r="K50" s="661">
        <f t="shared" si="26"/>
        <v>3.415</v>
      </c>
      <c r="L50" s="663"/>
      <c r="M50" s="663"/>
      <c r="N50" s="1460"/>
      <c r="O50" s="1461"/>
      <c r="P50" s="660">
        <f t="shared" ref="P50" si="29">I50-J50</f>
        <v>0</v>
      </c>
      <c r="Q50" s="663"/>
      <c r="U50" s="643">
        <f>599+300</f>
        <v>899</v>
      </c>
    </row>
    <row r="51" spans="1:21">
      <c r="A51" s="1468" t="s">
        <v>2831</v>
      </c>
      <c r="B51" s="1468"/>
      <c r="C51" s="1468"/>
      <c r="D51" s="1468"/>
      <c r="E51" s="1468"/>
      <c r="F51" s="1468"/>
      <c r="G51" s="1468"/>
      <c r="H51" s="1468"/>
      <c r="I51" s="1468"/>
      <c r="J51" s="1468"/>
      <c r="K51" s="1468"/>
      <c r="L51" s="1468"/>
      <c r="M51" s="1468"/>
      <c r="N51" s="1468"/>
      <c r="O51" s="1468"/>
      <c r="U51" s="643">
        <f>U50+300</f>
        <v>1199</v>
      </c>
    </row>
    <row r="52" spans="1:21" ht="38.25">
      <c r="A52" s="659" t="s">
        <v>2401</v>
      </c>
      <c r="B52" s="659" t="s">
        <v>2832</v>
      </c>
      <c r="C52" s="659" t="s">
        <v>2826</v>
      </c>
      <c r="D52" s="659" t="s">
        <v>3701</v>
      </c>
      <c r="E52" s="659" t="s">
        <v>3702</v>
      </c>
      <c r="F52" s="1463" t="s">
        <v>19</v>
      </c>
      <c r="G52" s="1463"/>
      <c r="H52" s="1463"/>
      <c r="I52" s="1482"/>
      <c r="J52" s="1482"/>
      <c r="K52" s="1482"/>
      <c r="L52" s="1482"/>
      <c r="M52" s="1482"/>
      <c r="N52" s="1482"/>
      <c r="O52" s="1482"/>
    </row>
    <row r="53" spans="1:21" ht="30" customHeight="1">
      <c r="A53" s="1467" t="s">
        <v>2691</v>
      </c>
      <c r="B53" s="927" t="s">
        <v>2833</v>
      </c>
      <c r="C53" s="926">
        <f>262+127</f>
        <v>389</v>
      </c>
      <c r="D53" s="926">
        <f>100+120+150+64</f>
        <v>434</v>
      </c>
      <c r="E53" s="926">
        <v>387</v>
      </c>
      <c r="F53" s="1483"/>
      <c r="G53" s="1467"/>
      <c r="H53" s="1467"/>
      <c r="I53" s="1482"/>
      <c r="J53" s="1482"/>
      <c r="K53" s="1482"/>
      <c r="L53" s="1482"/>
      <c r="M53" s="1482"/>
      <c r="N53" s="1482"/>
      <c r="O53" s="1482"/>
    </row>
    <row r="54" spans="1:21" ht="30" customHeight="1">
      <c r="A54" s="1467"/>
      <c r="B54" s="927" t="s">
        <v>2834</v>
      </c>
      <c r="C54" s="926">
        <v>389</v>
      </c>
      <c r="D54" s="926">
        <f>101+115+107</f>
        <v>323</v>
      </c>
      <c r="E54" s="926">
        <v>361</v>
      </c>
      <c r="F54" s="1467"/>
      <c r="G54" s="1467"/>
      <c r="H54" s="1467"/>
      <c r="I54" s="1482"/>
      <c r="J54" s="1482"/>
      <c r="K54" s="1482"/>
      <c r="L54" s="1482"/>
      <c r="M54" s="1482"/>
      <c r="N54" s="1482"/>
      <c r="O54" s="1482"/>
      <c r="P54" s="1431">
        <f>P58-P55</f>
        <v>0</v>
      </c>
      <c r="Q54" s="1432" t="s">
        <v>3796</v>
      </c>
      <c r="S54" s="1434" t="s">
        <v>3794</v>
      </c>
      <c r="T54" s="1430" t="s">
        <v>3793</v>
      </c>
    </row>
    <row r="55" spans="1:21" ht="30" customHeight="1">
      <c r="A55" s="1467"/>
      <c r="B55" s="927" t="s">
        <v>3587</v>
      </c>
      <c r="C55" s="926">
        <v>3016</v>
      </c>
      <c r="D55" s="926">
        <f>870+870+434</f>
        <v>2174</v>
      </c>
      <c r="E55" s="926">
        <v>900</v>
      </c>
      <c r="F55" s="1467"/>
      <c r="G55" s="1467"/>
      <c r="H55" s="1467"/>
      <c r="I55" s="1482"/>
      <c r="J55" s="1482"/>
      <c r="K55" s="1482"/>
      <c r="L55" s="1482"/>
      <c r="M55" s="1482"/>
      <c r="N55" s="1482"/>
      <c r="O55" s="1482"/>
      <c r="P55" s="1433">
        <f>E57+E64+E72</f>
        <v>4254.241</v>
      </c>
      <c r="Q55" s="1432" t="s">
        <v>3792</v>
      </c>
      <c r="S55" s="1231">
        <v>200</v>
      </c>
      <c r="T55" s="643">
        <v>810</v>
      </c>
      <c r="U55" s="1430">
        <f>S55+T55</f>
        <v>1010</v>
      </c>
    </row>
    <row r="56" spans="1:21" ht="30" customHeight="1">
      <c r="A56" s="1467"/>
      <c r="B56" s="927" t="s">
        <v>3588</v>
      </c>
      <c r="C56" s="926">
        <v>9132</v>
      </c>
      <c r="D56" s="926">
        <f>2998+2998+1500</f>
        <v>7496</v>
      </c>
      <c r="E56" s="926">
        <f>1700+400+100</f>
        <v>2200</v>
      </c>
      <c r="F56" s="1467"/>
      <c r="G56" s="1467"/>
      <c r="H56" s="1467"/>
      <c r="I56" s="1482"/>
      <c r="J56" s="1482"/>
      <c r="K56" s="1482"/>
      <c r="L56" s="1482"/>
      <c r="M56" s="1482"/>
      <c r="N56" s="1482"/>
      <c r="O56" s="1482"/>
      <c r="P56" s="1432">
        <f>4254.241-P57</f>
        <v>1679.6259999999966</v>
      </c>
      <c r="Q56" s="1432" t="s">
        <v>3793</v>
      </c>
      <c r="S56" s="1231">
        <v>300</v>
      </c>
      <c r="T56" s="643">
        <v>1200</v>
      </c>
      <c r="U56" s="1430">
        <f>S56+T56</f>
        <v>1500</v>
      </c>
    </row>
    <row r="57" spans="1:21" ht="30" customHeight="1">
      <c r="A57" s="1467"/>
      <c r="B57" s="927" t="s">
        <v>3589</v>
      </c>
      <c r="C57" s="1281">
        <f>(47+93)*24*1.01</f>
        <v>3393.6</v>
      </c>
      <c r="D57" s="926">
        <v>3489</v>
      </c>
      <c r="E57" s="1281">
        <f>3394+393.481+226.76</f>
        <v>4014.241</v>
      </c>
      <c r="F57" s="1467"/>
      <c r="G57" s="1467"/>
      <c r="H57" s="1467"/>
      <c r="I57" s="1482"/>
      <c r="J57" s="1482"/>
      <c r="K57" s="1482"/>
      <c r="L57" s="1482"/>
      <c r="M57" s="1482"/>
      <c r="N57" s="1482"/>
      <c r="O57" s="1482"/>
      <c r="P57" s="1432">
        <v>2574.6150000000034</v>
      </c>
      <c r="Q57" s="1432" t="s">
        <v>3794</v>
      </c>
    </row>
    <row r="58" spans="1:21" ht="30" customHeight="1">
      <c r="A58" s="1467"/>
      <c r="B58" s="927" t="s">
        <v>3590</v>
      </c>
      <c r="C58" s="1282">
        <v>1</v>
      </c>
      <c r="D58" s="1282">
        <v>1</v>
      </c>
      <c r="E58" s="1283"/>
      <c r="F58" s="1467"/>
      <c r="G58" s="1467"/>
      <c r="H58" s="1467"/>
      <c r="I58" s="1482"/>
      <c r="J58" s="1482"/>
      <c r="K58" s="1482"/>
      <c r="L58" s="1482"/>
      <c r="M58" s="1482"/>
      <c r="N58" s="1482"/>
      <c r="O58" s="1482"/>
      <c r="P58" s="1432">
        <f>P56+P57</f>
        <v>4254.241</v>
      </c>
      <c r="Q58" s="1432" t="s">
        <v>3795</v>
      </c>
    </row>
    <row r="59" spans="1:21" ht="30" customHeight="1">
      <c r="A59" s="1467"/>
      <c r="B59" s="927" t="s">
        <v>3591</v>
      </c>
      <c r="C59" s="1282">
        <v>1</v>
      </c>
      <c r="D59" s="1282">
        <v>1</v>
      </c>
      <c r="E59" s="1283">
        <f>(40+5)%</f>
        <v>0.45</v>
      </c>
      <c r="F59" s="1467"/>
      <c r="G59" s="1467"/>
      <c r="H59" s="1467"/>
      <c r="I59" s="1482"/>
      <c r="J59" s="1482"/>
      <c r="K59" s="1482"/>
      <c r="L59" s="1482"/>
      <c r="M59" s="1482"/>
      <c r="N59" s="1482"/>
      <c r="O59" s="1482"/>
    </row>
    <row r="60" spans="1:21" ht="30" customHeight="1">
      <c r="A60" s="1467" t="s">
        <v>2835</v>
      </c>
      <c r="B60" s="927" t="s">
        <v>2833</v>
      </c>
      <c r="C60" s="926">
        <v>116</v>
      </c>
      <c r="D60" s="926">
        <v>129</v>
      </c>
      <c r="E60" s="926">
        <v>111</v>
      </c>
      <c r="F60" s="1467"/>
      <c r="G60" s="1467"/>
      <c r="H60" s="1467"/>
      <c r="I60" s="1482"/>
      <c r="J60" s="1482"/>
      <c r="K60" s="1482"/>
      <c r="L60" s="1482"/>
      <c r="M60" s="1482"/>
      <c r="N60" s="1482"/>
      <c r="O60" s="1482"/>
    </row>
    <row r="61" spans="1:21" ht="30" customHeight="1">
      <c r="A61" s="1467"/>
      <c r="B61" s="927" t="s">
        <v>2834</v>
      </c>
      <c r="C61" s="926">
        <v>116</v>
      </c>
      <c r="D61" s="926">
        <v>129</v>
      </c>
      <c r="E61" s="926">
        <v>111</v>
      </c>
      <c r="F61" s="1467"/>
      <c r="G61" s="1467"/>
      <c r="H61" s="1467"/>
      <c r="I61" s="1482"/>
      <c r="J61" s="1482"/>
      <c r="K61" s="1482"/>
      <c r="L61" s="1482"/>
      <c r="M61" s="1482"/>
      <c r="N61" s="1482"/>
      <c r="O61" s="1482"/>
    </row>
    <row r="62" spans="1:21" ht="30" customHeight="1">
      <c r="A62" s="1467"/>
      <c r="B62" s="927" t="s">
        <v>3587</v>
      </c>
      <c r="C62" s="926">
        <v>295</v>
      </c>
      <c r="D62" s="926">
        <f>174+174</f>
        <v>348</v>
      </c>
      <c r="E62" s="926"/>
      <c r="F62" s="1467"/>
      <c r="G62" s="1467"/>
      <c r="H62" s="1467"/>
      <c r="I62" s="1482"/>
      <c r="J62" s="1482"/>
      <c r="K62" s="1482"/>
      <c r="L62" s="1482"/>
      <c r="M62" s="1482"/>
      <c r="N62" s="1482"/>
      <c r="O62" s="1482"/>
    </row>
    <row r="63" spans="1:21" ht="30" customHeight="1">
      <c r="A63" s="1467"/>
      <c r="B63" s="927" t="s">
        <v>3588</v>
      </c>
      <c r="C63" s="926">
        <v>5606</v>
      </c>
      <c r="D63" s="926">
        <f>2940+2940</f>
        <v>5880</v>
      </c>
      <c r="E63" s="926"/>
      <c r="F63" s="1467"/>
      <c r="G63" s="1467"/>
      <c r="H63" s="1467"/>
      <c r="I63" s="1482"/>
      <c r="J63" s="1482"/>
      <c r="K63" s="1482"/>
      <c r="L63" s="1482"/>
      <c r="M63" s="1482"/>
      <c r="N63" s="1482"/>
      <c r="O63" s="1482"/>
    </row>
    <row r="64" spans="1:21" ht="30" customHeight="1">
      <c r="A64" s="1467"/>
      <c r="B64" s="927" t="s">
        <v>3589</v>
      </c>
      <c r="C64" s="1281">
        <f>33.4*24*1.01</f>
        <v>809.61599999999987</v>
      </c>
      <c r="D64" s="926">
        <f>286+516</f>
        <v>802</v>
      </c>
      <c r="E64" s="1281">
        <v>224</v>
      </c>
      <c r="F64" s="1467"/>
      <c r="G64" s="1467"/>
      <c r="H64" s="1467"/>
      <c r="I64" s="1482"/>
      <c r="J64" s="1482"/>
      <c r="K64" s="1482"/>
      <c r="L64" s="1482"/>
      <c r="M64" s="1482"/>
      <c r="N64" s="1482"/>
      <c r="O64" s="1482"/>
    </row>
    <row r="65" spans="1:15" ht="30" customHeight="1">
      <c r="A65" s="1467"/>
      <c r="B65" s="927" t="s">
        <v>3590</v>
      </c>
      <c r="C65" s="1283">
        <v>1</v>
      </c>
      <c r="D65" s="1283">
        <v>1</v>
      </c>
      <c r="E65" s="926"/>
      <c r="F65" s="1467"/>
      <c r="G65" s="1467"/>
      <c r="H65" s="1467"/>
      <c r="I65" s="1482"/>
      <c r="J65" s="1482"/>
      <c r="K65" s="1482"/>
      <c r="L65" s="1482"/>
      <c r="M65" s="1482"/>
      <c r="N65" s="1482"/>
      <c r="O65" s="1482"/>
    </row>
    <row r="66" spans="1:15" ht="30" customHeight="1">
      <c r="A66" s="1467"/>
      <c r="B66" s="927" t="s">
        <v>3592</v>
      </c>
      <c r="C66" s="1283">
        <v>1</v>
      </c>
      <c r="D66" s="1283">
        <v>1</v>
      </c>
      <c r="E66" s="1283">
        <v>1</v>
      </c>
      <c r="F66" s="1467"/>
      <c r="G66" s="1467"/>
      <c r="H66" s="1467"/>
      <c r="I66" s="1482"/>
      <c r="J66" s="1482"/>
      <c r="K66" s="1482"/>
      <c r="L66" s="1482"/>
      <c r="M66" s="1482"/>
      <c r="N66" s="1482"/>
      <c r="O66" s="1482"/>
    </row>
    <row r="67" spans="1:15" ht="30" customHeight="1">
      <c r="A67" s="1467"/>
      <c r="B67" s="927" t="s">
        <v>3591</v>
      </c>
      <c r="C67" s="1283">
        <v>1</v>
      </c>
      <c r="D67" s="1283">
        <v>1</v>
      </c>
      <c r="E67" s="926"/>
      <c r="F67" s="1467"/>
      <c r="G67" s="1467"/>
      <c r="H67" s="1467"/>
      <c r="I67" s="1482"/>
      <c r="J67" s="1482"/>
      <c r="K67" s="1482"/>
      <c r="L67" s="1482"/>
      <c r="M67" s="1482"/>
      <c r="N67" s="1482"/>
      <c r="O67" s="1482"/>
    </row>
    <row r="68" spans="1:15" ht="30" customHeight="1">
      <c r="A68" s="1467" t="s">
        <v>2836</v>
      </c>
      <c r="B68" s="927" t="s">
        <v>2833</v>
      </c>
      <c r="C68" s="926">
        <v>18</v>
      </c>
      <c r="D68" s="926">
        <v>18</v>
      </c>
      <c r="E68" s="926">
        <v>15</v>
      </c>
      <c r="F68" s="1467"/>
      <c r="G68" s="1467"/>
      <c r="H68" s="1467"/>
      <c r="I68" s="1482"/>
      <c r="J68" s="1482"/>
      <c r="K68" s="1482"/>
      <c r="L68" s="1482"/>
      <c r="M68" s="1482"/>
      <c r="N68" s="1482"/>
      <c r="O68" s="1482"/>
    </row>
    <row r="69" spans="1:15" ht="30" customHeight="1">
      <c r="A69" s="1467"/>
      <c r="B69" s="927" t="s">
        <v>2834</v>
      </c>
      <c r="C69" s="926">
        <v>18</v>
      </c>
      <c r="D69" s="926">
        <v>18</v>
      </c>
      <c r="E69" s="926"/>
      <c r="F69" s="1467"/>
      <c r="G69" s="1467"/>
      <c r="H69" s="1467"/>
      <c r="I69" s="1482"/>
      <c r="J69" s="1482"/>
      <c r="K69" s="1482"/>
      <c r="L69" s="1482"/>
      <c r="M69" s="1482"/>
      <c r="N69" s="1482"/>
      <c r="O69" s="1482"/>
    </row>
    <row r="70" spans="1:15" ht="30" customHeight="1">
      <c r="A70" s="1467"/>
      <c r="B70" s="927" t="s">
        <v>3587</v>
      </c>
      <c r="C70" s="926">
        <v>117</v>
      </c>
      <c r="D70" s="926">
        <v>90</v>
      </c>
      <c r="E70" s="926"/>
      <c r="F70" s="1467"/>
      <c r="G70" s="1467"/>
      <c r="H70" s="1467"/>
      <c r="I70" s="1482"/>
      <c r="J70" s="1482"/>
      <c r="K70" s="1482"/>
      <c r="L70" s="1482"/>
      <c r="M70" s="1482"/>
      <c r="N70" s="1482"/>
      <c r="O70" s="1482"/>
    </row>
    <row r="71" spans="1:15" ht="30" customHeight="1">
      <c r="A71" s="1467"/>
      <c r="B71" s="927" t="s">
        <v>3588</v>
      </c>
      <c r="C71" s="926">
        <v>453</v>
      </c>
      <c r="D71" s="926">
        <v>252</v>
      </c>
      <c r="E71" s="926"/>
      <c r="F71" s="1467"/>
      <c r="G71" s="1467"/>
      <c r="H71" s="1467"/>
      <c r="I71" s="1482"/>
      <c r="J71" s="1482"/>
      <c r="K71" s="1482"/>
      <c r="L71" s="1482"/>
      <c r="M71" s="1482"/>
      <c r="N71" s="1482"/>
      <c r="O71" s="1482"/>
    </row>
    <row r="72" spans="1:15" ht="30" customHeight="1">
      <c r="A72" s="1467"/>
      <c r="B72" s="927" t="s">
        <v>3589</v>
      </c>
      <c r="C72" s="1281">
        <f>3.43*12*1.01</f>
        <v>41.571600000000004</v>
      </c>
      <c r="D72" s="926">
        <v>14</v>
      </c>
      <c r="E72" s="926">
        <v>16</v>
      </c>
      <c r="F72" s="1467"/>
      <c r="G72" s="1467"/>
      <c r="H72" s="1467"/>
      <c r="I72" s="1482"/>
      <c r="J72" s="1482"/>
      <c r="K72" s="1482"/>
      <c r="L72" s="1482"/>
      <c r="M72" s="1482"/>
      <c r="N72" s="1482"/>
      <c r="O72" s="1482"/>
    </row>
    <row r="73" spans="1:15" ht="30" customHeight="1">
      <c r="A73" s="1467"/>
      <c r="B73" s="927" t="s">
        <v>3590</v>
      </c>
      <c r="C73" s="1283">
        <v>1</v>
      </c>
      <c r="D73" s="1283">
        <v>1</v>
      </c>
      <c r="E73" s="926"/>
      <c r="F73" s="1467"/>
      <c r="G73" s="1467"/>
      <c r="H73" s="1467"/>
      <c r="I73" s="1482"/>
      <c r="J73" s="1482"/>
      <c r="K73" s="1482"/>
      <c r="L73" s="1482"/>
      <c r="M73" s="1482"/>
      <c r="N73" s="1482"/>
      <c r="O73" s="1482"/>
    </row>
    <row r="74" spans="1:15" ht="30" customHeight="1">
      <c r="A74" s="1467"/>
      <c r="B74" s="927" t="s">
        <v>3592</v>
      </c>
      <c r="C74" s="1283">
        <v>1</v>
      </c>
      <c r="D74" s="1283">
        <v>1</v>
      </c>
      <c r="E74" s="926"/>
      <c r="F74" s="1467"/>
      <c r="G74" s="1467"/>
      <c r="H74" s="1467"/>
      <c r="I74" s="1482"/>
      <c r="J74" s="1482"/>
      <c r="K74" s="1482"/>
      <c r="L74" s="1482"/>
      <c r="M74" s="1482"/>
      <c r="N74" s="1482"/>
      <c r="O74" s="1482"/>
    </row>
    <row r="75" spans="1:15" ht="30" customHeight="1">
      <c r="A75" s="1467"/>
      <c r="B75" s="927" t="s">
        <v>3591</v>
      </c>
      <c r="C75" s="1283">
        <v>1</v>
      </c>
      <c r="D75" s="1283">
        <v>1</v>
      </c>
      <c r="E75" s="926"/>
      <c r="F75" s="1467"/>
      <c r="G75" s="1467"/>
      <c r="H75" s="1467"/>
      <c r="I75" s="1482"/>
      <c r="J75" s="1482"/>
      <c r="K75" s="1482"/>
      <c r="L75" s="1482"/>
      <c r="M75" s="1482"/>
      <c r="N75" s="1482"/>
      <c r="O75" s="1482"/>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5"/>
  <cols>
    <col min="3" max="3" width="4.5703125" style="2" bestFit="1" customWidth="1"/>
    <col min="4" max="4" width="19.28515625" style="2" bestFit="1" customWidth="1"/>
    <col min="5" max="5" width="10.7109375" style="2" bestFit="1" customWidth="1"/>
    <col min="6" max="6" width="77.7109375" style="2" bestFit="1" customWidth="1"/>
  </cols>
  <sheetData>
    <row r="2" spans="3:6">
      <c r="C2" s="2" t="s">
        <v>1782</v>
      </c>
      <c r="D2" s="2" t="s">
        <v>3419</v>
      </c>
      <c r="E2" s="2" t="s">
        <v>2401</v>
      </c>
      <c r="F2" s="2" t="s">
        <v>19</v>
      </c>
    </row>
    <row r="3" spans="3:6">
      <c r="C3" s="2">
        <v>1</v>
      </c>
      <c r="D3" s="2" t="s">
        <v>3101</v>
      </c>
      <c r="E3" s="2" t="s">
        <v>2872</v>
      </c>
      <c r="F3" s="802" t="s">
        <v>3420</v>
      </c>
    </row>
    <row r="4" spans="3:6">
      <c r="C4" s="2">
        <f>C3+1</f>
        <v>2</v>
      </c>
      <c r="D4" s="2" t="s">
        <v>3421</v>
      </c>
      <c r="E4" s="2" t="s">
        <v>3422</v>
      </c>
      <c r="F4" s="802" t="s">
        <v>3423</v>
      </c>
    </row>
    <row r="5" spans="3:6">
      <c r="C5" s="2">
        <f>C4+1</f>
        <v>3</v>
      </c>
      <c r="D5" s="2" t="s">
        <v>3231</v>
      </c>
      <c r="E5" s="2" t="s">
        <v>3422</v>
      </c>
      <c r="F5" s="802" t="s">
        <v>3424</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5"/>
  <cols>
    <col min="4" max="4" width="9.140625" bestFit="1" customWidth="1"/>
    <col min="5" max="5" width="14.5703125" bestFit="1" customWidth="1"/>
    <col min="7" max="7" width="9.140625" bestFit="1" customWidth="1"/>
    <col min="12" max="12" width="10.85546875" customWidth="1"/>
    <col min="13" max="13" width="12" customWidth="1"/>
  </cols>
  <sheetData>
    <row r="1" spans="2:13">
      <c r="B1" s="1537" t="s">
        <v>1782</v>
      </c>
      <c r="C1" s="1537" t="s">
        <v>1443</v>
      </c>
      <c r="D1" s="1537" t="s">
        <v>3404</v>
      </c>
      <c r="E1" s="1537"/>
      <c r="F1" s="1537" t="s">
        <v>1846</v>
      </c>
      <c r="G1" s="1537" t="s">
        <v>3403</v>
      </c>
    </row>
    <row r="2" spans="2:13">
      <c r="B2" s="1537"/>
      <c r="C2" s="1537"/>
      <c r="D2" s="269" t="s">
        <v>3346</v>
      </c>
      <c r="E2" s="269" t="s">
        <v>3347</v>
      </c>
      <c r="F2" s="1537"/>
      <c r="G2" s="1537"/>
    </row>
    <row r="3" spans="2:13">
      <c r="B3" s="1537"/>
      <c r="C3" s="1537"/>
      <c r="D3" s="269" t="s">
        <v>3405</v>
      </c>
      <c r="E3" s="269" t="s">
        <v>3405</v>
      </c>
      <c r="F3" s="269" t="s">
        <v>1847</v>
      </c>
      <c r="G3" s="269" t="s">
        <v>1849</v>
      </c>
    </row>
    <row r="4" spans="2:13">
      <c r="B4" s="33">
        <v>1</v>
      </c>
      <c r="C4" s="1171">
        <v>45901</v>
      </c>
      <c r="D4" s="751">
        <v>14.664000000000001</v>
      </c>
      <c r="E4" s="751">
        <v>135.08799999999999</v>
      </c>
      <c r="F4" s="33">
        <f t="shared" ref="F4:F10" si="0">ROUND((D4*4.4)+(E4*8),0)</f>
        <v>1145</v>
      </c>
      <c r="G4" s="751">
        <v>8.44</v>
      </c>
    </row>
    <row r="5" spans="2:13">
      <c r="B5" s="33">
        <f>B4+1</f>
        <v>2</v>
      </c>
      <c r="C5" s="1171">
        <v>45931</v>
      </c>
      <c r="D5" s="751">
        <v>76.131999999999991</v>
      </c>
      <c r="E5" s="751">
        <v>667.00399999999991</v>
      </c>
      <c r="F5" s="33">
        <f t="shared" si="0"/>
        <v>5671</v>
      </c>
      <c r="G5" s="751">
        <v>47.8</v>
      </c>
    </row>
    <row r="6" spans="2:13">
      <c r="B6" s="33">
        <f t="shared" ref="B6:B10" si="1">B5+1</f>
        <v>3</v>
      </c>
      <c r="C6" s="1171">
        <v>45962</v>
      </c>
      <c r="D6" s="751">
        <v>283.93300000000005</v>
      </c>
      <c r="E6" s="751">
        <v>2687.36</v>
      </c>
      <c r="F6" s="33">
        <f t="shared" si="0"/>
        <v>22748</v>
      </c>
      <c r="G6" s="751">
        <v>176.38</v>
      </c>
    </row>
    <row r="7" spans="2:13" ht="45">
      <c r="B7" s="33">
        <f t="shared" si="1"/>
        <v>4</v>
      </c>
      <c r="C7" s="1171">
        <v>45992</v>
      </c>
      <c r="D7" s="751">
        <v>415.90302000000014</v>
      </c>
      <c r="E7" s="751">
        <v>3983.9960299999998</v>
      </c>
      <c r="F7" s="33">
        <f t="shared" si="0"/>
        <v>33702</v>
      </c>
      <c r="G7" s="751">
        <v>264.63</v>
      </c>
      <c r="L7" s="1174" t="s">
        <v>3406</v>
      </c>
      <c r="M7" s="1174" t="s">
        <v>3407</v>
      </c>
    </row>
    <row r="8" spans="2:13">
      <c r="B8" s="33">
        <f t="shared" si="1"/>
        <v>5</v>
      </c>
      <c r="C8" s="1171">
        <v>46023</v>
      </c>
      <c r="D8" s="751">
        <v>411.19739999999996</v>
      </c>
      <c r="E8" s="751">
        <v>4750.4000000000024</v>
      </c>
      <c r="F8" s="33">
        <f t="shared" si="0"/>
        <v>39812</v>
      </c>
      <c r="G8" s="751">
        <v>164.07</v>
      </c>
      <c r="L8" s="466">
        <v>21381</v>
      </c>
      <c r="M8" s="466">
        <v>2332</v>
      </c>
    </row>
    <row r="9" spans="2:13">
      <c r="B9" s="33">
        <f t="shared" si="1"/>
        <v>6</v>
      </c>
      <c r="C9" s="1171">
        <v>46054</v>
      </c>
      <c r="D9" s="751">
        <v>411.19739999999996</v>
      </c>
      <c r="E9" s="751">
        <v>4300.4000000000005</v>
      </c>
      <c r="F9" s="33">
        <f t="shared" si="0"/>
        <v>36212</v>
      </c>
      <c r="G9" s="751">
        <v>264.45</v>
      </c>
    </row>
    <row r="10" spans="2:13">
      <c r="B10" s="33">
        <f t="shared" si="1"/>
        <v>7</v>
      </c>
      <c r="C10" s="1171">
        <v>46082</v>
      </c>
      <c r="D10" s="751">
        <v>296.34300000000002</v>
      </c>
      <c r="E10" s="751">
        <v>2947.4839999999999</v>
      </c>
      <c r="F10" s="33">
        <f t="shared" si="0"/>
        <v>24884</v>
      </c>
      <c r="G10" s="751">
        <v>199.54</v>
      </c>
    </row>
    <row r="11" spans="2:13">
      <c r="B11" s="1536" t="s">
        <v>994</v>
      </c>
      <c r="C11" s="1536"/>
      <c r="D11" s="1172">
        <f>SUM(D4:D10)</f>
        <v>1909.3698200000003</v>
      </c>
      <c r="E11" s="1172">
        <f>SUM(E4:E10)</f>
        <v>19471.732030000003</v>
      </c>
      <c r="F11" s="998">
        <f>SUM(F4:F10)</f>
        <v>164174</v>
      </c>
      <c r="G11" s="1172">
        <f>SUM(G4:G10)</f>
        <v>1125.31</v>
      </c>
    </row>
    <row r="12" spans="2:13">
      <c r="E12" s="1173"/>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5"/>
  <cols>
    <col min="3" max="3" width="4.5703125" bestFit="1" customWidth="1"/>
    <col min="4" max="4" width="13.42578125" bestFit="1" customWidth="1"/>
    <col min="5" max="5" width="5.140625" bestFit="1" customWidth="1"/>
    <col min="6" max="6" width="13.140625" bestFit="1" customWidth="1"/>
    <col min="7" max="7" width="10" customWidth="1"/>
    <col min="9" max="9" width="11.42578125" bestFit="1" customWidth="1"/>
    <col min="12" max="12" width="10" customWidth="1"/>
    <col min="13" max="13" width="9.42578125" customWidth="1"/>
    <col min="14" max="14" width="7.28515625" bestFit="1" customWidth="1"/>
    <col min="15" max="15" width="8.140625" bestFit="1" customWidth="1"/>
  </cols>
  <sheetData>
    <row r="1" spans="3:15">
      <c r="C1" s="1539" t="s">
        <v>3376</v>
      </c>
      <c r="D1" s="1540"/>
      <c r="E1" s="1540"/>
      <c r="F1" s="1540"/>
      <c r="G1" s="1540"/>
      <c r="H1" s="1540"/>
      <c r="I1" s="1540"/>
      <c r="J1" s="1540"/>
    </row>
    <row r="2" spans="3:15" ht="4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60">
      <c r="C7" s="10" t="s">
        <v>1782</v>
      </c>
      <c r="D7" s="752" t="s">
        <v>10</v>
      </c>
      <c r="E7" s="752" t="s">
        <v>2683</v>
      </c>
      <c r="F7" s="752" t="s">
        <v>3367</v>
      </c>
      <c r="G7" s="752" t="s">
        <v>2826</v>
      </c>
      <c r="H7" s="752" t="s">
        <v>3266</v>
      </c>
      <c r="I7" s="752" t="s">
        <v>3371</v>
      </c>
      <c r="J7" s="752" t="s">
        <v>3370</v>
      </c>
      <c r="K7" s="752" t="s">
        <v>3372</v>
      </c>
      <c r="L7" s="752" t="s">
        <v>3373</v>
      </c>
      <c r="M7" s="752" t="s">
        <v>3374</v>
      </c>
      <c r="N7" s="752" t="s">
        <v>593</v>
      </c>
      <c r="O7" s="752" t="s">
        <v>19</v>
      </c>
    </row>
    <row r="8" spans="3:15">
      <c r="C8" s="1536" t="s">
        <v>3398</v>
      </c>
      <c r="D8" s="1536"/>
      <c r="E8" s="1536"/>
      <c r="F8" s="1536"/>
      <c r="G8" s="1536"/>
      <c r="H8" s="1536"/>
      <c r="I8" s="1536"/>
      <c r="J8" s="1536"/>
      <c r="K8" s="1536"/>
      <c r="L8" s="1536"/>
      <c r="M8" s="1536"/>
      <c r="N8" s="1536"/>
      <c r="O8" s="1536"/>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0"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0" t="s">
        <v>3402</v>
      </c>
    </row>
    <row r="12" spans="3:15">
      <c r="C12" s="13">
        <v>4</v>
      </c>
      <c r="D12" s="13" t="s">
        <v>614</v>
      </c>
      <c r="E12" s="13" t="s">
        <v>615</v>
      </c>
      <c r="F12" s="13">
        <v>143</v>
      </c>
      <c r="G12" s="13">
        <v>137</v>
      </c>
      <c r="H12" s="13"/>
      <c r="I12" s="13"/>
      <c r="J12" s="13"/>
      <c r="K12" s="13"/>
      <c r="L12" s="13"/>
      <c r="M12" s="13"/>
      <c r="N12" s="13">
        <f>G12-M12</f>
        <v>137</v>
      </c>
      <c r="O12" s="12"/>
    </row>
    <row r="13" spans="3:15">
      <c r="C13" s="1536" t="s">
        <v>3344</v>
      </c>
      <c r="D13" s="1536"/>
      <c r="E13" s="1536"/>
      <c r="F13" s="1536"/>
      <c r="G13" s="1536"/>
      <c r="H13" s="1536"/>
      <c r="I13" s="1536"/>
      <c r="J13" s="1536"/>
      <c r="K13" s="1536"/>
      <c r="L13" s="1536"/>
      <c r="M13" s="1536"/>
      <c r="N13" s="1536"/>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0" t="s">
        <v>3380</v>
      </c>
    </row>
    <row r="17" spans="3:15">
      <c r="C17" s="13">
        <v>4</v>
      </c>
      <c r="D17" s="13" t="s">
        <v>614</v>
      </c>
      <c r="E17" s="13" t="s">
        <v>615</v>
      </c>
      <c r="F17" s="13">
        <v>33</v>
      </c>
      <c r="G17" s="13">
        <v>33</v>
      </c>
      <c r="H17" s="13"/>
      <c r="I17" s="13"/>
      <c r="J17" s="13"/>
      <c r="K17" s="13"/>
      <c r="L17" s="13"/>
      <c r="M17" s="13"/>
      <c r="N17" s="13">
        <f>G17-M17</f>
        <v>33</v>
      </c>
      <c r="O17" s="12"/>
    </row>
    <row r="18" spans="3:15">
      <c r="C18" s="1536" t="s">
        <v>3399</v>
      </c>
      <c r="D18" s="1536"/>
      <c r="E18" s="1536"/>
      <c r="F18" s="1536"/>
      <c r="G18" s="1536"/>
      <c r="H18" s="1536"/>
      <c r="I18" s="1536"/>
      <c r="J18" s="1536"/>
      <c r="K18" s="1536"/>
      <c r="L18" s="1536"/>
      <c r="M18" s="1536"/>
      <c r="N18" s="1536"/>
      <c r="O18" s="1536"/>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0"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525" t="s">
        <v>3376</v>
      </c>
      <c r="D27" s="1525"/>
      <c r="E27" s="1525"/>
      <c r="F27" s="1525"/>
      <c r="G27" s="1525"/>
      <c r="H27" s="1525"/>
      <c r="I27" s="1525"/>
      <c r="J27" s="1525"/>
    </row>
    <row r="28" spans="3:15" ht="4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538" t="s">
        <v>3375</v>
      </c>
      <c r="D32" s="1538"/>
      <c r="E32" s="1538"/>
      <c r="F32" s="1538"/>
      <c r="G32" s="1538"/>
      <c r="H32" s="1538"/>
      <c r="I32" s="1538"/>
      <c r="J32" s="1538"/>
      <c r="K32" s="1538"/>
      <c r="L32" s="1538"/>
      <c r="M32" s="1538"/>
      <c r="N32" s="1538"/>
      <c r="O32" s="1538"/>
    </row>
    <row r="33" spans="3:15" ht="60">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525" t="s">
        <v>3376</v>
      </c>
      <c r="D39" s="1525"/>
      <c r="E39" s="1525"/>
      <c r="F39" s="1525"/>
      <c r="G39" s="1525"/>
      <c r="H39" s="1525"/>
      <c r="I39" s="1525"/>
      <c r="J39" s="1525"/>
    </row>
    <row r="40" spans="3:15" ht="4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60">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3381</v>
      </c>
      <c r="D2" s="12" t="s">
        <v>3383</v>
      </c>
      <c r="E2" s="12" t="s">
        <v>3384</v>
      </c>
    </row>
    <row r="3" spans="3:5">
      <c r="C3" s="12" t="s">
        <v>3382</v>
      </c>
      <c r="D3" s="12" t="s">
        <v>3385</v>
      </c>
      <c r="E3" s="12" t="s">
        <v>3386</v>
      </c>
    </row>
    <row r="4" spans="3:5">
      <c r="D4" s="1166">
        <f>83/173</f>
        <v>0.47976878612716761</v>
      </c>
      <c r="E4" s="1166">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5"/>
  <cols>
    <col min="4" max="4" width="50.5703125" customWidth="1"/>
    <col min="5" max="5" width="9.85546875" customWidth="1"/>
    <col min="6" max="6" width="12.85546875" customWidth="1"/>
    <col min="7" max="7" width="10.140625" customWidth="1"/>
  </cols>
  <sheetData>
    <row r="2" spans="3:10">
      <c r="C2" s="1522" t="s">
        <v>3376</v>
      </c>
      <c r="D2" s="1522"/>
      <c r="E2" s="1522"/>
      <c r="F2" s="1522"/>
      <c r="G2" s="1522"/>
    </row>
    <row r="3" spans="3:10" ht="45">
      <c r="C3" s="10" t="s">
        <v>1782</v>
      </c>
      <c r="D3" s="10" t="s">
        <v>2401</v>
      </c>
      <c r="E3" s="752" t="s">
        <v>3391</v>
      </c>
      <c r="F3" s="752" t="s">
        <v>3392</v>
      </c>
      <c r="G3" s="752" t="s">
        <v>3393</v>
      </c>
    </row>
    <row r="4" spans="3:10">
      <c r="C4" s="33">
        <v>1</v>
      </c>
      <c r="D4" s="942" t="s">
        <v>3361</v>
      </c>
      <c r="E4" s="1167">
        <v>155.09</v>
      </c>
      <c r="F4" s="1167">
        <v>88.06</v>
      </c>
      <c r="G4" s="1167">
        <f>E4-F4</f>
        <v>67.03</v>
      </c>
    </row>
    <row r="5" spans="3:10">
      <c r="C5" s="33">
        <v>2</v>
      </c>
      <c r="D5" s="1168" t="s">
        <v>3362</v>
      </c>
      <c r="E5" s="1167">
        <v>67.47</v>
      </c>
      <c r="F5" s="1167">
        <f>176387266/10^7</f>
        <v>17.638726599999998</v>
      </c>
      <c r="G5" s="1167">
        <f>E5-F5</f>
        <v>49.831273400000001</v>
      </c>
    </row>
    <row r="6" spans="3:10">
      <c r="C6" s="33">
        <v>3</v>
      </c>
      <c r="D6" s="1168" t="s">
        <v>3363</v>
      </c>
      <c r="E6" s="1167">
        <v>6.43</v>
      </c>
      <c r="F6" s="1167">
        <f>1439185/10^7</f>
        <v>0.1439185</v>
      </c>
      <c r="G6" s="1167">
        <f>E6-F6</f>
        <v>6.2860814999999999</v>
      </c>
    </row>
    <row r="7" spans="3:10">
      <c r="C7" s="1541" t="s">
        <v>994</v>
      </c>
      <c r="D7" s="1542"/>
      <c r="E7" s="11">
        <f>SUM(E4:E6)</f>
        <v>228.99</v>
      </c>
      <c r="F7" s="11">
        <f t="shared" ref="F7:G7" si="0">SUM(F4:F6)</f>
        <v>105.8426451</v>
      </c>
      <c r="G7" s="11">
        <f t="shared" si="0"/>
        <v>123.1473549</v>
      </c>
    </row>
    <row r="9" spans="3:10">
      <c r="C9" s="1522" t="s">
        <v>3375</v>
      </c>
      <c r="D9" s="1522"/>
      <c r="E9" s="1522"/>
      <c r="F9" s="1522"/>
      <c r="G9" s="1522"/>
    </row>
    <row r="10" spans="3:10" ht="45">
      <c r="C10" s="10" t="s">
        <v>1782</v>
      </c>
      <c r="D10" s="10" t="s">
        <v>2401</v>
      </c>
      <c r="E10" s="752" t="s">
        <v>3391</v>
      </c>
      <c r="F10" s="752" t="s">
        <v>3392</v>
      </c>
      <c r="G10" s="752" t="s">
        <v>3393</v>
      </c>
    </row>
    <row r="11" spans="3:10">
      <c r="C11" s="33">
        <v>1</v>
      </c>
      <c r="D11" s="942" t="s">
        <v>3361</v>
      </c>
      <c r="E11" s="1167">
        <v>119.32272599519798</v>
      </c>
      <c r="F11" s="1167">
        <f>305299128/10^7</f>
        <v>30.529912800000002</v>
      </c>
      <c r="G11" s="1167">
        <f>E11-F11</f>
        <v>88.792813195197979</v>
      </c>
    </row>
    <row r="12" spans="3:10">
      <c r="C12" s="33">
        <f>C11+1</f>
        <v>2</v>
      </c>
      <c r="D12" s="1168" t="s">
        <v>3362</v>
      </c>
      <c r="E12" s="1167">
        <v>50.130380033318886</v>
      </c>
      <c r="F12" s="1167">
        <f>46321408/10^7</f>
        <v>4.6321408000000002</v>
      </c>
      <c r="G12" s="1167">
        <f t="shared" ref="G12:G15" si="1">E12-F12</f>
        <v>45.498239233318884</v>
      </c>
      <c r="J12">
        <f>88.06+17.64+0.14</f>
        <v>105.84</v>
      </c>
    </row>
    <row r="13" spans="3:10">
      <c r="C13" s="33">
        <f>C12+1</f>
        <v>3</v>
      </c>
      <c r="D13" s="1168" t="s">
        <v>3363</v>
      </c>
      <c r="E13" s="1167">
        <v>4.4045141938709147</v>
      </c>
      <c r="F13" s="1167"/>
      <c r="G13" s="1167">
        <f t="shared" si="1"/>
        <v>4.4045141938709147</v>
      </c>
    </row>
    <row r="14" spans="3:10">
      <c r="C14" s="33">
        <f>C13+1</f>
        <v>4</v>
      </c>
      <c r="D14" s="1169" t="s">
        <v>3394</v>
      </c>
      <c r="E14" s="1167">
        <v>6.4654119127660161</v>
      </c>
      <c r="F14" s="1167"/>
      <c r="G14" s="1167">
        <f t="shared" si="1"/>
        <v>6.4654119127660161</v>
      </c>
    </row>
    <row r="15" spans="3:10">
      <c r="C15" s="33">
        <f>C14+1</f>
        <v>5</v>
      </c>
      <c r="D15" s="1169" t="s">
        <v>3395</v>
      </c>
      <c r="E15" s="1167">
        <v>5.9322033898305087</v>
      </c>
      <c r="F15" s="1167"/>
      <c r="G15" s="1167">
        <f t="shared" si="1"/>
        <v>5.9322033898305087</v>
      </c>
    </row>
    <row r="16" spans="3:10">
      <c r="C16" s="1541" t="s">
        <v>994</v>
      </c>
      <c r="D16" s="1542"/>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5"/>
  <cols>
    <col min="1" max="1" width="23.5703125" style="463" customWidth="1"/>
    <col min="2" max="2" width="8.42578125" style="463" hidden="1" customWidth="1"/>
    <col min="3" max="3" width="8.42578125" style="463" customWidth="1"/>
    <col min="4" max="4" width="6.42578125" style="463" customWidth="1"/>
    <col min="5" max="5" width="8.5703125" style="463" customWidth="1"/>
    <col min="6" max="7" width="9" style="463" customWidth="1"/>
    <col min="8" max="8" width="4.85546875" style="463" customWidth="1"/>
    <col min="9" max="9" width="6.85546875" style="463" customWidth="1"/>
    <col min="10" max="10" width="8.140625" style="463" customWidth="1"/>
    <col min="11" max="11" width="6.42578125" style="463" customWidth="1"/>
    <col min="12" max="13" width="8.140625" style="463" customWidth="1"/>
    <col min="14" max="14" width="7.5703125" style="463" customWidth="1"/>
    <col min="15" max="15" width="8.42578125" style="463" customWidth="1"/>
    <col min="16" max="16" width="6.5703125" style="463" customWidth="1"/>
    <col min="17" max="17" width="5.42578125" style="463" customWidth="1"/>
    <col min="18" max="18" width="24" style="463" customWidth="1"/>
    <col min="19" max="19" width="30.85546875" style="463" hidden="1" customWidth="1"/>
    <col min="20" max="20" width="24" style="463" hidden="1" customWidth="1"/>
    <col min="21" max="16384" width="24" style="463"/>
  </cols>
  <sheetData>
    <row r="1" spans="1:20" ht="11.85" customHeight="1">
      <c r="A1" s="1543" t="s">
        <v>0</v>
      </c>
      <c r="B1" s="1544"/>
      <c r="C1" s="1544"/>
      <c r="D1" s="1544"/>
      <c r="E1" s="1544"/>
      <c r="F1" s="1544"/>
      <c r="G1" s="1544"/>
      <c r="H1" s="1544"/>
      <c r="I1" s="1544"/>
      <c r="J1" s="1544"/>
      <c r="K1" s="1544"/>
      <c r="L1" s="1544"/>
      <c r="M1" s="1544"/>
      <c r="N1" s="1544"/>
      <c r="O1" s="1544"/>
      <c r="P1" s="1544"/>
      <c r="Q1" s="1544"/>
      <c r="R1" s="1545"/>
    </row>
    <row r="2" spans="1:20" ht="13.5" customHeight="1">
      <c r="A2" s="1571" t="s">
        <v>1</v>
      </c>
      <c r="C2" s="464"/>
      <c r="D2" s="464" t="s">
        <v>2</v>
      </c>
      <c r="E2" s="464"/>
      <c r="F2" s="464"/>
      <c r="G2" s="1573" t="s">
        <v>3</v>
      </c>
      <c r="H2" s="466"/>
      <c r="I2" s="501" t="s">
        <v>4</v>
      </c>
      <c r="J2" s="502"/>
      <c r="K2" s="466"/>
      <c r="L2" s="1546" t="s">
        <v>5</v>
      </c>
      <c r="M2" s="1546"/>
      <c r="N2" s="1547">
        <v>45747</v>
      </c>
      <c r="O2" s="1548"/>
      <c r="P2" s="1549"/>
      <c r="Q2" s="1575" t="s">
        <v>6</v>
      </c>
      <c r="R2" s="1577">
        <f ca="1">TODAY()</f>
        <v>46247</v>
      </c>
    </row>
    <row r="3" spans="1:20" ht="12.6" customHeight="1">
      <c r="A3" s="1572"/>
      <c r="C3" s="465"/>
      <c r="D3" s="465" t="s">
        <v>7</v>
      </c>
      <c r="E3" s="465"/>
      <c r="F3" s="465"/>
      <c r="G3" s="1574"/>
      <c r="I3" s="503" t="s">
        <v>8</v>
      </c>
      <c r="J3" s="504"/>
      <c r="K3" s="505"/>
      <c r="L3" s="1546" t="s">
        <v>5</v>
      </c>
      <c r="M3" s="1546"/>
      <c r="N3" s="1547">
        <v>45747</v>
      </c>
      <c r="O3" s="1548"/>
      <c r="P3" s="1549"/>
      <c r="Q3" s="1576"/>
      <c r="R3" s="1578"/>
    </row>
    <row r="4" spans="1:20" ht="7.35" customHeight="1">
      <c r="A4" s="467" t="s">
        <v>9</v>
      </c>
      <c r="B4" s="468"/>
      <c r="C4" s="468"/>
      <c r="D4" s="468"/>
      <c r="E4" s="468"/>
      <c r="F4" s="468"/>
      <c r="G4" s="468"/>
      <c r="H4" s="468"/>
      <c r="I4" s="468"/>
      <c r="J4" s="468"/>
      <c r="K4" s="468"/>
      <c r="L4" s="468"/>
      <c r="M4" s="468"/>
      <c r="N4" s="468"/>
      <c r="O4" s="506"/>
      <c r="P4" s="506"/>
      <c r="Q4" s="468"/>
      <c r="R4" s="522"/>
    </row>
    <row r="5" spans="1:20" ht="17.100000000000001" customHeight="1">
      <c r="A5" s="1550" t="s">
        <v>10</v>
      </c>
      <c r="B5" s="469" t="s">
        <v>11</v>
      </c>
      <c r="C5" s="1550" t="s">
        <v>12</v>
      </c>
      <c r="D5" s="1550" t="s">
        <v>13</v>
      </c>
      <c r="E5" s="1550"/>
      <c r="F5" s="1550" t="s">
        <v>14</v>
      </c>
      <c r="G5" s="1550"/>
      <c r="H5" s="1551" t="s">
        <v>1704</v>
      </c>
      <c r="I5" s="1552"/>
      <c r="J5" s="469" t="s">
        <v>16</v>
      </c>
      <c r="K5" s="1551" t="s">
        <v>1741</v>
      </c>
      <c r="L5" s="1552"/>
      <c r="M5" s="1552"/>
      <c r="N5" s="1552"/>
      <c r="O5" s="1550" t="s">
        <v>18</v>
      </c>
      <c r="P5" s="1550"/>
      <c r="Q5" s="1550" t="s">
        <v>19</v>
      </c>
      <c r="R5" s="1579"/>
    </row>
    <row r="6" spans="1:20" ht="21" customHeight="1" thickBot="1">
      <c r="A6" s="1550"/>
      <c r="B6" s="469"/>
      <c r="C6" s="155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550"/>
      <c r="R6" s="157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553"/>
      <c r="R7" s="155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554"/>
      <c r="R8" s="155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554"/>
      <c r="R9" s="1555"/>
    </row>
    <row r="10" spans="1:20" s="462" customFormat="1" ht="14.45"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556"/>
      <c r="R10" s="1557"/>
    </row>
    <row r="11" spans="1:20" s="462" customFormat="1" ht="13.7"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554"/>
      <c r="R11" s="1555"/>
    </row>
    <row r="12" spans="1:20" s="462" customFormat="1" ht="12.75"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554"/>
      <c r="R12" s="1555"/>
    </row>
    <row r="13" spans="1:20" s="462" customFormat="1" ht="13.7"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556"/>
      <c r="R13" s="1557"/>
    </row>
    <row r="14" spans="1:20" s="462" customFormat="1" ht="13.7"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565"/>
      <c r="R14" s="1560"/>
      <c r="S14" s="462">
        <v>9649905358</v>
      </c>
      <c r="T14" s="462" t="s">
        <v>29</v>
      </c>
    </row>
    <row r="15" spans="1:20" s="462" customFormat="1" ht="12.75">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565"/>
      <c r="R15" s="156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561"/>
      <c r="R16" s="1562"/>
    </row>
    <row r="17" spans="1:19" s="462" customFormat="1" ht="13.7"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556"/>
      <c r="R17" s="1557"/>
    </row>
    <row r="18" spans="1:19" s="462" customFormat="1" ht="13.7"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558"/>
      <c r="R18" s="1559"/>
    </row>
    <row r="19" spans="1:19" s="462" customFormat="1" ht="12.75">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558" t="s">
        <v>1754</v>
      </c>
      <c r="R19" s="156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561"/>
      <c r="R20" s="156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563"/>
      <c r="R21" s="1564"/>
      <c r="S21" s="523"/>
    </row>
    <row r="22" spans="1:19" s="462" customFormat="1" ht="12.75">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558"/>
      <c r="R22" s="1560"/>
      <c r="S22" s="523"/>
    </row>
    <row r="23" spans="1:19" s="462" customFormat="1" ht="12.75">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558"/>
      <c r="R23" s="156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568"/>
      <c r="R24" s="156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563"/>
      <c r="R25" s="1564"/>
    </row>
    <row r="26" spans="1:19" ht="14.45"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558"/>
      <c r="R26" s="1560"/>
    </row>
    <row r="27" spans="1:19" ht="14.45"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566"/>
      <c r="R27" s="1567"/>
    </row>
    <row r="28" spans="1:19">
      <c r="A28" s="498" t="s">
        <v>31</v>
      </c>
      <c r="B28" s="479"/>
      <c r="C28" s="499"/>
      <c r="D28" s="479"/>
      <c r="E28" s="479"/>
      <c r="F28" s="479"/>
      <c r="G28" s="479"/>
      <c r="H28" s="479"/>
      <c r="I28" s="479"/>
      <c r="J28" s="479"/>
      <c r="K28" s="479"/>
      <c r="L28" s="526" t="s">
        <v>1718</v>
      </c>
      <c r="M28" s="479"/>
      <c r="N28" s="479"/>
      <c r="O28" s="479"/>
      <c r="P28" s="479"/>
      <c r="Q28" s="1568"/>
      <c r="R28" s="1569"/>
    </row>
    <row r="29" spans="1:19">
      <c r="Q29" s="1570"/>
      <c r="R29" s="1570"/>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109375" defaultRowHeight="12"/>
  <cols>
    <col min="1" max="1" width="2.42578125" style="674" customWidth="1"/>
    <col min="2" max="2" width="20.85546875" style="674" bestFit="1" customWidth="1"/>
    <col min="3" max="3" width="14.5703125" style="674" hidden="1" customWidth="1"/>
    <col min="4" max="4" width="27.42578125" style="674" hidden="1" customWidth="1"/>
    <col min="5" max="5" width="8.140625" style="674" hidden="1" customWidth="1"/>
    <col min="6" max="6" width="25.5703125" style="674" bestFit="1" customWidth="1"/>
    <col min="7" max="7" width="16.28515625" style="674" bestFit="1" customWidth="1"/>
    <col min="8" max="8" width="12.140625" style="674" customWidth="1"/>
    <col min="9" max="9" width="9.85546875" style="674" customWidth="1"/>
    <col min="10" max="10" width="11.140625" style="674" customWidth="1"/>
    <col min="11" max="11" width="14.42578125" style="674" customWidth="1"/>
    <col min="12" max="12" width="9.140625" style="674" bestFit="1" customWidth="1"/>
    <col min="13" max="13" width="45.5703125" style="674" customWidth="1"/>
    <col min="14" max="14" width="11.5703125" style="674" bestFit="1" customWidth="1"/>
    <col min="15" max="25" width="8.7109375" style="674"/>
    <col min="26" max="26" width="7.85546875" style="674" bestFit="1" customWidth="1"/>
    <col min="27" max="27" width="12.85546875" style="674" bestFit="1" customWidth="1"/>
    <col min="28" max="16384" width="8.7109375" style="674"/>
  </cols>
  <sheetData>
    <row r="1" spans="1:27" s="668" customFormat="1">
      <c r="B1" s="669" t="s">
        <v>1784</v>
      </c>
      <c r="C1" s="1586" t="s">
        <v>1785</v>
      </c>
      <c r="D1" s="1586"/>
      <c r="E1" s="1586"/>
      <c r="F1" s="1586"/>
      <c r="G1" s="1586"/>
      <c r="H1" s="1587"/>
      <c r="W1" s="670"/>
      <c r="X1" s="670"/>
      <c r="Y1" s="670"/>
      <c r="Z1" s="671" t="s">
        <v>1786</v>
      </c>
      <c r="AA1" s="671" t="s">
        <v>1787</v>
      </c>
    </row>
    <row r="2" spans="1:27" s="672" customFormat="1">
      <c r="B2" s="673" t="s">
        <v>1788</v>
      </c>
      <c r="C2" s="1588" t="s">
        <v>1789</v>
      </c>
      <c r="D2" s="1588"/>
      <c r="E2" s="1588"/>
      <c r="F2" s="1588"/>
      <c r="G2" s="1588"/>
      <c r="H2" s="1589"/>
      <c r="W2" s="670"/>
      <c r="X2" s="670"/>
      <c r="Y2" s="670"/>
      <c r="Z2" s="671" t="s">
        <v>1790</v>
      </c>
      <c r="AA2" s="671" t="s">
        <v>1791</v>
      </c>
    </row>
    <row r="3" spans="1:27" s="668" customFormat="1">
      <c r="B3" s="673" t="s">
        <v>1792</v>
      </c>
      <c r="C3" s="1588" t="s">
        <v>1766</v>
      </c>
      <c r="D3" s="1588"/>
      <c r="E3" s="1588"/>
      <c r="F3" s="1588"/>
      <c r="G3" s="1588"/>
      <c r="H3" s="1589"/>
      <c r="W3" s="670"/>
      <c r="X3" s="670"/>
      <c r="Y3" s="670"/>
      <c r="Z3" s="671"/>
      <c r="AA3" s="671" t="s">
        <v>1790</v>
      </c>
    </row>
    <row r="4" spans="1:27">
      <c r="A4" s="668"/>
      <c r="B4" s="673" t="s">
        <v>1793</v>
      </c>
      <c r="C4" s="1590" t="s">
        <v>1794</v>
      </c>
      <c r="D4" s="1591"/>
      <c r="E4" s="1591"/>
      <c r="F4" s="1591"/>
      <c r="G4" s="1591"/>
      <c r="H4" s="1592"/>
      <c r="W4" s="675"/>
      <c r="X4" s="675"/>
      <c r="Y4" s="675"/>
      <c r="Z4" s="675"/>
      <c r="AA4" s="675"/>
    </row>
    <row r="5" spans="1:27" ht="12.75" thickBot="1">
      <c r="A5" s="668"/>
      <c r="B5" s="676" t="s">
        <v>1795</v>
      </c>
      <c r="C5" s="1593" t="s">
        <v>1796</v>
      </c>
      <c r="D5" s="1594"/>
      <c r="E5" s="1594"/>
      <c r="F5" s="1594"/>
      <c r="G5" s="1594"/>
      <c r="H5" s="1595"/>
      <c r="W5" s="675"/>
      <c r="X5" s="675"/>
      <c r="Y5" s="675"/>
      <c r="Z5" s="675"/>
      <c r="AA5" s="675"/>
    </row>
    <row r="6" spans="1:27" ht="12.75" thickBot="1">
      <c r="B6" s="677"/>
      <c r="C6" s="678"/>
      <c r="D6" s="678"/>
      <c r="E6" s="678"/>
      <c r="F6" s="678"/>
      <c r="G6" s="678"/>
      <c r="H6" s="678"/>
      <c r="I6" s="678"/>
      <c r="J6" s="678"/>
      <c r="K6" s="678"/>
      <c r="L6" s="678"/>
    </row>
    <row r="7" spans="1:27" ht="24.95" customHeight="1" thickBot="1">
      <c r="B7" s="1583" t="s">
        <v>1797</v>
      </c>
      <c r="C7" s="1584"/>
      <c r="D7" s="1584"/>
      <c r="E7" s="1584"/>
      <c r="F7" s="1584"/>
      <c r="G7" s="1585"/>
      <c r="H7" s="1583" t="s">
        <v>1798</v>
      </c>
      <c r="I7" s="1584"/>
      <c r="J7" s="1584"/>
      <c r="K7" s="1584"/>
      <c r="L7" s="1584"/>
      <c r="M7" s="1585"/>
    </row>
    <row r="8" spans="1:27" s="672" customFormat="1" ht="48">
      <c r="B8" s="679" t="s">
        <v>2704</v>
      </c>
      <c r="C8" s="680" t="s">
        <v>1799</v>
      </c>
      <c r="D8" s="680" t="s">
        <v>1800</v>
      </c>
      <c r="E8" s="680" t="s">
        <v>1801</v>
      </c>
      <c r="F8" s="680" t="s">
        <v>1802</v>
      </c>
      <c r="G8" s="681" t="s">
        <v>1803</v>
      </c>
      <c r="H8" s="681" t="s">
        <v>1804</v>
      </c>
      <c r="I8" s="681" t="s">
        <v>1805</v>
      </c>
      <c r="J8" s="681" t="s">
        <v>1806</v>
      </c>
      <c r="K8" s="681" t="s">
        <v>1807</v>
      </c>
      <c r="L8" s="681" t="s">
        <v>1808</v>
      </c>
      <c r="M8" s="682" t="s">
        <v>1809</v>
      </c>
    </row>
    <row r="9" spans="1:27" ht="26.1" customHeight="1">
      <c r="B9" s="1598" t="s">
        <v>2371</v>
      </c>
      <c r="C9" s="1599" t="s">
        <v>1810</v>
      </c>
      <c r="D9" s="683" t="s">
        <v>1811</v>
      </c>
      <c r="E9" s="1599" t="s">
        <v>1812</v>
      </c>
      <c r="F9" s="684" t="s">
        <v>1813</v>
      </c>
      <c r="G9" s="685">
        <v>46.914999999999999</v>
      </c>
      <c r="H9" s="685">
        <f>45.61+0.83</f>
        <v>46.44</v>
      </c>
      <c r="I9" s="685">
        <f>G9-H9</f>
        <v>0.47500000000000142</v>
      </c>
      <c r="J9" s="685">
        <f>39.202+4.505+2.346</f>
        <v>46.052999999999997</v>
      </c>
      <c r="K9" s="685">
        <v>46.052999999999997</v>
      </c>
      <c r="L9" s="685">
        <f>J9-K9</f>
        <v>0</v>
      </c>
      <c r="M9" s="686" t="s">
        <v>2424</v>
      </c>
      <c r="N9" s="789"/>
    </row>
    <row r="10" spans="1:27" ht="60">
      <c r="B10" s="1598"/>
      <c r="C10" s="1599"/>
      <c r="D10" s="683" t="s">
        <v>1814</v>
      </c>
      <c r="E10" s="1599"/>
      <c r="F10" s="687" t="s">
        <v>1815</v>
      </c>
      <c r="G10" s="688">
        <v>33</v>
      </c>
      <c r="H10" s="688">
        <f>7.63+0.34+0.29+0.3+0.83+2.257+0.79+0.849+1.044+0.76+0.7+0.4+0.3+0.964+0.684+2+3+4</f>
        <v>27.138000000000002</v>
      </c>
      <c r="I10" s="688">
        <f t="shared" ref="I10:I20" si="0">G10-H10</f>
        <v>5.8619999999999983</v>
      </c>
      <c r="J10" s="688">
        <v>19.600000000000001</v>
      </c>
      <c r="K10" s="688">
        <v>19.600000000000001</v>
      </c>
      <c r="L10" s="688">
        <f t="shared" ref="L10:L20" si="1">J10-K10</f>
        <v>0</v>
      </c>
      <c r="M10" s="689" t="s">
        <v>3137</v>
      </c>
    </row>
    <row r="11" spans="1:27" ht="20.100000000000001" customHeight="1">
      <c r="B11" s="1598"/>
      <c r="C11" s="1599"/>
      <c r="D11" s="683" t="s">
        <v>1816</v>
      </c>
      <c r="E11" s="1599"/>
      <c r="F11" s="1600" t="s">
        <v>1817</v>
      </c>
      <c r="G11" s="1602">
        <v>2.1800000000000002</v>
      </c>
      <c r="H11" s="1603">
        <v>2.1800000000000002</v>
      </c>
      <c r="I11" s="1603">
        <f t="shared" si="0"/>
        <v>0</v>
      </c>
      <c r="J11" s="1603">
        <v>2.1800000000000002</v>
      </c>
      <c r="K11" s="1603">
        <v>2.1800000000000002</v>
      </c>
      <c r="L11" s="1603">
        <f t="shared" si="1"/>
        <v>0</v>
      </c>
      <c r="M11" s="1596" t="s">
        <v>2366</v>
      </c>
      <c r="N11" s="1597"/>
      <c r="O11" s="1597"/>
      <c r="P11" s="1597"/>
      <c r="Q11" s="1597"/>
      <c r="R11" s="1597"/>
      <c r="S11" s="1597"/>
      <c r="T11" s="1597"/>
      <c r="U11" s="1597"/>
      <c r="V11" s="1597"/>
      <c r="W11" s="1597"/>
    </row>
    <row r="12" spans="1:27" ht="20.100000000000001" customHeight="1">
      <c r="B12" s="1598"/>
      <c r="C12" s="1599"/>
      <c r="D12" s="683" t="s">
        <v>1818</v>
      </c>
      <c r="E12" s="1599"/>
      <c r="F12" s="1601"/>
      <c r="G12" s="1602"/>
      <c r="H12" s="1604"/>
      <c r="I12" s="1604">
        <f t="shared" si="0"/>
        <v>0</v>
      </c>
      <c r="J12" s="1604"/>
      <c r="K12" s="1604"/>
      <c r="L12" s="1604">
        <f t="shared" si="1"/>
        <v>0</v>
      </c>
      <c r="M12" s="1596"/>
    </row>
    <row r="13" spans="1:27" ht="25.5" customHeight="1">
      <c r="B13" s="1598" t="s">
        <v>2376</v>
      </c>
      <c r="C13" s="1599" t="s">
        <v>1819</v>
      </c>
      <c r="D13" s="683" t="s">
        <v>1820</v>
      </c>
      <c r="E13" s="1599" t="s">
        <v>1821</v>
      </c>
      <c r="F13" s="1606" t="s">
        <v>1822</v>
      </c>
      <c r="G13" s="1605">
        <v>47.25</v>
      </c>
      <c r="H13" s="1605">
        <v>46.473999999999997</v>
      </c>
      <c r="I13" s="1605">
        <f t="shared" si="0"/>
        <v>0.77600000000000335</v>
      </c>
      <c r="J13" s="1605">
        <v>45.892000000000003</v>
      </c>
      <c r="K13" s="1605">
        <f>13.05+32.842</f>
        <v>45.891999999999996</v>
      </c>
      <c r="L13" s="1605">
        <f t="shared" si="1"/>
        <v>0</v>
      </c>
      <c r="M13" s="1610"/>
    </row>
    <row r="14" spans="1:27" ht="20.100000000000001" customHeight="1">
      <c r="B14" s="1598"/>
      <c r="C14" s="1599"/>
      <c r="D14" s="683" t="s">
        <v>1823</v>
      </c>
      <c r="E14" s="1599"/>
      <c r="F14" s="1606"/>
      <c r="G14" s="1605"/>
      <c r="H14" s="1605"/>
      <c r="I14" s="1605">
        <f t="shared" si="0"/>
        <v>0</v>
      </c>
      <c r="J14" s="1605"/>
      <c r="K14" s="1605"/>
      <c r="L14" s="1605">
        <f t="shared" si="1"/>
        <v>0</v>
      </c>
      <c r="M14" s="1611"/>
    </row>
    <row r="15" spans="1:27" ht="20.100000000000001" customHeight="1">
      <c r="B15" s="1598"/>
      <c r="C15" s="1599"/>
      <c r="D15" s="683" t="s">
        <v>1824</v>
      </c>
      <c r="E15" s="1599"/>
      <c r="F15" s="1606"/>
      <c r="G15" s="1605"/>
      <c r="H15" s="1605"/>
      <c r="I15" s="1605">
        <f t="shared" si="0"/>
        <v>0</v>
      </c>
      <c r="J15" s="1605"/>
      <c r="K15" s="1605"/>
      <c r="L15" s="1605">
        <f t="shared" si="1"/>
        <v>0</v>
      </c>
      <c r="M15" s="1611"/>
    </row>
    <row r="16" spans="1:27" ht="48.6" customHeight="1">
      <c r="B16" s="1598"/>
      <c r="C16" s="1599"/>
      <c r="D16" s="683" t="s">
        <v>1825</v>
      </c>
      <c r="E16" s="1599"/>
      <c r="F16" s="1606"/>
      <c r="G16" s="1605"/>
      <c r="H16" s="1605"/>
      <c r="I16" s="1605"/>
      <c r="J16" s="1605"/>
      <c r="K16" s="1605"/>
      <c r="L16" s="1605">
        <f t="shared" si="1"/>
        <v>0</v>
      </c>
      <c r="M16" s="1613"/>
      <c r="N16" s="789"/>
    </row>
    <row r="17" spans="2:13" ht="20.100000000000001" customHeight="1">
      <c r="B17" s="1598" t="s">
        <v>2376</v>
      </c>
      <c r="C17" s="1617" t="s">
        <v>1826</v>
      </c>
      <c r="D17" s="690" t="s">
        <v>1827</v>
      </c>
      <c r="E17" s="1599" t="s">
        <v>1821</v>
      </c>
      <c r="F17" s="1606" t="s">
        <v>1828</v>
      </c>
      <c r="G17" s="1605">
        <v>47.805</v>
      </c>
      <c r="H17" s="1607">
        <f>34.985+1.456+2.013+2.516</f>
        <v>40.97</v>
      </c>
      <c r="I17" s="1607">
        <f t="shared" si="0"/>
        <v>6.8350000000000009</v>
      </c>
      <c r="J17" s="1607">
        <v>47.81</v>
      </c>
      <c r="K17" s="1607">
        <v>23.518999999999998</v>
      </c>
      <c r="L17" s="1607">
        <f t="shared" si="1"/>
        <v>24.291000000000004</v>
      </c>
      <c r="M17" s="1610"/>
    </row>
    <row r="18" spans="2:13" ht="20.100000000000001" customHeight="1">
      <c r="B18" s="1598"/>
      <c r="C18" s="1617"/>
      <c r="D18" s="683" t="s">
        <v>1829</v>
      </c>
      <c r="E18" s="1599"/>
      <c r="F18" s="1606"/>
      <c r="G18" s="1605"/>
      <c r="H18" s="1608"/>
      <c r="I18" s="1608">
        <f t="shared" si="0"/>
        <v>0</v>
      </c>
      <c r="J18" s="1608"/>
      <c r="K18" s="1608"/>
      <c r="L18" s="1608">
        <f t="shared" si="1"/>
        <v>0</v>
      </c>
      <c r="M18" s="1611"/>
    </row>
    <row r="19" spans="2:13" ht="20.100000000000001" customHeight="1">
      <c r="B19" s="1598"/>
      <c r="C19" s="1617"/>
      <c r="D19" s="683" t="s">
        <v>1830</v>
      </c>
      <c r="E19" s="1599"/>
      <c r="F19" s="1606"/>
      <c r="G19" s="1605"/>
      <c r="H19" s="1608"/>
      <c r="I19" s="1608">
        <f t="shared" si="0"/>
        <v>0</v>
      </c>
      <c r="J19" s="1608"/>
      <c r="K19" s="1608"/>
      <c r="L19" s="1608">
        <f t="shared" si="1"/>
        <v>0</v>
      </c>
      <c r="M19" s="1611"/>
    </row>
    <row r="20" spans="2:13" ht="20.100000000000001" customHeight="1" thickBot="1">
      <c r="B20" s="1616"/>
      <c r="C20" s="1618"/>
      <c r="D20" s="691"/>
      <c r="E20" s="1619"/>
      <c r="F20" s="1620"/>
      <c r="G20" s="1621"/>
      <c r="H20" s="1609"/>
      <c r="I20" s="1609">
        <f t="shared" si="0"/>
        <v>0</v>
      </c>
      <c r="J20" s="1609"/>
      <c r="K20" s="1609"/>
      <c r="L20" s="1609">
        <f t="shared" si="1"/>
        <v>0</v>
      </c>
      <c r="M20" s="1612"/>
    </row>
    <row r="21" spans="2:13" ht="17.649999999999999" customHeight="1" thickBot="1">
      <c r="B21" s="1614" t="s">
        <v>1831</v>
      </c>
      <c r="C21" s="1615"/>
      <c r="D21" s="1615"/>
      <c r="E21" s="692"/>
      <c r="F21" s="692"/>
      <c r="G21" s="693">
        <f>SUM(G9:G20)</f>
        <v>177.15</v>
      </c>
      <c r="H21" s="693">
        <f t="shared" ref="H21:M21" si="2">SUM(H9:H20)</f>
        <v>163.202</v>
      </c>
      <c r="I21" s="693">
        <f t="shared" si="2"/>
        <v>13.948000000000004</v>
      </c>
      <c r="J21" s="693">
        <f t="shared" si="2"/>
        <v>161.535</v>
      </c>
      <c r="K21" s="693">
        <f t="shared" ref="K21" si="3">SUM(K9:K20)</f>
        <v>137.244</v>
      </c>
      <c r="L21" s="693">
        <f t="shared" si="2"/>
        <v>24.291000000000004</v>
      </c>
      <c r="M21" s="694">
        <f t="shared" si="2"/>
        <v>0</v>
      </c>
    </row>
    <row r="23" spans="2:13">
      <c r="K23" s="789"/>
    </row>
    <row r="26" spans="2:13" ht="15">
      <c r="G26" s="1580" t="s">
        <v>2727</v>
      </c>
      <c r="H26" s="1580"/>
      <c r="I26" s="1580"/>
      <c r="J26" s="1580"/>
      <c r="K26" s="1580"/>
      <c r="L26" s="1580"/>
      <c r="M26" s="1580"/>
    </row>
    <row r="27" spans="2:13" ht="15">
      <c r="G27" s="1580" t="s">
        <v>1782</v>
      </c>
      <c r="H27" s="1580" t="s">
        <v>1433</v>
      </c>
      <c r="I27" s="1580" t="s">
        <v>1433</v>
      </c>
      <c r="J27" s="862" t="s">
        <v>1439</v>
      </c>
      <c r="K27" s="862" t="s">
        <v>2671</v>
      </c>
      <c r="L27" s="1581" t="s">
        <v>1004</v>
      </c>
      <c r="M27" s="1582" t="s">
        <v>19</v>
      </c>
    </row>
    <row r="28" spans="2:13" ht="15">
      <c r="G28" s="1580"/>
      <c r="H28" s="1580"/>
      <c r="I28" s="1580"/>
      <c r="J28" s="862" t="s">
        <v>615</v>
      </c>
      <c r="K28" s="862" t="s">
        <v>570</v>
      </c>
      <c r="L28" s="1581"/>
      <c r="M28" s="1582"/>
    </row>
    <row r="29" spans="2:13" ht="15">
      <c r="G29" s="863">
        <v>1</v>
      </c>
      <c r="H29" s="863" t="s">
        <v>2672</v>
      </c>
      <c r="I29" s="863" t="s">
        <v>2371</v>
      </c>
      <c r="J29" s="866">
        <v>10.43</v>
      </c>
      <c r="K29" s="864">
        <v>45846</v>
      </c>
      <c r="L29" s="864">
        <v>45854</v>
      </c>
      <c r="M29" s="865"/>
    </row>
    <row r="30" spans="2:13" ht="15">
      <c r="G30" s="863">
        <v>2</v>
      </c>
      <c r="H30" s="863" t="s">
        <v>2673</v>
      </c>
      <c r="I30" s="863" t="s">
        <v>2371</v>
      </c>
      <c r="J30" s="866">
        <v>13.72</v>
      </c>
      <c r="K30" s="864">
        <v>45857</v>
      </c>
      <c r="L30" s="864">
        <v>45862</v>
      </c>
      <c r="M30" s="865"/>
    </row>
    <row r="31" spans="2:13" ht="15">
      <c r="G31" s="863">
        <v>3</v>
      </c>
      <c r="H31" s="863" t="s">
        <v>2674</v>
      </c>
      <c r="I31" s="863" t="s">
        <v>2371</v>
      </c>
      <c r="J31" s="866">
        <v>15.05</v>
      </c>
      <c r="K31" s="864">
        <v>45868</v>
      </c>
      <c r="L31" s="864">
        <v>45873</v>
      </c>
      <c r="M31" s="865"/>
    </row>
    <row r="32" spans="2:13" ht="15">
      <c r="G32" s="863">
        <v>4</v>
      </c>
      <c r="H32" s="863" t="s">
        <v>2675</v>
      </c>
      <c r="I32" s="863" t="s">
        <v>2371</v>
      </c>
      <c r="J32" s="866">
        <v>4.51</v>
      </c>
      <c r="K32" s="864">
        <v>45908</v>
      </c>
      <c r="L32" s="864">
        <v>45909</v>
      </c>
      <c r="M32" s="865"/>
    </row>
    <row r="33" spans="7:13" ht="15">
      <c r="G33" s="871">
        <v>5</v>
      </c>
      <c r="H33" s="871" t="s">
        <v>2726</v>
      </c>
      <c r="I33" s="871" t="s">
        <v>2371</v>
      </c>
      <c r="J33" s="872">
        <v>2.3460000000000001</v>
      </c>
      <c r="K33" s="873">
        <v>45918</v>
      </c>
      <c r="L33" s="873">
        <v>45930</v>
      </c>
      <c r="M33" s="874"/>
    </row>
    <row r="34" spans="7:13" ht="15">
      <c r="G34" s="863">
        <v>5</v>
      </c>
      <c r="H34" s="863" t="s">
        <v>2676</v>
      </c>
      <c r="I34" s="863" t="s">
        <v>2376</v>
      </c>
      <c r="J34" s="866">
        <v>11.37</v>
      </c>
      <c r="K34" s="864">
        <v>45875</v>
      </c>
      <c r="L34" s="864">
        <v>45894</v>
      </c>
      <c r="M34" s="865"/>
    </row>
    <row r="35" spans="7:13" ht="15">
      <c r="G35" s="863">
        <v>6</v>
      </c>
      <c r="H35" s="863" t="s">
        <v>2677</v>
      </c>
      <c r="I35" s="863" t="s">
        <v>2376</v>
      </c>
      <c r="J35" s="866">
        <v>11.41</v>
      </c>
      <c r="K35" s="864">
        <v>45885</v>
      </c>
      <c r="L35" s="864">
        <v>45900</v>
      </c>
      <c r="M35" s="865"/>
    </row>
    <row r="36" spans="7:13" ht="15">
      <c r="G36" s="863">
        <v>7</v>
      </c>
      <c r="H36" s="863" t="s">
        <v>2678</v>
      </c>
      <c r="I36" s="863" t="s">
        <v>2376</v>
      </c>
      <c r="J36" s="866">
        <v>10.07</v>
      </c>
      <c r="K36" s="864">
        <v>45890</v>
      </c>
      <c r="L36" s="864">
        <v>45894</v>
      </c>
      <c r="M36" s="865"/>
    </row>
    <row r="37" spans="7:13" ht="15">
      <c r="G37" s="863">
        <v>8</v>
      </c>
      <c r="H37" s="863" t="s">
        <v>2679</v>
      </c>
      <c r="I37" s="863" t="s">
        <v>2376</v>
      </c>
      <c r="J37" s="866">
        <v>6.93</v>
      </c>
      <c r="K37" s="864">
        <v>45888</v>
      </c>
      <c r="L37" s="864">
        <v>45904</v>
      </c>
      <c r="M37" s="865"/>
    </row>
    <row r="38" spans="7:13" ht="15">
      <c r="G38" s="863">
        <v>9</v>
      </c>
      <c r="H38" s="863" t="s">
        <v>2680</v>
      </c>
      <c r="I38" s="863" t="s">
        <v>2376</v>
      </c>
      <c r="J38" s="866">
        <v>10.3</v>
      </c>
      <c r="K38" s="864">
        <v>45888</v>
      </c>
      <c r="L38" s="864">
        <v>45904</v>
      </c>
      <c r="M38" s="865"/>
    </row>
    <row r="39" spans="7:13" ht="15">
      <c r="G39" s="863">
        <v>10</v>
      </c>
      <c r="H39" s="863" t="s">
        <v>2681</v>
      </c>
      <c r="I39" s="863" t="s">
        <v>2376</v>
      </c>
      <c r="J39" s="866">
        <v>6.29</v>
      </c>
      <c r="K39" s="864">
        <v>45892</v>
      </c>
      <c r="L39" s="864">
        <v>45904</v>
      </c>
      <c r="M39" s="865"/>
    </row>
    <row r="40" spans="7:13" ht="14.45" customHeight="1">
      <c r="G40" s="871">
        <v>11</v>
      </c>
      <c r="H40" s="871" t="s">
        <v>2728</v>
      </c>
      <c r="I40" s="871" t="s">
        <v>2376</v>
      </c>
      <c r="J40" s="872">
        <v>9.6259999999999994</v>
      </c>
      <c r="K40" s="873">
        <v>45913</v>
      </c>
      <c r="L40" s="873">
        <v>45961</v>
      </c>
      <c r="M40" s="948"/>
    </row>
    <row r="41" spans="7:13" ht="15">
      <c r="G41" s="871">
        <v>12</v>
      </c>
      <c r="H41" s="871" t="s">
        <v>2729</v>
      </c>
      <c r="I41" s="871" t="s">
        <v>2376</v>
      </c>
      <c r="J41" s="872">
        <v>3.42</v>
      </c>
      <c r="K41" s="873">
        <v>45919</v>
      </c>
      <c r="L41" s="873">
        <v>45961</v>
      </c>
      <c r="M41" s="949"/>
    </row>
    <row r="42" spans="7:13" ht="30">
      <c r="G42" s="871">
        <v>13</v>
      </c>
      <c r="H42" s="871" t="s">
        <v>2735</v>
      </c>
      <c r="I42" s="871" t="s">
        <v>2376</v>
      </c>
      <c r="J42" s="872">
        <v>12.083</v>
      </c>
      <c r="K42" s="873">
        <v>45922</v>
      </c>
      <c r="L42" s="873"/>
      <c r="M42" s="948" t="s">
        <v>3097</v>
      </c>
    </row>
    <row r="43" spans="7:13" ht="15">
      <c r="G43" s="1580" t="s">
        <v>994</v>
      </c>
      <c r="H43" s="1580"/>
      <c r="I43" s="1580"/>
      <c r="J43" s="867">
        <f>SUM(J29:J42)</f>
        <v>127.55500000000002</v>
      </c>
      <c r="K43" s="861"/>
      <c r="L43" s="861"/>
      <c r="M43" s="868"/>
    </row>
    <row r="45" spans="7:13" ht="15">
      <c r="G45" s="1580" t="s">
        <v>2730</v>
      </c>
      <c r="H45" s="1580"/>
      <c r="I45" s="1580"/>
      <c r="J45" s="1580"/>
      <c r="K45" s="1580"/>
      <c r="L45" s="1580"/>
      <c r="M45" s="1580"/>
    </row>
    <row r="46" spans="7:13" ht="15">
      <c r="G46" s="1580" t="s">
        <v>1782</v>
      </c>
      <c r="H46" s="1580" t="s">
        <v>1433</v>
      </c>
      <c r="I46" s="1580" t="s">
        <v>1433</v>
      </c>
      <c r="J46" s="862" t="s">
        <v>1439</v>
      </c>
      <c r="K46" s="862" t="s">
        <v>2671</v>
      </c>
      <c r="L46" s="1581" t="s">
        <v>1004</v>
      </c>
      <c r="M46" s="1582" t="s">
        <v>19</v>
      </c>
    </row>
    <row r="47" spans="7:13" ht="15">
      <c r="G47" s="1580"/>
      <c r="H47" s="1580"/>
      <c r="I47" s="1580"/>
      <c r="J47" s="862" t="s">
        <v>615</v>
      </c>
      <c r="K47" s="862" t="s">
        <v>570</v>
      </c>
      <c r="L47" s="1581"/>
      <c r="M47" s="1582"/>
    </row>
    <row r="48" spans="7:13" ht="15">
      <c r="G48" s="863">
        <v>1</v>
      </c>
      <c r="H48" s="863" t="s">
        <v>2629</v>
      </c>
      <c r="I48" s="863" t="s">
        <v>2371</v>
      </c>
      <c r="J48" s="866">
        <v>3.13</v>
      </c>
      <c r="K48" s="864">
        <v>45908</v>
      </c>
      <c r="L48" s="864">
        <v>45909</v>
      </c>
      <c r="M48" s="865"/>
    </row>
    <row r="49" spans="7:13" ht="15">
      <c r="G49" s="863">
        <f>G48+1</f>
        <v>2</v>
      </c>
      <c r="H49" s="863" t="s">
        <v>2734</v>
      </c>
      <c r="I49" s="863" t="s">
        <v>2371</v>
      </c>
      <c r="J49" s="866">
        <v>1.9450000000000001</v>
      </c>
      <c r="K49" s="864">
        <v>45927</v>
      </c>
      <c r="L49" s="864">
        <v>45930</v>
      </c>
      <c r="M49" s="865"/>
    </row>
    <row r="50" spans="7:13" ht="30">
      <c r="G50" s="863">
        <f>G49+1</f>
        <v>3</v>
      </c>
      <c r="H50" s="863" t="s">
        <v>2848</v>
      </c>
      <c r="I50" s="863" t="s">
        <v>2371</v>
      </c>
      <c r="J50" s="866">
        <v>5.5</v>
      </c>
      <c r="K50" s="945" t="s">
        <v>2866</v>
      </c>
      <c r="L50" s="864">
        <v>45962</v>
      </c>
      <c r="M50" s="865"/>
    </row>
    <row r="51" spans="7:13" ht="15">
      <c r="G51" s="863">
        <f>G50+1</f>
        <v>4</v>
      </c>
      <c r="H51" s="863" t="s">
        <v>3114</v>
      </c>
      <c r="I51" s="863" t="s">
        <v>2371</v>
      </c>
      <c r="J51" s="866">
        <v>5.4630000000000001</v>
      </c>
      <c r="K51" s="945">
        <v>45985</v>
      </c>
      <c r="L51" s="945">
        <v>45994</v>
      </c>
      <c r="M51" s="865"/>
    </row>
    <row r="52" spans="7:13" ht="15">
      <c r="G52" s="863">
        <f>G51+1</f>
        <v>5</v>
      </c>
      <c r="H52" s="863" t="s">
        <v>3136</v>
      </c>
      <c r="I52" s="863" t="s">
        <v>2371</v>
      </c>
      <c r="J52" s="866">
        <v>3.597</v>
      </c>
      <c r="K52" s="945">
        <v>45994</v>
      </c>
      <c r="L52" s="945">
        <v>45994</v>
      </c>
      <c r="M52" s="865"/>
    </row>
    <row r="53" spans="7:13" ht="15">
      <c r="G53" s="1580" t="s">
        <v>994</v>
      </c>
      <c r="H53" s="1580"/>
      <c r="I53" s="1580"/>
      <c r="J53" s="867">
        <f>SUM(J48:J52)</f>
        <v>19.635000000000002</v>
      </c>
      <c r="K53" s="861"/>
      <c r="L53" s="861"/>
      <c r="M53" s="868"/>
    </row>
    <row r="55" spans="7:13" ht="15">
      <c r="G55" s="1580" t="s">
        <v>2731</v>
      </c>
      <c r="H55" s="1580"/>
      <c r="I55" s="1580"/>
      <c r="J55" s="1580"/>
      <c r="K55" s="1580"/>
      <c r="L55" s="1580"/>
      <c r="M55" s="1580"/>
    </row>
    <row r="56" spans="7:13" ht="15">
      <c r="G56" s="1580" t="s">
        <v>1782</v>
      </c>
      <c r="H56" s="1580" t="s">
        <v>1433</v>
      </c>
      <c r="I56" s="1580" t="s">
        <v>1433</v>
      </c>
      <c r="J56" s="862" t="s">
        <v>1439</v>
      </c>
      <c r="K56" s="862" t="s">
        <v>2671</v>
      </c>
      <c r="L56" s="1581" t="s">
        <v>1004</v>
      </c>
      <c r="M56" s="1582" t="s">
        <v>19</v>
      </c>
    </row>
    <row r="57" spans="7:13" ht="15">
      <c r="G57" s="1580"/>
      <c r="H57" s="1580"/>
      <c r="I57" s="1580"/>
      <c r="J57" s="862" t="s">
        <v>615</v>
      </c>
      <c r="K57" s="862" t="s">
        <v>570</v>
      </c>
      <c r="L57" s="1581"/>
      <c r="M57" s="1582"/>
    </row>
    <row r="58" spans="7:13" ht="50.1" customHeight="1">
      <c r="G58" s="871">
        <v>1</v>
      </c>
      <c r="H58" s="871" t="s">
        <v>2732</v>
      </c>
      <c r="I58" s="871" t="s">
        <v>2699</v>
      </c>
      <c r="J58" s="872">
        <v>2.1800000000000002</v>
      </c>
      <c r="K58" s="875" t="s">
        <v>2733</v>
      </c>
      <c r="L58" s="873">
        <v>45930</v>
      </c>
      <c r="M58" s="874"/>
    </row>
    <row r="59" spans="7:13" ht="15">
      <c r="G59" s="1580" t="s">
        <v>994</v>
      </c>
      <c r="H59" s="1580"/>
      <c r="I59" s="1580"/>
      <c r="J59" s="867">
        <f>SUM(J58:J58)</f>
        <v>2.1800000000000002</v>
      </c>
      <c r="K59" s="861"/>
      <c r="L59" s="861"/>
      <c r="M59" s="868"/>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5"/>
  <cols>
    <col min="7" max="7" width="9.85546875" bestFit="1" customWidth="1"/>
    <col min="8" max="8" width="9.42578125" bestFit="1" customWidth="1"/>
  </cols>
  <sheetData>
    <row r="2" spans="4:10">
      <c r="D2" s="1624" t="s">
        <v>2684</v>
      </c>
      <c r="E2" s="1624"/>
      <c r="F2" s="1624"/>
      <c r="G2" s="1624"/>
      <c r="H2" s="1624"/>
      <c r="I2" s="1624"/>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622" t="s">
        <v>994</v>
      </c>
      <c r="E8" s="1623"/>
      <c r="F8" s="9">
        <f>SUM(F4:F7)</f>
        <v>177.26300000000003</v>
      </c>
      <c r="G8" s="9">
        <f>SUM(G4:G7)</f>
        <v>167.07300000000001</v>
      </c>
      <c r="H8" s="9">
        <f>SUM(H4:H7)</f>
        <v>149.596</v>
      </c>
      <c r="I8" s="9">
        <f>SUM(I4:I7)</f>
        <v>132.07</v>
      </c>
    </row>
    <row r="10" spans="4:10">
      <c r="F10" s="668">
        <v>16.04</v>
      </c>
      <c r="G10" s="668"/>
      <c r="H10" s="668"/>
      <c r="I10" s="668"/>
      <c r="J10" s="668">
        <v>10.58</v>
      </c>
    </row>
    <row r="11" spans="4:10">
      <c r="F11" s="1004">
        <v>45.892000000000003</v>
      </c>
      <c r="G11" s="674"/>
      <c r="H11" s="674"/>
      <c r="I11" s="674"/>
      <c r="J11" s="674">
        <v>45.892000000000003</v>
      </c>
    </row>
    <row r="12" spans="4:10">
      <c r="F12" s="674">
        <v>46.06</v>
      </c>
      <c r="G12" s="674"/>
      <c r="H12" s="674"/>
      <c r="I12" s="674"/>
      <c r="J12" s="674">
        <v>46.06</v>
      </c>
    </row>
    <row r="13" spans="4:10">
      <c r="F13" s="1004">
        <v>20.673999999999999</v>
      </c>
      <c r="G13" s="674">
        <v>18.37</v>
      </c>
      <c r="H13" s="674"/>
      <c r="I13" s="674"/>
      <c r="J13" s="674">
        <v>20.673999999999999</v>
      </c>
    </row>
    <row r="14" spans="4:10">
      <c r="F14" s="1005">
        <v>12.08</v>
      </c>
      <c r="G14" s="674"/>
      <c r="H14" s="674"/>
      <c r="I14" s="674"/>
      <c r="J14" s="674"/>
    </row>
    <row r="15" spans="4:10">
      <c r="F15" s="672">
        <v>2.1800000000000002</v>
      </c>
      <c r="G15" s="674"/>
      <c r="H15" s="674"/>
      <c r="I15" s="674"/>
      <c r="J15" s="674"/>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5"/>
  <cols>
    <col min="3" max="3" width="11.85546875" bestFit="1" customWidth="1"/>
    <col min="4" max="4" width="11" customWidth="1"/>
    <col min="9" max="9" width="10.85546875" bestFit="1" customWidth="1"/>
    <col min="16" max="16" width="11.85546875" bestFit="1" customWidth="1"/>
    <col min="19" max="19" width="11.42578125" customWidth="1"/>
  </cols>
  <sheetData>
    <row r="1" spans="1:10">
      <c r="A1" s="645" t="s">
        <v>37</v>
      </c>
      <c r="B1" s="645"/>
    </row>
    <row r="2" spans="1:10">
      <c r="A2" s="651" t="s">
        <v>1772</v>
      </c>
      <c r="B2" s="651"/>
      <c r="H2" s="651" t="s">
        <v>2628</v>
      </c>
    </row>
    <row r="3" spans="1:10">
      <c r="A3" s="651" t="s">
        <v>1915</v>
      </c>
      <c r="B3" s="651"/>
      <c r="H3" s="651" t="s">
        <v>1915</v>
      </c>
    </row>
    <row r="4" spans="1:10" s="753" customFormat="1" ht="30">
      <c r="A4" s="10" t="s">
        <v>1782</v>
      </c>
      <c r="B4" s="10" t="s">
        <v>2704</v>
      </c>
      <c r="C4" s="10" t="s">
        <v>1433</v>
      </c>
      <c r="D4" s="752" t="s">
        <v>1869</v>
      </c>
      <c r="H4" s="10" t="s">
        <v>1782</v>
      </c>
      <c r="I4" s="10" t="s">
        <v>1433</v>
      </c>
      <c r="J4" s="752" t="s">
        <v>1869</v>
      </c>
    </row>
    <row r="5" spans="1:10" s="753" customFormat="1">
      <c r="A5" s="876">
        <v>1</v>
      </c>
      <c r="B5" s="876" t="s">
        <v>2371</v>
      </c>
      <c r="C5" s="876" t="s">
        <v>2741</v>
      </c>
      <c r="D5" s="878">
        <f>119.059/1000</f>
        <v>0.119059</v>
      </c>
      <c r="H5" s="876">
        <v>1</v>
      </c>
      <c r="I5" s="876" t="s">
        <v>2734</v>
      </c>
      <c r="J5" s="878">
        <v>1.9450000000000001</v>
      </c>
    </row>
    <row r="6" spans="1:10" s="753" customFormat="1">
      <c r="A6" s="876">
        <f t="shared" ref="A6:A21" si="0">A5+1</f>
        <v>2</v>
      </c>
      <c r="B6" s="876" t="s">
        <v>2371</v>
      </c>
      <c r="C6" s="876" t="s">
        <v>2742</v>
      </c>
      <c r="D6" s="878">
        <f>92.496/1000</f>
        <v>9.2495999999999995E-2</v>
      </c>
      <c r="H6" s="817">
        <v>2</v>
      </c>
      <c r="I6" s="837" t="s">
        <v>2629</v>
      </c>
      <c r="J6" s="836">
        <v>3.13</v>
      </c>
    </row>
    <row r="7" spans="1:10" s="753" customFormat="1">
      <c r="A7" s="876">
        <f t="shared" si="0"/>
        <v>3</v>
      </c>
      <c r="B7" s="876" t="s">
        <v>2371</v>
      </c>
      <c r="C7" s="876" t="s">
        <v>2743</v>
      </c>
      <c r="D7" s="878">
        <f>134.988/1000</f>
        <v>0.134988</v>
      </c>
      <c r="H7" s="817">
        <v>3</v>
      </c>
      <c r="I7" s="946" t="s">
        <v>2848</v>
      </c>
      <c r="J7" s="947">
        <v>5.5</v>
      </c>
    </row>
    <row r="8" spans="1:10" s="753" customFormat="1">
      <c r="A8" s="876">
        <f t="shared" si="0"/>
        <v>4</v>
      </c>
      <c r="B8" s="876" t="s">
        <v>2371</v>
      </c>
      <c r="C8" s="876" t="s">
        <v>2744</v>
      </c>
      <c r="D8" s="878">
        <f>365.176/1000</f>
        <v>0.365176</v>
      </c>
      <c r="H8" s="1522" t="s">
        <v>994</v>
      </c>
      <c r="I8" s="1522"/>
      <c r="J8" s="879">
        <f>SUM(J5:J7)</f>
        <v>10.574999999999999</v>
      </c>
    </row>
    <row r="9" spans="1:10" s="753" customFormat="1">
      <c r="A9" s="876">
        <f t="shared" si="0"/>
        <v>5</v>
      </c>
      <c r="B9" s="876" t="s">
        <v>2371</v>
      </c>
      <c r="C9" s="876" t="s">
        <v>2745</v>
      </c>
      <c r="D9" s="878">
        <f>236.697/1000</f>
        <v>0.23669699999999999</v>
      </c>
    </row>
    <row r="10" spans="1:10" s="753" customFormat="1">
      <c r="A10" s="876">
        <f t="shared" si="0"/>
        <v>6</v>
      </c>
      <c r="B10" s="876" t="s">
        <v>2371</v>
      </c>
      <c r="C10" s="876" t="s">
        <v>2746</v>
      </c>
      <c r="D10" s="878">
        <f>213.152/1000</f>
        <v>0.21315199999999998</v>
      </c>
      <c r="H10" s="651" t="s">
        <v>2701</v>
      </c>
    </row>
    <row r="11" spans="1:10" s="753" customFormat="1">
      <c r="A11" s="876">
        <f t="shared" si="0"/>
        <v>7</v>
      </c>
      <c r="B11" s="876" t="s">
        <v>2371</v>
      </c>
      <c r="C11" s="876" t="s">
        <v>2747</v>
      </c>
      <c r="D11" s="878">
        <f>206.593/1000</f>
        <v>0.206593</v>
      </c>
      <c r="H11" s="651" t="s">
        <v>1915</v>
      </c>
    </row>
    <row r="12" spans="1:10" s="753" customFormat="1" ht="30">
      <c r="A12" s="876">
        <f t="shared" si="0"/>
        <v>8</v>
      </c>
      <c r="B12" s="876" t="s">
        <v>2371</v>
      </c>
      <c r="C12" s="876" t="s">
        <v>2748</v>
      </c>
      <c r="D12" s="878">
        <f>289.862/1000</f>
        <v>0.28986200000000001</v>
      </c>
      <c r="H12" s="10" t="s">
        <v>1782</v>
      </c>
      <c r="I12" s="10" t="s">
        <v>1433</v>
      </c>
      <c r="J12" s="752" t="s">
        <v>1869</v>
      </c>
    </row>
    <row r="13" spans="1:10" s="753" customFormat="1">
      <c r="A13" s="876">
        <f t="shared" si="0"/>
        <v>9</v>
      </c>
      <c r="B13" s="876" t="s">
        <v>2371</v>
      </c>
      <c r="C13" s="876" t="s">
        <v>2749</v>
      </c>
      <c r="D13" s="878">
        <f>402.938/1000</f>
        <v>0.40293799999999996</v>
      </c>
      <c r="H13" s="876">
        <v>1</v>
      </c>
      <c r="I13" s="876" t="s">
        <v>2751</v>
      </c>
      <c r="J13" s="878">
        <v>2.1800000000000002</v>
      </c>
    </row>
    <row r="14" spans="1:10" s="753" customFormat="1">
      <c r="A14" s="876">
        <f t="shared" si="0"/>
        <v>10</v>
      </c>
      <c r="B14" s="876" t="s">
        <v>2371</v>
      </c>
      <c r="C14" s="876" t="s">
        <v>2750</v>
      </c>
      <c r="D14" s="878">
        <f>284.883/1000</f>
        <v>0.284883</v>
      </c>
    </row>
    <row r="15" spans="1:10" s="753" customFormat="1">
      <c r="A15" s="876">
        <f t="shared" si="0"/>
        <v>11</v>
      </c>
      <c r="B15" s="876" t="s">
        <v>2371</v>
      </c>
      <c r="C15" s="817" t="s">
        <v>2597</v>
      </c>
      <c r="D15" s="836">
        <f>1673.439/1000</f>
        <v>1.6734390000000001</v>
      </c>
    </row>
    <row r="16" spans="1:10" s="753" customFormat="1">
      <c r="A16" s="817">
        <f t="shared" si="0"/>
        <v>12</v>
      </c>
      <c r="B16" s="876" t="s">
        <v>2371</v>
      </c>
      <c r="C16" s="817" t="s">
        <v>2598</v>
      </c>
      <c r="D16" s="836">
        <f>285.948/1000</f>
        <v>0.28594799999999998</v>
      </c>
    </row>
    <row r="17" spans="1:4" s="753" customFormat="1">
      <c r="A17" s="817">
        <f t="shared" si="0"/>
        <v>13</v>
      </c>
      <c r="B17" s="876" t="s">
        <v>2371</v>
      </c>
      <c r="C17" s="817" t="s">
        <v>2599</v>
      </c>
      <c r="D17" s="836">
        <f>401.159/1000</f>
        <v>0.40115899999999999</v>
      </c>
    </row>
    <row r="18" spans="1:4" s="753" customFormat="1">
      <c r="A18" s="817">
        <f t="shared" si="0"/>
        <v>14</v>
      </c>
      <c r="B18" s="876" t="s">
        <v>2371</v>
      </c>
      <c r="C18" s="817" t="s">
        <v>2600</v>
      </c>
      <c r="D18" s="836">
        <f>1055.218/1000</f>
        <v>1.055218</v>
      </c>
    </row>
    <row r="19" spans="1:4" s="753" customFormat="1">
      <c r="A19" s="817">
        <f t="shared" si="0"/>
        <v>15</v>
      </c>
      <c r="B19" s="876" t="s">
        <v>2371</v>
      </c>
      <c r="C19" s="817" t="s">
        <v>2601</v>
      </c>
      <c r="D19" s="836">
        <f>1088.747/1000</f>
        <v>1.0887470000000001</v>
      </c>
    </row>
    <row r="20" spans="1:4">
      <c r="A20" s="817">
        <f t="shared" si="0"/>
        <v>16</v>
      </c>
      <c r="B20" s="876" t="s">
        <v>2371</v>
      </c>
      <c r="C20" s="33" t="s">
        <v>1870</v>
      </c>
      <c r="D20" s="751">
        <f>485.93/1000</f>
        <v>0.48593000000000003</v>
      </c>
    </row>
    <row r="21" spans="1:4">
      <c r="A21" s="33">
        <f t="shared" si="0"/>
        <v>17</v>
      </c>
      <c r="B21" s="876" t="s">
        <v>2371</v>
      </c>
      <c r="C21" s="33" t="s">
        <v>1871</v>
      </c>
      <c r="D21" s="751">
        <f>712.337/1000</f>
        <v>0.712337</v>
      </c>
    </row>
    <row r="22" spans="1:4">
      <c r="A22" s="33">
        <f t="shared" ref="A22:A41" si="1">A21+1</f>
        <v>18</v>
      </c>
      <c r="B22" s="876" t="s">
        <v>2371</v>
      </c>
      <c r="C22" s="33" t="s">
        <v>1872</v>
      </c>
      <c r="D22" s="751">
        <f>1177.079/1000</f>
        <v>1.177079</v>
      </c>
    </row>
    <row r="23" spans="1:4">
      <c r="A23" s="33">
        <f t="shared" si="1"/>
        <v>19</v>
      </c>
      <c r="B23" s="876" t="s">
        <v>2371</v>
      </c>
      <c r="C23" s="33" t="s">
        <v>1873</v>
      </c>
      <c r="D23" s="751">
        <f>2454.951/1000</f>
        <v>2.4549509999999999</v>
      </c>
    </row>
    <row r="24" spans="1:4">
      <c r="A24" s="33">
        <f t="shared" si="1"/>
        <v>20</v>
      </c>
      <c r="B24" s="876" t="s">
        <v>2371</v>
      </c>
      <c r="C24" s="33" t="s">
        <v>1874</v>
      </c>
      <c r="D24" s="751">
        <f>366.044/1000</f>
        <v>0.36604399999999998</v>
      </c>
    </row>
    <row r="25" spans="1:4">
      <c r="A25" s="33">
        <f t="shared" si="1"/>
        <v>21</v>
      </c>
      <c r="B25" s="876" t="s">
        <v>2371</v>
      </c>
      <c r="C25" s="33" t="s">
        <v>1875</v>
      </c>
      <c r="D25" s="751">
        <f>1028.029/1000</f>
        <v>1.0280290000000001</v>
      </c>
    </row>
    <row r="26" spans="1:4">
      <c r="A26" s="33">
        <f t="shared" si="1"/>
        <v>22</v>
      </c>
      <c r="B26" s="876" t="s">
        <v>2371</v>
      </c>
      <c r="C26" s="33" t="s">
        <v>1876</v>
      </c>
      <c r="D26" s="751">
        <f>442.371/1000</f>
        <v>0.44237099999999996</v>
      </c>
    </row>
    <row r="27" spans="1:4">
      <c r="A27" s="33">
        <f t="shared" si="1"/>
        <v>23</v>
      </c>
      <c r="B27" s="876" t="s">
        <v>2371</v>
      </c>
      <c r="C27" s="33" t="s">
        <v>1877</v>
      </c>
      <c r="D27" s="751">
        <f>739.739/1000</f>
        <v>0.73973900000000004</v>
      </c>
    </row>
    <row r="28" spans="1:4">
      <c r="A28" s="33">
        <f t="shared" si="1"/>
        <v>24</v>
      </c>
      <c r="B28" s="876" t="s">
        <v>2371</v>
      </c>
      <c r="C28" s="33" t="s">
        <v>1878</v>
      </c>
      <c r="D28" s="751">
        <f>445.991/1000</f>
        <v>0.44599099999999997</v>
      </c>
    </row>
    <row r="29" spans="1:4">
      <c r="A29" s="33">
        <f t="shared" si="1"/>
        <v>25</v>
      </c>
      <c r="B29" s="876" t="s">
        <v>2371</v>
      </c>
      <c r="C29" s="33" t="s">
        <v>1879</v>
      </c>
      <c r="D29" s="751">
        <f>2573.629/1000</f>
        <v>2.5736289999999999</v>
      </c>
    </row>
    <row r="30" spans="1:4">
      <c r="A30" s="33">
        <f t="shared" si="1"/>
        <v>26</v>
      </c>
      <c r="B30" s="876" t="s">
        <v>2371</v>
      </c>
      <c r="C30" s="33" t="s">
        <v>1880</v>
      </c>
      <c r="D30" s="751">
        <f>2514.73/1000</f>
        <v>2.5147300000000001</v>
      </c>
    </row>
    <row r="31" spans="1:4" ht="14.45" customHeight="1">
      <c r="A31" s="33">
        <f t="shared" si="1"/>
        <v>27</v>
      </c>
      <c r="B31" s="876" t="s">
        <v>2371</v>
      </c>
      <c r="C31" s="33" t="s">
        <v>1881</v>
      </c>
      <c r="D31" s="751">
        <f>2374.48/1000</f>
        <v>2.3744800000000001</v>
      </c>
    </row>
    <row r="32" spans="1:4">
      <c r="A32" s="33">
        <f t="shared" si="1"/>
        <v>28</v>
      </c>
      <c r="B32" s="876" t="s">
        <v>2371</v>
      </c>
      <c r="C32" s="33" t="s">
        <v>1882</v>
      </c>
      <c r="D32" s="751">
        <f>836.984/1000</f>
        <v>0.83698400000000006</v>
      </c>
    </row>
    <row r="33" spans="1:4">
      <c r="A33" s="33">
        <f t="shared" si="1"/>
        <v>29</v>
      </c>
      <c r="B33" s="876" t="s">
        <v>2371</v>
      </c>
      <c r="C33" s="33" t="s">
        <v>1883</v>
      </c>
      <c r="D33" s="751">
        <f>967.8/1000</f>
        <v>0.96779999999999999</v>
      </c>
    </row>
    <row r="34" spans="1:4">
      <c r="A34" s="33">
        <f t="shared" si="1"/>
        <v>30</v>
      </c>
      <c r="B34" s="876" t="s">
        <v>2371</v>
      </c>
      <c r="C34" s="33" t="s">
        <v>1884</v>
      </c>
      <c r="D34" s="751">
        <f>819.907/1000</f>
        <v>0.81990700000000005</v>
      </c>
    </row>
    <row r="35" spans="1:4">
      <c r="A35" s="33">
        <f t="shared" si="1"/>
        <v>31</v>
      </c>
      <c r="B35" s="876" t="s">
        <v>2371</v>
      </c>
      <c r="C35" s="33" t="s">
        <v>1885</v>
      </c>
      <c r="D35" s="751">
        <f>820.234/1000</f>
        <v>0.82023400000000002</v>
      </c>
    </row>
    <row r="36" spans="1:4">
      <c r="A36" s="33">
        <f t="shared" si="1"/>
        <v>32</v>
      </c>
      <c r="B36" s="876" t="s">
        <v>2371</v>
      </c>
      <c r="C36" s="33" t="s">
        <v>1886</v>
      </c>
      <c r="D36" s="751">
        <f>439.8/1000</f>
        <v>0.43980000000000002</v>
      </c>
    </row>
    <row r="37" spans="1:4">
      <c r="A37" s="33">
        <f t="shared" si="1"/>
        <v>33</v>
      </c>
      <c r="B37" s="876" t="s">
        <v>2371</v>
      </c>
      <c r="C37" s="33" t="s">
        <v>1887</v>
      </c>
      <c r="D37" s="751">
        <f>1203.4/1000</f>
        <v>1.2034</v>
      </c>
    </row>
    <row r="38" spans="1:4">
      <c r="A38" s="33">
        <f t="shared" si="1"/>
        <v>34</v>
      </c>
      <c r="B38" s="876" t="s">
        <v>2371</v>
      </c>
      <c r="C38" s="33" t="s">
        <v>1888</v>
      </c>
      <c r="D38" s="751">
        <f>775.272/1000</f>
        <v>0.77527200000000007</v>
      </c>
    </row>
    <row r="39" spans="1:4">
      <c r="A39" s="33">
        <f t="shared" si="1"/>
        <v>35</v>
      </c>
      <c r="B39" s="876" t="s">
        <v>2371</v>
      </c>
      <c r="C39" s="33" t="s">
        <v>1889</v>
      </c>
      <c r="D39" s="751">
        <f>1209.893/1000</f>
        <v>1.2098930000000001</v>
      </c>
    </row>
    <row r="40" spans="1:4">
      <c r="A40" s="33">
        <f t="shared" si="1"/>
        <v>36</v>
      </c>
      <c r="B40" s="876" t="s">
        <v>2371</v>
      </c>
      <c r="C40" s="33" t="s">
        <v>1890</v>
      </c>
      <c r="D40" s="751">
        <f>1760.473/1000</f>
        <v>1.760473</v>
      </c>
    </row>
    <row r="41" spans="1:4">
      <c r="A41" s="33">
        <f t="shared" si="1"/>
        <v>37</v>
      </c>
      <c r="B41" s="876" t="s">
        <v>2371</v>
      </c>
      <c r="C41" s="33" t="s">
        <v>1891</v>
      </c>
      <c r="D41" s="881">
        <f>212.44/1000</f>
        <v>0.21243999999999999</v>
      </c>
    </row>
    <row r="42" spans="1:4">
      <c r="A42" s="33">
        <f t="shared" ref="A42:A105" si="2">A41+1</f>
        <v>38</v>
      </c>
      <c r="B42" s="876" t="s">
        <v>2371</v>
      </c>
      <c r="C42" s="33" t="s">
        <v>1892</v>
      </c>
      <c r="D42" s="881">
        <f>1361.04/1000</f>
        <v>1.36104</v>
      </c>
    </row>
    <row r="43" spans="1:4">
      <c r="A43" s="33">
        <f t="shared" si="2"/>
        <v>39</v>
      </c>
      <c r="B43" s="876" t="s">
        <v>2371</v>
      </c>
      <c r="C43" s="33" t="s">
        <v>1893</v>
      </c>
      <c r="D43" s="881">
        <f>1911.9/1000</f>
        <v>1.9119000000000002</v>
      </c>
    </row>
    <row r="44" spans="1:4">
      <c r="A44" s="33">
        <f t="shared" si="2"/>
        <v>40</v>
      </c>
      <c r="B44" s="876" t="s">
        <v>2371</v>
      </c>
      <c r="C44" s="33" t="s">
        <v>1894</v>
      </c>
      <c r="D44" s="881">
        <f>1474.69/1000</f>
        <v>1.4746900000000001</v>
      </c>
    </row>
    <row r="45" spans="1:4">
      <c r="A45" s="33">
        <f t="shared" si="2"/>
        <v>41</v>
      </c>
      <c r="B45" s="876" t="s">
        <v>2371</v>
      </c>
      <c r="C45" s="33" t="s">
        <v>1895</v>
      </c>
      <c r="D45" s="881">
        <f>1079.5/1000</f>
        <v>1.0794999999999999</v>
      </c>
    </row>
    <row r="46" spans="1:4">
      <c r="A46" s="33">
        <f t="shared" si="2"/>
        <v>42</v>
      </c>
      <c r="B46" s="876" t="s">
        <v>2371</v>
      </c>
      <c r="C46" s="33" t="s">
        <v>1896</v>
      </c>
      <c r="D46" s="881">
        <f>2216.45/1000</f>
        <v>2.21645</v>
      </c>
    </row>
    <row r="47" spans="1:4">
      <c r="A47" s="33">
        <f t="shared" si="2"/>
        <v>43</v>
      </c>
      <c r="B47" s="876" t="s">
        <v>2371</v>
      </c>
      <c r="C47" s="33" t="s">
        <v>1897</v>
      </c>
      <c r="D47" s="881">
        <f>1360.36/1000</f>
        <v>1.3603599999999998</v>
      </c>
    </row>
    <row r="48" spans="1:4">
      <c r="A48" s="33">
        <f t="shared" si="2"/>
        <v>44</v>
      </c>
      <c r="B48" s="876" t="s">
        <v>2371</v>
      </c>
      <c r="C48" s="33" t="s">
        <v>1898</v>
      </c>
      <c r="D48" s="881">
        <f>371.5/1000</f>
        <v>0.3715</v>
      </c>
    </row>
    <row r="49" spans="1:4">
      <c r="A49" s="33">
        <f t="shared" si="2"/>
        <v>45</v>
      </c>
      <c r="B49" s="876" t="s">
        <v>2371</v>
      </c>
      <c r="C49" s="33" t="s">
        <v>1899</v>
      </c>
      <c r="D49" s="881">
        <f>203.3/1000</f>
        <v>0.20330000000000001</v>
      </c>
    </row>
    <row r="50" spans="1:4">
      <c r="A50" s="33">
        <f t="shared" si="2"/>
        <v>46</v>
      </c>
      <c r="B50" s="876" t="s">
        <v>2371</v>
      </c>
      <c r="C50" s="33" t="s">
        <v>1900</v>
      </c>
      <c r="D50" s="881">
        <f>409.91/1000</f>
        <v>0.40991000000000005</v>
      </c>
    </row>
    <row r="51" spans="1:4">
      <c r="A51" s="33">
        <f t="shared" si="2"/>
        <v>47</v>
      </c>
      <c r="B51" s="876" t="s">
        <v>2371</v>
      </c>
      <c r="C51" s="33" t="s">
        <v>1901</v>
      </c>
      <c r="D51" s="881">
        <f>4450.9/1000</f>
        <v>4.4508999999999999</v>
      </c>
    </row>
    <row r="52" spans="1:4">
      <c r="A52" s="33">
        <f t="shared" si="2"/>
        <v>48</v>
      </c>
      <c r="B52" s="876" t="s">
        <v>2376</v>
      </c>
      <c r="C52" s="33" t="s">
        <v>1902</v>
      </c>
      <c r="D52" s="881">
        <f>416.66/1000</f>
        <v>0.41666000000000003</v>
      </c>
    </row>
    <row r="53" spans="1:4">
      <c r="A53" s="33">
        <f t="shared" si="2"/>
        <v>49</v>
      </c>
      <c r="B53" s="876" t="s">
        <v>2376</v>
      </c>
      <c r="C53" s="33" t="s">
        <v>1903</v>
      </c>
      <c r="D53" s="881">
        <f>389.29/1000</f>
        <v>0.38929000000000002</v>
      </c>
    </row>
    <row r="54" spans="1:4">
      <c r="A54" s="33">
        <f t="shared" si="2"/>
        <v>50</v>
      </c>
      <c r="B54" s="876" t="s">
        <v>2376</v>
      </c>
      <c r="C54" s="33" t="s">
        <v>1904</v>
      </c>
      <c r="D54" s="881">
        <f>793.45/1000</f>
        <v>0.7934500000000001</v>
      </c>
    </row>
    <row r="55" spans="1:4">
      <c r="A55" s="33">
        <f t="shared" si="2"/>
        <v>51</v>
      </c>
      <c r="B55" s="876" t="s">
        <v>2376</v>
      </c>
      <c r="C55" s="33" t="s">
        <v>1905</v>
      </c>
      <c r="D55" s="881">
        <f>1906.1/1000</f>
        <v>1.9060999999999999</v>
      </c>
    </row>
    <row r="56" spans="1:4">
      <c r="A56" s="33">
        <f t="shared" si="2"/>
        <v>52</v>
      </c>
      <c r="B56" s="876" t="s">
        <v>2376</v>
      </c>
      <c r="C56" s="33" t="s">
        <v>1906</v>
      </c>
      <c r="D56" s="881">
        <f>982.37/1000</f>
        <v>0.98236999999999997</v>
      </c>
    </row>
    <row r="57" spans="1:4">
      <c r="A57" s="33">
        <f t="shared" si="2"/>
        <v>53</v>
      </c>
      <c r="B57" s="876" t="s">
        <v>2376</v>
      </c>
      <c r="C57" s="33" t="s">
        <v>1907</v>
      </c>
      <c r="D57" s="881">
        <f>406.44/1000</f>
        <v>0.40644000000000002</v>
      </c>
    </row>
    <row r="58" spans="1:4">
      <c r="A58" s="33">
        <f t="shared" si="2"/>
        <v>54</v>
      </c>
      <c r="B58" s="876" t="s">
        <v>2376</v>
      </c>
      <c r="C58" s="33" t="s">
        <v>1908</v>
      </c>
      <c r="D58" s="881">
        <f>788.04/1000</f>
        <v>0.78803999999999996</v>
      </c>
    </row>
    <row r="59" spans="1:4">
      <c r="A59" s="33">
        <f t="shared" si="2"/>
        <v>55</v>
      </c>
      <c r="B59" s="876" t="s">
        <v>2376</v>
      </c>
      <c r="C59" s="33" t="s">
        <v>1909</v>
      </c>
      <c r="D59" s="881">
        <f>757.58/1000</f>
        <v>0.75758000000000003</v>
      </c>
    </row>
    <row r="60" spans="1:4">
      <c r="A60" s="33">
        <f t="shared" si="2"/>
        <v>56</v>
      </c>
      <c r="B60" s="876" t="s">
        <v>2376</v>
      </c>
      <c r="C60" s="33" t="s">
        <v>1910</v>
      </c>
      <c r="D60" s="881">
        <f>563.92/1000</f>
        <v>0.56391999999999998</v>
      </c>
    </row>
    <row r="61" spans="1:4">
      <c r="A61" s="33">
        <f t="shared" si="2"/>
        <v>57</v>
      </c>
      <c r="B61" s="876" t="s">
        <v>2376</v>
      </c>
      <c r="C61" s="33" t="s">
        <v>1911</v>
      </c>
      <c r="D61" s="881">
        <f>1081.23/1000</f>
        <v>1.0812299999999999</v>
      </c>
    </row>
    <row r="62" spans="1:4">
      <c r="A62" s="33">
        <f t="shared" si="2"/>
        <v>58</v>
      </c>
      <c r="B62" s="876" t="s">
        <v>2376</v>
      </c>
      <c r="C62" s="33" t="s">
        <v>1912</v>
      </c>
      <c r="D62" s="881">
        <f>450.86/1000</f>
        <v>0.45086000000000004</v>
      </c>
    </row>
    <row r="63" spans="1:4">
      <c r="A63" s="33">
        <f t="shared" si="2"/>
        <v>59</v>
      </c>
      <c r="B63" s="876" t="s">
        <v>2376</v>
      </c>
      <c r="C63" s="33" t="s">
        <v>1913</v>
      </c>
      <c r="D63" s="881">
        <f>602.84/1000</f>
        <v>0.60284000000000004</v>
      </c>
    </row>
    <row r="64" spans="1:4">
      <c r="A64" s="33">
        <f t="shared" si="2"/>
        <v>60</v>
      </c>
      <c r="B64" s="876" t="s">
        <v>2376</v>
      </c>
      <c r="C64" s="33" t="s">
        <v>1914</v>
      </c>
      <c r="D64" s="881">
        <f>2228.49/1000</f>
        <v>2.2284899999999999</v>
      </c>
    </row>
    <row r="65" spans="1:4">
      <c r="A65" s="33">
        <f t="shared" si="2"/>
        <v>61</v>
      </c>
      <c r="B65" s="876" t="s">
        <v>2376</v>
      </c>
      <c r="C65" s="785" t="s">
        <v>2340</v>
      </c>
      <c r="D65" s="881">
        <f>1598.955/1000</f>
        <v>1.5989549999999999</v>
      </c>
    </row>
    <row r="66" spans="1:4">
      <c r="A66" s="33">
        <f t="shared" si="2"/>
        <v>62</v>
      </c>
      <c r="B66" s="876" t="s">
        <v>2376</v>
      </c>
      <c r="C66" s="785" t="s">
        <v>2341</v>
      </c>
      <c r="D66" s="881">
        <f>1666.222/1000</f>
        <v>1.6662219999999999</v>
      </c>
    </row>
    <row r="67" spans="1:4">
      <c r="A67" s="33">
        <f t="shared" si="2"/>
        <v>63</v>
      </c>
      <c r="B67" s="876" t="s">
        <v>2376</v>
      </c>
      <c r="C67" s="785" t="s">
        <v>2342</v>
      </c>
      <c r="D67" s="881">
        <f>809.571/1000</f>
        <v>0.80957100000000004</v>
      </c>
    </row>
    <row r="68" spans="1:4">
      <c r="A68" s="33">
        <f t="shared" si="2"/>
        <v>64</v>
      </c>
      <c r="B68" s="876" t="s">
        <v>2376</v>
      </c>
      <c r="C68" s="785" t="s">
        <v>2343</v>
      </c>
      <c r="D68" s="881">
        <f>406.688/1000</f>
        <v>0.40668799999999999</v>
      </c>
    </row>
    <row r="69" spans="1:4">
      <c r="A69" s="33">
        <f t="shared" si="2"/>
        <v>65</v>
      </c>
      <c r="B69" s="876" t="s">
        <v>2376</v>
      </c>
      <c r="C69" s="785" t="s">
        <v>2344</v>
      </c>
      <c r="D69" s="881">
        <f>316.253/1000</f>
        <v>0.31625300000000001</v>
      </c>
    </row>
    <row r="70" spans="1:4">
      <c r="A70" s="33">
        <f t="shared" si="2"/>
        <v>66</v>
      </c>
      <c r="B70" s="876" t="s">
        <v>2376</v>
      </c>
      <c r="C70" s="785" t="s">
        <v>2345</v>
      </c>
      <c r="D70" s="881">
        <f>248.423/1000</f>
        <v>0.248423</v>
      </c>
    </row>
    <row r="71" spans="1:4">
      <c r="A71" s="33">
        <f t="shared" si="2"/>
        <v>67</v>
      </c>
      <c r="B71" s="876" t="s">
        <v>2376</v>
      </c>
      <c r="C71" s="785" t="s">
        <v>2346</v>
      </c>
      <c r="D71" s="881">
        <f>1681.454/1000</f>
        <v>1.681454</v>
      </c>
    </row>
    <row r="72" spans="1:4">
      <c r="A72" s="33">
        <f t="shared" si="2"/>
        <v>68</v>
      </c>
      <c r="B72" s="876" t="s">
        <v>2376</v>
      </c>
      <c r="C72" s="785" t="s">
        <v>2347</v>
      </c>
      <c r="D72" s="881">
        <f>1630.396/1000</f>
        <v>1.630396</v>
      </c>
    </row>
    <row r="73" spans="1:4">
      <c r="A73" s="33">
        <f t="shared" si="2"/>
        <v>69</v>
      </c>
      <c r="B73" s="876" t="s">
        <v>2376</v>
      </c>
      <c r="C73" s="785" t="s">
        <v>2348</v>
      </c>
      <c r="D73" s="881">
        <f>320.743/1000</f>
        <v>0.320743</v>
      </c>
    </row>
    <row r="74" spans="1:4">
      <c r="A74" s="33">
        <f t="shared" si="2"/>
        <v>70</v>
      </c>
      <c r="B74" s="876" t="s">
        <v>2376</v>
      </c>
      <c r="C74" s="785" t="s">
        <v>2349</v>
      </c>
      <c r="D74" s="881">
        <f>242.225/1000</f>
        <v>0.242225</v>
      </c>
    </row>
    <row r="75" spans="1:4">
      <c r="A75" s="33">
        <f t="shared" si="2"/>
        <v>71</v>
      </c>
      <c r="B75" s="876" t="s">
        <v>2376</v>
      </c>
      <c r="C75" s="785" t="s">
        <v>2350</v>
      </c>
      <c r="D75" s="881">
        <f>839.249/1000</f>
        <v>0.83924900000000002</v>
      </c>
    </row>
    <row r="76" spans="1:4">
      <c r="A76" s="33">
        <f t="shared" si="2"/>
        <v>72</v>
      </c>
      <c r="B76" s="876" t="s">
        <v>2376</v>
      </c>
      <c r="C76" s="785" t="s">
        <v>2351</v>
      </c>
      <c r="D76" s="881">
        <f>242.663/1000</f>
        <v>0.24266300000000002</v>
      </c>
    </row>
    <row r="77" spans="1:4">
      <c r="A77" s="33">
        <f t="shared" si="2"/>
        <v>73</v>
      </c>
      <c r="B77" s="876" t="s">
        <v>2376</v>
      </c>
      <c r="C77" s="785" t="s">
        <v>2352</v>
      </c>
      <c r="D77" s="881">
        <f>1149.152/1000</f>
        <v>1.149152</v>
      </c>
    </row>
    <row r="78" spans="1:4">
      <c r="A78" s="33">
        <f t="shared" si="2"/>
        <v>74</v>
      </c>
      <c r="B78" s="876" t="s">
        <v>2376</v>
      </c>
      <c r="C78" s="785" t="s">
        <v>2353</v>
      </c>
      <c r="D78" s="881">
        <f>251.516/1000</f>
        <v>0.25151600000000002</v>
      </c>
    </row>
    <row r="79" spans="1:4">
      <c r="A79" s="33">
        <f t="shared" si="2"/>
        <v>75</v>
      </c>
      <c r="B79" s="876" t="s">
        <v>2376</v>
      </c>
      <c r="C79" s="785" t="s">
        <v>2354</v>
      </c>
      <c r="D79" s="881">
        <f>445.126/1000</f>
        <v>0.44512599999999997</v>
      </c>
    </row>
    <row r="80" spans="1:4">
      <c r="A80" s="33">
        <f t="shared" si="2"/>
        <v>76</v>
      </c>
      <c r="B80" s="876" t="s">
        <v>2376</v>
      </c>
      <c r="C80" s="785" t="s">
        <v>2355</v>
      </c>
      <c r="D80" s="881">
        <f>838.553/1000</f>
        <v>0.83855299999999999</v>
      </c>
    </row>
    <row r="81" spans="1:4">
      <c r="A81" s="33">
        <f t="shared" si="2"/>
        <v>77</v>
      </c>
      <c r="B81" s="876" t="s">
        <v>2376</v>
      </c>
      <c r="C81" s="785" t="s">
        <v>2356</v>
      </c>
      <c r="D81" s="881">
        <f>836.764/1000</f>
        <v>0.83676400000000006</v>
      </c>
    </row>
    <row r="82" spans="1:4">
      <c r="A82" s="33">
        <f t="shared" si="2"/>
        <v>78</v>
      </c>
      <c r="B82" s="876" t="s">
        <v>2376</v>
      </c>
      <c r="C82" s="785" t="s">
        <v>2357</v>
      </c>
      <c r="D82" s="881">
        <f>1185.42/1000</f>
        <v>1.1854200000000001</v>
      </c>
    </row>
    <row r="83" spans="1:4">
      <c r="A83" s="33">
        <f t="shared" si="2"/>
        <v>79</v>
      </c>
      <c r="B83" s="876" t="s">
        <v>2376</v>
      </c>
      <c r="C83" s="785" t="s">
        <v>2358</v>
      </c>
      <c r="D83" s="881">
        <f>211.063/1000</f>
        <v>0.211063</v>
      </c>
    </row>
    <row r="84" spans="1:4">
      <c r="A84" s="33">
        <f t="shared" si="2"/>
        <v>80</v>
      </c>
      <c r="B84" s="876" t="s">
        <v>2376</v>
      </c>
      <c r="C84" s="785" t="s">
        <v>2359</v>
      </c>
      <c r="D84" s="881">
        <f>618.229/1000</f>
        <v>0.61822900000000003</v>
      </c>
    </row>
    <row r="85" spans="1:4">
      <c r="A85" s="33">
        <f t="shared" si="2"/>
        <v>81</v>
      </c>
      <c r="B85" s="876" t="s">
        <v>2376</v>
      </c>
      <c r="C85" s="785" t="s">
        <v>2360</v>
      </c>
      <c r="D85" s="881">
        <f>1181.01/1000</f>
        <v>1.1810099999999999</v>
      </c>
    </row>
    <row r="86" spans="1:4">
      <c r="A86" s="33">
        <f t="shared" si="2"/>
        <v>82</v>
      </c>
      <c r="B86" s="876" t="s">
        <v>2376</v>
      </c>
      <c r="C86" s="785" t="s">
        <v>2361</v>
      </c>
      <c r="D86" s="881">
        <f>247.685/1000</f>
        <v>0.24768499999999999</v>
      </c>
    </row>
    <row r="87" spans="1:4">
      <c r="A87" s="33">
        <f t="shared" si="2"/>
        <v>83</v>
      </c>
      <c r="B87" s="876" t="s">
        <v>2376</v>
      </c>
      <c r="C87" s="785" t="s">
        <v>2362</v>
      </c>
      <c r="D87" s="881">
        <f>1455.156/1000</f>
        <v>1.4551559999999999</v>
      </c>
    </row>
    <row r="88" spans="1:4">
      <c r="A88" s="33">
        <f t="shared" si="2"/>
        <v>84</v>
      </c>
      <c r="B88" s="876" t="s">
        <v>2376</v>
      </c>
      <c r="C88" s="785" t="s">
        <v>2363</v>
      </c>
      <c r="D88" s="881">
        <f>889.075/1000</f>
        <v>0.88907500000000006</v>
      </c>
    </row>
    <row r="89" spans="1:4">
      <c r="A89" s="33">
        <f t="shared" si="2"/>
        <v>85</v>
      </c>
      <c r="B89" s="876" t="s">
        <v>2376</v>
      </c>
      <c r="C89" s="785" t="s">
        <v>2364</v>
      </c>
      <c r="D89" s="881">
        <f>411.542/1000</f>
        <v>0.41154199999999996</v>
      </c>
    </row>
    <row r="90" spans="1:4">
      <c r="A90" s="33">
        <f t="shared" si="2"/>
        <v>86</v>
      </c>
      <c r="B90" s="876" t="s">
        <v>2376</v>
      </c>
      <c r="C90" s="785" t="s">
        <v>2365</v>
      </c>
      <c r="D90" s="881">
        <f>1751.019/1000</f>
        <v>1.7510190000000001</v>
      </c>
    </row>
    <row r="91" spans="1:4">
      <c r="A91" s="33">
        <f t="shared" si="2"/>
        <v>87</v>
      </c>
      <c r="B91" s="876" t="s">
        <v>2376</v>
      </c>
      <c r="C91" s="817" t="s">
        <v>2602</v>
      </c>
      <c r="D91" s="881">
        <f>751.41/1000</f>
        <v>0.75141000000000002</v>
      </c>
    </row>
    <row r="92" spans="1:4">
      <c r="A92" s="33">
        <f t="shared" si="2"/>
        <v>88</v>
      </c>
      <c r="B92" s="876" t="s">
        <v>2376</v>
      </c>
      <c r="C92" s="817" t="s">
        <v>2603</v>
      </c>
      <c r="D92" s="881">
        <f>515.47/1000</f>
        <v>0.51546999999999998</v>
      </c>
    </row>
    <row r="93" spans="1:4">
      <c r="A93" s="33">
        <f t="shared" si="2"/>
        <v>89</v>
      </c>
      <c r="B93" s="876" t="s">
        <v>2376</v>
      </c>
      <c r="C93" s="817" t="s">
        <v>2604</v>
      </c>
      <c r="D93" s="881">
        <f>1409.68/1000</f>
        <v>1.40968</v>
      </c>
    </row>
    <row r="94" spans="1:4">
      <c r="A94" s="33">
        <f t="shared" si="2"/>
        <v>90</v>
      </c>
      <c r="B94" s="876" t="s">
        <v>2376</v>
      </c>
      <c r="C94" s="817" t="s">
        <v>2605</v>
      </c>
      <c r="D94" s="881">
        <f>634.36/1000</f>
        <v>0.63436000000000003</v>
      </c>
    </row>
    <row r="95" spans="1:4">
      <c r="A95" s="33">
        <f t="shared" si="2"/>
        <v>91</v>
      </c>
      <c r="B95" s="876" t="s">
        <v>2376</v>
      </c>
      <c r="C95" s="817" t="s">
        <v>2606</v>
      </c>
      <c r="D95" s="881">
        <f>518.18/1000</f>
        <v>0.51817999999999997</v>
      </c>
    </row>
    <row r="96" spans="1:4">
      <c r="A96" s="33">
        <f t="shared" si="2"/>
        <v>92</v>
      </c>
      <c r="B96" s="876" t="s">
        <v>2376</v>
      </c>
      <c r="C96" s="817" t="s">
        <v>2607</v>
      </c>
      <c r="D96" s="881">
        <f>1212.37/1000</f>
        <v>1.2123699999999999</v>
      </c>
    </row>
    <row r="97" spans="1:4">
      <c r="A97" s="33">
        <f t="shared" si="2"/>
        <v>93</v>
      </c>
      <c r="B97" s="876" t="s">
        <v>2376</v>
      </c>
      <c r="C97" s="817" t="s">
        <v>2608</v>
      </c>
      <c r="D97" s="881">
        <f>1136.859/1000</f>
        <v>1.1368589999999998</v>
      </c>
    </row>
    <row r="98" spans="1:4">
      <c r="A98" s="33">
        <f t="shared" si="2"/>
        <v>94</v>
      </c>
      <c r="B98" s="876" t="s">
        <v>2376</v>
      </c>
      <c r="C98" s="817" t="s">
        <v>2609</v>
      </c>
      <c r="D98" s="881">
        <f>753.546/1000</f>
        <v>0.75354600000000005</v>
      </c>
    </row>
    <row r="99" spans="1:4">
      <c r="A99" s="33">
        <f t="shared" si="2"/>
        <v>95</v>
      </c>
      <c r="B99" s="876" t="s">
        <v>2376</v>
      </c>
      <c r="C99" s="817" t="s">
        <v>2610</v>
      </c>
      <c r="D99" s="881">
        <f>2841.988/1000</f>
        <v>2.8419879999999997</v>
      </c>
    </row>
    <row r="100" spans="1:4">
      <c r="A100" s="33">
        <f t="shared" si="2"/>
        <v>96</v>
      </c>
      <c r="B100" s="876" t="s">
        <v>2376</v>
      </c>
      <c r="C100" s="817" t="s">
        <v>2611</v>
      </c>
      <c r="D100" s="881">
        <f>816.077/1000</f>
        <v>0.81607700000000005</v>
      </c>
    </row>
    <row r="101" spans="1:4">
      <c r="A101" s="33">
        <f t="shared" si="2"/>
        <v>97</v>
      </c>
      <c r="B101" s="876" t="s">
        <v>2376</v>
      </c>
      <c r="C101" s="817" t="s">
        <v>2612</v>
      </c>
      <c r="D101" s="881">
        <f>227.366/1000</f>
        <v>0.22736600000000001</v>
      </c>
    </row>
    <row r="102" spans="1:4">
      <c r="A102" s="33">
        <f t="shared" si="2"/>
        <v>98</v>
      </c>
      <c r="B102" s="876" t="s">
        <v>2376</v>
      </c>
      <c r="C102" s="817" t="s">
        <v>2613</v>
      </c>
      <c r="D102" s="881">
        <f>401.366/1000</f>
        <v>0.401366</v>
      </c>
    </row>
    <row r="103" spans="1:4">
      <c r="A103" s="33">
        <f t="shared" si="2"/>
        <v>99</v>
      </c>
      <c r="B103" s="876" t="s">
        <v>2376</v>
      </c>
      <c r="C103" s="817" t="s">
        <v>2614</v>
      </c>
      <c r="D103" s="881">
        <f>1221.902/1000</f>
        <v>1.221902</v>
      </c>
    </row>
    <row r="104" spans="1:4">
      <c r="A104" s="33">
        <f t="shared" si="2"/>
        <v>100</v>
      </c>
      <c r="B104" s="876" t="s">
        <v>2376</v>
      </c>
      <c r="C104" s="817" t="s">
        <v>2615</v>
      </c>
      <c r="D104" s="881">
        <f>2000.393/1000</f>
        <v>2.0003929999999999</v>
      </c>
    </row>
    <row r="105" spans="1:4">
      <c r="A105" s="33">
        <f t="shared" si="2"/>
        <v>101</v>
      </c>
      <c r="B105" s="876" t="s">
        <v>2376</v>
      </c>
      <c r="C105" s="817" t="s">
        <v>2616</v>
      </c>
      <c r="D105" s="881">
        <f>1037.587/1000</f>
        <v>1.037587</v>
      </c>
    </row>
    <row r="106" spans="1:4">
      <c r="A106" s="33">
        <f t="shared" ref="A106:A115" si="3">A105+1</f>
        <v>102</v>
      </c>
      <c r="B106" s="876" t="s">
        <v>2376</v>
      </c>
      <c r="C106" s="817" t="s">
        <v>2617</v>
      </c>
      <c r="D106" s="881">
        <f>944.974/1000</f>
        <v>0.94497400000000009</v>
      </c>
    </row>
    <row r="107" spans="1:4">
      <c r="A107" s="33">
        <f t="shared" si="3"/>
        <v>103</v>
      </c>
      <c r="B107" s="876" t="s">
        <v>2376</v>
      </c>
      <c r="C107" s="817" t="s">
        <v>2618</v>
      </c>
      <c r="D107" s="881">
        <f>809.122/1000</f>
        <v>0.80912200000000001</v>
      </c>
    </row>
    <row r="108" spans="1:4">
      <c r="A108" s="33">
        <f t="shared" si="3"/>
        <v>104</v>
      </c>
      <c r="B108" s="876" t="s">
        <v>2376</v>
      </c>
      <c r="C108" s="817" t="s">
        <v>2619</v>
      </c>
      <c r="D108" s="881">
        <f>1066.883/1000</f>
        <v>1.066883</v>
      </c>
    </row>
    <row r="109" spans="1:4">
      <c r="A109" s="33">
        <f t="shared" si="3"/>
        <v>105</v>
      </c>
      <c r="B109" s="876" t="s">
        <v>2376</v>
      </c>
      <c r="C109" s="817" t="s">
        <v>2620</v>
      </c>
      <c r="D109" s="881">
        <f>245.679/1000</f>
        <v>0.24567900000000001</v>
      </c>
    </row>
    <row r="110" spans="1:4">
      <c r="A110" s="33">
        <f t="shared" si="3"/>
        <v>106</v>
      </c>
      <c r="B110" s="876" t="s">
        <v>2376</v>
      </c>
      <c r="C110" s="817" t="s">
        <v>2621</v>
      </c>
      <c r="D110" s="881">
        <f>352.93/1000</f>
        <v>0.35293000000000002</v>
      </c>
    </row>
    <row r="111" spans="1:4">
      <c r="A111" s="33">
        <f t="shared" si="3"/>
        <v>107</v>
      </c>
      <c r="B111" s="876" t="s">
        <v>2376</v>
      </c>
      <c r="C111" s="817" t="s">
        <v>2622</v>
      </c>
      <c r="D111" s="881">
        <f>232.301/1000</f>
        <v>0.23230099999999998</v>
      </c>
    </row>
    <row r="112" spans="1:4">
      <c r="A112" s="33">
        <f t="shared" si="3"/>
        <v>108</v>
      </c>
      <c r="B112" s="876" t="s">
        <v>2376</v>
      </c>
      <c r="C112" s="817" t="s">
        <v>2623</v>
      </c>
      <c r="D112" s="881">
        <f>474.983/1000</f>
        <v>0.47498299999999999</v>
      </c>
    </row>
    <row r="113" spans="1:4">
      <c r="A113" s="33">
        <f t="shared" si="3"/>
        <v>109</v>
      </c>
      <c r="B113" s="876" t="s">
        <v>2376</v>
      </c>
      <c r="C113" s="817" t="s">
        <v>2624</v>
      </c>
      <c r="D113" s="881">
        <f>938.027/1000</f>
        <v>0.93802700000000006</v>
      </c>
    </row>
    <row r="114" spans="1:4">
      <c r="A114" s="33">
        <f t="shared" si="3"/>
        <v>110</v>
      </c>
      <c r="B114" s="876" t="s">
        <v>2376</v>
      </c>
      <c r="C114" s="817" t="s">
        <v>2625</v>
      </c>
      <c r="D114" s="881">
        <f>1117.048/1000</f>
        <v>1.117048</v>
      </c>
    </row>
    <row r="115" spans="1:4">
      <c r="A115" s="33">
        <f t="shared" si="3"/>
        <v>111</v>
      </c>
      <c r="B115" s="876" t="s">
        <v>2376</v>
      </c>
      <c r="C115" s="817" t="s">
        <v>2626</v>
      </c>
      <c r="D115" s="881">
        <f>1861.602/1000</f>
        <v>1.861602</v>
      </c>
    </row>
    <row r="116" spans="1:4">
      <c r="A116" s="1625" t="s">
        <v>994</v>
      </c>
      <c r="B116" s="1625"/>
      <c r="C116" s="1625"/>
      <c r="D116" s="882">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ColWidth="8.7109375" defaultRowHeight="15"/>
  <cols>
    <col min="1" max="1" width="5.42578125" style="885" bestFit="1" customWidth="1"/>
    <col min="2" max="2" width="10.42578125" style="885" customWidth="1"/>
    <col min="3" max="3" width="6.42578125" style="886" customWidth="1"/>
    <col min="4" max="4" width="6.140625" style="886" customWidth="1"/>
    <col min="5" max="5" width="14.28515625" style="885" bestFit="1" customWidth="1"/>
    <col min="6" max="6" width="13.5703125" style="885" bestFit="1" customWidth="1"/>
    <col min="7" max="7" width="15" style="885" bestFit="1" customWidth="1"/>
    <col min="8" max="8" width="16.42578125" style="885" bestFit="1" customWidth="1"/>
    <col min="9" max="9" width="1.140625" style="885" customWidth="1"/>
    <col min="10" max="10" width="5.140625" style="885" customWidth="1"/>
    <col min="11" max="11" width="9.28515625" style="885" customWidth="1"/>
    <col min="12" max="12" width="11" style="885" customWidth="1"/>
    <col min="13" max="13" width="4.85546875" style="885" customWidth="1"/>
    <col min="14" max="14" width="5.140625" style="885" customWidth="1"/>
    <col min="15" max="15" width="4.85546875" style="885" customWidth="1"/>
    <col min="16" max="16" width="5.140625" style="885" customWidth="1"/>
    <col min="17" max="17" width="4.5703125" style="885" customWidth="1"/>
    <col min="18" max="18" width="5.7109375" style="885" customWidth="1"/>
    <col min="19" max="19" width="4.7109375" style="885" customWidth="1"/>
    <col min="20" max="20" width="6.140625" style="885" bestFit="1" customWidth="1"/>
    <col min="21" max="21" width="12.42578125" style="885" bestFit="1" customWidth="1"/>
    <col min="22" max="22" width="14.140625" style="885" bestFit="1" customWidth="1"/>
    <col min="23" max="23" width="12.5703125" style="885" bestFit="1" customWidth="1"/>
    <col min="24" max="24" width="16.140625" style="885" bestFit="1" customWidth="1"/>
    <col min="25" max="25" width="14.85546875" style="885" bestFit="1" customWidth="1"/>
    <col min="26" max="26" width="16.42578125" style="885" bestFit="1" customWidth="1"/>
    <col min="27" max="27" width="39.7109375" style="887" bestFit="1" customWidth="1"/>
    <col min="28" max="16384" width="8.7109375" style="885"/>
  </cols>
  <sheetData>
    <row r="1" spans="1:27">
      <c r="A1" s="778" t="s">
        <v>2187</v>
      </c>
    </row>
    <row r="2" spans="1:27">
      <c r="A2" s="778" t="s">
        <v>2384</v>
      </c>
    </row>
    <row r="3" spans="1:27" s="781" customFormat="1" ht="27.75" customHeight="1">
      <c r="A3" s="1638" t="s">
        <v>1916</v>
      </c>
      <c r="B3" s="1638"/>
      <c r="C3" s="1638"/>
      <c r="D3" s="1638"/>
      <c r="E3" s="1638"/>
      <c r="F3" s="1638"/>
      <c r="G3" s="1638"/>
      <c r="H3" s="1638"/>
      <c r="I3" s="888"/>
      <c r="J3" s="1638" t="s">
        <v>1917</v>
      </c>
      <c r="K3" s="1638"/>
      <c r="L3" s="1638"/>
      <c r="M3" s="1638"/>
      <c r="N3" s="1638"/>
      <c r="O3" s="1638"/>
      <c r="P3" s="1638"/>
      <c r="Q3" s="1638"/>
      <c r="R3" s="1638"/>
      <c r="S3" s="1638"/>
      <c r="T3" s="1638"/>
      <c r="U3" s="1638"/>
      <c r="V3" s="1638"/>
      <c r="W3" s="1638"/>
      <c r="X3" s="1638"/>
      <c r="Y3" s="1638"/>
      <c r="Z3" s="1638"/>
      <c r="AA3" s="1638"/>
    </row>
    <row r="4" spans="1:27" s="783" customFormat="1" ht="20.100000000000001" customHeight="1">
      <c r="A4" s="1636" t="s">
        <v>1918</v>
      </c>
      <c r="B4" s="1636" t="s">
        <v>1919</v>
      </c>
      <c r="C4" s="1636" t="s">
        <v>1920</v>
      </c>
      <c r="D4" s="1636" t="s">
        <v>1921</v>
      </c>
      <c r="E4" s="1636" t="s">
        <v>1922</v>
      </c>
      <c r="F4" s="1636" t="s">
        <v>1923</v>
      </c>
      <c r="G4" s="1636" t="s">
        <v>1924</v>
      </c>
      <c r="H4" s="1636"/>
      <c r="I4" s="888"/>
      <c r="J4" s="1636" t="s">
        <v>1918</v>
      </c>
      <c r="K4" s="1636" t="s">
        <v>1919</v>
      </c>
      <c r="L4" s="1636" t="s">
        <v>1920</v>
      </c>
      <c r="M4" s="1636" t="s">
        <v>1000</v>
      </c>
      <c r="N4" s="1636"/>
      <c r="O4" s="1636"/>
      <c r="P4" s="1636"/>
      <c r="Q4" s="1636" t="s">
        <v>1925</v>
      </c>
      <c r="R4" s="1636"/>
      <c r="S4" s="1636"/>
      <c r="T4" s="1636"/>
      <c r="U4" s="1637" t="s">
        <v>1921</v>
      </c>
      <c r="V4" s="1637" t="s">
        <v>1922</v>
      </c>
      <c r="W4" s="1639" t="s">
        <v>1926</v>
      </c>
      <c r="X4" s="1636" t="s">
        <v>1923</v>
      </c>
      <c r="Y4" s="1636" t="s">
        <v>1924</v>
      </c>
      <c r="Z4" s="1636"/>
      <c r="AA4" s="1636" t="s">
        <v>1927</v>
      </c>
    </row>
    <row r="5" spans="1:27" s="783" customFormat="1" ht="12" customHeight="1">
      <c r="A5" s="1636"/>
      <c r="B5" s="1636"/>
      <c r="C5" s="1636"/>
      <c r="D5" s="1636"/>
      <c r="E5" s="1636"/>
      <c r="F5" s="1636"/>
      <c r="G5" s="784" t="s">
        <v>1928</v>
      </c>
      <c r="H5" s="784" t="s">
        <v>1929</v>
      </c>
      <c r="I5" s="888"/>
      <c r="J5" s="1636"/>
      <c r="K5" s="1636"/>
      <c r="L5" s="1636"/>
      <c r="M5" s="782" t="s">
        <v>1930</v>
      </c>
      <c r="N5" s="782" t="s">
        <v>1931</v>
      </c>
      <c r="O5" s="782" t="s">
        <v>1932</v>
      </c>
      <c r="P5" s="782" t="s">
        <v>1933</v>
      </c>
      <c r="Q5" s="782" t="s">
        <v>1930</v>
      </c>
      <c r="R5" s="782" t="s">
        <v>1931</v>
      </c>
      <c r="S5" s="782" t="s">
        <v>1932</v>
      </c>
      <c r="T5" s="782" t="s">
        <v>1933</v>
      </c>
      <c r="U5" s="1637"/>
      <c r="V5" s="1637"/>
      <c r="W5" s="1639"/>
      <c r="X5" s="1636"/>
      <c r="Y5" s="784" t="s">
        <v>1928</v>
      </c>
      <c r="Z5" s="784" t="s">
        <v>1929</v>
      </c>
      <c r="AA5" s="1636"/>
    </row>
    <row r="6" spans="1:27" s="783" customFormat="1" ht="12" customHeight="1">
      <c r="A6" s="884">
        <v>1</v>
      </c>
      <c r="B6" s="754" t="s">
        <v>2752</v>
      </c>
      <c r="C6" s="754" t="s">
        <v>2197</v>
      </c>
      <c r="D6" s="754"/>
      <c r="E6" s="754">
        <v>0</v>
      </c>
      <c r="F6" s="754" t="s">
        <v>2753</v>
      </c>
      <c r="G6" s="754">
        <v>516661.837</v>
      </c>
      <c r="H6" s="754">
        <v>3596578.1469999999</v>
      </c>
      <c r="I6" s="888"/>
      <c r="J6" s="884">
        <v>1</v>
      </c>
      <c r="K6" s="754" t="s">
        <v>2752</v>
      </c>
      <c r="L6" s="754" t="s">
        <v>1319</v>
      </c>
      <c r="M6" s="754">
        <v>0</v>
      </c>
      <c r="N6" s="754">
        <v>0</v>
      </c>
      <c r="O6" s="754">
        <v>0</v>
      </c>
      <c r="P6" s="754">
        <v>0</v>
      </c>
      <c r="Q6" s="754">
        <v>0</v>
      </c>
      <c r="R6" s="754">
        <v>0</v>
      </c>
      <c r="S6" s="754">
        <v>0</v>
      </c>
      <c r="T6" s="754">
        <v>0</v>
      </c>
      <c r="U6" s="754"/>
      <c r="V6" s="754">
        <v>0</v>
      </c>
      <c r="W6" s="754">
        <v>384.3</v>
      </c>
      <c r="X6" s="754" t="s">
        <v>2773</v>
      </c>
      <c r="Y6" s="754">
        <v>516472.78499999997</v>
      </c>
      <c r="Z6" s="754">
        <v>3598642.6579999998</v>
      </c>
      <c r="AA6" s="811"/>
    </row>
    <row r="7" spans="1:27" s="783" customFormat="1" ht="12" customHeight="1">
      <c r="A7" s="816"/>
      <c r="B7" s="754"/>
      <c r="C7" s="754"/>
      <c r="D7" s="823">
        <v>119.059</v>
      </c>
      <c r="E7" s="754"/>
      <c r="F7" s="754"/>
      <c r="G7" s="754"/>
      <c r="H7" s="754"/>
      <c r="I7" s="888"/>
      <c r="J7" s="816"/>
      <c r="K7" s="754"/>
      <c r="L7" s="754"/>
      <c r="M7" s="754"/>
      <c r="N7" s="754"/>
      <c r="O7" s="754"/>
      <c r="P7" s="754"/>
      <c r="Q7" s="754"/>
      <c r="R7" s="754"/>
      <c r="S7" s="754"/>
      <c r="T7" s="754"/>
      <c r="U7" s="754">
        <v>119.059</v>
      </c>
      <c r="V7" s="754"/>
      <c r="W7" s="754"/>
      <c r="X7" s="754"/>
      <c r="Y7" s="754"/>
      <c r="Z7" s="754"/>
      <c r="AA7" s="812" t="s">
        <v>2774</v>
      </c>
    </row>
    <row r="8" spans="1:27" s="783" customFormat="1" ht="12" customHeight="1">
      <c r="A8" s="884">
        <f>A6+1</f>
        <v>2</v>
      </c>
      <c r="B8" s="754" t="s">
        <v>2754</v>
      </c>
      <c r="C8" s="754" t="s">
        <v>76</v>
      </c>
      <c r="D8" s="823"/>
      <c r="E8" s="919">
        <f>E6+D7</f>
        <v>119.059</v>
      </c>
      <c r="F8" s="754" t="s">
        <v>2755</v>
      </c>
      <c r="G8" s="754">
        <v>516805.33199999999</v>
      </c>
      <c r="H8" s="754">
        <v>3596183.2080000001</v>
      </c>
      <c r="I8" s="888"/>
      <c r="J8" s="884">
        <f>J6+1</f>
        <v>2</v>
      </c>
      <c r="K8" s="754" t="s">
        <v>2754</v>
      </c>
      <c r="L8" s="754" t="s">
        <v>2212</v>
      </c>
      <c r="M8" s="754">
        <v>0</v>
      </c>
      <c r="N8" s="754">
        <v>0</v>
      </c>
      <c r="O8" s="754">
        <v>0</v>
      </c>
      <c r="P8" s="754">
        <v>0</v>
      </c>
      <c r="Q8" s="754">
        <v>0</v>
      </c>
      <c r="R8" s="754">
        <v>0</v>
      </c>
      <c r="S8" s="754">
        <v>0</v>
      </c>
      <c r="T8" s="754">
        <v>0</v>
      </c>
      <c r="U8" s="754"/>
      <c r="V8" s="754">
        <f>U7</f>
        <v>119.059</v>
      </c>
      <c r="W8" s="754">
        <v>384.202</v>
      </c>
      <c r="X8" s="754" t="s">
        <v>2775</v>
      </c>
      <c r="Y8" s="754">
        <v>516557.85499999998</v>
      </c>
      <c r="Z8" s="754">
        <v>3598559.3620000002</v>
      </c>
      <c r="AA8" s="813"/>
    </row>
    <row r="9" spans="1:27" s="783" customFormat="1" ht="12" customHeight="1">
      <c r="A9" s="816"/>
      <c r="B9" s="754"/>
      <c r="C9" s="754"/>
      <c r="D9" s="823">
        <v>92.495999999999995</v>
      </c>
      <c r="E9" s="919"/>
      <c r="F9" s="754"/>
      <c r="G9" s="754"/>
      <c r="H9" s="754"/>
      <c r="I9" s="888"/>
      <c r="J9" s="816"/>
      <c r="K9" s="754"/>
      <c r="L9" s="754"/>
      <c r="M9" s="754"/>
      <c r="N9" s="754"/>
      <c r="O9" s="754"/>
      <c r="P9" s="754"/>
      <c r="Q9" s="754"/>
      <c r="R9" s="754"/>
      <c r="S9" s="754"/>
      <c r="T9" s="754"/>
      <c r="U9" s="754">
        <v>92.495999999999995</v>
      </c>
      <c r="V9" s="754"/>
      <c r="W9" s="754"/>
      <c r="X9" s="754"/>
      <c r="Y9" s="754"/>
      <c r="Z9" s="754"/>
      <c r="AA9" s="813"/>
    </row>
    <row r="10" spans="1:27" s="783" customFormat="1" ht="12" customHeight="1">
      <c r="A10" s="884">
        <f>A8+1</f>
        <v>3</v>
      </c>
      <c r="B10" s="754" t="s">
        <v>2756</v>
      </c>
      <c r="C10" s="754" t="s">
        <v>76</v>
      </c>
      <c r="D10" s="823"/>
      <c r="E10" s="919">
        <f t="shared" ref="E10:E26" si="0">E8+D9</f>
        <v>211.55500000000001</v>
      </c>
      <c r="F10" s="754" t="s">
        <v>2757</v>
      </c>
      <c r="G10" s="754">
        <v>516948.80200000003</v>
      </c>
      <c r="H10" s="754">
        <v>3595788.3369999998</v>
      </c>
      <c r="I10" s="888"/>
      <c r="J10" s="884">
        <f>J8+1</f>
        <v>3</v>
      </c>
      <c r="K10" s="754" t="s">
        <v>2756</v>
      </c>
      <c r="L10" s="754" t="s">
        <v>1988</v>
      </c>
      <c r="M10" s="754">
        <v>0</v>
      </c>
      <c r="N10" s="754">
        <v>0</v>
      </c>
      <c r="O10" s="754">
        <v>0</v>
      </c>
      <c r="P10" s="754">
        <v>0</v>
      </c>
      <c r="Q10" s="754">
        <v>0</v>
      </c>
      <c r="R10" s="754">
        <v>0</v>
      </c>
      <c r="S10" s="754">
        <v>0</v>
      </c>
      <c r="T10" s="754">
        <v>0</v>
      </c>
      <c r="U10" s="754"/>
      <c r="V10" s="754">
        <f>V8+U9</f>
        <v>211.55500000000001</v>
      </c>
      <c r="W10" s="754">
        <v>382.166</v>
      </c>
      <c r="X10" s="754" t="s">
        <v>2776</v>
      </c>
      <c r="Y10" s="754">
        <v>516565.42099999997</v>
      </c>
      <c r="Z10" s="754">
        <v>3598467.176</v>
      </c>
      <c r="AA10" s="814"/>
    </row>
    <row r="11" spans="1:27" s="783" customFormat="1" ht="12" customHeight="1">
      <c r="A11" s="816"/>
      <c r="B11" s="754"/>
      <c r="C11" s="754"/>
      <c r="D11" s="823">
        <v>134.989</v>
      </c>
      <c r="E11" s="919"/>
      <c r="F11" s="754"/>
      <c r="G11" s="754"/>
      <c r="H11" s="754"/>
      <c r="I11" s="888"/>
      <c r="J11" s="816"/>
      <c r="K11" s="754"/>
      <c r="L11" s="754"/>
      <c r="M11" s="754"/>
      <c r="N11" s="754"/>
      <c r="O11" s="754"/>
      <c r="P11" s="754"/>
      <c r="Q11" s="754"/>
      <c r="R11" s="754"/>
      <c r="S11" s="754"/>
      <c r="T11" s="754"/>
      <c r="U11" s="754">
        <v>134.988</v>
      </c>
      <c r="V11" s="754"/>
      <c r="W11" s="754"/>
      <c r="X11" s="754"/>
      <c r="Y11" s="754"/>
      <c r="Z11" s="754"/>
      <c r="AA11" s="813" t="s">
        <v>2777</v>
      </c>
    </row>
    <row r="12" spans="1:27" s="783" customFormat="1" ht="12" customHeight="1">
      <c r="A12" s="884">
        <f>A10+1</f>
        <v>4</v>
      </c>
      <c r="B12" s="754" t="s">
        <v>2758</v>
      </c>
      <c r="C12" s="754" t="s">
        <v>53</v>
      </c>
      <c r="D12" s="823"/>
      <c r="E12" s="919">
        <f t="shared" si="0"/>
        <v>346.54399999999998</v>
      </c>
      <c r="F12" s="754" t="s">
        <v>2759</v>
      </c>
      <c r="G12" s="754">
        <v>517087.15899999999</v>
      </c>
      <c r="H12" s="754">
        <v>3595407.5410000002</v>
      </c>
      <c r="I12" s="888"/>
      <c r="J12" s="884">
        <f>J10+1</f>
        <v>4</v>
      </c>
      <c r="K12" s="754" t="s">
        <v>2758</v>
      </c>
      <c r="L12" s="754" t="s">
        <v>1988</v>
      </c>
      <c r="M12" s="754">
        <v>0</v>
      </c>
      <c r="N12" s="754">
        <v>0</v>
      </c>
      <c r="O12" s="754">
        <v>0</v>
      </c>
      <c r="P12" s="754">
        <v>0</v>
      </c>
      <c r="Q12" s="754">
        <v>0</v>
      </c>
      <c r="R12" s="754">
        <v>0</v>
      </c>
      <c r="S12" s="754">
        <v>0</v>
      </c>
      <c r="T12" s="754">
        <v>0</v>
      </c>
      <c r="U12" s="754"/>
      <c r="V12" s="754">
        <f t="shared" ref="V12:V26" si="1">V10+U11</f>
        <v>346.54300000000001</v>
      </c>
      <c r="W12" s="754">
        <v>377.89</v>
      </c>
      <c r="X12" s="754" t="s">
        <v>2778</v>
      </c>
      <c r="Y12" s="754">
        <v>516671.55900000001</v>
      </c>
      <c r="Z12" s="754">
        <v>3598383.77</v>
      </c>
      <c r="AA12" s="813"/>
    </row>
    <row r="13" spans="1:27" s="783" customFormat="1" ht="12" customHeight="1">
      <c r="A13" s="816"/>
      <c r="B13" s="754"/>
      <c r="C13" s="754"/>
      <c r="D13" s="823">
        <v>365.17500000000001</v>
      </c>
      <c r="E13" s="919"/>
      <c r="F13" s="754"/>
      <c r="G13" s="754"/>
      <c r="H13" s="754"/>
      <c r="I13" s="888"/>
      <c r="J13" s="816"/>
      <c r="K13" s="754"/>
      <c r="L13" s="754"/>
      <c r="M13" s="754"/>
      <c r="N13" s="754"/>
      <c r="O13" s="754"/>
      <c r="P13" s="754"/>
      <c r="Q13" s="754"/>
      <c r="R13" s="754"/>
      <c r="S13" s="754"/>
      <c r="T13" s="754"/>
      <c r="U13" s="754">
        <v>365.17599999999999</v>
      </c>
      <c r="V13" s="754"/>
      <c r="W13" s="754"/>
      <c r="X13" s="754"/>
      <c r="Y13" s="754"/>
      <c r="Z13" s="754"/>
      <c r="AA13" s="813" t="s">
        <v>2126</v>
      </c>
    </row>
    <row r="14" spans="1:27" s="783" customFormat="1" ht="12" customHeight="1">
      <c r="A14" s="884">
        <f>A12+1</f>
        <v>5</v>
      </c>
      <c r="B14" s="754" t="s">
        <v>2760</v>
      </c>
      <c r="C14" s="754" t="s">
        <v>1402</v>
      </c>
      <c r="D14" s="823"/>
      <c r="E14" s="919">
        <f t="shared" si="0"/>
        <v>711.71900000000005</v>
      </c>
      <c r="F14" s="754" t="s">
        <v>2761</v>
      </c>
      <c r="G14" s="754">
        <v>517233.304</v>
      </c>
      <c r="H14" s="754">
        <v>3595005.3080000002</v>
      </c>
      <c r="I14" s="888"/>
      <c r="J14" s="884">
        <f>J12+1</f>
        <v>5</v>
      </c>
      <c r="K14" s="754" t="s">
        <v>2760</v>
      </c>
      <c r="L14" s="754" t="s">
        <v>2212</v>
      </c>
      <c r="M14" s="754">
        <v>0</v>
      </c>
      <c r="N14" s="754">
        <v>0</v>
      </c>
      <c r="O14" s="754">
        <v>0</v>
      </c>
      <c r="P14" s="754">
        <v>0</v>
      </c>
      <c r="Q14" s="754">
        <v>0</v>
      </c>
      <c r="R14" s="754">
        <v>0</v>
      </c>
      <c r="S14" s="754">
        <v>0</v>
      </c>
      <c r="T14" s="754">
        <v>0</v>
      </c>
      <c r="U14" s="754"/>
      <c r="V14" s="754">
        <f t="shared" si="1"/>
        <v>711.71900000000005</v>
      </c>
      <c r="W14" s="754">
        <v>373.28</v>
      </c>
      <c r="X14" s="754" t="s">
        <v>2779</v>
      </c>
      <c r="Y14" s="754">
        <v>516738.65</v>
      </c>
      <c r="Z14" s="754">
        <v>3598024.81</v>
      </c>
      <c r="AA14" s="813"/>
    </row>
    <row r="15" spans="1:27" s="783" customFormat="1" ht="12" customHeight="1">
      <c r="A15" s="816"/>
      <c r="B15" s="754"/>
      <c r="C15" s="754"/>
      <c r="D15" s="823">
        <v>236.697</v>
      </c>
      <c r="E15" s="919"/>
      <c r="F15" s="754"/>
      <c r="G15" s="754"/>
      <c r="H15" s="754"/>
      <c r="I15" s="888"/>
      <c r="J15" s="816"/>
      <c r="K15" s="754"/>
      <c r="L15" s="754"/>
      <c r="M15" s="754"/>
      <c r="N15" s="754"/>
      <c r="O15" s="754"/>
      <c r="P15" s="754"/>
      <c r="Q15" s="754"/>
      <c r="R15" s="754"/>
      <c r="S15" s="754"/>
      <c r="T15" s="754"/>
      <c r="U15" s="754">
        <v>236.697</v>
      </c>
      <c r="V15" s="754"/>
      <c r="W15" s="754"/>
      <c r="X15" s="754"/>
      <c r="Y15" s="754"/>
      <c r="Z15" s="754"/>
      <c r="AA15" s="813" t="s">
        <v>2780</v>
      </c>
    </row>
    <row r="16" spans="1:27" s="783" customFormat="1" ht="12" customHeight="1">
      <c r="A16" s="884">
        <f>A14+1</f>
        <v>6</v>
      </c>
      <c r="B16" s="754" t="s">
        <v>2762</v>
      </c>
      <c r="C16" s="754" t="s">
        <v>1361</v>
      </c>
      <c r="D16" s="823"/>
      <c r="E16" s="919">
        <f t="shared" si="0"/>
        <v>948.41600000000005</v>
      </c>
      <c r="F16" s="754" t="s">
        <v>2763</v>
      </c>
      <c r="G16" s="754">
        <v>517425.65</v>
      </c>
      <c r="H16" s="754">
        <v>3594793.72</v>
      </c>
      <c r="I16" s="888"/>
      <c r="J16" s="884">
        <f>J14+1</f>
        <v>6</v>
      </c>
      <c r="K16" s="754" t="s">
        <v>2762</v>
      </c>
      <c r="L16" s="754" t="s">
        <v>2212</v>
      </c>
      <c r="M16" s="754">
        <v>0</v>
      </c>
      <c r="N16" s="754">
        <v>0</v>
      </c>
      <c r="O16" s="754">
        <v>0</v>
      </c>
      <c r="P16" s="754">
        <v>0</v>
      </c>
      <c r="Q16" s="754">
        <v>0</v>
      </c>
      <c r="R16" s="754">
        <v>0</v>
      </c>
      <c r="S16" s="754">
        <v>0</v>
      </c>
      <c r="T16" s="754">
        <v>0</v>
      </c>
      <c r="U16" s="754"/>
      <c r="V16" s="754">
        <f t="shared" si="1"/>
        <v>948.41600000000005</v>
      </c>
      <c r="W16" s="754">
        <v>364.06299999999999</v>
      </c>
      <c r="X16" s="754" t="s">
        <v>2781</v>
      </c>
      <c r="Y16" s="754">
        <v>516633</v>
      </c>
      <c r="Z16" s="754">
        <v>3597813</v>
      </c>
      <c r="AA16" s="813"/>
    </row>
    <row r="17" spans="1:27" s="783" customFormat="1" ht="12" customHeight="1">
      <c r="A17" s="816"/>
      <c r="B17" s="754"/>
      <c r="C17" s="754"/>
      <c r="D17" s="823">
        <v>213.25200000000001</v>
      </c>
      <c r="E17" s="919"/>
      <c r="F17" s="754"/>
      <c r="G17" s="754"/>
      <c r="H17" s="754"/>
      <c r="I17" s="888"/>
      <c r="J17" s="816"/>
      <c r="K17" s="754"/>
      <c r="L17" s="754"/>
      <c r="M17" s="754"/>
      <c r="N17" s="754"/>
      <c r="O17" s="754"/>
      <c r="P17" s="754"/>
      <c r="Q17" s="754"/>
      <c r="R17" s="754"/>
      <c r="S17" s="754"/>
      <c r="T17" s="754"/>
      <c r="U17" s="754">
        <v>213.25200000000001</v>
      </c>
      <c r="V17" s="754"/>
      <c r="W17" s="754"/>
      <c r="X17" s="754"/>
      <c r="Y17" s="754"/>
      <c r="Z17" s="754"/>
      <c r="AA17" s="815"/>
    </row>
    <row r="18" spans="1:27" s="783" customFormat="1" ht="12" customHeight="1">
      <c r="A18" s="884">
        <f>A16+1</f>
        <v>7</v>
      </c>
      <c r="B18" s="754" t="s">
        <v>2764</v>
      </c>
      <c r="C18" s="754" t="s">
        <v>1361</v>
      </c>
      <c r="D18" s="823"/>
      <c r="E18" s="919">
        <f t="shared" si="0"/>
        <v>1161.6680000000001</v>
      </c>
      <c r="F18" s="754" t="s">
        <v>2765</v>
      </c>
      <c r="G18" s="754">
        <v>517777.57199999999</v>
      </c>
      <c r="H18" s="754">
        <v>3594601.159</v>
      </c>
      <c r="I18" s="888"/>
      <c r="J18" s="884">
        <f>J16+1</f>
        <v>7</v>
      </c>
      <c r="K18" s="754" t="s">
        <v>2764</v>
      </c>
      <c r="L18" s="754" t="s">
        <v>1988</v>
      </c>
      <c r="M18" s="754">
        <v>0</v>
      </c>
      <c r="N18" s="754">
        <v>0</v>
      </c>
      <c r="O18" s="754">
        <v>0</v>
      </c>
      <c r="P18" s="754">
        <v>0</v>
      </c>
      <c r="Q18" s="754">
        <v>0</v>
      </c>
      <c r="R18" s="754">
        <v>0</v>
      </c>
      <c r="S18" s="754">
        <v>0</v>
      </c>
      <c r="T18" s="754">
        <v>0</v>
      </c>
      <c r="U18" s="754"/>
      <c r="V18" s="754">
        <f t="shared" si="1"/>
        <v>1161.6680000000001</v>
      </c>
      <c r="W18" s="754">
        <v>361.99</v>
      </c>
      <c r="X18" s="754" t="s">
        <v>2782</v>
      </c>
      <c r="Y18" s="754">
        <v>516611.32199999999</v>
      </c>
      <c r="Z18" s="754">
        <v>3597600.8530000001</v>
      </c>
      <c r="AA18" s="813"/>
    </row>
    <row r="19" spans="1:27" s="783" customFormat="1" ht="12" customHeight="1">
      <c r="A19" s="816"/>
      <c r="B19" s="754"/>
      <c r="C19" s="754"/>
      <c r="D19" s="823">
        <v>206.59200000000001</v>
      </c>
      <c r="E19" s="919"/>
      <c r="F19" s="754"/>
      <c r="G19" s="754"/>
      <c r="H19" s="754"/>
      <c r="I19" s="888"/>
      <c r="J19" s="816"/>
      <c r="K19" s="754"/>
      <c r="L19" s="754"/>
      <c r="M19" s="754"/>
      <c r="N19" s="754"/>
      <c r="O19" s="754"/>
      <c r="P19" s="754"/>
      <c r="Q19" s="754"/>
      <c r="R19" s="754"/>
      <c r="S19" s="754"/>
      <c r="T19" s="754"/>
      <c r="U19" s="754">
        <v>206.59299999999999</v>
      </c>
      <c r="V19" s="754"/>
      <c r="W19" s="754"/>
      <c r="X19" s="754"/>
      <c r="Y19" s="754"/>
      <c r="Z19" s="754"/>
      <c r="AA19" s="813" t="s">
        <v>2783</v>
      </c>
    </row>
    <row r="20" spans="1:27" s="783" customFormat="1" ht="12" customHeight="1">
      <c r="A20" s="884">
        <f>A18+1</f>
        <v>8</v>
      </c>
      <c r="B20" s="754" t="s">
        <v>2766</v>
      </c>
      <c r="C20" s="754" t="s">
        <v>76</v>
      </c>
      <c r="D20" s="823"/>
      <c r="E20" s="919">
        <f t="shared" si="0"/>
        <v>1368.2600000000002</v>
      </c>
      <c r="F20" s="754" t="s">
        <v>2767</v>
      </c>
      <c r="G20" s="754">
        <v>517986.277</v>
      </c>
      <c r="H20" s="754">
        <v>3594326.446</v>
      </c>
      <c r="I20" s="888"/>
      <c r="J20" s="884">
        <f>J18+1</f>
        <v>8</v>
      </c>
      <c r="K20" s="754" t="s">
        <v>2766</v>
      </c>
      <c r="L20" s="754" t="s">
        <v>2023</v>
      </c>
      <c r="M20" s="754">
        <v>0</v>
      </c>
      <c r="N20" s="754">
        <v>0</v>
      </c>
      <c r="O20" s="754">
        <v>0</v>
      </c>
      <c r="P20" s="754">
        <v>0</v>
      </c>
      <c r="Q20" s="754">
        <v>0</v>
      </c>
      <c r="R20" s="754">
        <v>0</v>
      </c>
      <c r="S20" s="754">
        <v>0</v>
      </c>
      <c r="T20" s="754">
        <v>0</v>
      </c>
      <c r="U20" s="754"/>
      <c r="V20" s="754">
        <f t="shared" si="1"/>
        <v>1368.2610000000002</v>
      </c>
      <c r="W20" s="754">
        <v>353.88299999999998</v>
      </c>
      <c r="X20" s="754" t="s">
        <v>2784</v>
      </c>
      <c r="Y20" s="754">
        <v>516437.27399999998</v>
      </c>
      <c r="Z20" s="754">
        <v>3597489.5520000001</v>
      </c>
      <c r="AA20" s="813"/>
    </row>
    <row r="21" spans="1:27" s="783" customFormat="1" ht="12" customHeight="1">
      <c r="A21" s="816"/>
      <c r="B21" s="754"/>
      <c r="C21" s="754"/>
      <c r="D21" s="823">
        <v>289.86200000000002</v>
      </c>
      <c r="E21" s="919"/>
      <c r="F21" s="754"/>
      <c r="G21" s="754"/>
      <c r="H21" s="754"/>
      <c r="I21" s="888"/>
      <c r="J21" s="816"/>
      <c r="K21" s="754"/>
      <c r="L21" s="754"/>
      <c r="M21" s="754"/>
      <c r="N21" s="754"/>
      <c r="O21" s="754"/>
      <c r="P21" s="754"/>
      <c r="Q21" s="754"/>
      <c r="R21" s="754"/>
      <c r="S21" s="754"/>
      <c r="T21" s="754"/>
      <c r="U21" s="754">
        <v>289.86200000000002</v>
      </c>
      <c r="V21" s="754"/>
      <c r="W21" s="754"/>
      <c r="X21" s="754"/>
      <c r="Y21" s="754"/>
      <c r="Z21" s="754"/>
      <c r="AA21" s="813" t="s">
        <v>2785</v>
      </c>
    </row>
    <row r="22" spans="1:27" s="783" customFormat="1" ht="12" customHeight="1">
      <c r="A22" s="884">
        <f>A20+1</f>
        <v>9</v>
      </c>
      <c r="B22" s="754" t="s">
        <v>2768</v>
      </c>
      <c r="C22" s="754" t="s">
        <v>76</v>
      </c>
      <c r="D22" s="823"/>
      <c r="E22" s="919">
        <f t="shared" si="0"/>
        <v>1658.1220000000003</v>
      </c>
      <c r="F22" s="754" t="s">
        <v>2769</v>
      </c>
      <c r="G22" s="754">
        <v>518204.05699999997</v>
      </c>
      <c r="H22" s="754">
        <v>3594039.7889999999</v>
      </c>
      <c r="I22" s="888"/>
      <c r="J22" s="884">
        <f>J20+1</f>
        <v>9</v>
      </c>
      <c r="K22" s="754" t="s">
        <v>2768</v>
      </c>
      <c r="L22" s="754" t="s">
        <v>1988</v>
      </c>
      <c r="M22" s="754">
        <v>0</v>
      </c>
      <c r="N22" s="754">
        <v>0</v>
      </c>
      <c r="O22" s="754">
        <v>0</v>
      </c>
      <c r="P22" s="754">
        <v>0</v>
      </c>
      <c r="Q22" s="754">
        <v>1.5</v>
      </c>
      <c r="R22" s="754">
        <v>1.5</v>
      </c>
      <c r="S22" s="754">
        <v>0</v>
      </c>
      <c r="T22" s="754">
        <v>0</v>
      </c>
      <c r="U22" s="754"/>
      <c r="V22" s="754">
        <f t="shared" si="1"/>
        <v>1658.1230000000003</v>
      </c>
      <c r="W22" s="754">
        <v>348.38</v>
      </c>
      <c r="X22" s="754" t="s">
        <v>2786</v>
      </c>
      <c r="Y22" s="754">
        <v>516389.11</v>
      </c>
      <c r="Z22" s="754">
        <v>3597203.72</v>
      </c>
      <c r="AA22" s="813"/>
    </row>
    <row r="23" spans="1:27" s="783" customFormat="1" ht="12" customHeight="1">
      <c r="A23" s="816"/>
      <c r="B23" s="754"/>
      <c r="C23" s="754"/>
      <c r="D23" s="823">
        <v>402.93799999999999</v>
      </c>
      <c r="E23" s="919"/>
      <c r="F23" s="754"/>
      <c r="G23" s="754"/>
      <c r="H23" s="754"/>
      <c r="I23" s="888"/>
      <c r="J23" s="816"/>
      <c r="K23" s="754"/>
      <c r="L23" s="754"/>
      <c r="M23" s="754"/>
      <c r="N23" s="754"/>
      <c r="O23" s="754"/>
      <c r="P23" s="754"/>
      <c r="Q23" s="754"/>
      <c r="R23" s="754"/>
      <c r="S23" s="754"/>
      <c r="T23" s="754"/>
      <c r="U23" s="754">
        <v>402.93799999999999</v>
      </c>
      <c r="V23" s="754"/>
      <c r="W23" s="754"/>
      <c r="X23" s="754"/>
      <c r="Y23" s="754"/>
      <c r="Z23" s="754"/>
      <c r="AA23" s="813" t="s">
        <v>2787</v>
      </c>
    </row>
    <row r="24" spans="1:27" s="783" customFormat="1" ht="12" customHeight="1">
      <c r="A24" s="884">
        <f>A22+1</f>
        <v>10</v>
      </c>
      <c r="B24" s="754" t="s">
        <v>2770</v>
      </c>
      <c r="C24" s="754" t="s">
        <v>1277</v>
      </c>
      <c r="D24" s="823"/>
      <c r="E24" s="919">
        <f t="shared" si="0"/>
        <v>2061.0600000000004</v>
      </c>
      <c r="F24" s="754" t="s">
        <v>2771</v>
      </c>
      <c r="G24" s="754">
        <v>518415.91800000001</v>
      </c>
      <c r="H24" s="754">
        <v>3593760.9219999998</v>
      </c>
      <c r="I24" s="888"/>
      <c r="J24" s="884">
        <f>J22+1</f>
        <v>10</v>
      </c>
      <c r="K24" s="754" t="s">
        <v>2770</v>
      </c>
      <c r="L24" s="754" t="s">
        <v>1977</v>
      </c>
      <c r="M24" s="754">
        <v>0</v>
      </c>
      <c r="N24" s="754">
        <v>0</v>
      </c>
      <c r="O24" s="754">
        <v>0</v>
      </c>
      <c r="P24" s="754">
        <v>0</v>
      </c>
      <c r="Q24" s="754">
        <v>0</v>
      </c>
      <c r="R24" s="754">
        <v>0</v>
      </c>
      <c r="S24" s="754">
        <v>2</v>
      </c>
      <c r="T24" s="754">
        <v>0</v>
      </c>
      <c r="U24" s="754"/>
      <c r="V24" s="754">
        <f t="shared" si="1"/>
        <v>2061.0610000000001</v>
      </c>
      <c r="W24" s="754">
        <v>345.17</v>
      </c>
      <c r="X24" s="754" t="s">
        <v>2788</v>
      </c>
      <c r="Y24" s="754">
        <v>516588.02</v>
      </c>
      <c r="Z24" s="754">
        <v>3596853.3</v>
      </c>
      <c r="AA24" s="813"/>
    </row>
    <row r="25" spans="1:27" s="783" customFormat="1" ht="12" customHeight="1">
      <c r="A25" s="816"/>
      <c r="B25" s="754"/>
      <c r="C25" s="754"/>
      <c r="D25" s="823">
        <v>284.88299999999998</v>
      </c>
      <c r="E25" s="919"/>
      <c r="F25" s="754"/>
      <c r="G25" s="754"/>
      <c r="H25" s="754"/>
      <c r="I25" s="888"/>
      <c r="J25" s="816"/>
      <c r="K25" s="754"/>
      <c r="L25" s="754"/>
      <c r="M25" s="754"/>
      <c r="N25" s="754"/>
      <c r="O25" s="754"/>
      <c r="P25" s="754"/>
      <c r="Q25" s="754"/>
      <c r="R25" s="754"/>
      <c r="S25" s="754"/>
      <c r="T25" s="754"/>
      <c r="U25" s="754">
        <v>284.88299999999998</v>
      </c>
      <c r="V25" s="754"/>
      <c r="W25" s="754"/>
      <c r="X25" s="754"/>
      <c r="Y25" s="754"/>
      <c r="Z25" s="754"/>
      <c r="AA25" s="813" t="s">
        <v>2789</v>
      </c>
    </row>
    <row r="26" spans="1:27" s="783" customFormat="1" ht="12" customHeight="1">
      <c r="A26" s="884">
        <f>A24+1</f>
        <v>11</v>
      </c>
      <c r="B26" s="754" t="s">
        <v>2428</v>
      </c>
      <c r="C26" s="754" t="s">
        <v>76</v>
      </c>
      <c r="D26" s="754"/>
      <c r="E26" s="919">
        <f t="shared" si="0"/>
        <v>2345.9430000000002</v>
      </c>
      <c r="F26" s="754" t="s">
        <v>2772</v>
      </c>
      <c r="G26" s="754">
        <v>518741.12199999997</v>
      </c>
      <c r="H26" s="754">
        <v>3593584.4509999999</v>
      </c>
      <c r="I26" s="888"/>
      <c r="J26" s="884">
        <f>J24+1</f>
        <v>11</v>
      </c>
      <c r="K26" s="754" t="s">
        <v>2428</v>
      </c>
      <c r="L26" s="754" t="s">
        <v>2197</v>
      </c>
      <c r="M26" s="754">
        <v>0</v>
      </c>
      <c r="N26" s="754">
        <v>0</v>
      </c>
      <c r="O26" s="754">
        <v>0</v>
      </c>
      <c r="P26" s="754">
        <v>0</v>
      </c>
      <c r="Q26" s="754">
        <v>1.5</v>
      </c>
      <c r="R26" s="754">
        <v>0</v>
      </c>
      <c r="S26" s="754">
        <v>0</v>
      </c>
      <c r="T26" s="754">
        <v>0</v>
      </c>
      <c r="U26" s="754"/>
      <c r="V26" s="754">
        <f t="shared" si="1"/>
        <v>2345.944</v>
      </c>
      <c r="W26" s="754">
        <v>341.28199999999998</v>
      </c>
      <c r="X26" s="754" t="s">
        <v>2444</v>
      </c>
      <c r="Y26" s="754">
        <v>516661.837</v>
      </c>
      <c r="Z26" s="754">
        <v>3596578.1469999999</v>
      </c>
      <c r="AA26" s="813"/>
    </row>
    <row r="27" spans="1:27" s="783" customFormat="1" ht="12" customHeight="1">
      <c r="A27" s="816"/>
      <c r="B27" s="754"/>
      <c r="C27" s="754"/>
      <c r="D27" s="754">
        <v>420.19900000000001</v>
      </c>
      <c r="E27" s="754"/>
      <c r="F27" s="754"/>
      <c r="G27" s="754"/>
      <c r="H27" s="754"/>
      <c r="I27" s="888"/>
      <c r="J27" s="816"/>
      <c r="K27" s="754"/>
      <c r="L27" s="754"/>
      <c r="M27" s="754"/>
      <c r="N27" s="754"/>
      <c r="O27" s="754"/>
      <c r="P27" s="754"/>
      <c r="Q27" s="754"/>
      <c r="R27" s="754"/>
      <c r="S27" s="754"/>
      <c r="T27" s="754"/>
      <c r="U27" s="756">
        <v>412.19900000000001</v>
      </c>
      <c r="V27" s="754"/>
      <c r="W27" s="754"/>
      <c r="X27" s="754"/>
      <c r="Y27" s="754"/>
      <c r="Z27" s="754"/>
      <c r="AA27" s="812" t="s">
        <v>2429</v>
      </c>
    </row>
    <row r="28" spans="1:27" s="783" customFormat="1" ht="12" customHeight="1">
      <c r="A28" s="884">
        <f>A26+1</f>
        <v>12</v>
      </c>
      <c r="B28" s="754" t="s">
        <v>1630</v>
      </c>
      <c r="C28" s="754" t="s">
        <v>76</v>
      </c>
      <c r="D28" s="754"/>
      <c r="E28" s="754"/>
      <c r="F28" s="754"/>
      <c r="G28" s="754">
        <v>516805.33199999999</v>
      </c>
      <c r="H28" s="754">
        <v>3596183.2080000001</v>
      </c>
      <c r="I28" s="888"/>
      <c r="J28" s="884">
        <f>J26+1</f>
        <v>12</v>
      </c>
      <c r="K28" s="754" t="s">
        <v>1630</v>
      </c>
      <c r="L28" s="754" t="s">
        <v>76</v>
      </c>
      <c r="M28" s="754">
        <v>0</v>
      </c>
      <c r="N28" s="754">
        <v>0</v>
      </c>
      <c r="O28" s="754">
        <v>0</v>
      </c>
      <c r="P28" s="754">
        <v>0</v>
      </c>
      <c r="Q28" s="754">
        <v>0</v>
      </c>
      <c r="R28" s="754">
        <v>0</v>
      </c>
      <c r="S28" s="754">
        <v>0</v>
      </c>
      <c r="T28" s="754">
        <v>0</v>
      </c>
      <c r="U28" s="756"/>
      <c r="V28" s="754"/>
      <c r="W28" s="754">
        <v>337.11799999999999</v>
      </c>
      <c r="X28" s="754"/>
      <c r="Y28" s="754">
        <v>516802.6</v>
      </c>
      <c r="Z28" s="754">
        <v>3596190.7280000001</v>
      </c>
      <c r="AA28" s="813"/>
    </row>
    <row r="29" spans="1:27" s="783" customFormat="1" ht="12" customHeight="1">
      <c r="A29" s="816"/>
      <c r="B29" s="754"/>
      <c r="C29" s="754"/>
      <c r="D29" s="754">
        <v>420.12700000000001</v>
      </c>
      <c r="E29" s="754"/>
      <c r="F29" s="754"/>
      <c r="G29" s="754"/>
      <c r="H29" s="754"/>
      <c r="I29" s="888"/>
      <c r="J29" s="816"/>
      <c r="K29" s="754"/>
      <c r="L29" s="754"/>
      <c r="M29" s="754"/>
      <c r="N29" s="754"/>
      <c r="O29" s="754"/>
      <c r="P29" s="754"/>
      <c r="Q29" s="754"/>
      <c r="R29" s="754"/>
      <c r="S29" s="754"/>
      <c r="T29" s="754"/>
      <c r="U29" s="756">
        <v>428.12799999999999</v>
      </c>
      <c r="V29" s="754"/>
      <c r="W29" s="754"/>
      <c r="X29" s="754"/>
      <c r="Y29" s="754"/>
      <c r="Z29" s="754"/>
      <c r="AA29" s="813"/>
    </row>
    <row r="30" spans="1:27" s="783" customFormat="1" ht="12" customHeight="1">
      <c r="A30" s="884">
        <f>A28+1</f>
        <v>13</v>
      </c>
      <c r="B30" s="754" t="s">
        <v>1631</v>
      </c>
      <c r="C30" s="754" t="s">
        <v>76</v>
      </c>
      <c r="D30" s="754"/>
      <c r="E30" s="754"/>
      <c r="F30" s="754"/>
      <c r="G30" s="754">
        <v>516948.80200000003</v>
      </c>
      <c r="H30" s="754">
        <v>3595788.3369999998</v>
      </c>
      <c r="I30" s="888"/>
      <c r="J30" s="884">
        <f>J28+1</f>
        <v>13</v>
      </c>
      <c r="K30" s="754" t="s">
        <v>1631</v>
      </c>
      <c r="L30" s="754" t="s">
        <v>76</v>
      </c>
      <c r="M30" s="754">
        <v>0</v>
      </c>
      <c r="N30" s="754">
        <v>0</v>
      </c>
      <c r="O30" s="754">
        <v>0</v>
      </c>
      <c r="P30" s="754">
        <v>0</v>
      </c>
      <c r="Q30" s="754">
        <v>0</v>
      </c>
      <c r="R30" s="754">
        <v>0</v>
      </c>
      <c r="S30" s="754">
        <v>0</v>
      </c>
      <c r="T30" s="754">
        <v>0</v>
      </c>
      <c r="U30" s="756"/>
      <c r="V30" s="754"/>
      <c r="W30" s="754">
        <v>331.59100000000001</v>
      </c>
      <c r="X30" s="754"/>
      <c r="Y30" s="754">
        <v>516948.80300000001</v>
      </c>
      <c r="Z30" s="754">
        <v>3595788.3369999998</v>
      </c>
      <c r="AA30" s="814"/>
    </row>
    <row r="31" spans="1:27" s="783" customFormat="1" ht="12" customHeight="1">
      <c r="A31" s="816"/>
      <c r="B31" s="754"/>
      <c r="C31" s="754"/>
      <c r="D31" s="754">
        <v>405.15199999999999</v>
      </c>
      <c r="E31" s="754"/>
      <c r="F31" s="754"/>
      <c r="G31" s="754"/>
      <c r="H31" s="754"/>
      <c r="I31" s="888"/>
      <c r="J31" s="816"/>
      <c r="K31" s="754"/>
      <c r="L31" s="754"/>
      <c r="M31" s="754"/>
      <c r="N31" s="754"/>
      <c r="O31" s="754"/>
      <c r="P31" s="754"/>
      <c r="Q31" s="754"/>
      <c r="R31" s="754"/>
      <c r="S31" s="754"/>
      <c r="T31" s="754"/>
      <c r="U31" s="756">
        <v>405.15199999999999</v>
      </c>
      <c r="V31" s="754"/>
      <c r="W31" s="754"/>
      <c r="X31" s="754"/>
      <c r="Y31" s="754"/>
      <c r="Z31" s="754"/>
      <c r="AA31" s="813" t="s">
        <v>2430</v>
      </c>
    </row>
    <row r="32" spans="1:27" s="783" customFormat="1" ht="12" customHeight="1">
      <c r="A32" s="884">
        <f>A30+1</f>
        <v>14</v>
      </c>
      <c r="B32" s="754" t="s">
        <v>1632</v>
      </c>
      <c r="C32" s="754" t="s">
        <v>53</v>
      </c>
      <c r="D32" s="754"/>
      <c r="E32" s="754"/>
      <c r="F32" s="754"/>
      <c r="G32" s="754">
        <v>517087.15899999999</v>
      </c>
      <c r="H32" s="754">
        <v>3595407.5410000002</v>
      </c>
      <c r="I32" s="888"/>
      <c r="J32" s="884">
        <f>J30+1</f>
        <v>14</v>
      </c>
      <c r="K32" s="754" t="s">
        <v>1632</v>
      </c>
      <c r="L32" s="754" t="s">
        <v>249</v>
      </c>
      <c r="M32" s="754">
        <v>0</v>
      </c>
      <c r="N32" s="754">
        <v>0</v>
      </c>
      <c r="O32" s="754">
        <v>0</v>
      </c>
      <c r="P32" s="754">
        <v>0</v>
      </c>
      <c r="Q32" s="754">
        <v>0</v>
      </c>
      <c r="R32" s="754">
        <v>0</v>
      </c>
      <c r="S32" s="754">
        <v>0</v>
      </c>
      <c r="T32" s="754">
        <v>0</v>
      </c>
      <c r="U32" s="756"/>
      <c r="V32" s="754"/>
      <c r="W32" s="754">
        <v>327.06299999999999</v>
      </c>
      <c r="X32" s="754"/>
      <c r="Y32" s="754">
        <v>517087.15899999999</v>
      </c>
      <c r="Z32" s="754">
        <v>3595407.5410000002</v>
      </c>
      <c r="AA32" s="813"/>
    </row>
    <row r="33" spans="1:27" s="783" customFormat="1" ht="12" customHeight="1">
      <c r="A33" s="816"/>
      <c r="B33" s="754"/>
      <c r="C33" s="754"/>
      <c r="D33" s="754">
        <v>427.96</v>
      </c>
      <c r="E33" s="754"/>
      <c r="F33" s="754"/>
      <c r="G33" s="754"/>
      <c r="H33" s="754"/>
      <c r="I33" s="888"/>
      <c r="J33" s="816"/>
      <c r="K33" s="754"/>
      <c r="L33" s="754"/>
      <c r="M33" s="754"/>
      <c r="N33" s="754"/>
      <c r="O33" s="754"/>
      <c r="P33" s="754"/>
      <c r="Q33" s="754"/>
      <c r="R33" s="754"/>
      <c r="S33" s="754"/>
      <c r="T33" s="754"/>
      <c r="U33" s="756">
        <v>427.96</v>
      </c>
      <c r="V33" s="754"/>
      <c r="W33" s="754"/>
      <c r="X33" s="754"/>
      <c r="Y33" s="754"/>
      <c r="Z33" s="754"/>
      <c r="AA33" s="813"/>
    </row>
    <row r="34" spans="1:27" s="783" customFormat="1" ht="12" customHeight="1">
      <c r="A34" s="884">
        <f>A32+1</f>
        <v>15</v>
      </c>
      <c r="B34" s="754" t="s">
        <v>2431</v>
      </c>
      <c r="C34" s="754" t="s">
        <v>1402</v>
      </c>
      <c r="D34" s="754"/>
      <c r="E34" s="754">
        <f>D27+D29+D31+D33</f>
        <v>1673.4380000000001</v>
      </c>
      <c r="F34" s="754" t="s">
        <v>2432</v>
      </c>
      <c r="G34" s="754">
        <v>517233.304</v>
      </c>
      <c r="H34" s="754">
        <v>3595005.3080000002</v>
      </c>
      <c r="I34" s="888"/>
      <c r="J34" s="884">
        <f>J32+1</f>
        <v>15</v>
      </c>
      <c r="K34" s="754" t="s">
        <v>2431</v>
      </c>
      <c r="L34" s="754" t="s">
        <v>1277</v>
      </c>
      <c r="M34" s="754">
        <v>0</v>
      </c>
      <c r="N34" s="754">
        <v>0</v>
      </c>
      <c r="O34" s="754">
        <v>0</v>
      </c>
      <c r="P34" s="754">
        <v>0</v>
      </c>
      <c r="Q34" s="754">
        <v>0</v>
      </c>
      <c r="R34" s="754">
        <v>0</v>
      </c>
      <c r="S34" s="754">
        <v>0</v>
      </c>
      <c r="T34" s="754">
        <v>0</v>
      </c>
      <c r="U34" s="756"/>
      <c r="V34" s="754">
        <f>U27+U29+U31+U33</f>
        <v>1673.4390000000001</v>
      </c>
      <c r="W34" s="754">
        <v>320.40600000000001</v>
      </c>
      <c r="X34" s="754" t="s">
        <v>2432</v>
      </c>
      <c r="Y34" s="754">
        <v>517233.304</v>
      </c>
      <c r="Z34" s="754">
        <v>3595005.3080000002</v>
      </c>
      <c r="AA34" s="813"/>
    </row>
    <row r="35" spans="1:27" s="783" customFormat="1" ht="12" customHeight="1">
      <c r="A35" s="816"/>
      <c r="B35" s="754"/>
      <c r="C35" s="754"/>
      <c r="D35" s="754">
        <v>285.94799999999998</v>
      </c>
      <c r="E35" s="754"/>
      <c r="F35" s="754"/>
      <c r="G35" s="754"/>
      <c r="H35" s="754"/>
      <c r="I35" s="888"/>
      <c r="J35" s="816"/>
      <c r="K35" s="754"/>
      <c r="L35" s="754"/>
      <c r="M35" s="754"/>
      <c r="N35" s="754"/>
      <c r="O35" s="754"/>
      <c r="P35" s="754"/>
      <c r="Q35" s="754"/>
      <c r="R35" s="754"/>
      <c r="S35" s="754"/>
      <c r="T35" s="754"/>
      <c r="U35" s="756">
        <v>285.94799999999998</v>
      </c>
      <c r="V35" s="754"/>
      <c r="W35" s="754"/>
      <c r="X35" s="754"/>
      <c r="Y35" s="754"/>
      <c r="Z35" s="754"/>
      <c r="AA35" s="813" t="s">
        <v>2433</v>
      </c>
    </row>
    <row r="36" spans="1:27" s="783" customFormat="1" ht="12" customHeight="1">
      <c r="A36" s="884">
        <f>A34+1</f>
        <v>16</v>
      </c>
      <c r="B36" s="754" t="s">
        <v>2434</v>
      </c>
      <c r="C36" s="754" t="s">
        <v>1361</v>
      </c>
      <c r="D36" s="754"/>
      <c r="E36" s="754">
        <f>D35</f>
        <v>285.94799999999998</v>
      </c>
      <c r="F36" s="754" t="s">
        <v>2435</v>
      </c>
      <c r="G36" s="754">
        <v>517425.65</v>
      </c>
      <c r="H36" s="754">
        <v>3594793.72</v>
      </c>
      <c r="I36" s="888"/>
      <c r="J36" s="884">
        <f>J34+1</f>
        <v>16</v>
      </c>
      <c r="K36" s="754" t="s">
        <v>2434</v>
      </c>
      <c r="L36" s="754" t="s">
        <v>1361</v>
      </c>
      <c r="M36" s="754">
        <v>0</v>
      </c>
      <c r="N36" s="754">
        <v>0</v>
      </c>
      <c r="O36" s="754">
        <v>0</v>
      </c>
      <c r="P36" s="754">
        <v>0</v>
      </c>
      <c r="Q36" s="754">
        <v>0</v>
      </c>
      <c r="R36" s="754">
        <v>0</v>
      </c>
      <c r="S36" s="754">
        <v>0</v>
      </c>
      <c r="T36" s="754">
        <v>0</v>
      </c>
      <c r="U36" s="756"/>
      <c r="V36" s="754">
        <f>U35</f>
        <v>285.94799999999998</v>
      </c>
      <c r="W36" s="754">
        <v>317.23200000000003</v>
      </c>
      <c r="X36" s="754" t="s">
        <v>2435</v>
      </c>
      <c r="Y36" s="754">
        <v>517425.65</v>
      </c>
      <c r="Z36" s="754">
        <v>3594793.72</v>
      </c>
      <c r="AA36" s="813" t="s">
        <v>2436</v>
      </c>
    </row>
    <row r="37" spans="1:27" s="783" customFormat="1" ht="12" customHeight="1">
      <c r="A37" s="816"/>
      <c r="B37" s="754"/>
      <c r="C37" s="754"/>
      <c r="D37" s="754">
        <v>401.15899999999999</v>
      </c>
      <c r="E37" s="754"/>
      <c r="F37" s="754"/>
      <c r="G37" s="754"/>
      <c r="H37" s="754"/>
      <c r="I37" s="888"/>
      <c r="J37" s="816"/>
      <c r="K37" s="754"/>
      <c r="L37" s="754"/>
      <c r="M37" s="754"/>
      <c r="N37" s="754"/>
      <c r="O37" s="754"/>
      <c r="P37" s="754"/>
      <c r="Q37" s="754"/>
      <c r="R37" s="754"/>
      <c r="S37" s="754"/>
      <c r="T37" s="754"/>
      <c r="U37" s="756">
        <v>401.15899999999999</v>
      </c>
      <c r="V37" s="754"/>
      <c r="W37" s="754"/>
      <c r="X37" s="754"/>
      <c r="Y37" s="754"/>
      <c r="Z37" s="754"/>
      <c r="AA37" s="815" t="s">
        <v>2437</v>
      </c>
    </row>
    <row r="38" spans="1:27" s="783" customFormat="1" ht="12" customHeight="1">
      <c r="A38" s="884">
        <f>A36+1</f>
        <v>17</v>
      </c>
      <c r="B38" s="754" t="s">
        <v>2438</v>
      </c>
      <c r="C38" s="754" t="s">
        <v>1361</v>
      </c>
      <c r="D38" s="754"/>
      <c r="E38" s="754">
        <f>D37</f>
        <v>401.15899999999999</v>
      </c>
      <c r="F38" s="754" t="s">
        <v>2439</v>
      </c>
      <c r="G38" s="754">
        <v>517777.57199999999</v>
      </c>
      <c r="H38" s="754">
        <v>3594601.159</v>
      </c>
      <c r="I38" s="888"/>
      <c r="J38" s="884">
        <f>J36+1</f>
        <v>17</v>
      </c>
      <c r="K38" s="754" t="s">
        <v>2438</v>
      </c>
      <c r="L38" s="754" t="s">
        <v>1277</v>
      </c>
      <c r="M38" s="754">
        <v>0</v>
      </c>
      <c r="N38" s="754">
        <v>0</v>
      </c>
      <c r="O38" s="754">
        <v>0</v>
      </c>
      <c r="P38" s="754">
        <v>0</v>
      </c>
      <c r="Q38" s="754">
        <v>0</v>
      </c>
      <c r="R38" s="754">
        <v>0</v>
      </c>
      <c r="S38" s="754">
        <v>0</v>
      </c>
      <c r="T38" s="754">
        <v>0</v>
      </c>
      <c r="U38" s="756"/>
      <c r="V38" s="754">
        <f>U37</f>
        <v>401.15899999999999</v>
      </c>
      <c r="W38" s="754">
        <v>315.04599999999999</v>
      </c>
      <c r="X38" s="754" t="s">
        <v>2439</v>
      </c>
      <c r="Y38" s="754">
        <v>517777.57199999999</v>
      </c>
      <c r="Z38" s="754">
        <v>3594601.159</v>
      </c>
      <c r="AA38" s="813"/>
    </row>
    <row r="39" spans="1:27" s="783" customFormat="1" ht="12" customHeight="1">
      <c r="A39" s="816"/>
      <c r="B39" s="754"/>
      <c r="C39" s="754"/>
      <c r="D39" s="754">
        <v>345</v>
      </c>
      <c r="E39" s="754"/>
      <c r="F39" s="754"/>
      <c r="G39" s="754"/>
      <c r="H39" s="754"/>
      <c r="I39" s="888"/>
      <c r="J39" s="816"/>
      <c r="K39" s="754"/>
      <c r="L39" s="754"/>
      <c r="M39" s="754"/>
      <c r="N39" s="754"/>
      <c r="O39" s="754"/>
      <c r="P39" s="754"/>
      <c r="Q39" s="754"/>
      <c r="R39" s="754"/>
      <c r="S39" s="754"/>
      <c r="T39" s="754"/>
      <c r="U39" s="756">
        <v>345</v>
      </c>
      <c r="V39" s="754"/>
      <c r="W39" s="754"/>
      <c r="X39" s="754"/>
      <c r="Y39" s="754"/>
      <c r="Z39" s="754"/>
      <c r="AA39" s="813" t="s">
        <v>2170</v>
      </c>
    </row>
    <row r="40" spans="1:27" s="783" customFormat="1" ht="12" customHeight="1">
      <c r="A40" s="884">
        <f>A38+1</f>
        <v>18</v>
      </c>
      <c r="B40" s="754" t="s">
        <v>1635</v>
      </c>
      <c r="C40" s="754" t="s">
        <v>76</v>
      </c>
      <c r="D40" s="754"/>
      <c r="E40" s="754"/>
      <c r="F40" s="754"/>
      <c r="G40" s="754">
        <v>517986.277</v>
      </c>
      <c r="H40" s="754">
        <v>3594326.446</v>
      </c>
      <c r="I40" s="888"/>
      <c r="J40" s="884">
        <f>J38+1</f>
        <v>18</v>
      </c>
      <c r="K40" s="754" t="s">
        <v>1635</v>
      </c>
      <c r="L40" s="754" t="s">
        <v>76</v>
      </c>
      <c r="M40" s="754">
        <v>0</v>
      </c>
      <c r="N40" s="754">
        <v>0</v>
      </c>
      <c r="O40" s="754">
        <v>0</v>
      </c>
      <c r="P40" s="754">
        <v>0</v>
      </c>
      <c r="Q40" s="754">
        <v>0</v>
      </c>
      <c r="R40" s="754">
        <v>0</v>
      </c>
      <c r="S40" s="754">
        <v>0</v>
      </c>
      <c r="T40" s="754">
        <v>0</v>
      </c>
      <c r="U40" s="756"/>
      <c r="V40" s="754"/>
      <c r="W40" s="754">
        <v>316.21699999999998</v>
      </c>
      <c r="X40" s="754"/>
      <c r="Y40" s="754">
        <v>517986.277</v>
      </c>
      <c r="Z40" s="754">
        <v>3594326.446</v>
      </c>
      <c r="AA40" s="813"/>
    </row>
    <row r="41" spans="1:27" s="783" customFormat="1" ht="12" customHeight="1">
      <c r="A41" s="816"/>
      <c r="B41" s="754"/>
      <c r="C41" s="754"/>
      <c r="D41" s="754">
        <v>360</v>
      </c>
      <c r="E41" s="754"/>
      <c r="F41" s="754"/>
      <c r="G41" s="754"/>
      <c r="H41" s="754"/>
      <c r="I41" s="888"/>
      <c r="J41" s="816"/>
      <c r="K41" s="754"/>
      <c r="L41" s="754"/>
      <c r="M41" s="754"/>
      <c r="N41" s="754"/>
      <c r="O41" s="754"/>
      <c r="P41" s="754"/>
      <c r="Q41" s="754"/>
      <c r="R41" s="754"/>
      <c r="S41" s="754"/>
      <c r="T41" s="754"/>
      <c r="U41" s="756">
        <v>360.00099999999998</v>
      </c>
      <c r="V41" s="754"/>
      <c r="W41" s="754"/>
      <c r="X41" s="754"/>
      <c r="Y41" s="754"/>
      <c r="Z41" s="754"/>
      <c r="AA41" s="813"/>
    </row>
    <row r="42" spans="1:27" s="783" customFormat="1" ht="12" customHeight="1">
      <c r="A42" s="884">
        <f>A40+1</f>
        <v>19</v>
      </c>
      <c r="B42" s="754" t="s">
        <v>1636</v>
      </c>
      <c r="C42" s="754" t="s">
        <v>76</v>
      </c>
      <c r="D42" s="754"/>
      <c r="E42" s="754"/>
      <c r="F42" s="754"/>
      <c r="G42" s="754">
        <v>518204.05699999997</v>
      </c>
      <c r="H42" s="754">
        <v>3594039.7889999999</v>
      </c>
      <c r="I42" s="888"/>
      <c r="J42" s="884">
        <f>J40+1</f>
        <v>19</v>
      </c>
      <c r="K42" s="754" t="s">
        <v>1636</v>
      </c>
      <c r="L42" s="754" t="s">
        <v>76</v>
      </c>
      <c r="M42" s="754">
        <v>0</v>
      </c>
      <c r="N42" s="754">
        <v>0</v>
      </c>
      <c r="O42" s="754">
        <v>0</v>
      </c>
      <c r="P42" s="754">
        <v>0</v>
      </c>
      <c r="Q42" s="754">
        <v>0</v>
      </c>
      <c r="R42" s="754">
        <v>0</v>
      </c>
      <c r="S42" s="754">
        <v>0</v>
      </c>
      <c r="T42" s="754">
        <v>0</v>
      </c>
      <c r="U42" s="756"/>
      <c r="V42" s="754"/>
      <c r="W42" s="754">
        <v>317.21499999999997</v>
      </c>
      <c r="X42" s="754"/>
      <c r="Y42" s="754">
        <v>518204.05699999997</v>
      </c>
      <c r="Z42" s="754">
        <v>3594039.7889999999</v>
      </c>
      <c r="AA42" s="813"/>
    </row>
    <row r="43" spans="1:27" s="783" customFormat="1" ht="12" customHeight="1">
      <c r="A43" s="816"/>
      <c r="B43" s="754"/>
      <c r="C43" s="754"/>
      <c r="D43" s="754">
        <v>350.21699999999998</v>
      </c>
      <c r="E43" s="754"/>
      <c r="F43" s="754"/>
      <c r="G43" s="754"/>
      <c r="H43" s="754"/>
      <c r="I43" s="888"/>
      <c r="J43" s="816"/>
      <c r="K43" s="754"/>
      <c r="L43" s="754"/>
      <c r="M43" s="754"/>
      <c r="N43" s="754"/>
      <c r="O43" s="754"/>
      <c r="P43" s="754"/>
      <c r="Q43" s="754"/>
      <c r="R43" s="754"/>
      <c r="S43" s="754"/>
      <c r="T43" s="754"/>
      <c r="U43" s="756">
        <v>350.21699999999998</v>
      </c>
      <c r="V43" s="754"/>
      <c r="W43" s="754"/>
      <c r="X43" s="754"/>
      <c r="Y43" s="754"/>
      <c r="Z43" s="754"/>
      <c r="AA43" s="813" t="s">
        <v>2429</v>
      </c>
    </row>
    <row r="44" spans="1:27" s="783" customFormat="1" ht="12" customHeight="1">
      <c r="A44" s="884">
        <f>A42+1</f>
        <v>20</v>
      </c>
      <c r="B44" s="754" t="s">
        <v>2440</v>
      </c>
      <c r="C44" s="754" t="s">
        <v>1277</v>
      </c>
      <c r="D44" s="754"/>
      <c r="E44" s="754">
        <f>D39+D41+D43</f>
        <v>1055.2170000000001</v>
      </c>
      <c r="F44" s="754" t="s">
        <v>2441</v>
      </c>
      <c r="G44" s="754">
        <v>518415.91800000001</v>
      </c>
      <c r="H44" s="754">
        <v>3593760.9219999998</v>
      </c>
      <c r="I44" s="888"/>
      <c r="J44" s="884">
        <f>J42+1</f>
        <v>20</v>
      </c>
      <c r="K44" s="754" t="s">
        <v>2440</v>
      </c>
      <c r="L44" s="754" t="s">
        <v>1277</v>
      </c>
      <c r="M44" s="754">
        <v>0</v>
      </c>
      <c r="N44" s="754">
        <v>0</v>
      </c>
      <c r="O44" s="754">
        <v>0</v>
      </c>
      <c r="P44" s="754">
        <v>0</v>
      </c>
      <c r="Q44" s="754">
        <v>0</v>
      </c>
      <c r="R44" s="754">
        <v>0</v>
      </c>
      <c r="S44" s="754">
        <v>0</v>
      </c>
      <c r="T44" s="754">
        <v>0</v>
      </c>
      <c r="U44" s="756"/>
      <c r="V44" s="754">
        <f>U39+U41+U43</f>
        <v>1055.2179999999998</v>
      </c>
      <c r="W44" s="754">
        <v>317.08</v>
      </c>
      <c r="X44" s="754" t="s">
        <v>2441</v>
      </c>
      <c r="Y44" s="754">
        <v>518415.91800000001</v>
      </c>
      <c r="Z44" s="754">
        <v>3593760.9219999998</v>
      </c>
      <c r="AA44" s="813"/>
    </row>
    <row r="45" spans="1:27" s="783" customFormat="1" ht="12" customHeight="1">
      <c r="A45" s="816"/>
      <c r="B45" s="754"/>
      <c r="C45" s="754"/>
      <c r="D45" s="754">
        <v>370</v>
      </c>
      <c r="E45" s="754"/>
      <c r="F45" s="754"/>
      <c r="G45" s="754"/>
      <c r="H45" s="754"/>
      <c r="I45" s="888"/>
      <c r="J45" s="816"/>
      <c r="K45" s="754"/>
      <c r="L45" s="754"/>
      <c r="M45" s="754"/>
      <c r="N45" s="754"/>
      <c r="O45" s="754"/>
      <c r="P45" s="754"/>
      <c r="Q45" s="754"/>
      <c r="R45" s="754"/>
      <c r="S45" s="754"/>
      <c r="T45" s="754"/>
      <c r="U45" s="756">
        <v>369.99900000000002</v>
      </c>
      <c r="V45" s="754"/>
      <c r="W45" s="754"/>
      <c r="X45" s="754"/>
      <c r="Y45" s="754"/>
      <c r="Z45" s="754"/>
      <c r="AA45" s="813" t="s">
        <v>2442</v>
      </c>
    </row>
    <row r="46" spans="1:27" s="783" customFormat="1" ht="12" customHeight="1">
      <c r="A46" s="884">
        <f>A44+1</f>
        <v>21</v>
      </c>
      <c r="B46" s="754" t="s">
        <v>1637</v>
      </c>
      <c r="C46" s="754" t="s">
        <v>76</v>
      </c>
      <c r="D46" s="754"/>
      <c r="E46" s="754"/>
      <c r="F46" s="754"/>
      <c r="G46" s="754">
        <v>518741.12199999997</v>
      </c>
      <c r="H46" s="754">
        <v>3593584.4509999999</v>
      </c>
      <c r="I46" s="888"/>
      <c r="J46" s="884">
        <f>J44+1</f>
        <v>21</v>
      </c>
      <c r="K46" s="754" t="s">
        <v>1637</v>
      </c>
      <c r="L46" s="754" t="s">
        <v>76</v>
      </c>
      <c r="M46" s="754">
        <v>0</v>
      </c>
      <c r="N46" s="754">
        <v>0</v>
      </c>
      <c r="O46" s="754">
        <v>0</v>
      </c>
      <c r="P46" s="754">
        <v>0</v>
      </c>
      <c r="Q46" s="754">
        <v>0</v>
      </c>
      <c r="R46" s="754">
        <v>0</v>
      </c>
      <c r="S46" s="754">
        <v>0</v>
      </c>
      <c r="T46" s="754">
        <v>0</v>
      </c>
      <c r="U46" s="756"/>
      <c r="V46" s="754"/>
      <c r="W46" s="754">
        <v>318.75299999999999</v>
      </c>
      <c r="X46" s="754"/>
      <c r="Y46" s="754">
        <v>518741.12199999997</v>
      </c>
      <c r="Z46" s="754">
        <v>3593584.4509999999</v>
      </c>
      <c r="AA46" s="813"/>
    </row>
    <row r="47" spans="1:27" s="783" customFormat="1" ht="12" customHeight="1">
      <c r="A47" s="816"/>
      <c r="B47" s="754"/>
      <c r="C47" s="754"/>
      <c r="D47" s="754">
        <v>360</v>
      </c>
      <c r="E47" s="754"/>
      <c r="F47" s="754"/>
      <c r="G47" s="754"/>
      <c r="H47" s="754"/>
      <c r="I47" s="888"/>
      <c r="J47" s="816"/>
      <c r="K47" s="754"/>
      <c r="L47" s="754"/>
      <c r="M47" s="754"/>
      <c r="N47" s="754"/>
      <c r="O47" s="754"/>
      <c r="P47" s="754"/>
      <c r="Q47" s="754"/>
      <c r="R47" s="754"/>
      <c r="S47" s="754"/>
      <c r="T47" s="754"/>
      <c r="U47" s="756">
        <v>360</v>
      </c>
      <c r="V47" s="754"/>
      <c r="W47" s="754"/>
      <c r="X47" s="754"/>
      <c r="Y47" s="754"/>
      <c r="Z47" s="754"/>
      <c r="AA47" s="813" t="s">
        <v>2443</v>
      </c>
    </row>
    <row r="48" spans="1:27" s="783" customFormat="1" ht="12" customHeight="1">
      <c r="A48" s="884">
        <f>A46+1</f>
        <v>22</v>
      </c>
      <c r="B48" s="754" t="s">
        <v>1638</v>
      </c>
      <c r="C48" s="754" t="s">
        <v>76</v>
      </c>
      <c r="D48" s="754"/>
      <c r="E48" s="754"/>
      <c r="F48" s="754"/>
      <c r="G48" s="754">
        <v>519057.53700000001</v>
      </c>
      <c r="H48" s="754">
        <v>3593412.7489999998</v>
      </c>
      <c r="I48" s="888"/>
      <c r="J48" s="884">
        <f>J46+1</f>
        <v>22</v>
      </c>
      <c r="K48" s="754" t="s">
        <v>1638</v>
      </c>
      <c r="L48" s="754" t="s">
        <v>76</v>
      </c>
      <c r="M48" s="754">
        <v>0</v>
      </c>
      <c r="N48" s="754">
        <v>0</v>
      </c>
      <c r="O48" s="754">
        <v>0</v>
      </c>
      <c r="P48" s="754">
        <v>0</v>
      </c>
      <c r="Q48" s="754">
        <v>0</v>
      </c>
      <c r="R48" s="754">
        <v>0</v>
      </c>
      <c r="S48" s="754">
        <v>0</v>
      </c>
      <c r="T48" s="754">
        <v>0</v>
      </c>
      <c r="U48" s="756"/>
      <c r="V48" s="754"/>
      <c r="W48" s="754">
        <v>318.952</v>
      </c>
      <c r="X48" s="754"/>
      <c r="Y48" s="754">
        <v>519057.53700000001</v>
      </c>
      <c r="Z48" s="754">
        <v>3593412.7489999998</v>
      </c>
      <c r="AA48" s="813"/>
    </row>
    <row r="49" spans="1:27" s="783" customFormat="1" ht="12" customHeight="1">
      <c r="A49" s="816"/>
      <c r="B49" s="754"/>
      <c r="C49" s="754"/>
      <c r="D49" s="754">
        <v>358.74700000000001</v>
      </c>
      <c r="E49" s="754"/>
      <c r="F49" s="754"/>
      <c r="G49" s="754"/>
      <c r="H49" s="754"/>
      <c r="I49" s="888"/>
      <c r="J49" s="816"/>
      <c r="K49" s="754"/>
      <c r="L49" s="754"/>
      <c r="M49" s="754"/>
      <c r="N49" s="754"/>
      <c r="O49" s="754"/>
      <c r="P49" s="754"/>
      <c r="Q49" s="754"/>
      <c r="R49" s="754"/>
      <c r="S49" s="754"/>
      <c r="T49" s="754"/>
      <c r="U49" s="756">
        <v>358.74799999999999</v>
      </c>
      <c r="V49" s="754"/>
      <c r="W49" s="754"/>
      <c r="X49" s="754"/>
      <c r="Y49" s="754"/>
      <c r="Z49" s="754"/>
      <c r="AA49" s="813" t="s">
        <v>2430</v>
      </c>
    </row>
    <row r="50" spans="1:27">
      <c r="A50" s="884">
        <f>A48+1</f>
        <v>23</v>
      </c>
      <c r="B50" s="55" t="s">
        <v>1639</v>
      </c>
      <c r="C50" s="754" t="s">
        <v>1934</v>
      </c>
      <c r="D50" s="755"/>
      <c r="E50" s="755">
        <v>0</v>
      </c>
      <c r="F50" s="55"/>
      <c r="G50" s="756">
        <v>519372.85100000002</v>
      </c>
      <c r="H50" s="756" t="s">
        <v>2848</v>
      </c>
      <c r="I50" s="888"/>
      <c r="J50" s="884">
        <f>J48+1</f>
        <v>23</v>
      </c>
      <c r="K50" s="55" t="s">
        <v>1639</v>
      </c>
      <c r="L50" s="754" t="s">
        <v>1934</v>
      </c>
      <c r="M50" s="754" t="s">
        <v>2828</v>
      </c>
      <c r="N50" s="754">
        <v>1.5</v>
      </c>
      <c r="O50" s="754">
        <v>1.5</v>
      </c>
      <c r="P50" s="754">
        <v>1.5</v>
      </c>
      <c r="Q50" s="754"/>
      <c r="R50" s="754"/>
      <c r="S50" s="754"/>
      <c r="T50" s="754"/>
      <c r="U50" s="757"/>
      <c r="V50" s="757">
        <v>0</v>
      </c>
      <c r="W50" s="755">
        <v>320.649</v>
      </c>
      <c r="X50" s="55"/>
      <c r="Y50" s="757">
        <v>519372.85100000002</v>
      </c>
      <c r="Z50" s="757">
        <v>3593241.6439999999</v>
      </c>
      <c r="AA50" s="763"/>
    </row>
    <row r="51" spans="1:27">
      <c r="A51" s="889"/>
      <c r="B51" s="55"/>
      <c r="C51" s="55"/>
      <c r="D51" s="758">
        <v>485.93</v>
      </c>
      <c r="E51" s="755"/>
      <c r="F51" s="55"/>
      <c r="G51" s="757"/>
      <c r="H51" s="757"/>
      <c r="I51" s="888"/>
      <c r="J51" s="890"/>
      <c r="K51" s="55"/>
      <c r="L51" s="55"/>
      <c r="M51" s="55"/>
      <c r="N51" s="55"/>
      <c r="O51" s="55"/>
      <c r="P51" s="55"/>
      <c r="Q51" s="55"/>
      <c r="R51" s="55"/>
      <c r="S51" s="55"/>
      <c r="T51" s="55"/>
      <c r="U51" s="759">
        <v>485.93</v>
      </c>
      <c r="V51" s="757"/>
      <c r="W51" s="755"/>
      <c r="X51" s="55"/>
      <c r="Y51" s="757"/>
      <c r="Z51" s="757"/>
      <c r="AA51" s="764" t="s">
        <v>2114</v>
      </c>
    </row>
    <row r="52" spans="1:27">
      <c r="A52" s="889">
        <f>A50+1</f>
        <v>24</v>
      </c>
      <c r="B52" s="55" t="s">
        <v>1640</v>
      </c>
      <c r="C52" s="754" t="s">
        <v>1935</v>
      </c>
      <c r="D52" s="755"/>
      <c r="E52" s="755">
        <f>D51</f>
        <v>485.93</v>
      </c>
      <c r="F52" s="55" t="s">
        <v>1936</v>
      </c>
      <c r="G52" s="757">
        <v>519776.09700000001</v>
      </c>
      <c r="H52" s="757">
        <v>3592970.4980000001</v>
      </c>
      <c r="I52" s="888"/>
      <c r="J52" s="889">
        <f>J50+1</f>
        <v>24</v>
      </c>
      <c r="K52" s="55" t="s">
        <v>1640</v>
      </c>
      <c r="L52" s="754" t="s">
        <v>1935</v>
      </c>
      <c r="M52" s="754">
        <v>1.5</v>
      </c>
      <c r="N52" s="754">
        <v>1.5</v>
      </c>
      <c r="O52" s="754">
        <v>1.5</v>
      </c>
      <c r="P52" s="754">
        <v>1.5</v>
      </c>
      <c r="Q52" s="754"/>
      <c r="R52" s="754"/>
      <c r="S52" s="754"/>
      <c r="T52" s="754"/>
      <c r="U52" s="757"/>
      <c r="V52" s="757">
        <f>U51</f>
        <v>485.93</v>
      </c>
      <c r="W52" s="755">
        <v>319.74</v>
      </c>
      <c r="X52" s="55" t="s">
        <v>1937</v>
      </c>
      <c r="Y52" s="757">
        <v>519776.09700000001</v>
      </c>
      <c r="Z52" s="757">
        <v>3592970.4980000001</v>
      </c>
      <c r="AA52" s="765"/>
    </row>
    <row r="53" spans="1:27">
      <c r="A53" s="889"/>
      <c r="B53" s="55"/>
      <c r="C53" s="55"/>
      <c r="D53" s="758">
        <v>325</v>
      </c>
      <c r="E53" s="755"/>
      <c r="F53" s="55"/>
      <c r="G53" s="757"/>
      <c r="H53" s="757"/>
      <c r="I53" s="888"/>
      <c r="J53" s="891"/>
      <c r="K53" s="55"/>
      <c r="L53" s="55"/>
      <c r="M53" s="55"/>
      <c r="N53" s="55"/>
      <c r="O53" s="55"/>
      <c r="P53" s="55"/>
      <c r="Q53" s="55"/>
      <c r="R53" s="55"/>
      <c r="S53" s="55"/>
      <c r="T53" s="55"/>
      <c r="U53" s="759">
        <v>325</v>
      </c>
      <c r="V53" s="757"/>
      <c r="W53" s="755"/>
      <c r="X53" s="55"/>
      <c r="Y53" s="757"/>
      <c r="Z53" s="757"/>
      <c r="AA53" s="765" t="s">
        <v>2115</v>
      </c>
    </row>
    <row r="54" spans="1:27">
      <c r="A54" s="889">
        <f>A52+1</f>
        <v>25</v>
      </c>
      <c r="B54" s="55" t="s">
        <v>1641</v>
      </c>
      <c r="C54" s="754" t="s">
        <v>76</v>
      </c>
      <c r="D54" s="755"/>
      <c r="E54" s="755"/>
      <c r="F54" s="55" t="s">
        <v>1938</v>
      </c>
      <c r="G54" s="757">
        <v>519869.95600000001</v>
      </c>
      <c r="H54" s="757">
        <v>3592659.3459999999</v>
      </c>
      <c r="I54" s="888"/>
      <c r="J54" s="889">
        <f>J52+1</f>
        <v>25</v>
      </c>
      <c r="K54" s="55" t="s">
        <v>1641</v>
      </c>
      <c r="L54" s="754" t="s">
        <v>76</v>
      </c>
      <c r="M54" s="754">
        <v>0</v>
      </c>
      <c r="N54" s="754">
        <v>0</v>
      </c>
      <c r="O54" s="754">
        <v>0</v>
      </c>
      <c r="P54" s="754">
        <v>0</v>
      </c>
      <c r="Q54" s="754"/>
      <c r="R54" s="754"/>
      <c r="S54" s="754"/>
      <c r="T54" s="754"/>
      <c r="U54" s="759"/>
      <c r="V54" s="757"/>
      <c r="W54" s="755">
        <v>316.858</v>
      </c>
      <c r="X54" s="55" t="s">
        <v>1938</v>
      </c>
      <c r="Y54" s="757">
        <v>519869.95600000001</v>
      </c>
      <c r="Z54" s="757">
        <v>3592659.3459999999</v>
      </c>
      <c r="AA54" s="766" t="s">
        <v>1939</v>
      </c>
    </row>
    <row r="55" spans="1:27">
      <c r="A55" s="889"/>
      <c r="B55" s="55"/>
      <c r="C55" s="55"/>
      <c r="D55" s="758">
        <v>387.33699999999999</v>
      </c>
      <c r="E55" s="755"/>
      <c r="F55" s="55"/>
      <c r="G55" s="757"/>
      <c r="H55" s="757"/>
      <c r="I55" s="888"/>
      <c r="J55" s="891"/>
      <c r="K55" s="55"/>
      <c r="L55" s="55"/>
      <c r="M55" s="55"/>
      <c r="N55" s="55"/>
      <c r="O55" s="55"/>
      <c r="P55" s="55"/>
      <c r="Q55" s="55"/>
      <c r="R55" s="55"/>
      <c r="S55" s="55"/>
      <c r="T55" s="55"/>
      <c r="U55" s="759">
        <v>387.33699999999999</v>
      </c>
      <c r="V55" s="757"/>
      <c r="W55" s="755"/>
      <c r="X55" s="55"/>
      <c r="Y55" s="757"/>
      <c r="Z55" s="757"/>
      <c r="AA55" s="765" t="s">
        <v>2116</v>
      </c>
    </row>
    <row r="56" spans="1:27">
      <c r="A56" s="889">
        <f>A54+1</f>
        <v>26</v>
      </c>
      <c r="B56" s="55" t="s">
        <v>1642</v>
      </c>
      <c r="C56" s="754" t="s">
        <v>1361</v>
      </c>
      <c r="D56" s="755"/>
      <c r="E56" s="755">
        <f>D53+D55</f>
        <v>712.33699999999999</v>
      </c>
      <c r="F56" s="55" t="s">
        <v>1940</v>
      </c>
      <c r="G56" s="757">
        <v>519981.81599999999</v>
      </c>
      <c r="H56" s="757">
        <v>3592288.5120000001</v>
      </c>
      <c r="I56" s="888"/>
      <c r="J56" s="889">
        <f>J54+1</f>
        <v>26</v>
      </c>
      <c r="K56" s="55" t="s">
        <v>1642</v>
      </c>
      <c r="L56" s="754" t="s">
        <v>1361</v>
      </c>
      <c r="M56" s="754">
        <v>0</v>
      </c>
      <c r="N56" s="754">
        <v>0</v>
      </c>
      <c r="O56" s="754">
        <v>0</v>
      </c>
      <c r="P56" s="754">
        <v>0</v>
      </c>
      <c r="Q56" s="754"/>
      <c r="R56" s="754"/>
      <c r="S56" s="754"/>
      <c r="T56" s="754"/>
      <c r="U56" s="759"/>
      <c r="V56" s="757">
        <f>U53+U55</f>
        <v>712.33699999999999</v>
      </c>
      <c r="W56" s="755">
        <v>312.93</v>
      </c>
      <c r="X56" s="55" t="s">
        <v>1940</v>
      </c>
      <c r="Y56" s="757">
        <v>519981.81599999999</v>
      </c>
      <c r="Z56" s="757">
        <v>3592288.5120000001</v>
      </c>
      <c r="AA56" s="765"/>
    </row>
    <row r="57" spans="1:27">
      <c r="A57" s="889"/>
      <c r="B57" s="55"/>
      <c r="C57" s="55"/>
      <c r="D57" s="758">
        <v>390</v>
      </c>
      <c r="E57" s="755"/>
      <c r="F57" s="55"/>
      <c r="G57" s="757"/>
      <c r="H57" s="757"/>
      <c r="I57" s="888"/>
      <c r="J57" s="891"/>
      <c r="K57" s="55"/>
      <c r="L57" s="55"/>
      <c r="M57" s="55"/>
      <c r="N57" s="55"/>
      <c r="O57" s="55"/>
      <c r="P57" s="55"/>
      <c r="Q57" s="55"/>
      <c r="R57" s="55"/>
      <c r="S57" s="55"/>
      <c r="T57" s="55"/>
      <c r="U57" s="759">
        <v>390</v>
      </c>
      <c r="V57" s="757"/>
      <c r="W57" s="755"/>
      <c r="X57" s="55"/>
      <c r="Y57" s="757"/>
      <c r="Z57" s="757"/>
      <c r="AA57" s="765" t="s">
        <v>2117</v>
      </c>
    </row>
    <row r="58" spans="1:27">
      <c r="A58" s="889">
        <f>A56+1</f>
        <v>27</v>
      </c>
      <c r="B58" s="55" t="s">
        <v>1643</v>
      </c>
      <c r="C58" s="754" t="s">
        <v>62</v>
      </c>
      <c r="D58" s="755"/>
      <c r="E58" s="755"/>
      <c r="F58" s="55" t="s">
        <v>1938</v>
      </c>
      <c r="G58" s="757">
        <v>520192.87800000003</v>
      </c>
      <c r="H58" s="757">
        <v>3591960.56</v>
      </c>
      <c r="I58" s="888"/>
      <c r="J58" s="889">
        <f>J56+1</f>
        <v>27</v>
      </c>
      <c r="K58" s="55" t="s">
        <v>1643</v>
      </c>
      <c r="L58" s="754" t="s">
        <v>62</v>
      </c>
      <c r="M58" s="754">
        <v>0</v>
      </c>
      <c r="N58" s="754">
        <v>0</v>
      </c>
      <c r="O58" s="754">
        <v>0</v>
      </c>
      <c r="P58" s="754">
        <v>0</v>
      </c>
      <c r="Q58" s="754"/>
      <c r="R58" s="754"/>
      <c r="S58" s="754"/>
      <c r="T58" s="754"/>
      <c r="U58" s="759"/>
      <c r="V58" s="757"/>
      <c r="W58" s="755">
        <v>310.637</v>
      </c>
      <c r="X58" s="55" t="s">
        <v>1938</v>
      </c>
      <c r="Y58" s="757">
        <v>520192.87800000003</v>
      </c>
      <c r="Z58" s="757">
        <v>3591960.56</v>
      </c>
      <c r="AA58" s="765"/>
    </row>
    <row r="59" spans="1:27">
      <c r="A59" s="889"/>
      <c r="B59" s="55"/>
      <c r="C59" s="55"/>
      <c r="D59" s="758">
        <v>388.62900000000002</v>
      </c>
      <c r="E59" s="755"/>
      <c r="F59" s="55"/>
      <c r="G59" s="757"/>
      <c r="H59" s="757"/>
      <c r="I59" s="888"/>
      <c r="J59" s="891"/>
      <c r="K59" s="55"/>
      <c r="L59" s="55"/>
      <c r="M59" s="55"/>
      <c r="N59" s="55"/>
      <c r="O59" s="55"/>
      <c r="P59" s="55"/>
      <c r="Q59" s="55"/>
      <c r="R59" s="55"/>
      <c r="S59" s="55"/>
      <c r="T59" s="55"/>
      <c r="U59" s="759">
        <v>388.62900000000002</v>
      </c>
      <c r="V59" s="757"/>
      <c r="W59" s="755"/>
      <c r="X59" s="55"/>
      <c r="Y59" s="757"/>
      <c r="Z59" s="757"/>
      <c r="AA59" s="765" t="s">
        <v>2118</v>
      </c>
    </row>
    <row r="60" spans="1:27">
      <c r="A60" s="889">
        <f>A58+1</f>
        <v>28</v>
      </c>
      <c r="B60" s="55" t="s">
        <v>1644</v>
      </c>
      <c r="C60" s="754" t="s">
        <v>62</v>
      </c>
      <c r="D60" s="755"/>
      <c r="E60" s="755"/>
      <c r="F60" s="55" t="s">
        <v>1938</v>
      </c>
      <c r="G60" s="757">
        <v>520403.19799999997</v>
      </c>
      <c r="H60" s="757">
        <v>3591633.76</v>
      </c>
      <c r="I60" s="888"/>
      <c r="J60" s="889">
        <f>J58+1</f>
        <v>28</v>
      </c>
      <c r="K60" s="55" t="s">
        <v>1644</v>
      </c>
      <c r="L60" s="754" t="s">
        <v>62</v>
      </c>
      <c r="M60" s="754">
        <v>0</v>
      </c>
      <c r="N60" s="754">
        <v>0</v>
      </c>
      <c r="O60" s="754">
        <v>0</v>
      </c>
      <c r="P60" s="754">
        <v>0</v>
      </c>
      <c r="Q60" s="754"/>
      <c r="R60" s="754"/>
      <c r="S60" s="754"/>
      <c r="T60" s="754"/>
      <c r="U60" s="759"/>
      <c r="V60" s="757"/>
      <c r="W60" s="755">
        <v>306.67099999999999</v>
      </c>
      <c r="X60" s="55" t="s">
        <v>1938</v>
      </c>
      <c r="Y60" s="757">
        <v>520403.19799999997</v>
      </c>
      <c r="Z60" s="757">
        <v>3591633.76</v>
      </c>
      <c r="AA60" s="765"/>
    </row>
    <row r="61" spans="1:27">
      <c r="A61" s="889"/>
      <c r="B61" s="55"/>
      <c r="C61" s="55"/>
      <c r="D61" s="758">
        <v>398.45</v>
      </c>
      <c r="E61" s="755"/>
      <c r="F61" s="55"/>
      <c r="G61" s="757"/>
      <c r="H61" s="757"/>
      <c r="I61" s="888"/>
      <c r="J61" s="891"/>
      <c r="K61" s="55"/>
      <c r="L61" s="55"/>
      <c r="M61" s="55"/>
      <c r="N61" s="55"/>
      <c r="O61" s="55"/>
      <c r="P61" s="55"/>
      <c r="Q61" s="55"/>
      <c r="R61" s="55"/>
      <c r="S61" s="55"/>
      <c r="T61" s="55"/>
      <c r="U61" s="759">
        <v>398.45</v>
      </c>
      <c r="V61" s="757"/>
      <c r="W61" s="755"/>
      <c r="X61" s="55"/>
      <c r="Y61" s="757"/>
      <c r="Z61" s="757"/>
      <c r="AA61" s="765" t="s">
        <v>2119</v>
      </c>
    </row>
    <row r="62" spans="1:27">
      <c r="A62" s="889">
        <f>A60+1</f>
        <v>29</v>
      </c>
      <c r="B62" s="55" t="s">
        <v>1115</v>
      </c>
      <c r="C62" s="754" t="s">
        <v>1269</v>
      </c>
      <c r="D62" s="755"/>
      <c r="E62" s="755">
        <f>D57+D59+D61</f>
        <v>1177.079</v>
      </c>
      <c r="F62" s="55" t="s">
        <v>1941</v>
      </c>
      <c r="G62" s="757">
        <v>520618.83299999998</v>
      </c>
      <c r="H62" s="757">
        <v>3591298.7030000002</v>
      </c>
      <c r="I62" s="888"/>
      <c r="J62" s="889">
        <f>J60+1</f>
        <v>29</v>
      </c>
      <c r="K62" s="55" t="s">
        <v>1115</v>
      </c>
      <c r="L62" s="754" t="s">
        <v>1269</v>
      </c>
      <c r="M62" s="754">
        <v>0</v>
      </c>
      <c r="N62" s="754">
        <v>0</v>
      </c>
      <c r="O62" s="754">
        <v>0</v>
      </c>
      <c r="P62" s="754">
        <v>0</v>
      </c>
      <c r="Q62" s="754"/>
      <c r="R62" s="754"/>
      <c r="S62" s="754"/>
      <c r="T62" s="754"/>
      <c r="U62" s="759"/>
      <c r="V62" s="757">
        <f>U57+U59+U61</f>
        <v>1177.079</v>
      </c>
      <c r="W62" s="755">
        <v>303.47199999999998</v>
      </c>
      <c r="X62" s="55" t="s">
        <v>1941</v>
      </c>
      <c r="Y62" s="757">
        <v>520618.83299999998</v>
      </c>
      <c r="Z62" s="757">
        <v>3591298.7030000002</v>
      </c>
      <c r="AA62" s="765"/>
    </row>
    <row r="63" spans="1:27">
      <c r="A63" s="889"/>
      <c r="B63" s="55"/>
      <c r="C63" s="55"/>
      <c r="D63" s="758">
        <v>419.99900000000002</v>
      </c>
      <c r="E63" s="755"/>
      <c r="F63" s="55"/>
      <c r="G63" s="757"/>
      <c r="H63" s="757"/>
      <c r="I63" s="888"/>
      <c r="J63" s="891"/>
      <c r="K63" s="55"/>
      <c r="L63" s="55"/>
      <c r="M63" s="55"/>
      <c r="N63" s="55"/>
      <c r="O63" s="55"/>
      <c r="P63" s="55"/>
      <c r="Q63" s="55"/>
      <c r="R63" s="55"/>
      <c r="S63" s="55"/>
      <c r="T63" s="55"/>
      <c r="U63" s="759">
        <v>435.99900000000002</v>
      </c>
      <c r="V63" s="757"/>
      <c r="W63" s="755"/>
      <c r="X63" s="55"/>
      <c r="Y63" s="757"/>
      <c r="Z63" s="757"/>
      <c r="AA63" s="765" t="s">
        <v>2120</v>
      </c>
    </row>
    <row r="64" spans="1:27">
      <c r="A64" s="889">
        <f>A62+1</f>
        <v>30</v>
      </c>
      <c r="B64" s="55" t="s">
        <v>1116</v>
      </c>
      <c r="C64" s="754" t="s">
        <v>53</v>
      </c>
      <c r="D64" s="755"/>
      <c r="E64" s="755"/>
      <c r="F64" s="55" t="s">
        <v>1938</v>
      </c>
      <c r="G64" s="757">
        <v>520901.37599999999</v>
      </c>
      <c r="H64" s="757">
        <v>3590987.9470000002</v>
      </c>
      <c r="I64" s="888"/>
      <c r="J64" s="889">
        <f>J62+1</f>
        <v>30</v>
      </c>
      <c r="K64" s="55" t="s">
        <v>1116</v>
      </c>
      <c r="L64" s="754" t="s">
        <v>53</v>
      </c>
      <c r="M64" s="754">
        <v>0</v>
      </c>
      <c r="N64" s="754">
        <v>0</v>
      </c>
      <c r="O64" s="754">
        <v>0</v>
      </c>
      <c r="P64" s="754">
        <v>0</v>
      </c>
      <c r="Q64" s="754"/>
      <c r="R64" s="754"/>
      <c r="S64" s="754"/>
      <c r="T64" s="754"/>
      <c r="U64" s="759"/>
      <c r="V64" s="757"/>
      <c r="W64" s="755">
        <v>299.95100000000002</v>
      </c>
      <c r="X64" s="55" t="s">
        <v>1938</v>
      </c>
      <c r="Y64" s="757">
        <v>520912.13929999998</v>
      </c>
      <c r="Z64" s="757">
        <v>3590976.1085000001</v>
      </c>
      <c r="AA64" s="765"/>
    </row>
    <row r="65" spans="1:27">
      <c r="A65" s="889"/>
      <c r="B65" s="55"/>
      <c r="C65" s="55"/>
      <c r="D65" s="758">
        <v>400</v>
      </c>
      <c r="E65" s="755"/>
      <c r="F65" s="55"/>
      <c r="G65" s="757"/>
      <c r="H65" s="757"/>
      <c r="I65" s="888"/>
      <c r="J65" s="891"/>
      <c r="K65" s="55"/>
      <c r="L65" s="55"/>
      <c r="M65" s="55"/>
      <c r="N65" s="55"/>
      <c r="O65" s="55"/>
      <c r="P65" s="55"/>
      <c r="Q65" s="55"/>
      <c r="R65" s="55"/>
      <c r="S65" s="55"/>
      <c r="T65" s="55"/>
      <c r="U65" s="759">
        <v>384</v>
      </c>
      <c r="V65" s="757"/>
      <c r="W65" s="755"/>
      <c r="X65" s="55"/>
      <c r="Y65" s="757"/>
      <c r="Z65" s="757"/>
      <c r="AA65" s="765" t="s">
        <v>2121</v>
      </c>
    </row>
    <row r="66" spans="1:27">
      <c r="A66" s="889">
        <f>A64+1</f>
        <v>31</v>
      </c>
      <c r="B66" s="55" t="s">
        <v>1645</v>
      </c>
      <c r="C66" s="754" t="s">
        <v>62</v>
      </c>
      <c r="D66" s="755"/>
      <c r="E66" s="755"/>
      <c r="F66" s="55"/>
      <c r="G66" s="757">
        <v>521170.46399999998</v>
      </c>
      <c r="H66" s="757">
        <v>3590691.9890000001</v>
      </c>
      <c r="I66" s="888"/>
      <c r="J66" s="889">
        <f>J64+1</f>
        <v>31</v>
      </c>
      <c r="K66" s="55" t="s">
        <v>1645</v>
      </c>
      <c r="L66" s="754" t="s">
        <v>62</v>
      </c>
      <c r="M66" s="754">
        <v>0</v>
      </c>
      <c r="N66" s="754">
        <v>0</v>
      </c>
      <c r="O66" s="754">
        <v>0</v>
      </c>
      <c r="P66" s="754">
        <v>0</v>
      </c>
      <c r="Q66" s="754"/>
      <c r="R66" s="754"/>
      <c r="S66" s="754"/>
      <c r="T66" s="754"/>
      <c r="U66" s="759"/>
      <c r="V66" s="757"/>
      <c r="W66" s="755">
        <v>296.476</v>
      </c>
      <c r="X66" s="55"/>
      <c r="Y66" s="757">
        <v>521170.46399999998</v>
      </c>
      <c r="Z66" s="757">
        <v>3590691.9890000001</v>
      </c>
      <c r="AA66" s="765"/>
    </row>
    <row r="67" spans="1:27">
      <c r="A67" s="889"/>
      <c r="B67" s="55"/>
      <c r="C67" s="55"/>
      <c r="D67" s="758">
        <v>420</v>
      </c>
      <c r="E67" s="755"/>
      <c r="F67" s="55"/>
      <c r="G67" s="757"/>
      <c r="H67" s="757"/>
      <c r="I67" s="888"/>
      <c r="J67" s="891"/>
      <c r="K67" s="55"/>
      <c r="L67" s="55"/>
      <c r="M67" s="55"/>
      <c r="N67" s="55"/>
      <c r="O67" s="55"/>
      <c r="P67" s="55"/>
      <c r="Q67" s="55"/>
      <c r="R67" s="55"/>
      <c r="S67" s="55"/>
      <c r="T67" s="55"/>
      <c r="U67" s="759">
        <v>420</v>
      </c>
      <c r="V67" s="757"/>
      <c r="W67" s="755"/>
      <c r="X67" s="55"/>
      <c r="Y67" s="757"/>
      <c r="Z67" s="757"/>
      <c r="AA67" s="765" t="s">
        <v>2122</v>
      </c>
    </row>
    <row r="68" spans="1:27">
      <c r="A68" s="889">
        <f>A66+1</f>
        <v>32</v>
      </c>
      <c r="B68" s="55" t="s">
        <v>1117</v>
      </c>
      <c r="C68" s="754" t="s">
        <v>62</v>
      </c>
      <c r="D68" s="755"/>
      <c r="E68" s="755"/>
      <c r="F68" s="55"/>
      <c r="G68" s="757">
        <v>521453.00799999997</v>
      </c>
      <c r="H68" s="757">
        <v>3590381.233</v>
      </c>
      <c r="I68" s="888"/>
      <c r="J68" s="889">
        <f>J66+1</f>
        <v>32</v>
      </c>
      <c r="K68" s="55" t="s">
        <v>1117</v>
      </c>
      <c r="L68" s="754" t="s">
        <v>62</v>
      </c>
      <c r="M68" s="754">
        <v>0</v>
      </c>
      <c r="N68" s="754">
        <v>0</v>
      </c>
      <c r="O68" s="754">
        <v>0</v>
      </c>
      <c r="P68" s="754">
        <v>0</v>
      </c>
      <c r="Q68" s="754"/>
      <c r="R68" s="754"/>
      <c r="S68" s="754"/>
      <c r="T68" s="754"/>
      <c r="U68" s="759"/>
      <c r="V68" s="757"/>
      <c r="W68" s="755">
        <v>293.58699999999999</v>
      </c>
      <c r="X68" s="55"/>
      <c r="Y68" s="757">
        <v>521453.00799999997</v>
      </c>
      <c r="Z68" s="757">
        <v>3590381.233</v>
      </c>
      <c r="AA68" s="765"/>
    </row>
    <row r="69" spans="1:27">
      <c r="A69" s="889"/>
      <c r="B69" s="55"/>
      <c r="C69" s="55"/>
      <c r="D69" s="758">
        <v>410</v>
      </c>
      <c r="E69" s="755"/>
      <c r="F69" s="55"/>
      <c r="G69" s="757"/>
      <c r="H69" s="757"/>
      <c r="I69" s="888"/>
      <c r="J69" s="891"/>
      <c r="K69" s="55"/>
      <c r="L69" s="55"/>
      <c r="M69" s="55"/>
      <c r="N69" s="55"/>
      <c r="O69" s="55"/>
      <c r="P69" s="55"/>
      <c r="Q69" s="55"/>
      <c r="R69" s="55"/>
      <c r="S69" s="55"/>
      <c r="T69" s="55"/>
      <c r="U69" s="759">
        <v>410</v>
      </c>
      <c r="V69" s="757"/>
      <c r="W69" s="755"/>
      <c r="X69" s="55"/>
      <c r="Y69" s="757"/>
      <c r="Z69" s="757"/>
      <c r="AA69" s="765" t="s">
        <v>2119</v>
      </c>
    </row>
    <row r="70" spans="1:27">
      <c r="A70" s="889">
        <f>A68+1</f>
        <v>33</v>
      </c>
      <c r="B70" s="55" t="s">
        <v>1646</v>
      </c>
      <c r="C70" s="754" t="s">
        <v>62</v>
      </c>
      <c r="D70" s="755"/>
      <c r="E70" s="755"/>
      <c r="F70" s="55"/>
      <c r="G70" s="757">
        <v>521728.82400000002</v>
      </c>
      <c r="H70" s="757">
        <v>3590077.875</v>
      </c>
      <c r="I70" s="888"/>
      <c r="J70" s="889">
        <f>J68+1</f>
        <v>33</v>
      </c>
      <c r="K70" s="55" t="s">
        <v>1646</v>
      </c>
      <c r="L70" s="754" t="s">
        <v>62</v>
      </c>
      <c r="M70" s="754">
        <v>0</v>
      </c>
      <c r="N70" s="754">
        <v>0</v>
      </c>
      <c r="O70" s="754">
        <v>0</v>
      </c>
      <c r="P70" s="754">
        <v>0</v>
      </c>
      <c r="Q70" s="754"/>
      <c r="R70" s="754"/>
      <c r="S70" s="754"/>
      <c r="T70" s="754"/>
      <c r="U70" s="759"/>
      <c r="V70" s="757"/>
      <c r="W70" s="755">
        <v>290.26400000000001</v>
      </c>
      <c r="X70" s="55"/>
      <c r="Y70" s="757">
        <v>521728.82400000002</v>
      </c>
      <c r="Z70" s="757">
        <v>3590077.875</v>
      </c>
      <c r="AA70" s="765"/>
    </row>
    <row r="71" spans="1:27">
      <c r="A71" s="889"/>
      <c r="B71" s="55"/>
      <c r="C71" s="55"/>
      <c r="D71" s="758">
        <v>407.25</v>
      </c>
      <c r="E71" s="755"/>
      <c r="F71" s="55"/>
      <c r="G71" s="757"/>
      <c r="H71" s="757"/>
      <c r="I71" s="888"/>
      <c r="J71" s="891"/>
      <c r="K71" s="55"/>
      <c r="L71" s="55"/>
      <c r="M71" s="55"/>
      <c r="N71" s="55"/>
      <c r="O71" s="55"/>
      <c r="P71" s="55"/>
      <c r="Q71" s="55"/>
      <c r="R71" s="55"/>
      <c r="S71" s="55"/>
      <c r="T71" s="55"/>
      <c r="U71" s="759">
        <v>407.25</v>
      </c>
      <c r="V71" s="757"/>
      <c r="W71" s="755"/>
      <c r="X71" s="55"/>
      <c r="Y71" s="757"/>
      <c r="Z71" s="757"/>
      <c r="AA71" s="765" t="s">
        <v>2123</v>
      </c>
    </row>
    <row r="72" spans="1:27">
      <c r="A72" s="889">
        <f>A70+1</f>
        <v>34</v>
      </c>
      <c r="B72" s="55" t="s">
        <v>1647</v>
      </c>
      <c r="C72" s="754" t="s">
        <v>62</v>
      </c>
      <c r="D72" s="755"/>
      <c r="E72" s="755"/>
      <c r="F72" s="55"/>
      <c r="G72" s="757">
        <v>522002.79</v>
      </c>
      <c r="H72" s="757">
        <v>3589776.5529999998</v>
      </c>
      <c r="I72" s="888"/>
      <c r="J72" s="889">
        <f>J70+1</f>
        <v>34</v>
      </c>
      <c r="K72" s="55" t="s">
        <v>1647</v>
      </c>
      <c r="L72" s="754" t="s">
        <v>62</v>
      </c>
      <c r="M72" s="55">
        <v>0</v>
      </c>
      <c r="N72" s="55">
        <v>0</v>
      </c>
      <c r="O72" s="55">
        <v>0</v>
      </c>
      <c r="P72" s="55">
        <v>0</v>
      </c>
      <c r="Q72" s="754"/>
      <c r="R72" s="754"/>
      <c r="S72" s="754"/>
      <c r="T72" s="754"/>
      <c r="U72" s="759"/>
      <c r="V72" s="757"/>
      <c r="W72" s="755">
        <v>286.22899999999998</v>
      </c>
      <c r="X72" s="55"/>
      <c r="Y72" s="757">
        <v>522002.79</v>
      </c>
      <c r="Z72" s="757">
        <v>3589776.5529999998</v>
      </c>
      <c r="AA72" s="765"/>
    </row>
    <row r="73" spans="1:27">
      <c r="A73" s="889"/>
      <c r="B73" s="55"/>
      <c r="C73" s="55"/>
      <c r="D73" s="758">
        <v>397.702</v>
      </c>
      <c r="E73" s="755"/>
      <c r="F73" s="55"/>
      <c r="G73" s="757"/>
      <c r="H73" s="757"/>
      <c r="I73" s="888"/>
      <c r="J73" s="891"/>
      <c r="K73" s="55"/>
      <c r="L73" s="55"/>
      <c r="M73" s="55"/>
      <c r="N73" s="55"/>
      <c r="O73" s="55"/>
      <c r="P73" s="55"/>
      <c r="Q73" s="55"/>
      <c r="R73" s="55"/>
      <c r="S73" s="55"/>
      <c r="T73" s="55"/>
      <c r="U73" s="759">
        <v>397.702</v>
      </c>
      <c r="V73" s="757"/>
      <c r="W73" s="755"/>
      <c r="X73" s="55"/>
      <c r="Y73" s="757"/>
      <c r="Z73" s="757"/>
      <c r="AA73" s="765" t="s">
        <v>2124</v>
      </c>
    </row>
    <row r="74" spans="1:27">
      <c r="A74" s="889">
        <f>A72+1</f>
        <v>35</v>
      </c>
      <c r="B74" s="55" t="s">
        <v>1122</v>
      </c>
      <c r="C74" s="754" t="s">
        <v>1277</v>
      </c>
      <c r="D74" s="755"/>
      <c r="E74" s="755">
        <f>D63+D65+D67+D69+D71+D73</f>
        <v>2454.951</v>
      </c>
      <c r="F74" s="55" t="s">
        <v>1942</v>
      </c>
      <c r="G74" s="757">
        <v>522270.33199999999</v>
      </c>
      <c r="H74" s="757">
        <v>3589482.2949999999</v>
      </c>
      <c r="I74" s="888"/>
      <c r="J74" s="889">
        <f>J72+1</f>
        <v>35</v>
      </c>
      <c r="K74" s="55" t="s">
        <v>1122</v>
      </c>
      <c r="L74" s="754" t="s">
        <v>1361</v>
      </c>
      <c r="M74" s="55">
        <v>0</v>
      </c>
      <c r="N74" s="55">
        <v>0</v>
      </c>
      <c r="O74" s="55">
        <v>0</v>
      </c>
      <c r="P74" s="55">
        <v>0</v>
      </c>
      <c r="Q74" s="754"/>
      <c r="R74" s="754"/>
      <c r="S74" s="754"/>
      <c r="T74" s="754"/>
      <c r="U74" s="759"/>
      <c r="V74" s="757">
        <f>U63+U65+U67+U69+U71+U73</f>
        <v>2454.951</v>
      </c>
      <c r="W74" s="755">
        <v>284.90100000000001</v>
      </c>
      <c r="X74" s="55" t="s">
        <v>1943</v>
      </c>
      <c r="Y74" s="757">
        <v>522270.33199999999</v>
      </c>
      <c r="Z74" s="757">
        <v>3589482.2949999999</v>
      </c>
      <c r="AA74" s="765"/>
    </row>
    <row r="75" spans="1:27">
      <c r="A75" s="889"/>
      <c r="B75" s="55"/>
      <c r="C75" s="55"/>
      <c r="D75" s="758">
        <v>310.14699999999999</v>
      </c>
      <c r="E75" s="755"/>
      <c r="F75" s="55"/>
      <c r="G75" s="757"/>
      <c r="H75" s="757"/>
      <c r="I75" s="888"/>
      <c r="J75" s="891"/>
      <c r="K75" s="55"/>
      <c r="L75" s="55"/>
      <c r="M75" s="55"/>
      <c r="N75" s="55"/>
      <c r="O75" s="55"/>
      <c r="P75" s="55"/>
      <c r="Q75" s="55"/>
      <c r="R75" s="55"/>
      <c r="S75" s="55"/>
      <c r="T75" s="55"/>
      <c r="U75" s="759">
        <v>366.00400000000002</v>
      </c>
      <c r="V75" s="757"/>
      <c r="W75" s="755"/>
      <c r="X75" s="55"/>
      <c r="Y75" s="757"/>
      <c r="Z75" s="757"/>
      <c r="AA75" s="765" t="s">
        <v>2125</v>
      </c>
    </row>
    <row r="76" spans="1:27">
      <c r="A76" s="889">
        <f>A74+1</f>
        <v>36</v>
      </c>
      <c r="B76" s="55" t="s">
        <v>1124</v>
      </c>
      <c r="C76" s="754" t="s">
        <v>1319</v>
      </c>
      <c r="D76" s="755"/>
      <c r="E76" s="755">
        <f>D75</f>
        <v>310.14699999999999</v>
      </c>
      <c r="F76" s="55" t="s">
        <v>1944</v>
      </c>
      <c r="G76" s="757">
        <v>522356.68699999998</v>
      </c>
      <c r="H76" s="757">
        <v>3589184.412</v>
      </c>
      <c r="I76" s="888"/>
      <c r="J76" s="889">
        <f>J74+1</f>
        <v>36</v>
      </c>
      <c r="K76" s="55" t="s">
        <v>1124</v>
      </c>
      <c r="L76" s="754" t="s">
        <v>1319</v>
      </c>
      <c r="M76" s="55">
        <v>0</v>
      </c>
      <c r="N76" s="55">
        <v>0</v>
      </c>
      <c r="O76" s="55">
        <v>0</v>
      </c>
      <c r="P76" s="55">
        <v>0</v>
      </c>
      <c r="Q76" s="754"/>
      <c r="R76" s="754"/>
      <c r="S76" s="754"/>
      <c r="T76" s="754"/>
      <c r="U76" s="759"/>
      <c r="V76" s="757">
        <f>U75</f>
        <v>366.00400000000002</v>
      </c>
      <c r="W76" s="755">
        <v>282.93400000000003</v>
      </c>
      <c r="X76" s="55" t="s">
        <v>1945</v>
      </c>
      <c r="Y76" s="757">
        <v>522372.24</v>
      </c>
      <c r="Z76" s="757">
        <v>3589130.764</v>
      </c>
      <c r="AA76" s="764"/>
    </row>
    <row r="77" spans="1:27">
      <c r="A77" s="889"/>
      <c r="B77" s="55"/>
      <c r="C77" s="55"/>
      <c r="D77" s="758">
        <v>374.99900000000002</v>
      </c>
      <c r="E77" s="755"/>
      <c r="F77" s="55"/>
      <c r="G77" s="757"/>
      <c r="H77" s="757"/>
      <c r="I77" s="888"/>
      <c r="J77" s="891"/>
      <c r="K77" s="55"/>
      <c r="L77" s="55"/>
      <c r="M77" s="55"/>
      <c r="N77" s="55"/>
      <c r="O77" s="55"/>
      <c r="P77" s="55"/>
      <c r="Q77" s="55"/>
      <c r="R77" s="55"/>
      <c r="S77" s="55"/>
      <c r="T77" s="55"/>
      <c r="U77" s="759">
        <v>372.4</v>
      </c>
      <c r="V77" s="757"/>
      <c r="W77" s="755"/>
      <c r="X77" s="55"/>
      <c r="Y77" s="757"/>
      <c r="Z77" s="757"/>
      <c r="AA77" s="764" t="s">
        <v>2126</v>
      </c>
    </row>
    <row r="78" spans="1:27">
      <c r="A78" s="889">
        <f>A76+1</f>
        <v>37</v>
      </c>
      <c r="B78" s="55" t="s">
        <v>1648</v>
      </c>
      <c r="C78" s="754" t="s">
        <v>76</v>
      </c>
      <c r="D78" s="755"/>
      <c r="E78" s="755"/>
      <c r="F78" s="55"/>
      <c r="G78" s="757">
        <v>522649.61099999998</v>
      </c>
      <c r="H78" s="757">
        <v>3588950.2749999999</v>
      </c>
      <c r="I78" s="888"/>
      <c r="J78" s="889">
        <f>J76+1</f>
        <v>37</v>
      </c>
      <c r="K78" s="55" t="s">
        <v>1648</v>
      </c>
      <c r="L78" s="754" t="s">
        <v>76</v>
      </c>
      <c r="M78" s="55">
        <v>0</v>
      </c>
      <c r="N78" s="55">
        <v>0</v>
      </c>
      <c r="O78" s="55">
        <v>0</v>
      </c>
      <c r="P78" s="55">
        <v>0</v>
      </c>
      <c r="Q78" s="754"/>
      <c r="R78" s="754"/>
      <c r="S78" s="754"/>
      <c r="T78" s="754"/>
      <c r="U78" s="759"/>
      <c r="V78" s="757"/>
      <c r="W78" s="755">
        <v>282.87400000000002</v>
      </c>
      <c r="X78" s="55"/>
      <c r="Y78" s="757">
        <v>522669.712</v>
      </c>
      <c r="Z78" s="757">
        <v>3588906.7289999998</v>
      </c>
      <c r="AA78" s="764"/>
    </row>
    <row r="79" spans="1:27">
      <c r="A79" s="889"/>
      <c r="B79" s="55"/>
      <c r="C79" s="55"/>
      <c r="D79" s="758">
        <v>330</v>
      </c>
      <c r="E79" s="755"/>
      <c r="F79" s="55"/>
      <c r="G79" s="757"/>
      <c r="H79" s="757"/>
      <c r="I79" s="888"/>
      <c r="J79" s="891"/>
      <c r="K79" s="55"/>
      <c r="L79" s="55"/>
      <c r="M79" s="55"/>
      <c r="N79" s="55"/>
      <c r="O79" s="55"/>
      <c r="P79" s="55"/>
      <c r="Q79" s="55"/>
      <c r="R79" s="55"/>
      <c r="S79" s="55"/>
      <c r="T79" s="55"/>
      <c r="U79" s="759">
        <v>311.86599999999999</v>
      </c>
      <c r="V79" s="757"/>
      <c r="W79" s="755"/>
      <c r="X79" s="55"/>
      <c r="Y79" s="757"/>
      <c r="Z79" s="757"/>
      <c r="AA79" s="764" t="s">
        <v>2127</v>
      </c>
    </row>
    <row r="80" spans="1:27">
      <c r="A80" s="889">
        <f>A78+1</f>
        <v>38</v>
      </c>
      <c r="B80" s="55" t="s">
        <v>1125</v>
      </c>
      <c r="C80" s="754" t="s">
        <v>76</v>
      </c>
      <c r="D80" s="755"/>
      <c r="E80" s="755"/>
      <c r="F80" s="55"/>
      <c r="G80" s="757">
        <v>522907.38500000001</v>
      </c>
      <c r="H80" s="757">
        <v>3588744.2340000002</v>
      </c>
      <c r="I80" s="888"/>
      <c r="J80" s="889">
        <f>J78+1</f>
        <v>38</v>
      </c>
      <c r="K80" s="55" t="s">
        <v>1125</v>
      </c>
      <c r="L80" s="754" t="s">
        <v>76</v>
      </c>
      <c r="M80" s="55">
        <v>0</v>
      </c>
      <c r="N80" s="55">
        <v>0</v>
      </c>
      <c r="O80" s="55">
        <v>0</v>
      </c>
      <c r="P80" s="55">
        <v>0</v>
      </c>
      <c r="Q80" s="754"/>
      <c r="R80" s="754"/>
      <c r="S80" s="754"/>
      <c r="T80" s="754"/>
      <c r="U80" s="759"/>
      <c r="V80" s="757"/>
      <c r="W80" s="755">
        <v>283.88</v>
      </c>
      <c r="X80" s="55"/>
      <c r="Y80" s="757">
        <v>522918.83</v>
      </c>
      <c r="Z80" s="757">
        <v>3588719.11</v>
      </c>
      <c r="AA80" s="764"/>
    </row>
    <row r="81" spans="1:27">
      <c r="A81" s="889"/>
      <c r="B81" s="55"/>
      <c r="C81" s="55"/>
      <c r="D81" s="758">
        <v>366.04599999999999</v>
      </c>
      <c r="E81" s="755"/>
      <c r="F81" s="55"/>
      <c r="G81" s="757"/>
      <c r="H81" s="757"/>
      <c r="I81" s="888"/>
      <c r="J81" s="891"/>
      <c r="K81" s="55"/>
      <c r="L81" s="55"/>
      <c r="M81" s="55"/>
      <c r="N81" s="55"/>
      <c r="O81" s="55"/>
      <c r="P81" s="55"/>
      <c r="Q81" s="55"/>
      <c r="R81" s="55"/>
      <c r="S81" s="55"/>
      <c r="T81" s="55"/>
      <c r="U81" s="759">
        <v>343.76299999999998</v>
      </c>
      <c r="V81" s="757"/>
      <c r="W81" s="755"/>
      <c r="X81" s="55"/>
      <c r="Y81" s="757"/>
      <c r="Z81" s="757"/>
      <c r="AA81" s="764" t="s">
        <v>2122</v>
      </c>
    </row>
    <row r="82" spans="1:27">
      <c r="A82" s="889">
        <f>A80+1</f>
        <v>39</v>
      </c>
      <c r="B82" s="55" t="s">
        <v>1649</v>
      </c>
      <c r="C82" s="754" t="s">
        <v>1319</v>
      </c>
      <c r="D82" s="755"/>
      <c r="E82" s="757">
        <f>D77+D79+D81</f>
        <v>1071.0450000000001</v>
      </c>
      <c r="F82" s="55" t="s">
        <v>1946</v>
      </c>
      <c r="G82" s="757">
        <v>523193.315</v>
      </c>
      <c r="H82" s="757">
        <v>3588515.6880000001</v>
      </c>
      <c r="I82" s="888"/>
      <c r="J82" s="889">
        <f>J80+1</f>
        <v>39</v>
      </c>
      <c r="K82" s="55" t="s">
        <v>1649</v>
      </c>
      <c r="L82" s="754" t="s">
        <v>1319</v>
      </c>
      <c r="M82" s="55">
        <v>0</v>
      </c>
      <c r="N82" s="55">
        <v>0</v>
      </c>
      <c r="O82" s="55">
        <v>0</v>
      </c>
      <c r="P82" s="55">
        <v>0</v>
      </c>
      <c r="Q82" s="754"/>
      <c r="R82" s="754"/>
      <c r="S82" s="754"/>
      <c r="T82" s="754"/>
      <c r="U82" s="759"/>
      <c r="V82" s="757">
        <f>U77+U79+U81</f>
        <v>1028.029</v>
      </c>
      <c r="W82" s="755">
        <v>284.27100000000002</v>
      </c>
      <c r="X82" s="55" t="s">
        <v>1947</v>
      </c>
      <c r="Y82" s="757">
        <v>523193.42700000003</v>
      </c>
      <c r="Z82" s="757">
        <v>3588512.3029999998</v>
      </c>
      <c r="AA82" s="764"/>
    </row>
    <row r="83" spans="1:27">
      <c r="A83" s="889"/>
      <c r="B83" s="55"/>
      <c r="C83" s="55"/>
      <c r="D83" s="758">
        <v>445.75700000000001</v>
      </c>
      <c r="E83" s="755"/>
      <c r="F83" s="55"/>
      <c r="G83" s="757"/>
      <c r="H83" s="757"/>
      <c r="I83" s="888"/>
      <c r="J83" s="891"/>
      <c r="K83" s="55"/>
      <c r="L83" s="55"/>
      <c r="M83" s="55"/>
      <c r="N83" s="55"/>
      <c r="O83" s="55"/>
      <c r="P83" s="55"/>
      <c r="Q83" s="55"/>
      <c r="R83" s="55"/>
      <c r="S83" s="55"/>
      <c r="T83" s="55"/>
      <c r="U83" s="759">
        <v>442.37099999999998</v>
      </c>
      <c r="V83" s="757"/>
      <c r="W83" s="755"/>
      <c r="X83" s="55"/>
      <c r="Y83" s="757"/>
      <c r="Z83" s="757"/>
      <c r="AA83" s="764" t="s">
        <v>2114</v>
      </c>
    </row>
    <row r="84" spans="1:27">
      <c r="A84" s="889">
        <f>A82+1</f>
        <v>40</v>
      </c>
      <c r="B84" s="55" t="s">
        <v>1138</v>
      </c>
      <c r="C84" s="754" t="s">
        <v>1269</v>
      </c>
      <c r="D84" s="755"/>
      <c r="E84" s="755">
        <f>D83</f>
        <v>445.75700000000001</v>
      </c>
      <c r="F84" s="55" t="s">
        <v>1948</v>
      </c>
      <c r="G84" s="757">
        <v>523205.04700000002</v>
      </c>
      <c r="H84" s="757">
        <v>3588070.085</v>
      </c>
      <c r="I84" s="888"/>
      <c r="J84" s="889">
        <f>J82+1</f>
        <v>40</v>
      </c>
      <c r="K84" s="55" t="s">
        <v>1138</v>
      </c>
      <c r="L84" s="754" t="s">
        <v>1269</v>
      </c>
      <c r="M84" s="55">
        <v>0</v>
      </c>
      <c r="N84" s="55">
        <v>0</v>
      </c>
      <c r="O84" s="55">
        <v>0</v>
      </c>
      <c r="P84" s="55">
        <v>0</v>
      </c>
      <c r="Q84" s="754"/>
      <c r="R84" s="754"/>
      <c r="S84" s="754"/>
      <c r="T84" s="754"/>
      <c r="U84" s="756"/>
      <c r="V84" s="757">
        <f>U83</f>
        <v>442.37099999999998</v>
      </c>
      <c r="W84" s="755">
        <v>299.46499999999997</v>
      </c>
      <c r="X84" s="55" t="s">
        <v>1949</v>
      </c>
      <c r="Y84" s="757">
        <v>523205.04700000002</v>
      </c>
      <c r="Z84" s="757">
        <v>3588070.085</v>
      </c>
      <c r="AA84" s="764"/>
    </row>
    <row r="85" spans="1:27">
      <c r="A85" s="889"/>
      <c r="B85" s="55"/>
      <c r="C85" s="55"/>
      <c r="D85" s="758">
        <v>320</v>
      </c>
      <c r="E85" s="755"/>
      <c r="F85" s="55"/>
      <c r="G85" s="757"/>
      <c r="H85" s="757"/>
      <c r="I85" s="888"/>
      <c r="J85" s="891"/>
      <c r="K85" s="55"/>
      <c r="L85" s="55"/>
      <c r="M85" s="55"/>
      <c r="N85" s="55"/>
      <c r="O85" s="55"/>
      <c r="P85" s="55"/>
      <c r="Q85" s="55"/>
      <c r="R85" s="55"/>
      <c r="S85" s="55"/>
      <c r="T85" s="55"/>
      <c r="U85" s="759">
        <v>360</v>
      </c>
      <c r="V85" s="757"/>
      <c r="W85" s="755"/>
      <c r="X85" s="55"/>
      <c r="Y85" s="757"/>
      <c r="Z85" s="757"/>
      <c r="AA85" s="765" t="s">
        <v>2122</v>
      </c>
    </row>
    <row r="86" spans="1:27">
      <c r="A86" s="889">
        <f>A84+1</f>
        <v>41</v>
      </c>
      <c r="B86" s="55" t="s">
        <v>1140</v>
      </c>
      <c r="C86" s="754" t="s">
        <v>62</v>
      </c>
      <c r="D86" s="755"/>
      <c r="E86" s="755"/>
      <c r="F86" s="55"/>
      <c r="G86" s="757">
        <v>523153.97600000002</v>
      </c>
      <c r="H86" s="757">
        <v>3587754.1869999999</v>
      </c>
      <c r="I86" s="888"/>
      <c r="J86" s="889">
        <f>J84+1</f>
        <v>41</v>
      </c>
      <c r="K86" s="55" t="s">
        <v>1140</v>
      </c>
      <c r="L86" s="754" t="s">
        <v>62</v>
      </c>
      <c r="M86" s="55">
        <v>1</v>
      </c>
      <c r="N86" s="55">
        <v>1</v>
      </c>
      <c r="O86" s="55">
        <v>1</v>
      </c>
      <c r="P86" s="55">
        <v>1</v>
      </c>
      <c r="Q86" s="754"/>
      <c r="R86" s="754"/>
      <c r="S86" s="754"/>
      <c r="T86" s="754"/>
      <c r="U86" s="759"/>
      <c r="V86" s="757"/>
      <c r="W86" s="755">
        <v>295.54000000000002</v>
      </c>
      <c r="X86" s="55"/>
      <c r="Y86" s="757">
        <v>523147.5919</v>
      </c>
      <c r="Z86" s="757">
        <v>3587714.6997000002</v>
      </c>
      <c r="AA86" s="765" t="s">
        <v>1950</v>
      </c>
    </row>
    <row r="87" spans="1:27">
      <c r="A87" s="889"/>
      <c r="B87" s="55"/>
      <c r="C87" s="55"/>
      <c r="D87" s="758">
        <v>419.73899999999998</v>
      </c>
      <c r="E87" s="755"/>
      <c r="F87" s="55"/>
      <c r="G87" s="757"/>
      <c r="H87" s="757"/>
      <c r="I87" s="888"/>
      <c r="J87" s="891"/>
      <c r="K87" s="55"/>
      <c r="L87" s="55"/>
      <c r="M87" s="55"/>
      <c r="N87" s="55"/>
      <c r="O87" s="55"/>
      <c r="P87" s="55"/>
      <c r="Q87" s="55"/>
      <c r="R87" s="55"/>
      <c r="S87" s="55"/>
      <c r="T87" s="55"/>
      <c r="U87" s="759">
        <v>379.73899999999998</v>
      </c>
      <c r="V87" s="757"/>
      <c r="W87" s="755"/>
      <c r="X87" s="55"/>
      <c r="Y87" s="757"/>
      <c r="Z87" s="757"/>
      <c r="AA87" s="765" t="s">
        <v>2128</v>
      </c>
    </row>
    <row r="88" spans="1:27">
      <c r="A88" s="889">
        <f>A86+1</f>
        <v>42</v>
      </c>
      <c r="B88" s="55" t="s">
        <v>1650</v>
      </c>
      <c r="C88" s="754" t="s">
        <v>1402</v>
      </c>
      <c r="D88" s="755"/>
      <c r="E88" s="755">
        <f>D85+D87</f>
        <v>739.73900000000003</v>
      </c>
      <c r="F88" s="55" t="s">
        <v>1951</v>
      </c>
      <c r="G88" s="757">
        <v>523086.98499999999</v>
      </c>
      <c r="H88" s="757">
        <v>3587339.8280000002</v>
      </c>
      <c r="I88" s="888"/>
      <c r="J88" s="889">
        <f>J86+1</f>
        <v>42</v>
      </c>
      <c r="K88" s="55" t="s">
        <v>1650</v>
      </c>
      <c r="L88" s="754" t="s">
        <v>1402</v>
      </c>
      <c r="M88" s="55">
        <v>2</v>
      </c>
      <c r="N88" s="55">
        <v>2</v>
      </c>
      <c r="O88" s="55">
        <v>2</v>
      </c>
      <c r="P88" s="55">
        <v>2</v>
      </c>
      <c r="Q88" s="754"/>
      <c r="R88" s="754"/>
      <c r="S88" s="754"/>
      <c r="T88" s="754"/>
      <c r="U88" s="759"/>
      <c r="V88" s="757">
        <f>U85+U87</f>
        <v>739.73900000000003</v>
      </c>
      <c r="W88" s="755">
        <v>299.02699999999999</v>
      </c>
      <c r="X88" s="55" t="s">
        <v>1952</v>
      </c>
      <c r="Y88" s="757">
        <v>523086.98499999999</v>
      </c>
      <c r="Z88" s="757">
        <v>3587339.8280000002</v>
      </c>
      <c r="AA88" s="765" t="s">
        <v>1950</v>
      </c>
    </row>
    <row r="89" spans="1:27">
      <c r="A89" s="889"/>
      <c r="B89" s="55"/>
      <c r="C89" s="55"/>
      <c r="D89" s="758">
        <v>445.99099999999999</v>
      </c>
      <c r="E89" s="755"/>
      <c r="F89" s="55"/>
      <c r="G89" s="757"/>
      <c r="H89" s="757"/>
      <c r="I89" s="888"/>
      <c r="J89" s="891"/>
      <c r="K89" s="55"/>
      <c r="L89" s="55"/>
      <c r="M89" s="55"/>
      <c r="N89" s="55"/>
      <c r="O89" s="55"/>
      <c r="P89" s="55"/>
      <c r="Q89" s="55"/>
      <c r="R89" s="55"/>
      <c r="S89" s="55"/>
      <c r="T89" s="55"/>
      <c r="U89" s="759">
        <v>445.99099999999999</v>
      </c>
      <c r="V89" s="757"/>
      <c r="W89" s="755"/>
      <c r="X89" s="55"/>
      <c r="Y89" s="757"/>
      <c r="Z89" s="757"/>
      <c r="AA89" s="765" t="s">
        <v>2129</v>
      </c>
    </row>
    <row r="90" spans="1:27">
      <c r="A90" s="889">
        <f>A88+1</f>
        <v>43</v>
      </c>
      <c r="B90" s="55" t="s">
        <v>1651</v>
      </c>
      <c r="C90" s="754" t="s">
        <v>1953</v>
      </c>
      <c r="D90" s="755"/>
      <c r="E90" s="755">
        <f>D89</f>
        <v>445.99099999999999</v>
      </c>
      <c r="F90" s="55" t="s">
        <v>1954</v>
      </c>
      <c r="G90" s="757">
        <v>523229.30200000003</v>
      </c>
      <c r="H90" s="757">
        <v>3586917.1529999999</v>
      </c>
      <c r="I90" s="888"/>
      <c r="J90" s="889">
        <f>J88+1</f>
        <v>43</v>
      </c>
      <c r="K90" s="55" t="s">
        <v>1651</v>
      </c>
      <c r="L90" s="754" t="s">
        <v>1953</v>
      </c>
      <c r="M90" s="55">
        <v>2</v>
      </c>
      <c r="N90" s="55">
        <v>2</v>
      </c>
      <c r="O90" s="55">
        <v>2</v>
      </c>
      <c r="P90" s="55">
        <v>2</v>
      </c>
      <c r="Q90" s="754"/>
      <c r="R90" s="754"/>
      <c r="S90" s="754"/>
      <c r="T90" s="754"/>
      <c r="U90" s="759"/>
      <c r="V90" s="757">
        <f>U89</f>
        <v>445.99099999999999</v>
      </c>
      <c r="W90" s="755">
        <v>297.02100000000002</v>
      </c>
      <c r="X90" s="55" t="s">
        <v>1955</v>
      </c>
      <c r="Y90" s="757">
        <v>523229.30200000003</v>
      </c>
      <c r="Z90" s="757">
        <v>3586917.1529999999</v>
      </c>
      <c r="AA90" s="765" t="s">
        <v>1950</v>
      </c>
    </row>
    <row r="91" spans="1:27">
      <c r="A91" s="889"/>
      <c r="B91" s="55"/>
      <c r="C91" s="55"/>
      <c r="D91" s="758">
        <v>378</v>
      </c>
      <c r="E91" s="755"/>
      <c r="F91" s="55"/>
      <c r="G91" s="757"/>
      <c r="H91" s="757"/>
      <c r="I91" s="888"/>
      <c r="J91" s="891"/>
      <c r="K91" s="55"/>
      <c r="L91" s="55"/>
      <c r="M91" s="55"/>
      <c r="N91" s="55"/>
      <c r="O91" s="55"/>
      <c r="P91" s="55"/>
      <c r="Q91" s="55"/>
      <c r="R91" s="55"/>
      <c r="S91" s="55"/>
      <c r="T91" s="55"/>
      <c r="U91" s="759">
        <v>373</v>
      </c>
      <c r="V91" s="757"/>
      <c r="W91" s="755"/>
      <c r="X91" s="55"/>
      <c r="Y91" s="757"/>
      <c r="Z91" s="757"/>
      <c r="AA91" s="765" t="s">
        <v>2122</v>
      </c>
    </row>
    <row r="92" spans="1:27">
      <c r="A92" s="889">
        <f>A90+1</f>
        <v>44</v>
      </c>
      <c r="B92" s="55" t="s">
        <v>1652</v>
      </c>
      <c r="C92" s="754" t="s">
        <v>76</v>
      </c>
      <c r="D92" s="755"/>
      <c r="E92" s="755"/>
      <c r="F92" s="55"/>
      <c r="G92" s="757">
        <v>523480.30200000003</v>
      </c>
      <c r="H92" s="757">
        <v>3586634.517</v>
      </c>
      <c r="I92" s="888"/>
      <c r="J92" s="889">
        <f>J90+1</f>
        <v>44</v>
      </c>
      <c r="K92" s="55" t="s">
        <v>1652</v>
      </c>
      <c r="L92" s="55" t="s">
        <v>76</v>
      </c>
      <c r="M92" s="55">
        <v>0</v>
      </c>
      <c r="N92" s="55">
        <v>0</v>
      </c>
      <c r="O92" s="55">
        <v>0</v>
      </c>
      <c r="P92" s="55">
        <v>0</v>
      </c>
      <c r="Q92" s="754"/>
      <c r="R92" s="754"/>
      <c r="S92" s="754"/>
      <c r="T92" s="754"/>
      <c r="U92" s="759"/>
      <c r="V92" s="757"/>
      <c r="W92" s="755">
        <v>295.767</v>
      </c>
      <c r="X92" s="55"/>
      <c r="Y92" s="757">
        <v>523476.98190000001</v>
      </c>
      <c r="Z92" s="757">
        <v>3586638.2555999998</v>
      </c>
      <c r="AA92" s="766" t="s">
        <v>2132</v>
      </c>
    </row>
    <row r="93" spans="1:27">
      <c r="A93" s="889"/>
      <c r="B93" s="55"/>
      <c r="C93" s="55"/>
      <c r="D93" s="758">
        <v>361</v>
      </c>
      <c r="E93" s="755"/>
      <c r="F93" s="55"/>
      <c r="G93" s="757"/>
      <c r="H93" s="757"/>
      <c r="I93" s="888"/>
      <c r="J93" s="891"/>
      <c r="K93" s="55"/>
      <c r="L93" s="55"/>
      <c r="M93" s="55"/>
      <c r="N93" s="55"/>
      <c r="O93" s="55"/>
      <c r="P93" s="55"/>
      <c r="Q93" s="55"/>
      <c r="R93" s="55"/>
      <c r="S93" s="55"/>
      <c r="T93" s="55"/>
      <c r="U93" s="759">
        <v>374</v>
      </c>
      <c r="V93" s="757"/>
      <c r="W93" s="755"/>
      <c r="X93" s="55"/>
      <c r="Y93" s="757"/>
      <c r="Z93" s="757"/>
      <c r="AA93" s="765"/>
    </row>
    <row r="94" spans="1:27">
      <c r="A94" s="889">
        <f>A92+1</f>
        <v>45</v>
      </c>
      <c r="B94" s="55" t="s">
        <v>1653</v>
      </c>
      <c r="C94" s="754" t="s">
        <v>62</v>
      </c>
      <c r="D94" s="755"/>
      <c r="E94" s="755"/>
      <c r="F94" s="55"/>
      <c r="G94" s="757">
        <v>523720.01400000002</v>
      </c>
      <c r="H94" s="757">
        <v>3586364.5929999999</v>
      </c>
      <c r="I94" s="888"/>
      <c r="J94" s="889">
        <f>J92+1</f>
        <v>45</v>
      </c>
      <c r="K94" s="55" t="s">
        <v>1653</v>
      </c>
      <c r="L94" s="754" t="s">
        <v>62</v>
      </c>
      <c r="M94" s="55">
        <v>1</v>
      </c>
      <c r="N94" s="55">
        <v>1</v>
      </c>
      <c r="O94" s="55">
        <v>1</v>
      </c>
      <c r="P94" s="55">
        <v>1</v>
      </c>
      <c r="Q94" s="754"/>
      <c r="R94" s="754"/>
      <c r="S94" s="754"/>
      <c r="T94" s="754"/>
      <c r="U94" s="759"/>
      <c r="V94" s="757"/>
      <c r="W94" s="755">
        <v>287.94</v>
      </c>
      <c r="X94" s="55"/>
      <c r="Y94" s="757">
        <v>523725.32620000001</v>
      </c>
      <c r="Z94" s="757">
        <v>3586358.6113</v>
      </c>
      <c r="AA94" s="765"/>
    </row>
    <row r="95" spans="1:27">
      <c r="A95" s="889"/>
      <c r="B95" s="55"/>
      <c r="C95" s="55"/>
      <c r="D95" s="758">
        <v>356</v>
      </c>
      <c r="E95" s="755"/>
      <c r="F95" s="55"/>
      <c r="G95" s="757"/>
      <c r="H95" s="757"/>
      <c r="I95" s="888"/>
      <c r="J95" s="891"/>
      <c r="K95" s="55"/>
      <c r="L95" s="55"/>
      <c r="M95" s="55"/>
      <c r="N95" s="55"/>
      <c r="O95" s="55"/>
      <c r="P95" s="55"/>
      <c r="Q95" s="55"/>
      <c r="R95" s="55"/>
      <c r="S95" s="55"/>
      <c r="T95" s="55"/>
      <c r="U95" s="759">
        <v>352</v>
      </c>
      <c r="V95" s="757"/>
      <c r="W95" s="755"/>
      <c r="X95" s="55"/>
      <c r="Y95" s="757"/>
      <c r="Z95" s="757"/>
      <c r="AA95" s="765"/>
    </row>
    <row r="96" spans="1:27">
      <c r="A96" s="889">
        <f>A94+1</f>
        <v>46</v>
      </c>
      <c r="B96" s="55" t="s">
        <v>1654</v>
      </c>
      <c r="C96" s="754" t="s">
        <v>76</v>
      </c>
      <c r="D96" s="755"/>
      <c r="E96" s="755"/>
      <c r="F96" s="55"/>
      <c r="G96" s="757">
        <v>523956.40500000003</v>
      </c>
      <c r="H96" s="757">
        <v>3586098.4070000001</v>
      </c>
      <c r="I96" s="888"/>
      <c r="J96" s="889">
        <f>J94+1</f>
        <v>46</v>
      </c>
      <c r="K96" s="55" t="s">
        <v>1654</v>
      </c>
      <c r="L96" s="754" t="s">
        <v>76</v>
      </c>
      <c r="M96" s="55">
        <v>0</v>
      </c>
      <c r="N96" s="55">
        <v>0</v>
      </c>
      <c r="O96" s="55">
        <v>0</v>
      </c>
      <c r="P96" s="55">
        <v>0</v>
      </c>
      <c r="Q96" s="754"/>
      <c r="R96" s="754"/>
      <c r="S96" s="754"/>
      <c r="T96" s="754"/>
      <c r="U96" s="759"/>
      <c r="V96" s="757"/>
      <c r="W96" s="755">
        <v>296.01400000000001</v>
      </c>
      <c r="X96" s="55"/>
      <c r="Y96" s="757">
        <v>523959.0613</v>
      </c>
      <c r="Z96" s="757">
        <v>3586095.4158999999</v>
      </c>
      <c r="AA96" s="765" t="s">
        <v>1956</v>
      </c>
    </row>
    <row r="97" spans="1:27">
      <c r="A97" s="889"/>
      <c r="B97" s="55"/>
      <c r="C97" s="55"/>
      <c r="D97" s="758">
        <v>410</v>
      </c>
      <c r="E97" s="755"/>
      <c r="F97" s="55"/>
      <c r="G97" s="757"/>
      <c r="H97" s="757"/>
      <c r="I97" s="888"/>
      <c r="J97" s="891"/>
      <c r="K97" s="55"/>
      <c r="L97" s="55"/>
      <c r="M97" s="55"/>
      <c r="N97" s="55"/>
      <c r="O97" s="55"/>
      <c r="P97" s="55"/>
      <c r="Q97" s="55"/>
      <c r="R97" s="55"/>
      <c r="S97" s="55"/>
      <c r="T97" s="55"/>
      <c r="U97" s="759">
        <v>406</v>
      </c>
      <c r="V97" s="757"/>
      <c r="W97" s="755"/>
      <c r="X97" s="55"/>
      <c r="Y97" s="757"/>
      <c r="Z97" s="757"/>
      <c r="AA97" s="765"/>
    </row>
    <row r="98" spans="1:27">
      <c r="A98" s="889">
        <f>A96+1</f>
        <v>47</v>
      </c>
      <c r="B98" s="55" t="s">
        <v>1655</v>
      </c>
      <c r="C98" s="754" t="s">
        <v>76</v>
      </c>
      <c r="D98" s="755"/>
      <c r="E98" s="755"/>
      <c r="F98" s="55"/>
      <c r="G98" s="757">
        <v>524228.65399999998</v>
      </c>
      <c r="H98" s="757">
        <v>3585791.844</v>
      </c>
      <c r="I98" s="888"/>
      <c r="J98" s="889">
        <f>J96+1</f>
        <v>47</v>
      </c>
      <c r="K98" s="55" t="s">
        <v>1655</v>
      </c>
      <c r="L98" s="754" t="s">
        <v>76</v>
      </c>
      <c r="M98" s="55">
        <v>0</v>
      </c>
      <c r="N98" s="55">
        <v>0</v>
      </c>
      <c r="O98" s="55">
        <v>0</v>
      </c>
      <c r="P98" s="55">
        <v>0</v>
      </c>
      <c r="Q98" s="754"/>
      <c r="R98" s="754"/>
      <c r="S98" s="754"/>
      <c r="T98" s="754"/>
      <c r="U98" s="759"/>
      <c r="V98" s="757"/>
      <c r="W98" s="755">
        <v>298.58</v>
      </c>
      <c r="X98" s="55"/>
      <c r="Y98" s="757">
        <v>524228.65399999998</v>
      </c>
      <c r="Z98" s="757">
        <v>3585791.844</v>
      </c>
      <c r="AA98" s="765" t="s">
        <v>1956</v>
      </c>
    </row>
    <row r="99" spans="1:27">
      <c r="A99" s="889"/>
      <c r="B99" s="55"/>
      <c r="C99" s="55"/>
      <c r="D99" s="758">
        <v>358</v>
      </c>
      <c r="E99" s="755"/>
      <c r="F99" s="55"/>
      <c r="G99" s="757"/>
      <c r="H99" s="757"/>
      <c r="I99" s="888"/>
      <c r="J99" s="891"/>
      <c r="K99" s="55"/>
      <c r="L99" s="55"/>
      <c r="M99" s="55"/>
      <c r="N99" s="55"/>
      <c r="O99" s="55"/>
      <c r="P99" s="55"/>
      <c r="Q99" s="55"/>
      <c r="R99" s="55"/>
      <c r="S99" s="55"/>
      <c r="T99" s="55"/>
      <c r="U99" s="759">
        <v>352</v>
      </c>
      <c r="V99" s="757"/>
      <c r="W99" s="755"/>
      <c r="X99" s="55"/>
      <c r="Y99" s="757"/>
      <c r="Z99" s="757"/>
      <c r="AA99" s="765" t="s">
        <v>2130</v>
      </c>
    </row>
    <row r="100" spans="1:27">
      <c r="A100" s="889">
        <f>A98+1</f>
        <v>48</v>
      </c>
      <c r="B100" s="55" t="s">
        <v>1656</v>
      </c>
      <c r="C100" s="754" t="s">
        <v>76</v>
      </c>
      <c r="D100" s="755"/>
      <c r="E100" s="755"/>
      <c r="F100" s="55"/>
      <c r="G100" s="757">
        <v>524466.37300000002</v>
      </c>
      <c r="H100" s="757">
        <v>3585524.162</v>
      </c>
      <c r="I100" s="888"/>
      <c r="J100" s="889">
        <f>J98+1</f>
        <v>48</v>
      </c>
      <c r="K100" s="55" t="s">
        <v>1656</v>
      </c>
      <c r="L100" s="754" t="s">
        <v>76</v>
      </c>
      <c r="M100" s="55">
        <v>0</v>
      </c>
      <c r="N100" s="55">
        <v>0</v>
      </c>
      <c r="O100" s="55">
        <v>0</v>
      </c>
      <c r="P100" s="55">
        <v>0</v>
      </c>
      <c r="Q100" s="754"/>
      <c r="R100" s="754"/>
      <c r="S100" s="754"/>
      <c r="T100" s="754"/>
      <c r="U100" s="759"/>
      <c r="V100" s="757"/>
      <c r="W100" s="755">
        <v>296.73</v>
      </c>
      <c r="X100" s="55"/>
      <c r="Y100" s="757">
        <v>524462.38899999997</v>
      </c>
      <c r="Z100" s="757">
        <v>3585528.6490000002</v>
      </c>
      <c r="AA100" s="767"/>
    </row>
    <row r="101" spans="1:27">
      <c r="A101" s="889"/>
      <c r="B101" s="55"/>
      <c r="C101" s="55"/>
      <c r="D101" s="758">
        <v>324</v>
      </c>
      <c r="E101" s="755"/>
      <c r="F101" s="55"/>
      <c r="G101" s="757"/>
      <c r="H101" s="757"/>
      <c r="I101" s="888"/>
      <c r="J101" s="891"/>
      <c r="K101" s="55"/>
      <c r="L101" s="55"/>
      <c r="M101" s="55"/>
      <c r="N101" s="55"/>
      <c r="O101" s="55"/>
      <c r="P101" s="55"/>
      <c r="Q101" s="55"/>
      <c r="R101" s="55"/>
      <c r="S101" s="55"/>
      <c r="T101" s="55"/>
      <c r="U101" s="759">
        <v>340</v>
      </c>
      <c r="V101" s="757"/>
      <c r="W101" s="755"/>
      <c r="X101" s="55"/>
      <c r="Y101" s="757"/>
      <c r="Z101" s="757"/>
      <c r="AA101" s="765" t="s">
        <v>2128</v>
      </c>
    </row>
    <row r="102" spans="1:27">
      <c r="A102" s="889">
        <f>A100+1</f>
        <v>49</v>
      </c>
      <c r="B102" s="55" t="s">
        <v>1657</v>
      </c>
      <c r="C102" s="754" t="s">
        <v>76</v>
      </c>
      <c r="D102" s="755"/>
      <c r="E102" s="755"/>
      <c r="F102" s="55"/>
      <c r="G102" s="757">
        <v>524681.51599999995</v>
      </c>
      <c r="H102" s="757">
        <v>3585281.9029999999</v>
      </c>
      <c r="I102" s="888"/>
      <c r="J102" s="889">
        <f>J100+1</f>
        <v>49</v>
      </c>
      <c r="K102" s="55" t="s">
        <v>1657</v>
      </c>
      <c r="L102" s="754" t="s">
        <v>62</v>
      </c>
      <c r="M102" s="55">
        <v>0</v>
      </c>
      <c r="N102" s="55">
        <v>0</v>
      </c>
      <c r="O102" s="55">
        <v>0</v>
      </c>
      <c r="P102" s="55">
        <v>0</v>
      </c>
      <c r="Q102" s="754"/>
      <c r="R102" s="754"/>
      <c r="S102" s="754"/>
      <c r="T102" s="754"/>
      <c r="U102" s="759"/>
      <c r="V102" s="757"/>
      <c r="W102" s="755">
        <v>287.32900000000001</v>
      </c>
      <c r="X102" s="55"/>
      <c r="Y102" s="757">
        <v>524688.15599999996</v>
      </c>
      <c r="Z102" s="757">
        <v>3585274.426</v>
      </c>
      <c r="AA102" s="767" t="s">
        <v>1956</v>
      </c>
    </row>
    <row r="103" spans="1:27">
      <c r="A103" s="889"/>
      <c r="B103" s="55"/>
      <c r="C103" s="55"/>
      <c r="D103" s="758">
        <v>386.62900000000002</v>
      </c>
      <c r="E103" s="755"/>
      <c r="F103" s="55"/>
      <c r="G103" s="757"/>
      <c r="H103" s="757"/>
      <c r="I103" s="888"/>
      <c r="J103" s="891"/>
      <c r="K103" s="55"/>
      <c r="L103" s="55"/>
      <c r="M103" s="55"/>
      <c r="N103" s="55"/>
      <c r="O103" s="55"/>
      <c r="P103" s="55"/>
      <c r="Q103" s="55"/>
      <c r="R103" s="55"/>
      <c r="S103" s="55"/>
      <c r="T103" s="55"/>
      <c r="U103" s="759">
        <v>376.62900000000002</v>
      </c>
      <c r="V103" s="757"/>
      <c r="W103" s="755"/>
      <c r="X103" s="55"/>
      <c r="Y103" s="757"/>
      <c r="Z103" s="757"/>
      <c r="AA103" s="765" t="s">
        <v>2131</v>
      </c>
    </row>
    <row r="104" spans="1:27">
      <c r="A104" s="889">
        <f>A102+1</f>
        <v>50</v>
      </c>
      <c r="B104" s="55" t="s">
        <v>1957</v>
      </c>
      <c r="C104" s="55" t="s">
        <v>1269</v>
      </c>
      <c r="D104" s="55"/>
      <c r="E104" s="55">
        <v>2573.6289999999999</v>
      </c>
      <c r="F104" s="55" t="s">
        <v>1958</v>
      </c>
      <c r="G104" s="55">
        <v>524938.24600000004</v>
      </c>
      <c r="H104" s="55">
        <v>3584992.8149999999</v>
      </c>
      <c r="I104" s="888"/>
      <c r="J104" s="889">
        <f>J102+1</f>
        <v>50</v>
      </c>
      <c r="K104" s="55" t="s">
        <v>1957</v>
      </c>
      <c r="L104" s="55" t="s">
        <v>1269</v>
      </c>
      <c r="M104" s="754">
        <v>0</v>
      </c>
      <c r="N104" s="754">
        <v>0</v>
      </c>
      <c r="O104" s="754">
        <v>0</v>
      </c>
      <c r="P104" s="754">
        <v>0</v>
      </c>
      <c r="Q104" s="754"/>
      <c r="R104" s="754"/>
      <c r="S104" s="754"/>
      <c r="T104" s="754"/>
      <c r="U104" s="757"/>
      <c r="V104" s="55">
        <v>2573.6289999999999</v>
      </c>
      <c r="W104" s="55">
        <v>283.95699999999999</v>
      </c>
      <c r="X104" s="55" t="s">
        <v>1958</v>
      </c>
      <c r="Y104" s="55">
        <v>524938.24600000004</v>
      </c>
      <c r="Z104" s="55">
        <v>3584992.8149999999</v>
      </c>
      <c r="AA104" s="763"/>
    </row>
    <row r="105" spans="1:27">
      <c r="A105" s="889"/>
      <c r="B105" s="55"/>
      <c r="C105" s="55"/>
      <c r="D105" s="55">
        <v>423</v>
      </c>
      <c r="E105" s="55"/>
      <c r="F105" s="55"/>
      <c r="G105" s="55"/>
      <c r="H105" s="55"/>
      <c r="I105" s="888"/>
      <c r="J105" s="891"/>
      <c r="K105" s="55"/>
      <c r="L105" s="55"/>
      <c r="M105" s="55"/>
      <c r="N105" s="55"/>
      <c r="O105" s="55"/>
      <c r="P105" s="55"/>
      <c r="Q105" s="55"/>
      <c r="R105" s="55"/>
      <c r="S105" s="55"/>
      <c r="T105" s="55"/>
      <c r="U105" s="757">
        <v>423</v>
      </c>
      <c r="V105" s="55"/>
      <c r="W105" s="55"/>
      <c r="X105" s="55"/>
      <c r="Y105" s="55"/>
      <c r="Z105" s="55"/>
      <c r="AA105" s="764" t="s">
        <v>2130</v>
      </c>
    </row>
    <row r="106" spans="1:27">
      <c r="A106" s="889">
        <f>A104+1</f>
        <v>51</v>
      </c>
      <c r="B106" s="55" t="s">
        <v>1659</v>
      </c>
      <c r="C106" s="55" t="s">
        <v>53</v>
      </c>
      <c r="D106" s="55"/>
      <c r="E106" s="55"/>
      <c r="F106" s="55"/>
      <c r="G106" s="55">
        <v>525248.54200000002</v>
      </c>
      <c r="H106" s="55">
        <v>3584705.335</v>
      </c>
      <c r="I106" s="888"/>
      <c r="J106" s="889">
        <f>J104+1</f>
        <v>51</v>
      </c>
      <c r="K106" s="55" t="s">
        <v>1659</v>
      </c>
      <c r="L106" s="55" t="s">
        <v>53</v>
      </c>
      <c r="M106" s="754">
        <v>0</v>
      </c>
      <c r="N106" s="754">
        <v>0</v>
      </c>
      <c r="O106" s="754">
        <v>0</v>
      </c>
      <c r="P106" s="754">
        <v>0</v>
      </c>
      <c r="Q106" s="754"/>
      <c r="R106" s="754"/>
      <c r="S106" s="754"/>
      <c r="T106" s="754"/>
      <c r="U106" s="757"/>
      <c r="V106" s="55"/>
      <c r="W106" s="55">
        <v>282.42200000000003</v>
      </c>
      <c r="X106" s="55"/>
      <c r="Y106" s="55">
        <v>525248.54200000002</v>
      </c>
      <c r="Z106" s="55">
        <v>3584705.335</v>
      </c>
      <c r="AA106" s="765"/>
    </row>
    <row r="107" spans="1:27">
      <c r="A107" s="889"/>
      <c r="B107" s="55"/>
      <c r="C107" s="55"/>
      <c r="D107" s="55">
        <v>417</v>
      </c>
      <c r="E107" s="55"/>
      <c r="F107" s="55"/>
      <c r="G107" s="55"/>
      <c r="H107" s="55"/>
      <c r="I107" s="888"/>
      <c r="J107" s="891"/>
      <c r="K107" s="55"/>
      <c r="L107" s="55"/>
      <c r="M107" s="55"/>
      <c r="N107" s="55"/>
      <c r="O107" s="55"/>
      <c r="P107" s="55"/>
      <c r="Q107" s="55"/>
      <c r="R107" s="55"/>
      <c r="S107" s="55"/>
      <c r="T107" s="55"/>
      <c r="U107" s="757">
        <v>417</v>
      </c>
      <c r="V107" s="55"/>
      <c r="W107" s="55"/>
      <c r="X107" s="55"/>
      <c r="Y107" s="55"/>
      <c r="Z107" s="55"/>
      <c r="AA107" s="765" t="s">
        <v>2126</v>
      </c>
    </row>
    <row r="108" spans="1:27">
      <c r="A108" s="889">
        <f>A106+1</f>
        <v>52</v>
      </c>
      <c r="B108" s="55" t="s">
        <v>658</v>
      </c>
      <c r="C108" s="55" t="s">
        <v>76</v>
      </c>
      <c r="D108" s="55"/>
      <c r="E108" s="55"/>
      <c r="F108" s="55"/>
      <c r="G108" s="55">
        <v>525554.43799999997</v>
      </c>
      <c r="H108" s="55">
        <v>3584421.932</v>
      </c>
      <c r="I108" s="888"/>
      <c r="J108" s="889">
        <f>J106+1</f>
        <v>52</v>
      </c>
      <c r="K108" s="55" t="s">
        <v>658</v>
      </c>
      <c r="L108" s="55" t="s">
        <v>76</v>
      </c>
      <c r="M108" s="754">
        <v>0</v>
      </c>
      <c r="N108" s="754">
        <v>0</v>
      </c>
      <c r="O108" s="754">
        <v>0</v>
      </c>
      <c r="P108" s="754">
        <v>0</v>
      </c>
      <c r="Q108" s="754"/>
      <c r="R108" s="754"/>
      <c r="S108" s="754"/>
      <c r="T108" s="754"/>
      <c r="U108" s="757"/>
      <c r="V108" s="55"/>
      <c r="W108" s="55">
        <v>281.58100000000002</v>
      </c>
      <c r="X108" s="55"/>
      <c r="Y108" s="55">
        <v>525554.43700000003</v>
      </c>
      <c r="Z108" s="55">
        <v>3584421.932</v>
      </c>
      <c r="AA108" s="766"/>
    </row>
    <row r="109" spans="1:27">
      <c r="A109" s="889"/>
      <c r="B109" s="55"/>
      <c r="C109" s="55"/>
      <c r="D109" s="55">
        <v>415</v>
      </c>
      <c r="E109" s="55"/>
      <c r="F109" s="55"/>
      <c r="G109" s="55"/>
      <c r="H109" s="55"/>
      <c r="I109" s="888"/>
      <c r="J109" s="891"/>
      <c r="K109" s="55"/>
      <c r="L109" s="55"/>
      <c r="M109" s="55"/>
      <c r="N109" s="55"/>
      <c r="O109" s="55"/>
      <c r="P109" s="55"/>
      <c r="Q109" s="55"/>
      <c r="R109" s="55"/>
      <c r="S109" s="55"/>
      <c r="T109" s="55"/>
      <c r="U109" s="757">
        <v>415</v>
      </c>
      <c r="V109" s="55"/>
      <c r="W109" s="55"/>
      <c r="X109" s="55"/>
      <c r="Y109" s="55"/>
      <c r="Z109" s="55"/>
      <c r="AA109" s="765" t="s">
        <v>2126</v>
      </c>
    </row>
    <row r="110" spans="1:27">
      <c r="A110" s="889">
        <f>A108+1</f>
        <v>53</v>
      </c>
      <c r="B110" s="55" t="s">
        <v>1660</v>
      </c>
      <c r="C110" s="55" t="s">
        <v>53</v>
      </c>
      <c r="D110" s="55"/>
      <c r="E110" s="55"/>
      <c r="F110" s="55"/>
      <c r="G110" s="55">
        <v>525858.86600000004</v>
      </c>
      <c r="H110" s="55">
        <v>3584139.8879999998</v>
      </c>
      <c r="I110" s="888"/>
      <c r="J110" s="889">
        <f>J108+1</f>
        <v>53</v>
      </c>
      <c r="K110" s="55" t="s">
        <v>1660</v>
      </c>
      <c r="L110" s="55" t="s">
        <v>53</v>
      </c>
      <c r="M110" s="754">
        <v>0</v>
      </c>
      <c r="N110" s="754">
        <v>0</v>
      </c>
      <c r="O110" s="754">
        <v>0</v>
      </c>
      <c r="P110" s="754">
        <v>0</v>
      </c>
      <c r="Q110" s="754"/>
      <c r="R110" s="754"/>
      <c r="S110" s="754"/>
      <c r="T110" s="754"/>
      <c r="U110" s="757"/>
      <c r="V110" s="55"/>
      <c r="W110" s="55">
        <v>280.86599999999999</v>
      </c>
      <c r="X110" s="55"/>
      <c r="Y110" s="55">
        <v>525858.86499999999</v>
      </c>
      <c r="Z110" s="55">
        <v>3584139.889</v>
      </c>
      <c r="AA110" s="765"/>
    </row>
    <row r="111" spans="1:27">
      <c r="A111" s="889"/>
      <c r="B111" s="55"/>
      <c r="C111" s="55"/>
      <c r="D111" s="55">
        <v>421</v>
      </c>
      <c r="E111" s="55"/>
      <c r="F111" s="55"/>
      <c r="G111" s="55"/>
      <c r="H111" s="55"/>
      <c r="I111" s="888"/>
      <c r="J111" s="891"/>
      <c r="K111" s="55"/>
      <c r="L111" s="55"/>
      <c r="M111" s="55"/>
      <c r="N111" s="55"/>
      <c r="O111" s="55"/>
      <c r="P111" s="55"/>
      <c r="Q111" s="55"/>
      <c r="R111" s="55"/>
      <c r="S111" s="55"/>
      <c r="T111" s="55"/>
      <c r="U111" s="757">
        <v>421</v>
      </c>
      <c r="V111" s="55"/>
      <c r="W111" s="55"/>
      <c r="X111" s="55"/>
      <c r="Y111" s="55"/>
      <c r="Z111" s="55"/>
      <c r="AA111" s="765" t="s">
        <v>2133</v>
      </c>
    </row>
    <row r="112" spans="1:27">
      <c r="A112" s="889">
        <f>A110+1</f>
        <v>54</v>
      </c>
      <c r="B112" s="55" t="s">
        <v>1959</v>
      </c>
      <c r="C112" s="55" t="s">
        <v>76</v>
      </c>
      <c r="D112" s="55"/>
      <c r="E112" s="55"/>
      <c r="F112" s="55"/>
      <c r="G112" s="55">
        <v>526167.69499999995</v>
      </c>
      <c r="H112" s="55">
        <v>3583853.767</v>
      </c>
      <c r="I112" s="888"/>
      <c r="J112" s="889">
        <f>J110+1</f>
        <v>54</v>
      </c>
      <c r="K112" s="55" t="s">
        <v>1959</v>
      </c>
      <c r="L112" s="55" t="s">
        <v>76</v>
      </c>
      <c r="M112" s="754">
        <v>0</v>
      </c>
      <c r="N112" s="754">
        <v>0</v>
      </c>
      <c r="O112" s="754">
        <v>0</v>
      </c>
      <c r="P112" s="754">
        <v>0</v>
      </c>
      <c r="Q112" s="754"/>
      <c r="R112" s="754"/>
      <c r="S112" s="754"/>
      <c r="T112" s="754"/>
      <c r="U112" s="757"/>
      <c r="V112" s="55"/>
      <c r="W112" s="55">
        <v>279.30599999999998</v>
      </c>
      <c r="X112" s="55"/>
      <c r="Y112" s="55">
        <v>526167.69499999995</v>
      </c>
      <c r="Z112" s="55">
        <v>3583853.7680000002</v>
      </c>
      <c r="AA112" s="765"/>
    </row>
    <row r="113" spans="1:27">
      <c r="A113" s="889"/>
      <c r="B113" s="55"/>
      <c r="C113" s="55"/>
      <c r="D113" s="55">
        <v>404</v>
      </c>
      <c r="E113" s="55"/>
      <c r="F113" s="55"/>
      <c r="G113" s="55"/>
      <c r="H113" s="55"/>
      <c r="I113" s="888"/>
      <c r="J113" s="891"/>
      <c r="K113" s="55"/>
      <c r="L113" s="55"/>
      <c r="M113" s="55"/>
      <c r="N113" s="55"/>
      <c r="O113" s="55"/>
      <c r="P113" s="55"/>
      <c r="Q113" s="55"/>
      <c r="R113" s="55"/>
      <c r="S113" s="55"/>
      <c r="T113" s="55"/>
      <c r="U113" s="757">
        <v>404</v>
      </c>
      <c r="V113" s="55"/>
      <c r="W113" s="55"/>
      <c r="X113" s="55"/>
      <c r="Y113" s="55"/>
      <c r="Z113" s="55"/>
      <c r="AA113" s="765"/>
    </row>
    <row r="114" spans="1:27">
      <c r="A114" s="889">
        <f>A112+1</f>
        <v>55</v>
      </c>
      <c r="B114" s="55" t="s">
        <v>1960</v>
      </c>
      <c r="C114" s="55" t="s">
        <v>249</v>
      </c>
      <c r="D114" s="55"/>
      <c r="E114" s="55"/>
      <c r="F114" s="55"/>
      <c r="G114" s="55">
        <v>526464.054</v>
      </c>
      <c r="H114" s="757">
        <v>3583579.2</v>
      </c>
      <c r="I114" s="888"/>
      <c r="J114" s="889">
        <f>J112+1</f>
        <v>55</v>
      </c>
      <c r="K114" s="55" t="s">
        <v>1960</v>
      </c>
      <c r="L114" s="55" t="s">
        <v>249</v>
      </c>
      <c r="M114" s="754">
        <v>0</v>
      </c>
      <c r="N114" s="754">
        <v>0</v>
      </c>
      <c r="O114" s="754">
        <v>0</v>
      </c>
      <c r="P114" s="754">
        <v>0</v>
      </c>
      <c r="Q114" s="754"/>
      <c r="R114" s="754"/>
      <c r="S114" s="754"/>
      <c r="T114" s="754"/>
      <c r="U114" s="757"/>
      <c r="V114" s="55"/>
      <c r="W114" s="55">
        <v>277.73899999999998</v>
      </c>
      <c r="X114" s="55"/>
      <c r="Y114" s="55">
        <v>526464.054</v>
      </c>
      <c r="Z114" s="55">
        <v>3583579.2</v>
      </c>
      <c r="AA114" s="765"/>
    </row>
    <row r="115" spans="1:27">
      <c r="A115" s="889"/>
      <c r="B115" s="55"/>
      <c r="C115" s="55"/>
      <c r="D115" s="55">
        <v>434.72899999999998</v>
      </c>
      <c r="E115" s="55"/>
      <c r="F115" s="55"/>
      <c r="G115" s="55"/>
      <c r="H115" s="55"/>
      <c r="I115" s="888"/>
      <c r="J115" s="891"/>
      <c r="K115" s="55"/>
      <c r="L115" s="55"/>
      <c r="M115" s="55"/>
      <c r="N115" s="55"/>
      <c r="O115" s="55"/>
      <c r="P115" s="55"/>
      <c r="Q115" s="55"/>
      <c r="R115" s="55"/>
      <c r="S115" s="55"/>
      <c r="T115" s="55"/>
      <c r="U115" s="757">
        <v>434.73</v>
      </c>
      <c r="V115" s="55"/>
      <c r="W115" s="55"/>
      <c r="X115" s="55"/>
      <c r="Y115" s="55"/>
      <c r="Z115" s="55"/>
      <c r="AA115" s="765" t="s">
        <v>2134</v>
      </c>
    </row>
    <row r="116" spans="1:27">
      <c r="A116" s="889">
        <f>A114+1</f>
        <v>56</v>
      </c>
      <c r="B116" s="55" t="s">
        <v>1961</v>
      </c>
      <c r="C116" s="55" t="s">
        <v>1269</v>
      </c>
      <c r="D116" s="55"/>
      <c r="E116" s="55">
        <f>D105+D107+D109+D111+D113+D115</f>
        <v>2514.7289999999998</v>
      </c>
      <c r="F116" s="55" t="s">
        <v>1962</v>
      </c>
      <c r="G116" s="55">
        <v>526782.95499999996</v>
      </c>
      <c r="H116" s="55">
        <v>3583283.7480000001</v>
      </c>
      <c r="I116" s="888"/>
      <c r="J116" s="889">
        <f>J114+1</f>
        <v>56</v>
      </c>
      <c r="K116" s="55" t="s">
        <v>1961</v>
      </c>
      <c r="L116" s="55" t="s">
        <v>1269</v>
      </c>
      <c r="M116" s="754">
        <v>0</v>
      </c>
      <c r="N116" s="754">
        <v>0</v>
      </c>
      <c r="O116" s="754">
        <v>0</v>
      </c>
      <c r="P116" s="754">
        <v>0</v>
      </c>
      <c r="Q116" s="754"/>
      <c r="R116" s="754"/>
      <c r="S116" s="754"/>
      <c r="T116" s="754"/>
      <c r="U116" s="757"/>
      <c r="V116" s="55">
        <f>U105+U107+U109+U111+U113+U115</f>
        <v>2514.73</v>
      </c>
      <c r="W116" s="55">
        <v>276.59399999999999</v>
      </c>
      <c r="X116" s="55" t="s">
        <v>1962</v>
      </c>
      <c r="Y116" s="55">
        <v>526782.95499999996</v>
      </c>
      <c r="Z116" s="55">
        <v>3583283.7480000001</v>
      </c>
      <c r="AA116" s="765"/>
    </row>
    <row r="117" spans="1:27">
      <c r="A117" s="889"/>
      <c r="B117" s="55"/>
      <c r="C117" s="55"/>
      <c r="D117" s="55">
        <v>395</v>
      </c>
      <c r="E117" s="55"/>
      <c r="F117" s="55"/>
      <c r="G117" s="55"/>
      <c r="H117" s="55"/>
      <c r="I117" s="888"/>
      <c r="J117" s="891"/>
      <c r="K117" s="55"/>
      <c r="L117" s="55"/>
      <c r="M117" s="55"/>
      <c r="N117" s="55"/>
      <c r="O117" s="55"/>
      <c r="P117" s="55"/>
      <c r="Q117" s="55"/>
      <c r="R117" s="55"/>
      <c r="S117" s="55"/>
      <c r="T117" s="55"/>
      <c r="U117" s="757">
        <v>395</v>
      </c>
      <c r="V117" s="55"/>
      <c r="W117" s="55"/>
      <c r="X117" s="55"/>
      <c r="Y117" s="55"/>
      <c r="Z117" s="55"/>
      <c r="AA117" s="765"/>
    </row>
    <row r="118" spans="1:27">
      <c r="A118" s="889">
        <f>A116+1</f>
        <v>57</v>
      </c>
      <c r="B118" s="55" t="s">
        <v>1661</v>
      </c>
      <c r="C118" s="55" t="s">
        <v>62</v>
      </c>
      <c r="D118" s="55"/>
      <c r="E118" s="55"/>
      <c r="F118" s="55"/>
      <c r="G118" s="55">
        <v>527125.01300000004</v>
      </c>
      <c r="H118" s="55">
        <v>3583086.2110000001</v>
      </c>
      <c r="I118" s="888"/>
      <c r="J118" s="889">
        <f>J116+1</f>
        <v>57</v>
      </c>
      <c r="K118" s="55" t="s">
        <v>1661</v>
      </c>
      <c r="L118" s="55" t="s">
        <v>62</v>
      </c>
      <c r="M118" s="754">
        <v>0</v>
      </c>
      <c r="N118" s="754">
        <v>0</v>
      </c>
      <c r="O118" s="754">
        <v>0</v>
      </c>
      <c r="P118" s="754">
        <v>0</v>
      </c>
      <c r="Q118" s="754"/>
      <c r="R118" s="754"/>
      <c r="S118" s="754"/>
      <c r="T118" s="754"/>
      <c r="U118" s="757"/>
      <c r="V118" s="55"/>
      <c r="W118" s="55">
        <v>276.084</v>
      </c>
      <c r="X118" s="55"/>
      <c r="Y118" s="55">
        <v>527125.01300000004</v>
      </c>
      <c r="Z118" s="55">
        <v>3583086.2110000001</v>
      </c>
      <c r="AA118" s="765"/>
    </row>
    <row r="119" spans="1:27">
      <c r="A119" s="889"/>
      <c r="B119" s="55"/>
      <c r="C119" s="55"/>
      <c r="D119" s="55">
        <v>385</v>
      </c>
      <c r="E119" s="55"/>
      <c r="F119" s="55"/>
      <c r="G119" s="55"/>
      <c r="H119" s="55"/>
      <c r="I119" s="888"/>
      <c r="J119" s="891"/>
      <c r="K119" s="55"/>
      <c r="L119" s="55"/>
      <c r="M119" s="55"/>
      <c r="N119" s="55"/>
      <c r="O119" s="55"/>
      <c r="P119" s="55"/>
      <c r="Q119" s="55"/>
      <c r="R119" s="55"/>
      <c r="S119" s="55"/>
      <c r="T119" s="55"/>
      <c r="U119" s="757">
        <v>385</v>
      </c>
      <c r="V119" s="55"/>
      <c r="W119" s="55"/>
      <c r="X119" s="55"/>
      <c r="Y119" s="55"/>
      <c r="Z119" s="55"/>
      <c r="AA119" s="765"/>
    </row>
    <row r="120" spans="1:27">
      <c r="A120" s="889">
        <f>A118+1</f>
        <v>58</v>
      </c>
      <c r="B120" s="55" t="s">
        <v>1662</v>
      </c>
      <c r="C120" s="55" t="s">
        <v>76</v>
      </c>
      <c r="D120" s="55"/>
      <c r="E120" s="55"/>
      <c r="F120" s="55"/>
      <c r="G120" s="55">
        <v>527458.41299999994</v>
      </c>
      <c r="H120" s="55">
        <v>3582893.6749999998</v>
      </c>
      <c r="I120" s="888"/>
      <c r="J120" s="889">
        <f>J118+1</f>
        <v>58</v>
      </c>
      <c r="K120" s="55" t="s">
        <v>1662</v>
      </c>
      <c r="L120" s="55" t="s">
        <v>76</v>
      </c>
      <c r="M120" s="754">
        <v>0</v>
      </c>
      <c r="N120" s="754">
        <v>0</v>
      </c>
      <c r="O120" s="754">
        <v>0</v>
      </c>
      <c r="P120" s="754">
        <v>0</v>
      </c>
      <c r="Q120" s="754"/>
      <c r="R120" s="754"/>
      <c r="S120" s="754"/>
      <c r="T120" s="754"/>
      <c r="U120" s="757"/>
      <c r="V120" s="55"/>
      <c r="W120" s="55">
        <v>274.62299999999999</v>
      </c>
      <c r="X120" s="55"/>
      <c r="Y120" s="55">
        <v>527458.41200000001</v>
      </c>
      <c r="Z120" s="55">
        <v>3582893.6749999998</v>
      </c>
      <c r="AA120" s="765"/>
    </row>
    <row r="121" spans="1:27">
      <c r="A121" s="889"/>
      <c r="B121" s="55"/>
      <c r="C121" s="55"/>
      <c r="D121" s="55">
        <v>395</v>
      </c>
      <c r="E121" s="55"/>
      <c r="F121" s="55"/>
      <c r="G121" s="55"/>
      <c r="H121" s="55"/>
      <c r="I121" s="888"/>
      <c r="J121" s="891"/>
      <c r="K121" s="55"/>
      <c r="L121" s="55"/>
      <c r="M121" s="55"/>
      <c r="N121" s="55"/>
      <c r="O121" s="55"/>
      <c r="P121" s="55"/>
      <c r="Q121" s="55"/>
      <c r="R121" s="55"/>
      <c r="S121" s="55"/>
      <c r="T121" s="55"/>
      <c r="U121" s="757">
        <v>395</v>
      </c>
      <c r="V121" s="55"/>
      <c r="W121" s="55"/>
      <c r="X121" s="55"/>
      <c r="Y121" s="55"/>
      <c r="Z121" s="55"/>
      <c r="AA121" s="765"/>
    </row>
    <row r="122" spans="1:27">
      <c r="A122" s="889">
        <f>A120+1</f>
        <v>59</v>
      </c>
      <c r="B122" s="55" t="s">
        <v>668</v>
      </c>
      <c r="C122" s="55" t="s">
        <v>76</v>
      </c>
      <c r="D122" s="55"/>
      <c r="E122" s="55"/>
      <c r="F122" s="55"/>
      <c r="G122" s="55">
        <v>527800.47100000002</v>
      </c>
      <c r="H122" s="55">
        <v>3582696.1379999998</v>
      </c>
      <c r="I122" s="888"/>
      <c r="J122" s="889">
        <f>J120+1</f>
        <v>59</v>
      </c>
      <c r="K122" s="55" t="s">
        <v>668</v>
      </c>
      <c r="L122" s="55" t="s">
        <v>76</v>
      </c>
      <c r="M122" s="754">
        <v>0</v>
      </c>
      <c r="N122" s="754">
        <v>0</v>
      </c>
      <c r="O122" s="754">
        <v>0</v>
      </c>
      <c r="P122" s="754">
        <v>0</v>
      </c>
      <c r="Q122" s="754"/>
      <c r="R122" s="754"/>
      <c r="S122" s="754"/>
      <c r="T122" s="754"/>
      <c r="U122" s="757"/>
      <c r="V122" s="55"/>
      <c r="W122" s="55">
        <v>274.09399999999999</v>
      </c>
      <c r="X122" s="55"/>
      <c r="Y122" s="55">
        <v>527800.47100000002</v>
      </c>
      <c r="Z122" s="55">
        <v>3582696.1379999998</v>
      </c>
      <c r="AA122" s="765"/>
    </row>
    <row r="123" spans="1:27">
      <c r="A123" s="889"/>
      <c r="B123" s="55"/>
      <c r="C123" s="55"/>
      <c r="D123" s="55">
        <v>390</v>
      </c>
      <c r="E123" s="55"/>
      <c r="F123" s="55"/>
      <c r="G123" s="55"/>
      <c r="H123" s="55"/>
      <c r="I123" s="888"/>
      <c r="J123" s="891"/>
      <c r="K123" s="55"/>
      <c r="L123" s="55"/>
      <c r="M123" s="55"/>
      <c r="N123" s="55"/>
      <c r="O123" s="55"/>
      <c r="P123" s="55"/>
      <c r="Q123" s="55"/>
      <c r="R123" s="55"/>
      <c r="S123" s="55"/>
      <c r="T123" s="55"/>
      <c r="U123" s="757">
        <v>390</v>
      </c>
      <c r="V123" s="55"/>
      <c r="W123" s="55"/>
      <c r="X123" s="55"/>
      <c r="Y123" s="55"/>
      <c r="Z123" s="55"/>
      <c r="AA123" s="765"/>
    </row>
    <row r="124" spans="1:27">
      <c r="A124" s="889">
        <f>A122+1</f>
        <v>60</v>
      </c>
      <c r="B124" s="55" t="s">
        <v>1663</v>
      </c>
      <c r="C124" s="55" t="s">
        <v>62</v>
      </c>
      <c r="D124" s="55"/>
      <c r="E124" s="55"/>
      <c r="F124" s="55"/>
      <c r="G124" s="55">
        <v>528138.19999999995</v>
      </c>
      <c r="H124" s="55">
        <v>3582501.102</v>
      </c>
      <c r="I124" s="888"/>
      <c r="J124" s="889">
        <f>J122+1</f>
        <v>60</v>
      </c>
      <c r="K124" s="55" t="s">
        <v>1663</v>
      </c>
      <c r="L124" s="55" t="s">
        <v>62</v>
      </c>
      <c r="M124" s="754">
        <v>0</v>
      </c>
      <c r="N124" s="754">
        <v>0</v>
      </c>
      <c r="O124" s="754">
        <v>0</v>
      </c>
      <c r="P124" s="754">
        <v>0</v>
      </c>
      <c r="Q124" s="754"/>
      <c r="R124" s="754"/>
      <c r="S124" s="754"/>
      <c r="T124" s="754"/>
      <c r="U124" s="757"/>
      <c r="V124" s="55"/>
      <c r="W124" s="55">
        <v>271.88</v>
      </c>
      <c r="X124" s="55"/>
      <c r="Y124" s="55">
        <v>528138.19999999995</v>
      </c>
      <c r="Z124" s="55">
        <v>3582501.102</v>
      </c>
      <c r="AA124" s="765"/>
    </row>
    <row r="125" spans="1:27">
      <c r="A125" s="889"/>
      <c r="B125" s="55"/>
      <c r="C125" s="55"/>
      <c r="D125" s="55">
        <v>420</v>
      </c>
      <c r="E125" s="55"/>
      <c r="F125" s="55"/>
      <c r="G125" s="55"/>
      <c r="H125" s="55"/>
      <c r="I125" s="888"/>
      <c r="J125" s="891"/>
      <c r="K125" s="55"/>
      <c r="L125" s="55"/>
      <c r="M125" s="55"/>
      <c r="N125" s="55"/>
      <c r="O125" s="55"/>
      <c r="P125" s="55"/>
      <c r="Q125" s="55"/>
      <c r="R125" s="55"/>
      <c r="S125" s="55"/>
      <c r="T125" s="55"/>
      <c r="U125" s="757">
        <v>420</v>
      </c>
      <c r="V125" s="55"/>
      <c r="W125" s="55"/>
      <c r="X125" s="55"/>
      <c r="Y125" s="55"/>
      <c r="Z125" s="55"/>
      <c r="AA125" s="765" t="s">
        <v>2135</v>
      </c>
    </row>
    <row r="126" spans="1:27">
      <c r="A126" s="889">
        <f>A124+1</f>
        <v>61</v>
      </c>
      <c r="B126" s="55" t="s">
        <v>1963</v>
      </c>
      <c r="C126" s="55" t="s">
        <v>62</v>
      </c>
      <c r="D126" s="55"/>
      <c r="E126" s="55"/>
      <c r="F126" s="55"/>
      <c r="G126" s="55">
        <v>528501.90800000005</v>
      </c>
      <c r="H126" s="55">
        <v>3582291.0630000001</v>
      </c>
      <c r="I126" s="888"/>
      <c r="J126" s="889">
        <f>J124+1</f>
        <v>61</v>
      </c>
      <c r="K126" s="55" t="s">
        <v>1963</v>
      </c>
      <c r="L126" s="55" t="s">
        <v>62</v>
      </c>
      <c r="M126" s="754">
        <v>0</v>
      </c>
      <c r="N126" s="754">
        <v>0</v>
      </c>
      <c r="O126" s="754">
        <v>0</v>
      </c>
      <c r="P126" s="754">
        <v>0</v>
      </c>
      <c r="Q126" s="754"/>
      <c r="R126" s="754"/>
      <c r="S126" s="754"/>
      <c r="T126" s="754"/>
      <c r="U126" s="757"/>
      <c r="V126" s="55"/>
      <c r="W126" s="55">
        <v>271.69</v>
      </c>
      <c r="X126" s="55"/>
      <c r="Y126" s="55">
        <v>528501.90800000005</v>
      </c>
      <c r="Z126" s="55">
        <v>3582291.0630000001</v>
      </c>
      <c r="AA126" s="765"/>
    </row>
    <row r="127" spans="1:27">
      <c r="A127" s="889"/>
      <c r="B127" s="55"/>
      <c r="C127" s="55"/>
      <c r="D127" s="55">
        <v>389.47699999999998</v>
      </c>
      <c r="E127" s="55"/>
      <c r="F127" s="55"/>
      <c r="G127" s="55"/>
      <c r="H127" s="55"/>
      <c r="I127" s="888"/>
      <c r="J127" s="891"/>
      <c r="K127" s="55"/>
      <c r="L127" s="55"/>
      <c r="M127" s="55"/>
      <c r="N127" s="55"/>
      <c r="O127" s="55"/>
      <c r="P127" s="55"/>
      <c r="Q127" s="55"/>
      <c r="R127" s="55"/>
      <c r="S127" s="55"/>
      <c r="T127" s="55"/>
      <c r="U127" s="757">
        <v>389.48</v>
      </c>
      <c r="V127" s="55"/>
      <c r="W127" s="55"/>
      <c r="X127" s="55"/>
      <c r="Y127" s="55"/>
      <c r="Z127" s="55"/>
      <c r="AA127" s="765" t="s">
        <v>2122</v>
      </c>
    </row>
    <row r="128" spans="1:27">
      <c r="A128" s="889">
        <f>A126+1</f>
        <v>62</v>
      </c>
      <c r="B128" s="55" t="s">
        <v>1964</v>
      </c>
      <c r="C128" s="55" t="s">
        <v>1269</v>
      </c>
      <c r="D128" s="55"/>
      <c r="E128" s="55">
        <f>D117+D119+D121+D123+D125+D127</f>
        <v>2374.4769999999999</v>
      </c>
      <c r="F128" s="55" t="s">
        <v>1965</v>
      </c>
      <c r="G128" s="55">
        <v>528839.18400000001</v>
      </c>
      <c r="H128" s="55">
        <v>3582096.2880000002</v>
      </c>
      <c r="I128" s="888"/>
      <c r="J128" s="889">
        <f>J126+1</f>
        <v>62</v>
      </c>
      <c r="K128" s="55" t="s">
        <v>1964</v>
      </c>
      <c r="L128" s="55" t="s">
        <v>1269</v>
      </c>
      <c r="M128" s="754">
        <v>0</v>
      </c>
      <c r="N128" s="754">
        <v>0</v>
      </c>
      <c r="O128" s="754">
        <v>0</v>
      </c>
      <c r="P128" s="754">
        <v>0</v>
      </c>
      <c r="Q128" s="754"/>
      <c r="R128" s="754"/>
      <c r="S128" s="754"/>
      <c r="T128" s="754"/>
      <c r="U128" s="757"/>
      <c r="V128" s="55">
        <f>U117+U119+U121+U123+U125+U127</f>
        <v>2374.48</v>
      </c>
      <c r="W128" s="55">
        <v>270.44400000000002</v>
      </c>
      <c r="X128" s="55" t="s">
        <v>1965</v>
      </c>
      <c r="Y128" s="55">
        <v>528839.18400000001</v>
      </c>
      <c r="Z128" s="55">
        <v>3582096.2880000002</v>
      </c>
      <c r="AA128" s="765"/>
    </row>
    <row r="129" spans="1:27">
      <c r="A129" s="889"/>
      <c r="B129" s="55"/>
      <c r="C129" s="55"/>
      <c r="D129" s="55">
        <v>409.99900000000002</v>
      </c>
      <c r="E129" s="55"/>
      <c r="F129" s="55"/>
      <c r="G129" s="55"/>
      <c r="H129" s="55"/>
      <c r="I129" s="888"/>
      <c r="J129" s="891"/>
      <c r="K129" s="55"/>
      <c r="L129" s="55"/>
      <c r="M129" s="55"/>
      <c r="N129" s="55"/>
      <c r="O129" s="55"/>
      <c r="P129" s="55"/>
      <c r="Q129" s="55"/>
      <c r="R129" s="55"/>
      <c r="S129" s="55"/>
      <c r="T129" s="55"/>
      <c r="U129" s="757">
        <v>410</v>
      </c>
      <c r="V129" s="55"/>
      <c r="W129" s="55"/>
      <c r="X129" s="55"/>
      <c r="Y129" s="55"/>
      <c r="Z129" s="55"/>
      <c r="AA129" s="765" t="s">
        <v>2136</v>
      </c>
    </row>
    <row r="130" spans="1:27">
      <c r="A130" s="889">
        <f>A128+1</f>
        <v>63</v>
      </c>
      <c r="B130" s="55" t="s">
        <v>654</v>
      </c>
      <c r="C130" s="55" t="s">
        <v>53</v>
      </c>
      <c r="D130" s="55"/>
      <c r="E130" s="55"/>
      <c r="F130" s="55"/>
      <c r="G130" s="55">
        <v>529153.89599999995</v>
      </c>
      <c r="H130" s="55">
        <v>3581833.5040000002</v>
      </c>
      <c r="I130" s="888"/>
      <c r="J130" s="889">
        <f>J128+1</f>
        <v>63</v>
      </c>
      <c r="K130" s="55" t="s">
        <v>654</v>
      </c>
      <c r="L130" s="55" t="s">
        <v>53</v>
      </c>
      <c r="M130" s="754">
        <v>0</v>
      </c>
      <c r="N130" s="754">
        <v>0</v>
      </c>
      <c r="O130" s="754">
        <v>0</v>
      </c>
      <c r="P130" s="754">
        <v>0</v>
      </c>
      <c r="Q130" s="754"/>
      <c r="R130" s="754"/>
      <c r="S130" s="754"/>
      <c r="T130" s="754"/>
      <c r="U130" s="757"/>
      <c r="V130" s="55"/>
      <c r="W130" s="55">
        <v>268.214</v>
      </c>
      <c r="X130" s="55"/>
      <c r="Y130" s="55">
        <v>529153.89599999995</v>
      </c>
      <c r="Z130" s="55">
        <v>3581833.5040000002</v>
      </c>
      <c r="AA130" s="764"/>
    </row>
    <row r="131" spans="1:27">
      <c r="A131" s="889"/>
      <c r="B131" s="55"/>
      <c r="C131" s="55"/>
      <c r="D131" s="55">
        <v>426.98399999999998</v>
      </c>
      <c r="E131" s="55"/>
      <c r="F131" s="55"/>
      <c r="G131" s="55"/>
      <c r="H131" s="55"/>
      <c r="I131" s="888"/>
      <c r="J131" s="891"/>
      <c r="K131" s="55"/>
      <c r="L131" s="55"/>
      <c r="M131" s="55"/>
      <c r="N131" s="55"/>
      <c r="O131" s="55"/>
      <c r="P131" s="55"/>
      <c r="Q131" s="55"/>
      <c r="R131" s="55"/>
      <c r="S131" s="55"/>
      <c r="T131" s="55"/>
      <c r="U131" s="757">
        <v>426.98399999999998</v>
      </c>
      <c r="V131" s="55"/>
      <c r="W131" s="55"/>
      <c r="X131" s="55"/>
      <c r="Y131" s="55"/>
      <c r="Z131" s="55"/>
      <c r="AA131" s="764" t="s">
        <v>2126</v>
      </c>
    </row>
    <row r="132" spans="1:27">
      <c r="A132" s="889">
        <f>A130+1</f>
        <v>64</v>
      </c>
      <c r="B132" s="55" t="s">
        <v>1966</v>
      </c>
      <c r="C132" s="55" t="s">
        <v>1277</v>
      </c>
      <c r="D132" s="55"/>
      <c r="E132" s="55">
        <f>D129+D131</f>
        <v>836.98299999999995</v>
      </c>
      <c r="F132" s="55" t="s">
        <v>1967</v>
      </c>
      <c r="G132" s="55">
        <v>529481.64599999995</v>
      </c>
      <c r="H132" s="55">
        <v>3581559.8339999998</v>
      </c>
      <c r="I132" s="888"/>
      <c r="J132" s="889">
        <f>J130+1</f>
        <v>64</v>
      </c>
      <c r="K132" s="55" t="s">
        <v>1966</v>
      </c>
      <c r="L132" s="55" t="s">
        <v>1277</v>
      </c>
      <c r="M132" s="754">
        <v>0</v>
      </c>
      <c r="N132" s="754">
        <v>0</v>
      </c>
      <c r="O132" s="754">
        <v>0</v>
      </c>
      <c r="P132" s="754">
        <v>0</v>
      </c>
      <c r="Q132" s="754"/>
      <c r="R132" s="754"/>
      <c r="S132" s="754"/>
      <c r="T132" s="754"/>
      <c r="U132" s="757"/>
      <c r="V132" s="55">
        <f>U129+U131</f>
        <v>836.98399999999992</v>
      </c>
      <c r="W132" s="55">
        <v>266.75599999999997</v>
      </c>
      <c r="X132" s="55" t="s">
        <v>1967</v>
      </c>
      <c r="Y132" s="55">
        <v>529481.64599999995</v>
      </c>
      <c r="Z132" s="55">
        <v>3581559.8339999998</v>
      </c>
      <c r="AA132" s="764"/>
    </row>
    <row r="133" spans="1:27">
      <c r="A133" s="889"/>
      <c r="B133" s="55"/>
      <c r="C133" s="55"/>
      <c r="D133" s="55">
        <v>289.99900000000002</v>
      </c>
      <c r="E133" s="55"/>
      <c r="F133" s="55"/>
      <c r="G133" s="55"/>
      <c r="H133" s="55"/>
      <c r="I133" s="888"/>
      <c r="J133" s="891"/>
      <c r="K133" s="55"/>
      <c r="L133" s="55"/>
      <c r="M133" s="55"/>
      <c r="N133" s="55"/>
      <c r="O133" s="55"/>
      <c r="P133" s="55"/>
      <c r="Q133" s="55"/>
      <c r="R133" s="55"/>
      <c r="S133" s="55"/>
      <c r="T133" s="55"/>
      <c r="U133" s="757">
        <v>290</v>
      </c>
      <c r="V133" s="55"/>
      <c r="W133" s="55"/>
      <c r="X133" s="55"/>
      <c r="Y133" s="55"/>
      <c r="Z133" s="55"/>
      <c r="AA133" s="764"/>
    </row>
    <row r="134" spans="1:27">
      <c r="A134" s="889">
        <f>A132+1</f>
        <v>65</v>
      </c>
      <c r="B134" s="55" t="s">
        <v>770</v>
      </c>
      <c r="C134" s="55" t="s">
        <v>76</v>
      </c>
      <c r="D134" s="55"/>
      <c r="E134" s="55"/>
      <c r="F134" s="55"/>
      <c r="G134" s="55">
        <v>529602.60699999996</v>
      </c>
      <c r="H134" s="55">
        <v>3581296.2659999998</v>
      </c>
      <c r="I134" s="888"/>
      <c r="J134" s="889">
        <f>J132+1</f>
        <v>65</v>
      </c>
      <c r="K134" s="55" t="s">
        <v>770</v>
      </c>
      <c r="L134" s="55" t="s">
        <v>76</v>
      </c>
      <c r="M134" s="754">
        <v>0</v>
      </c>
      <c r="N134" s="754">
        <v>0</v>
      </c>
      <c r="O134" s="754">
        <v>0</v>
      </c>
      <c r="P134" s="754">
        <v>0</v>
      </c>
      <c r="Q134" s="754"/>
      <c r="R134" s="754"/>
      <c r="S134" s="754"/>
      <c r="T134" s="754"/>
      <c r="U134" s="757"/>
      <c r="V134" s="55"/>
      <c r="W134" s="55">
        <v>264.56700000000001</v>
      </c>
      <c r="X134" s="55"/>
      <c r="Y134" s="55">
        <v>529602.60699999996</v>
      </c>
      <c r="Z134" s="55">
        <v>3581296.267</v>
      </c>
      <c r="AA134" s="764"/>
    </row>
    <row r="135" spans="1:27">
      <c r="A135" s="889"/>
      <c r="B135" s="55"/>
      <c r="C135" s="55"/>
      <c r="D135" s="55">
        <v>360</v>
      </c>
      <c r="E135" s="55"/>
      <c r="F135" s="55"/>
      <c r="G135" s="55"/>
      <c r="H135" s="55"/>
      <c r="I135" s="888"/>
      <c r="J135" s="891"/>
      <c r="K135" s="55"/>
      <c r="L135" s="55"/>
      <c r="M135" s="55"/>
      <c r="N135" s="55"/>
      <c r="O135" s="55"/>
      <c r="P135" s="55"/>
      <c r="Q135" s="55"/>
      <c r="R135" s="55"/>
      <c r="S135" s="55"/>
      <c r="T135" s="55"/>
      <c r="U135" s="757">
        <v>360</v>
      </c>
      <c r="V135" s="55"/>
      <c r="W135" s="55"/>
      <c r="X135" s="55"/>
      <c r="Y135" s="55"/>
      <c r="Z135" s="55"/>
      <c r="AA135" s="764" t="s">
        <v>2126</v>
      </c>
    </row>
    <row r="136" spans="1:27">
      <c r="A136" s="889">
        <f>A134+1</f>
        <v>66</v>
      </c>
      <c r="B136" s="55" t="s">
        <v>984</v>
      </c>
      <c r="C136" s="55" t="s">
        <v>76</v>
      </c>
      <c r="D136" s="55"/>
      <c r="E136" s="55"/>
      <c r="F136" s="55"/>
      <c r="G136" s="55">
        <v>529752.76599999995</v>
      </c>
      <c r="H136" s="55">
        <v>3580969.0780000002</v>
      </c>
      <c r="I136" s="888"/>
      <c r="J136" s="889">
        <f>J134+1</f>
        <v>66</v>
      </c>
      <c r="K136" s="55" t="s">
        <v>984</v>
      </c>
      <c r="L136" s="55" t="s">
        <v>76</v>
      </c>
      <c r="M136" s="754">
        <v>0</v>
      </c>
      <c r="N136" s="754">
        <v>0</v>
      </c>
      <c r="O136" s="754">
        <v>0</v>
      </c>
      <c r="P136" s="754">
        <v>0</v>
      </c>
      <c r="Q136" s="754"/>
      <c r="R136" s="754"/>
      <c r="S136" s="754"/>
      <c r="T136" s="754"/>
      <c r="U136" s="757"/>
      <c r="V136" s="55"/>
      <c r="W136" s="55">
        <v>264.358</v>
      </c>
      <c r="X136" s="55"/>
      <c r="Y136" s="55">
        <v>529752.76599999995</v>
      </c>
      <c r="Z136" s="55">
        <v>3580969.0780000002</v>
      </c>
      <c r="AA136" s="764"/>
    </row>
    <row r="137" spans="1:27">
      <c r="A137" s="889"/>
      <c r="B137" s="55"/>
      <c r="C137" s="55"/>
      <c r="D137" s="55">
        <v>317.79899999999998</v>
      </c>
      <c r="E137" s="55"/>
      <c r="F137" s="55"/>
      <c r="G137" s="55"/>
      <c r="H137" s="55"/>
      <c r="I137" s="888"/>
      <c r="J137" s="891"/>
      <c r="K137" s="55"/>
      <c r="L137" s="55"/>
      <c r="M137" s="55"/>
      <c r="N137" s="55"/>
      <c r="O137" s="55"/>
      <c r="P137" s="55"/>
      <c r="Q137" s="55"/>
      <c r="R137" s="55"/>
      <c r="S137" s="55"/>
      <c r="T137" s="55"/>
      <c r="U137" s="757">
        <v>317.8</v>
      </c>
      <c r="V137" s="55"/>
      <c r="W137" s="55"/>
      <c r="X137" s="55"/>
      <c r="Y137" s="55"/>
      <c r="Z137" s="55"/>
      <c r="AA137" s="764" t="s">
        <v>2137</v>
      </c>
    </row>
    <row r="138" spans="1:27">
      <c r="A138" s="889">
        <f>A136+1</f>
        <v>67</v>
      </c>
      <c r="B138" s="55" t="s">
        <v>1968</v>
      </c>
      <c r="C138" s="55" t="s">
        <v>1269</v>
      </c>
      <c r="D138" s="55"/>
      <c r="E138" s="55">
        <f>D133+D135+D137</f>
        <v>967.798</v>
      </c>
      <c r="F138" s="55" t="s">
        <v>1969</v>
      </c>
      <c r="G138" s="55">
        <v>529885.32299999997</v>
      </c>
      <c r="H138" s="55">
        <v>3580680.2439999999</v>
      </c>
      <c r="I138" s="888"/>
      <c r="J138" s="889">
        <f>J136+1</f>
        <v>67</v>
      </c>
      <c r="K138" s="55" t="s">
        <v>1968</v>
      </c>
      <c r="L138" s="55" t="s">
        <v>1269</v>
      </c>
      <c r="M138" s="754">
        <v>0</v>
      </c>
      <c r="N138" s="754">
        <v>0</v>
      </c>
      <c r="O138" s="754">
        <v>0</v>
      </c>
      <c r="P138" s="754">
        <v>0</v>
      </c>
      <c r="Q138" s="754"/>
      <c r="R138" s="754"/>
      <c r="S138" s="754"/>
      <c r="T138" s="754"/>
      <c r="U138" s="757"/>
      <c r="V138" s="55">
        <f>U133+U135+U137</f>
        <v>967.8</v>
      </c>
      <c r="W138" s="55">
        <v>264.77499999999998</v>
      </c>
      <c r="X138" s="55" t="s">
        <v>1969</v>
      </c>
      <c r="Y138" s="55">
        <v>529885.32299999997</v>
      </c>
      <c r="Z138" s="55">
        <v>3580680.2439999999</v>
      </c>
      <c r="AA138" s="764"/>
    </row>
    <row r="139" spans="1:27">
      <c r="A139" s="889"/>
      <c r="B139" s="55"/>
      <c r="C139" s="55"/>
      <c r="D139" s="55">
        <v>412.154</v>
      </c>
      <c r="E139" s="55"/>
      <c r="F139" s="55"/>
      <c r="G139" s="55"/>
      <c r="H139" s="55"/>
      <c r="I139" s="888"/>
      <c r="J139" s="891"/>
      <c r="K139" s="55"/>
      <c r="L139" s="55"/>
      <c r="M139" s="55"/>
      <c r="N139" s="55"/>
      <c r="O139" s="55"/>
      <c r="P139" s="55"/>
      <c r="Q139" s="55"/>
      <c r="R139" s="55"/>
      <c r="S139" s="55"/>
      <c r="T139" s="55"/>
      <c r="U139" s="757">
        <v>427.154</v>
      </c>
      <c r="V139" s="55"/>
      <c r="W139" s="55"/>
      <c r="X139" s="55"/>
      <c r="Y139" s="55"/>
      <c r="Z139" s="55"/>
      <c r="AA139" s="765" t="s">
        <v>2138</v>
      </c>
    </row>
    <row r="140" spans="1:27">
      <c r="A140" s="889">
        <f>A138+1</f>
        <v>68</v>
      </c>
      <c r="B140" s="55" t="s">
        <v>962</v>
      </c>
      <c r="C140" s="55" t="s">
        <v>62</v>
      </c>
      <c r="D140" s="55"/>
      <c r="E140" s="55"/>
      <c r="F140" s="55"/>
      <c r="G140" s="55">
        <v>530020.17299999995</v>
      </c>
      <c r="H140" s="55">
        <v>3580290.7749999999</v>
      </c>
      <c r="I140" s="888"/>
      <c r="J140" s="889">
        <f>J138+1</f>
        <v>68</v>
      </c>
      <c r="K140" s="55" t="s">
        <v>962</v>
      </c>
      <c r="L140" s="55" t="s">
        <v>53</v>
      </c>
      <c r="M140" s="754">
        <v>0</v>
      </c>
      <c r="N140" s="754">
        <v>0</v>
      </c>
      <c r="O140" s="754">
        <v>0</v>
      </c>
      <c r="P140" s="754">
        <v>0</v>
      </c>
      <c r="Q140" s="754"/>
      <c r="R140" s="754"/>
      <c r="S140" s="754"/>
      <c r="T140" s="754"/>
      <c r="U140" s="757"/>
      <c r="V140" s="55"/>
      <c r="W140" s="55">
        <v>264.71699999999998</v>
      </c>
      <c r="X140" s="55"/>
      <c r="Y140" s="55">
        <v>530025.07999999996</v>
      </c>
      <c r="Z140" s="55">
        <v>3580276.6009999998</v>
      </c>
      <c r="AA140" s="765"/>
    </row>
    <row r="141" spans="1:27">
      <c r="A141" s="889"/>
      <c r="B141" s="55"/>
      <c r="C141" s="55"/>
      <c r="D141" s="55">
        <v>407.75299999999999</v>
      </c>
      <c r="E141" s="55"/>
      <c r="F141" s="55"/>
      <c r="G141" s="55"/>
      <c r="H141" s="55"/>
      <c r="I141" s="888"/>
      <c r="J141" s="891"/>
      <c r="K141" s="55"/>
      <c r="L141" s="55"/>
      <c r="M141" s="55"/>
      <c r="N141" s="55"/>
      <c r="O141" s="55"/>
      <c r="P141" s="55"/>
      <c r="Q141" s="55"/>
      <c r="R141" s="55"/>
      <c r="S141" s="55"/>
      <c r="T141" s="55"/>
      <c r="U141" s="757">
        <v>392.75299999999999</v>
      </c>
      <c r="V141" s="55"/>
      <c r="W141" s="55"/>
      <c r="X141" s="55"/>
      <c r="Y141" s="55"/>
      <c r="Z141" s="55"/>
      <c r="AA141" s="765" t="s">
        <v>2139</v>
      </c>
    </row>
    <row r="142" spans="1:27">
      <c r="A142" s="889">
        <f>A140+1</f>
        <v>69</v>
      </c>
      <c r="B142" s="55" t="s">
        <v>1970</v>
      </c>
      <c r="C142" s="55" t="s">
        <v>1319</v>
      </c>
      <c r="D142" s="55"/>
      <c r="E142" s="55">
        <f>D139+D141</f>
        <v>819.90699999999993</v>
      </c>
      <c r="F142" s="55" t="s">
        <v>1971</v>
      </c>
      <c r="G142" s="55">
        <v>530153.58299999998</v>
      </c>
      <c r="H142" s="55">
        <v>3579905.4640000002</v>
      </c>
      <c r="I142" s="888"/>
      <c r="J142" s="889">
        <f>J140+1</f>
        <v>69</v>
      </c>
      <c r="K142" s="55" t="s">
        <v>1970</v>
      </c>
      <c r="L142" s="55" t="s">
        <v>1319</v>
      </c>
      <c r="M142" s="55">
        <v>2</v>
      </c>
      <c r="N142" s="55">
        <v>2</v>
      </c>
      <c r="O142" s="55">
        <v>2</v>
      </c>
      <c r="P142" s="55">
        <v>2</v>
      </c>
      <c r="Q142" s="754"/>
      <c r="R142" s="754"/>
      <c r="S142" s="754"/>
      <c r="T142" s="754"/>
      <c r="U142" s="757"/>
      <c r="V142" s="55">
        <f>U139+U141</f>
        <v>819.90699999999993</v>
      </c>
      <c r="W142" s="55">
        <v>263.83600000000001</v>
      </c>
      <c r="X142" s="55" t="s">
        <v>1971</v>
      </c>
      <c r="Y142" s="55">
        <v>530153.58299999998</v>
      </c>
      <c r="Z142" s="55">
        <v>3579905.4640000002</v>
      </c>
      <c r="AA142" s="765"/>
    </row>
    <row r="143" spans="1:27">
      <c r="A143" s="889"/>
      <c r="B143" s="55"/>
      <c r="C143" s="55"/>
      <c r="D143" s="55">
        <v>415</v>
      </c>
      <c r="E143" s="55"/>
      <c r="F143" s="55"/>
      <c r="G143" s="55"/>
      <c r="H143" s="55"/>
      <c r="I143" s="888"/>
      <c r="J143" s="891"/>
      <c r="K143" s="55"/>
      <c r="L143" s="55"/>
      <c r="M143" s="55"/>
      <c r="N143" s="55"/>
      <c r="O143" s="55"/>
      <c r="P143" s="55"/>
      <c r="Q143" s="55"/>
      <c r="R143" s="55"/>
      <c r="S143" s="55"/>
      <c r="T143" s="55"/>
      <c r="U143" s="757">
        <v>415</v>
      </c>
      <c r="V143" s="55"/>
      <c r="W143" s="55"/>
      <c r="X143" s="55"/>
      <c r="Y143" s="55"/>
      <c r="Z143" s="55"/>
      <c r="AA143" s="765" t="s">
        <v>2140</v>
      </c>
    </row>
    <row r="144" spans="1:27">
      <c r="A144" s="889">
        <f>A142+1</f>
        <v>70</v>
      </c>
      <c r="B144" s="55" t="s">
        <v>894</v>
      </c>
      <c r="C144" s="55" t="s">
        <v>53</v>
      </c>
      <c r="D144" s="55"/>
      <c r="E144" s="55"/>
      <c r="F144" s="55"/>
      <c r="G144" s="55">
        <v>530492.91700000002</v>
      </c>
      <c r="H144" s="55">
        <v>3579666.5550000002</v>
      </c>
      <c r="I144" s="888"/>
      <c r="J144" s="889">
        <f>J142+1</f>
        <v>70</v>
      </c>
      <c r="K144" s="55" t="s">
        <v>894</v>
      </c>
      <c r="L144" s="55" t="s">
        <v>53</v>
      </c>
      <c r="M144" s="754">
        <v>0</v>
      </c>
      <c r="N144" s="754">
        <v>0</v>
      </c>
      <c r="O144" s="754">
        <v>0</v>
      </c>
      <c r="P144" s="754">
        <v>0</v>
      </c>
      <c r="Q144" s="754"/>
      <c r="R144" s="754"/>
      <c r="S144" s="754"/>
      <c r="T144" s="754"/>
      <c r="U144" s="757"/>
      <c r="V144" s="55"/>
      <c r="W144" s="55">
        <v>264.41699999999997</v>
      </c>
      <c r="X144" s="55"/>
      <c r="Y144" s="55">
        <v>530492.91700000002</v>
      </c>
      <c r="Z144" s="55">
        <v>3579666.5550000002</v>
      </c>
      <c r="AA144" s="765"/>
    </row>
    <row r="145" spans="1:27">
      <c r="A145" s="889"/>
      <c r="B145" s="55"/>
      <c r="C145" s="55"/>
      <c r="D145" s="55">
        <v>405.233</v>
      </c>
      <c r="E145" s="55"/>
      <c r="F145" s="55"/>
      <c r="G145" s="55"/>
      <c r="H145" s="55"/>
      <c r="I145" s="888"/>
      <c r="J145" s="891"/>
      <c r="K145" s="55"/>
      <c r="L145" s="55"/>
      <c r="M145" s="55"/>
      <c r="N145" s="55"/>
      <c r="O145" s="55"/>
      <c r="P145" s="55"/>
      <c r="Q145" s="55"/>
      <c r="R145" s="55"/>
      <c r="S145" s="55"/>
      <c r="T145" s="55"/>
      <c r="U145" s="757">
        <v>405.23399999999998</v>
      </c>
      <c r="V145" s="55"/>
      <c r="W145" s="55"/>
      <c r="X145" s="55"/>
      <c r="Y145" s="55"/>
      <c r="Z145" s="55"/>
      <c r="AA145" s="765" t="s">
        <v>2122</v>
      </c>
    </row>
    <row r="146" spans="1:27">
      <c r="A146" s="889">
        <f>A144+1</f>
        <v>71</v>
      </c>
      <c r="B146" s="55" t="s">
        <v>1972</v>
      </c>
      <c r="C146" s="55" t="s">
        <v>1277</v>
      </c>
      <c r="D146" s="55"/>
      <c r="E146" s="55">
        <f>D143+D145</f>
        <v>820.23299999999995</v>
      </c>
      <c r="F146" s="55" t="s">
        <v>1973</v>
      </c>
      <c r="G146" s="55">
        <v>530824.26500000001</v>
      </c>
      <c r="H146" s="55">
        <v>3579433.2689999999</v>
      </c>
      <c r="I146" s="888"/>
      <c r="J146" s="889">
        <f>J144+1</f>
        <v>71</v>
      </c>
      <c r="K146" s="55" t="s">
        <v>1972</v>
      </c>
      <c r="L146" s="55" t="s">
        <v>1277</v>
      </c>
      <c r="M146" s="754">
        <v>0</v>
      </c>
      <c r="N146" s="754">
        <v>0</v>
      </c>
      <c r="O146" s="754">
        <v>0</v>
      </c>
      <c r="P146" s="754">
        <v>0</v>
      </c>
      <c r="Q146" s="754"/>
      <c r="R146" s="754"/>
      <c r="S146" s="754"/>
      <c r="T146" s="754"/>
      <c r="U146" s="757"/>
      <c r="V146" s="55">
        <f>U143+U145</f>
        <v>820.23399999999992</v>
      </c>
      <c r="W146" s="55">
        <v>263.77600000000001</v>
      </c>
      <c r="X146" s="55" t="s">
        <v>1974</v>
      </c>
      <c r="Y146" s="55">
        <v>530824.26500000001</v>
      </c>
      <c r="Z146" s="55">
        <v>3579433.2689999999</v>
      </c>
      <c r="AA146" s="766"/>
    </row>
    <row r="147" spans="1:27">
      <c r="A147" s="889"/>
      <c r="B147" s="55"/>
      <c r="C147" s="55"/>
      <c r="D147" s="55">
        <v>425.904</v>
      </c>
      <c r="E147" s="55"/>
      <c r="F147" s="55"/>
      <c r="G147" s="55"/>
      <c r="H147" s="55"/>
      <c r="I147" s="888"/>
      <c r="J147" s="891"/>
      <c r="K147" s="55"/>
      <c r="L147" s="55"/>
      <c r="M147" s="55"/>
      <c r="N147" s="55"/>
      <c r="O147" s="55"/>
      <c r="P147" s="55"/>
      <c r="Q147" s="55"/>
      <c r="R147" s="55"/>
      <c r="S147" s="55"/>
      <c r="T147" s="55"/>
      <c r="U147" s="757">
        <v>439.8</v>
      </c>
      <c r="V147" s="55"/>
      <c r="W147" s="55"/>
      <c r="X147" s="55"/>
      <c r="Y147" s="55"/>
      <c r="Z147" s="55"/>
      <c r="AA147" s="765"/>
    </row>
    <row r="148" spans="1:27">
      <c r="A148" s="889">
        <f>A146+1</f>
        <v>72</v>
      </c>
      <c r="B148" s="55" t="s">
        <v>1975</v>
      </c>
      <c r="C148" s="55" t="s">
        <v>53</v>
      </c>
      <c r="D148" s="55"/>
      <c r="E148" s="55"/>
      <c r="F148" s="55"/>
      <c r="G148" s="55">
        <v>531093.45200000005</v>
      </c>
      <c r="H148" s="55">
        <v>3579103.22</v>
      </c>
      <c r="I148" s="888"/>
      <c r="J148" s="889">
        <f>J146+1</f>
        <v>72</v>
      </c>
      <c r="K148" s="55" t="s">
        <v>1976</v>
      </c>
      <c r="L148" s="55" t="s">
        <v>1977</v>
      </c>
      <c r="M148" s="754">
        <v>0</v>
      </c>
      <c r="N148" s="754">
        <v>0</v>
      </c>
      <c r="O148" s="754">
        <v>0</v>
      </c>
      <c r="P148" s="754">
        <v>0</v>
      </c>
      <c r="Q148" s="754"/>
      <c r="R148" s="754"/>
      <c r="S148" s="754"/>
      <c r="T148" s="754"/>
      <c r="U148" s="757"/>
      <c r="V148" s="55">
        <f>U147</f>
        <v>439.8</v>
      </c>
      <c r="W148" s="55">
        <v>264.09100000000001</v>
      </c>
      <c r="X148" s="55" t="s">
        <v>1978</v>
      </c>
      <c r="Y148" s="55">
        <v>531082.82200000004</v>
      </c>
      <c r="Z148" s="55">
        <v>3579077.5019999999</v>
      </c>
      <c r="AA148" s="765"/>
    </row>
    <row r="149" spans="1:27">
      <c r="A149" s="889"/>
      <c r="B149" s="55"/>
      <c r="C149" s="55"/>
      <c r="D149" s="55">
        <v>380.06900000000002</v>
      </c>
      <c r="E149" s="55"/>
      <c r="F149" s="55"/>
      <c r="G149" s="55"/>
      <c r="H149" s="55"/>
      <c r="I149" s="888"/>
      <c r="J149" s="891"/>
      <c r="K149" s="55"/>
      <c r="L149" s="55"/>
      <c r="M149" s="55"/>
      <c r="N149" s="55"/>
      <c r="O149" s="55"/>
      <c r="P149" s="55"/>
      <c r="Q149" s="55"/>
      <c r="R149" s="55"/>
      <c r="S149" s="55"/>
      <c r="T149" s="55"/>
      <c r="U149" s="757">
        <v>376</v>
      </c>
      <c r="V149" s="55"/>
      <c r="W149" s="55"/>
      <c r="X149" s="55"/>
      <c r="Y149" s="55"/>
      <c r="Z149" s="55"/>
      <c r="AA149" s="765" t="s">
        <v>2141</v>
      </c>
    </row>
    <row r="150" spans="1:27">
      <c r="A150" s="889">
        <f>A148+1</f>
        <v>73</v>
      </c>
      <c r="B150" s="55" t="s">
        <v>1979</v>
      </c>
      <c r="C150" s="55" t="s">
        <v>53</v>
      </c>
      <c r="D150" s="55"/>
      <c r="E150" s="55"/>
      <c r="F150" s="55"/>
      <c r="G150" s="55">
        <v>531333.66899999999</v>
      </c>
      <c r="H150" s="55">
        <v>3578808.69</v>
      </c>
      <c r="I150" s="888"/>
      <c r="J150" s="889">
        <f>J148+1</f>
        <v>73</v>
      </c>
      <c r="K150" s="55" t="s">
        <v>974</v>
      </c>
      <c r="L150" s="55" t="s">
        <v>62</v>
      </c>
      <c r="M150" s="754">
        <v>0</v>
      </c>
      <c r="N150" s="754">
        <v>0</v>
      </c>
      <c r="O150" s="754">
        <v>0</v>
      </c>
      <c r="P150" s="754">
        <v>0</v>
      </c>
      <c r="Q150" s="754"/>
      <c r="R150" s="754"/>
      <c r="S150" s="754"/>
      <c r="T150" s="754"/>
      <c r="U150" s="757"/>
      <c r="V150" s="55"/>
      <c r="W150" s="55">
        <v>263.54300000000001</v>
      </c>
      <c r="X150" s="55"/>
      <c r="Y150" s="55">
        <v>531326.34900000005</v>
      </c>
      <c r="Z150" s="55">
        <v>3578791.0219999999</v>
      </c>
      <c r="AA150" s="765"/>
    </row>
    <row r="151" spans="1:27">
      <c r="A151" s="889"/>
      <c r="B151" s="55"/>
      <c r="C151" s="55"/>
      <c r="D151" s="55">
        <v>416.94200000000001</v>
      </c>
      <c r="E151" s="55"/>
      <c r="F151" s="55"/>
      <c r="G151" s="55"/>
      <c r="H151" s="55"/>
      <c r="I151" s="888"/>
      <c r="J151" s="891"/>
      <c r="K151" s="55"/>
      <c r="L151" s="55"/>
      <c r="M151" s="55"/>
      <c r="N151" s="55"/>
      <c r="O151" s="55"/>
      <c r="P151" s="55"/>
      <c r="Q151" s="55"/>
      <c r="R151" s="55"/>
      <c r="S151" s="55"/>
      <c r="T151" s="55"/>
      <c r="U151" s="757">
        <v>416</v>
      </c>
      <c r="V151" s="55"/>
      <c r="W151" s="55"/>
      <c r="X151" s="55"/>
      <c r="Y151" s="55"/>
      <c r="Z151" s="55"/>
      <c r="AA151" s="765" t="s">
        <v>2142</v>
      </c>
    </row>
    <row r="152" spans="1:27">
      <c r="A152" s="889">
        <f>A150+1</f>
        <v>74</v>
      </c>
      <c r="B152" s="55" t="s">
        <v>1980</v>
      </c>
      <c r="C152" s="55" t="s">
        <v>62</v>
      </c>
      <c r="D152" s="55"/>
      <c r="E152" s="55"/>
      <c r="F152" s="55"/>
      <c r="G152" s="55">
        <v>531597.19200000004</v>
      </c>
      <c r="H152" s="55">
        <v>3578485.585</v>
      </c>
      <c r="I152" s="888"/>
      <c r="J152" s="889">
        <f>J150+1</f>
        <v>74</v>
      </c>
      <c r="K152" s="55" t="s">
        <v>814</v>
      </c>
      <c r="L152" s="55" t="s">
        <v>62</v>
      </c>
      <c r="M152" s="754">
        <v>0</v>
      </c>
      <c r="N152" s="754">
        <v>0</v>
      </c>
      <c r="O152" s="754">
        <v>0</v>
      </c>
      <c r="P152" s="754">
        <v>0</v>
      </c>
      <c r="Q152" s="55"/>
      <c r="R152" s="55"/>
      <c r="S152" s="55"/>
      <c r="T152" s="55"/>
      <c r="U152" s="757"/>
      <c r="V152" s="55"/>
      <c r="W152" s="55">
        <v>261.31299999999999</v>
      </c>
      <c r="X152" s="55"/>
      <c r="Y152" s="55">
        <v>531595.78200000001</v>
      </c>
      <c r="Z152" s="55">
        <v>3578474.0660000001</v>
      </c>
      <c r="AA152" s="765"/>
    </row>
    <row r="153" spans="1:27">
      <c r="A153" s="889"/>
      <c r="B153" s="55"/>
      <c r="C153" s="55"/>
      <c r="D153" s="55">
        <v>419.35599999999999</v>
      </c>
      <c r="E153" s="55"/>
      <c r="F153" s="55"/>
      <c r="G153" s="55"/>
      <c r="H153" s="55"/>
      <c r="I153" s="888"/>
      <c r="J153" s="891"/>
      <c r="K153" s="55"/>
      <c r="L153" s="55"/>
      <c r="M153" s="55"/>
      <c r="N153" s="55"/>
      <c r="O153" s="55"/>
      <c r="P153" s="55"/>
      <c r="Q153" s="55"/>
      <c r="R153" s="55"/>
      <c r="S153" s="55"/>
      <c r="T153" s="55"/>
      <c r="U153" s="757">
        <v>411.4</v>
      </c>
      <c r="V153" s="55"/>
      <c r="W153" s="55"/>
      <c r="X153" s="55"/>
      <c r="Y153" s="55"/>
      <c r="Z153" s="55"/>
      <c r="AA153" s="765" t="s">
        <v>2143</v>
      </c>
    </row>
    <row r="154" spans="1:27">
      <c r="A154" s="889">
        <f>A152+1</f>
        <v>75</v>
      </c>
      <c r="B154" s="55" t="s">
        <v>1976</v>
      </c>
      <c r="C154" s="55" t="s">
        <v>1277</v>
      </c>
      <c r="D154" s="55"/>
      <c r="E154" s="55">
        <f>D147+D149+D151+D153</f>
        <v>1642.271</v>
      </c>
      <c r="F154" s="55" t="s">
        <v>1981</v>
      </c>
      <c r="G154" s="55">
        <v>531862.24</v>
      </c>
      <c r="H154" s="55">
        <v>3578160.61</v>
      </c>
      <c r="I154" s="888"/>
      <c r="J154" s="889">
        <f>J152+1</f>
        <v>75</v>
      </c>
      <c r="K154" s="55" t="s">
        <v>1982</v>
      </c>
      <c r="L154" s="55" t="s">
        <v>1269</v>
      </c>
      <c r="M154" s="754">
        <v>0</v>
      </c>
      <c r="N154" s="754">
        <v>0</v>
      </c>
      <c r="O154" s="754">
        <v>0</v>
      </c>
      <c r="P154" s="754">
        <v>0</v>
      </c>
      <c r="Q154" s="55"/>
      <c r="R154" s="55"/>
      <c r="S154" s="55"/>
      <c r="T154" s="55"/>
      <c r="U154" s="757"/>
      <c r="V154" s="55">
        <f>U149+U151+U153</f>
        <v>1203.4000000000001</v>
      </c>
      <c r="W154" s="55">
        <v>261.43200000000002</v>
      </c>
      <c r="X154" s="55" t="s">
        <v>1983</v>
      </c>
      <c r="Y154" s="55">
        <v>531862.24</v>
      </c>
      <c r="Z154" s="55">
        <v>3578160.61</v>
      </c>
      <c r="AA154" s="765"/>
    </row>
    <row r="155" spans="1:27">
      <c r="A155" s="889"/>
      <c r="B155" s="55"/>
      <c r="C155" s="55"/>
      <c r="D155" s="55">
        <v>390</v>
      </c>
      <c r="E155" s="55"/>
      <c r="F155" s="55"/>
      <c r="G155" s="55"/>
      <c r="H155" s="55"/>
      <c r="I155" s="888"/>
      <c r="J155" s="891"/>
      <c r="K155" s="55"/>
      <c r="L155" s="55"/>
      <c r="M155" s="55"/>
      <c r="N155" s="55"/>
      <c r="O155" s="55"/>
      <c r="P155" s="55"/>
      <c r="Q155" s="55"/>
      <c r="R155" s="55"/>
      <c r="S155" s="55"/>
      <c r="T155" s="55"/>
      <c r="U155" s="757">
        <v>390</v>
      </c>
      <c r="V155" s="55"/>
      <c r="W155" s="55"/>
      <c r="X155" s="55"/>
      <c r="Y155" s="55"/>
      <c r="Z155" s="55"/>
      <c r="AA155" s="765"/>
    </row>
    <row r="156" spans="1:27">
      <c r="A156" s="889">
        <f>A154+1</f>
        <v>76</v>
      </c>
      <c r="B156" s="55" t="s">
        <v>974</v>
      </c>
      <c r="C156" s="55" t="s">
        <v>62</v>
      </c>
      <c r="D156" s="55"/>
      <c r="E156" s="55"/>
      <c r="F156" s="55"/>
      <c r="G156" s="55">
        <v>532042.39099999995</v>
      </c>
      <c r="H156" s="55">
        <v>3577814.7119999998</v>
      </c>
      <c r="I156" s="888"/>
      <c r="J156" s="889">
        <f>J154+1</f>
        <v>76</v>
      </c>
      <c r="K156" s="55" t="s">
        <v>825</v>
      </c>
      <c r="L156" s="55" t="s">
        <v>62</v>
      </c>
      <c r="M156" s="754">
        <v>0</v>
      </c>
      <c r="N156" s="754">
        <v>0</v>
      </c>
      <c r="O156" s="754">
        <v>0</v>
      </c>
      <c r="P156" s="754">
        <v>0</v>
      </c>
      <c r="Q156" s="55"/>
      <c r="R156" s="55"/>
      <c r="S156" s="55"/>
      <c r="T156" s="55"/>
      <c r="U156" s="757"/>
      <c r="V156" s="55"/>
      <c r="W156" s="55">
        <v>260.87900000000002</v>
      </c>
      <c r="X156" s="55"/>
      <c r="Y156" s="55">
        <v>532042.39099999995</v>
      </c>
      <c r="Z156" s="55">
        <v>3577814.7119999998</v>
      </c>
      <c r="AA156" s="765"/>
    </row>
    <row r="157" spans="1:27">
      <c r="A157" s="889"/>
      <c r="B157" s="55"/>
      <c r="C157" s="55"/>
      <c r="D157" s="55">
        <v>385.27199999999999</v>
      </c>
      <c r="E157" s="55"/>
      <c r="F157" s="55"/>
      <c r="G157" s="55"/>
      <c r="H157" s="55"/>
      <c r="I157" s="888"/>
      <c r="J157" s="891"/>
      <c r="K157" s="55"/>
      <c r="L157" s="55"/>
      <c r="M157" s="55"/>
      <c r="N157" s="55"/>
      <c r="O157" s="55"/>
      <c r="P157" s="55"/>
      <c r="Q157" s="55"/>
      <c r="R157" s="55"/>
      <c r="S157" s="55"/>
      <c r="T157" s="55"/>
      <c r="U157" s="757">
        <v>385.27199999999999</v>
      </c>
      <c r="V157" s="55"/>
      <c r="W157" s="55"/>
      <c r="X157" s="55"/>
      <c r="Y157" s="55"/>
      <c r="Z157" s="55"/>
      <c r="AA157" s="765"/>
    </row>
    <row r="158" spans="1:27">
      <c r="A158" s="889">
        <f>A156+1</f>
        <v>77</v>
      </c>
      <c r="B158" s="55" t="s">
        <v>1982</v>
      </c>
      <c r="C158" s="55" t="s">
        <v>1277</v>
      </c>
      <c r="D158" s="55"/>
      <c r="E158" s="55">
        <f>D155+D157</f>
        <v>775.27199999999993</v>
      </c>
      <c r="F158" s="55" t="s">
        <v>1984</v>
      </c>
      <c r="G158" s="55">
        <v>532220.35800000001</v>
      </c>
      <c r="H158" s="55">
        <v>3577473.0070000002</v>
      </c>
      <c r="I158" s="888"/>
      <c r="J158" s="889">
        <f>J156+1</f>
        <v>77</v>
      </c>
      <c r="K158" s="55" t="s">
        <v>1985</v>
      </c>
      <c r="L158" s="55" t="s">
        <v>1269</v>
      </c>
      <c r="M158" s="754">
        <v>0</v>
      </c>
      <c r="N158" s="754">
        <v>0</v>
      </c>
      <c r="O158" s="754">
        <v>0</v>
      </c>
      <c r="P158" s="754">
        <v>0</v>
      </c>
      <c r="Q158" s="55"/>
      <c r="R158" s="55"/>
      <c r="S158" s="55"/>
      <c r="T158" s="55"/>
      <c r="U158" s="757"/>
      <c r="V158" s="55">
        <f>U155+U157</f>
        <v>775.27199999999993</v>
      </c>
      <c r="W158" s="55">
        <v>260.63499999999999</v>
      </c>
      <c r="X158" s="55" t="s">
        <v>1984</v>
      </c>
      <c r="Y158" s="55">
        <v>532220.35800000001</v>
      </c>
      <c r="Z158" s="55">
        <v>3577473.0070000002</v>
      </c>
      <c r="AA158" s="765"/>
    </row>
    <row r="159" spans="1:27">
      <c r="A159" s="889"/>
      <c r="B159" s="55"/>
      <c r="C159" s="55"/>
      <c r="D159" s="55">
        <v>399.20600000000002</v>
      </c>
      <c r="E159" s="55"/>
      <c r="F159" s="55"/>
      <c r="G159" s="55"/>
      <c r="H159" s="55"/>
      <c r="I159" s="888"/>
      <c r="J159" s="891"/>
      <c r="K159" s="55"/>
      <c r="L159" s="55"/>
      <c r="M159" s="754"/>
      <c r="N159" s="754"/>
      <c r="O159" s="754"/>
      <c r="P159" s="754"/>
      <c r="Q159" s="754"/>
      <c r="R159" s="754"/>
      <c r="S159" s="754"/>
      <c r="T159" s="754"/>
      <c r="U159" s="757">
        <v>399.20600000000002</v>
      </c>
      <c r="V159" s="55"/>
      <c r="W159" s="55"/>
      <c r="X159" s="55"/>
      <c r="Y159" s="55"/>
      <c r="Z159" s="55"/>
      <c r="AA159" s="765" t="s">
        <v>2144</v>
      </c>
    </row>
    <row r="160" spans="1:27">
      <c r="A160" s="889">
        <f>A158+1</f>
        <v>78</v>
      </c>
      <c r="B160" s="55" t="s">
        <v>825</v>
      </c>
      <c r="C160" s="55" t="s">
        <v>62</v>
      </c>
      <c r="D160" s="55"/>
      <c r="E160" s="55"/>
      <c r="F160" s="55"/>
      <c r="G160" s="55">
        <v>532467.99300000002</v>
      </c>
      <c r="H160" s="55">
        <v>3577159.89</v>
      </c>
      <c r="I160" s="888"/>
      <c r="J160" s="889">
        <f>J158+1</f>
        <v>78</v>
      </c>
      <c r="K160" s="55" t="s">
        <v>829</v>
      </c>
      <c r="L160" s="55" t="s">
        <v>62</v>
      </c>
      <c r="M160" s="754">
        <v>0</v>
      </c>
      <c r="N160" s="754">
        <v>0</v>
      </c>
      <c r="O160" s="754">
        <v>0</v>
      </c>
      <c r="P160" s="754">
        <v>0</v>
      </c>
      <c r="Q160" s="754"/>
      <c r="R160" s="754"/>
      <c r="S160" s="754"/>
      <c r="T160" s="754"/>
      <c r="U160" s="757"/>
      <c r="V160" s="55"/>
      <c r="W160" s="55">
        <v>258.64600000000002</v>
      </c>
      <c r="X160" s="55"/>
      <c r="Y160" s="55">
        <v>532467.99300000002</v>
      </c>
      <c r="Z160" s="55">
        <v>3577159.89</v>
      </c>
      <c r="AA160" s="765"/>
    </row>
    <row r="161" spans="1:27">
      <c r="A161" s="889"/>
      <c r="B161" s="55"/>
      <c r="C161" s="55"/>
      <c r="D161" s="55">
        <v>407.48700000000002</v>
      </c>
      <c r="E161" s="55"/>
      <c r="F161" s="55"/>
      <c r="G161" s="55"/>
      <c r="H161" s="55"/>
      <c r="I161" s="888"/>
      <c r="J161" s="891"/>
      <c r="K161" s="55"/>
      <c r="L161" s="55"/>
      <c r="M161" s="754"/>
      <c r="N161" s="754"/>
      <c r="O161" s="754"/>
      <c r="P161" s="754"/>
      <c r="Q161" s="754"/>
      <c r="R161" s="754"/>
      <c r="S161" s="754"/>
      <c r="T161" s="754"/>
      <c r="U161" s="757">
        <v>407.48700000000002</v>
      </c>
      <c r="V161" s="55"/>
      <c r="W161" s="55"/>
      <c r="X161" s="55"/>
      <c r="Y161" s="55"/>
      <c r="Z161" s="55"/>
      <c r="AA161" s="765" t="s">
        <v>2145</v>
      </c>
    </row>
    <row r="162" spans="1:27">
      <c r="A162" s="889">
        <f>A160+1</f>
        <v>79</v>
      </c>
      <c r="B162" s="55" t="s">
        <v>811</v>
      </c>
      <c r="C162" s="55" t="s">
        <v>76</v>
      </c>
      <c r="D162" s="55"/>
      <c r="E162" s="55"/>
      <c r="F162" s="55"/>
      <c r="G162" s="55">
        <v>532720.76500000001</v>
      </c>
      <c r="H162" s="55">
        <v>3576840.2779999999</v>
      </c>
      <c r="I162" s="888"/>
      <c r="J162" s="889">
        <f>J160+1</f>
        <v>79</v>
      </c>
      <c r="K162" s="55" t="s">
        <v>965</v>
      </c>
      <c r="L162" s="55" t="s">
        <v>76</v>
      </c>
      <c r="M162" s="754">
        <v>0</v>
      </c>
      <c r="N162" s="754">
        <v>0</v>
      </c>
      <c r="O162" s="754">
        <v>0</v>
      </c>
      <c r="P162" s="754">
        <v>0</v>
      </c>
      <c r="Q162" s="754"/>
      <c r="R162" s="754"/>
      <c r="S162" s="754"/>
      <c r="T162" s="754"/>
      <c r="U162" s="757"/>
      <c r="V162" s="55"/>
      <c r="W162" s="55">
        <v>258.60899999999998</v>
      </c>
      <c r="X162" s="55"/>
      <c r="Y162" s="55">
        <v>532720.76500000001</v>
      </c>
      <c r="Z162" s="55">
        <v>3576840.2779999999</v>
      </c>
      <c r="AA162" s="765"/>
    </row>
    <row r="163" spans="1:27">
      <c r="A163" s="889"/>
      <c r="B163" s="55"/>
      <c r="C163" s="55"/>
      <c r="D163" s="55">
        <v>403.20100000000002</v>
      </c>
      <c r="E163" s="55"/>
      <c r="F163" s="55"/>
      <c r="G163" s="55"/>
      <c r="H163" s="55"/>
      <c r="I163" s="888"/>
      <c r="J163" s="891"/>
      <c r="K163" s="55"/>
      <c r="L163" s="55"/>
      <c r="M163" s="754"/>
      <c r="N163" s="754"/>
      <c r="O163" s="754"/>
      <c r="P163" s="754"/>
      <c r="Q163" s="754"/>
      <c r="R163" s="754"/>
      <c r="S163" s="754"/>
      <c r="T163" s="754"/>
      <c r="U163" s="757">
        <v>403.2</v>
      </c>
      <c r="V163" s="55"/>
      <c r="W163" s="55"/>
      <c r="X163" s="55"/>
      <c r="Y163" s="55"/>
      <c r="Z163" s="55"/>
      <c r="AA163" s="765" t="s">
        <v>2146</v>
      </c>
    </row>
    <row r="164" spans="1:27">
      <c r="A164" s="889">
        <f>A162+1</f>
        <v>80</v>
      </c>
      <c r="B164" s="55" t="s">
        <v>1985</v>
      </c>
      <c r="C164" s="55" t="s">
        <v>1361</v>
      </c>
      <c r="D164" s="55"/>
      <c r="E164" s="55">
        <f>D159+D161+D163</f>
        <v>1209.894</v>
      </c>
      <c r="F164" s="55" t="s">
        <v>1986</v>
      </c>
      <c r="G164" s="55">
        <v>532970.87899999996</v>
      </c>
      <c r="H164" s="55">
        <v>3576524.0269999998</v>
      </c>
      <c r="I164" s="888"/>
      <c r="J164" s="889">
        <f>J162+1</f>
        <v>80</v>
      </c>
      <c r="K164" s="55" t="s">
        <v>1987</v>
      </c>
      <c r="L164" s="55" t="s">
        <v>1361</v>
      </c>
      <c r="M164" s="754">
        <v>0</v>
      </c>
      <c r="N164" s="754">
        <v>0</v>
      </c>
      <c r="O164" s="754">
        <v>0</v>
      </c>
      <c r="P164" s="754">
        <v>0</v>
      </c>
      <c r="Q164" s="754"/>
      <c r="R164" s="754"/>
      <c r="S164" s="754"/>
      <c r="T164" s="754"/>
      <c r="U164" s="757"/>
      <c r="V164" s="55">
        <f>U159+U161+U163</f>
        <v>1209.893</v>
      </c>
      <c r="W164" s="55">
        <v>258.404</v>
      </c>
      <c r="X164" s="55" t="s">
        <v>1986</v>
      </c>
      <c r="Y164" s="55">
        <v>532970.87899999996</v>
      </c>
      <c r="Z164" s="55">
        <v>3576524.0269999998</v>
      </c>
      <c r="AA164" s="765"/>
    </row>
    <row r="165" spans="1:27">
      <c r="A165" s="889"/>
      <c r="B165" s="55"/>
      <c r="C165" s="55"/>
      <c r="D165" s="55">
        <v>429.65300000000002</v>
      </c>
      <c r="E165" s="55"/>
      <c r="F165" s="55"/>
      <c r="G165" s="55"/>
      <c r="H165" s="55"/>
      <c r="I165" s="888"/>
      <c r="J165" s="891"/>
      <c r="K165" s="55"/>
      <c r="L165" s="55"/>
      <c r="M165" s="754"/>
      <c r="N165" s="754"/>
      <c r="O165" s="754"/>
      <c r="P165" s="754"/>
      <c r="Q165" s="754"/>
      <c r="R165" s="754"/>
      <c r="S165" s="754"/>
      <c r="T165" s="754"/>
      <c r="U165" s="757">
        <v>429.65300000000002</v>
      </c>
      <c r="V165" s="55"/>
      <c r="W165" s="55"/>
      <c r="X165" s="55"/>
      <c r="Y165" s="55"/>
      <c r="Z165" s="55"/>
      <c r="AA165" s="765"/>
    </row>
    <row r="166" spans="1:27">
      <c r="A166" s="889">
        <f>A164+1</f>
        <v>81</v>
      </c>
      <c r="B166" s="55" t="s">
        <v>829</v>
      </c>
      <c r="C166" s="55" t="s">
        <v>62</v>
      </c>
      <c r="D166" s="55"/>
      <c r="E166" s="55"/>
      <c r="F166" s="55"/>
      <c r="G166" s="55">
        <v>533314.18900000001</v>
      </c>
      <c r="H166" s="55">
        <v>3576265.6869999999</v>
      </c>
      <c r="I166" s="888"/>
      <c r="J166" s="889">
        <f>J164+1</f>
        <v>81</v>
      </c>
      <c r="K166" s="55" t="s">
        <v>964</v>
      </c>
      <c r="L166" s="55" t="s">
        <v>62</v>
      </c>
      <c r="M166" s="754">
        <v>0</v>
      </c>
      <c r="N166" s="754">
        <v>0</v>
      </c>
      <c r="O166" s="754">
        <v>0</v>
      </c>
      <c r="P166" s="754">
        <v>0</v>
      </c>
      <c r="Q166" s="55"/>
      <c r="R166" s="55"/>
      <c r="S166" s="55"/>
      <c r="T166" s="55"/>
      <c r="U166" s="757"/>
      <c r="V166" s="55"/>
      <c r="W166" s="55">
        <v>258.15800000000002</v>
      </c>
      <c r="X166" s="55"/>
      <c r="Y166" s="55">
        <v>533314.18900000001</v>
      </c>
      <c r="Z166" s="55">
        <v>3576265.6869999999</v>
      </c>
      <c r="AA166" s="765"/>
    </row>
    <row r="167" spans="1:27">
      <c r="A167" s="889"/>
      <c r="B167" s="55"/>
      <c r="C167" s="55"/>
      <c r="D167" s="55">
        <v>400.29599999999999</v>
      </c>
      <c r="E167" s="55"/>
      <c r="F167" s="55"/>
      <c r="G167" s="55"/>
      <c r="H167" s="55"/>
      <c r="I167" s="888"/>
      <c r="J167" s="891"/>
      <c r="K167" s="55"/>
      <c r="L167" s="55"/>
      <c r="M167" s="55"/>
      <c r="N167" s="55"/>
      <c r="O167" s="55"/>
      <c r="P167" s="55"/>
      <c r="Q167" s="55"/>
      <c r="R167" s="55"/>
      <c r="S167" s="55"/>
      <c r="T167" s="55"/>
      <c r="U167" s="757">
        <v>400.3</v>
      </c>
      <c r="V167" s="55"/>
      <c r="W167" s="55"/>
      <c r="X167" s="55"/>
      <c r="Y167" s="55"/>
      <c r="Z167" s="55"/>
      <c r="AA167" s="765" t="s">
        <v>2147</v>
      </c>
    </row>
    <row r="168" spans="1:27">
      <c r="A168" s="889">
        <f>A166+1</f>
        <v>82</v>
      </c>
      <c r="B168" s="55" t="s">
        <v>965</v>
      </c>
      <c r="C168" s="55" t="s">
        <v>62</v>
      </c>
      <c r="D168" s="55"/>
      <c r="E168" s="55"/>
      <c r="F168" s="55"/>
      <c r="G168" s="55">
        <v>533634.04200000002</v>
      </c>
      <c r="H168" s="55">
        <v>3576024.9980000001</v>
      </c>
      <c r="I168" s="888"/>
      <c r="J168" s="889">
        <f>J166+1</f>
        <v>82</v>
      </c>
      <c r="K168" s="55" t="s">
        <v>834</v>
      </c>
      <c r="L168" s="55" t="s">
        <v>62</v>
      </c>
      <c r="M168" s="754">
        <v>0</v>
      </c>
      <c r="N168" s="754">
        <v>0</v>
      </c>
      <c r="O168" s="754">
        <v>0</v>
      </c>
      <c r="P168" s="754">
        <v>0</v>
      </c>
      <c r="Q168" s="55"/>
      <c r="R168" s="55"/>
      <c r="S168" s="55"/>
      <c r="T168" s="55"/>
      <c r="U168" s="757"/>
      <c r="V168" s="55"/>
      <c r="W168" s="55">
        <v>256.27100000000002</v>
      </c>
      <c r="X168" s="55"/>
      <c r="Y168" s="55">
        <v>533634.04200000002</v>
      </c>
      <c r="Z168" s="55">
        <v>3576024.9980000001</v>
      </c>
      <c r="AA168" s="765"/>
    </row>
    <row r="169" spans="1:27">
      <c r="A169" s="889"/>
      <c r="B169" s="55"/>
      <c r="C169" s="55"/>
      <c r="D169" s="55">
        <v>414.63</v>
      </c>
      <c r="E169" s="55"/>
      <c r="F169" s="55"/>
      <c r="G169" s="55"/>
      <c r="H169" s="55"/>
      <c r="I169" s="888"/>
      <c r="J169" s="891"/>
      <c r="K169" s="55"/>
      <c r="L169" s="55"/>
      <c r="M169" s="55"/>
      <c r="N169" s="55"/>
      <c r="O169" s="55"/>
      <c r="P169" s="55"/>
      <c r="Q169" s="55"/>
      <c r="R169" s="55"/>
      <c r="S169" s="55"/>
      <c r="T169" s="55"/>
      <c r="U169" s="757">
        <v>414.63</v>
      </c>
      <c r="V169" s="55"/>
      <c r="W169" s="55"/>
      <c r="X169" s="55"/>
      <c r="Y169" s="55"/>
      <c r="Z169" s="55"/>
      <c r="AA169" s="765" t="s">
        <v>2148</v>
      </c>
    </row>
    <row r="170" spans="1:27">
      <c r="A170" s="889">
        <f>A168+1</f>
        <v>83</v>
      </c>
      <c r="B170" s="55" t="s">
        <v>830</v>
      </c>
      <c r="C170" s="55" t="s">
        <v>90</v>
      </c>
      <c r="D170" s="55"/>
      <c r="E170" s="55"/>
      <c r="F170" s="55"/>
      <c r="G170" s="55">
        <v>533965.348</v>
      </c>
      <c r="H170" s="55">
        <v>3575775.69</v>
      </c>
      <c r="I170" s="888"/>
      <c r="J170" s="889">
        <f>J168+1</f>
        <v>83</v>
      </c>
      <c r="K170" s="55" t="s">
        <v>816</v>
      </c>
      <c r="L170" s="55" t="s">
        <v>90</v>
      </c>
      <c r="M170" s="754">
        <v>0</v>
      </c>
      <c r="N170" s="754">
        <v>0</v>
      </c>
      <c r="O170" s="754">
        <v>0</v>
      </c>
      <c r="P170" s="754">
        <v>0</v>
      </c>
      <c r="Q170" s="55"/>
      <c r="R170" s="55"/>
      <c r="S170" s="55"/>
      <c r="T170" s="55"/>
      <c r="U170" s="757"/>
      <c r="V170" s="55"/>
      <c r="W170" s="55">
        <v>256.99299999999999</v>
      </c>
      <c r="X170" s="55"/>
      <c r="Y170" s="55">
        <v>533965.348</v>
      </c>
      <c r="Z170" s="55">
        <v>3575775.69</v>
      </c>
      <c r="AA170" s="765"/>
    </row>
    <row r="171" spans="1:27">
      <c r="A171" s="889"/>
      <c r="B171" s="55"/>
      <c r="C171" s="55"/>
      <c r="D171" s="55">
        <v>515.88599999999997</v>
      </c>
      <c r="E171" s="55"/>
      <c r="F171" s="55"/>
      <c r="G171" s="55"/>
      <c r="H171" s="55"/>
      <c r="I171" s="888"/>
      <c r="J171" s="891"/>
      <c r="K171" s="55"/>
      <c r="L171" s="55"/>
      <c r="M171" s="754"/>
      <c r="N171" s="754"/>
      <c r="O171" s="754"/>
      <c r="P171" s="754"/>
      <c r="Q171" s="754"/>
      <c r="R171" s="754"/>
      <c r="S171" s="754"/>
      <c r="T171" s="754"/>
      <c r="U171" s="757">
        <v>515.89</v>
      </c>
      <c r="V171" s="55"/>
      <c r="W171" s="55"/>
      <c r="X171" s="55"/>
      <c r="Y171" s="55"/>
      <c r="Z171" s="55"/>
      <c r="AA171" s="767" t="s">
        <v>2128</v>
      </c>
    </row>
    <row r="172" spans="1:27">
      <c r="A172" s="889">
        <f>A170+1</f>
        <v>84</v>
      </c>
      <c r="B172" s="55" t="s">
        <v>1987</v>
      </c>
      <c r="C172" s="55" t="s">
        <v>1988</v>
      </c>
      <c r="D172" s="55"/>
      <c r="E172" s="55">
        <f>D165+D167+D169+D171</f>
        <v>1760.4650000000001</v>
      </c>
      <c r="F172" s="55" t="s">
        <v>1989</v>
      </c>
      <c r="G172" s="55">
        <v>534377.56200000003</v>
      </c>
      <c r="H172" s="55">
        <v>3575465.5</v>
      </c>
      <c r="I172" s="888"/>
      <c r="J172" s="889">
        <f>J170+1</f>
        <v>84</v>
      </c>
      <c r="K172" s="55" t="s">
        <v>1990</v>
      </c>
      <c r="L172" s="55" t="s">
        <v>1988</v>
      </c>
      <c r="M172" s="55">
        <v>4</v>
      </c>
      <c r="N172" s="55">
        <v>4</v>
      </c>
      <c r="O172" s="55">
        <v>4</v>
      </c>
      <c r="P172" s="55">
        <v>4</v>
      </c>
      <c r="Q172" s="754"/>
      <c r="R172" s="754"/>
      <c r="S172" s="754"/>
      <c r="T172" s="754"/>
      <c r="U172" s="757"/>
      <c r="V172" s="55"/>
      <c r="W172" s="55">
        <v>256.55</v>
      </c>
      <c r="X172" s="55" t="s">
        <v>1989</v>
      </c>
      <c r="Y172" s="55">
        <v>534377.56200000003</v>
      </c>
      <c r="Z172" s="55">
        <v>3575465.5</v>
      </c>
      <c r="AA172" s="768"/>
    </row>
    <row r="173" spans="1:27">
      <c r="A173" s="891"/>
      <c r="B173" s="55"/>
      <c r="C173" s="55"/>
      <c r="D173" s="55">
        <v>212.44300000000001</v>
      </c>
      <c r="E173" s="55"/>
      <c r="F173" s="55"/>
      <c r="G173" s="55"/>
      <c r="H173" s="55"/>
      <c r="I173" s="888"/>
      <c r="J173" s="891"/>
      <c r="K173" s="55"/>
      <c r="L173" s="55"/>
      <c r="M173" s="55"/>
      <c r="N173" s="55"/>
      <c r="O173" s="55"/>
      <c r="P173" s="55"/>
      <c r="Q173" s="55"/>
      <c r="R173" s="55"/>
      <c r="S173" s="55"/>
      <c r="T173" s="55"/>
      <c r="U173" s="757">
        <v>212.44300000000001</v>
      </c>
      <c r="V173" s="55"/>
      <c r="W173" s="55"/>
      <c r="X173" s="55"/>
      <c r="Y173" s="55"/>
      <c r="Z173" s="55"/>
      <c r="AA173" s="768" t="s">
        <v>2149</v>
      </c>
    </row>
    <row r="174" spans="1:27">
      <c r="A174" s="889">
        <f>A172+1</f>
        <v>85</v>
      </c>
      <c r="B174" s="55" t="s">
        <v>1990</v>
      </c>
      <c r="C174" s="55" t="s">
        <v>1988</v>
      </c>
      <c r="D174" s="55"/>
      <c r="E174" s="55">
        <v>212.44300000000001</v>
      </c>
      <c r="F174" s="55" t="s">
        <v>1991</v>
      </c>
      <c r="G174" s="55">
        <v>534590</v>
      </c>
      <c r="H174" s="55">
        <v>3575464</v>
      </c>
      <c r="I174" s="888"/>
      <c r="J174" s="889">
        <f>J172+1</f>
        <v>85</v>
      </c>
      <c r="K174" s="55" t="s">
        <v>1992</v>
      </c>
      <c r="L174" s="55" t="s">
        <v>1988</v>
      </c>
      <c r="M174" s="55">
        <v>4</v>
      </c>
      <c r="N174" s="55">
        <v>4</v>
      </c>
      <c r="O174" s="55">
        <v>4</v>
      </c>
      <c r="P174" s="55">
        <v>4</v>
      </c>
      <c r="Q174" s="754"/>
      <c r="R174" s="754"/>
      <c r="S174" s="754"/>
      <c r="T174" s="754"/>
      <c r="U174" s="757"/>
      <c r="V174" s="755">
        <f>U173</f>
        <v>212.44300000000001</v>
      </c>
      <c r="W174" s="55">
        <v>255.76400000000001</v>
      </c>
      <c r="X174" s="55" t="s">
        <v>1991</v>
      </c>
      <c r="Y174" s="755">
        <v>534590</v>
      </c>
      <c r="Z174" s="755">
        <v>3575464</v>
      </c>
      <c r="AA174" s="768" t="s">
        <v>1939</v>
      </c>
    </row>
    <row r="175" spans="1:27">
      <c r="A175" s="891"/>
      <c r="B175" s="55"/>
      <c r="C175" s="55"/>
      <c r="D175" s="55">
        <v>440</v>
      </c>
      <c r="E175" s="55"/>
      <c r="F175" s="55"/>
      <c r="G175" s="55"/>
      <c r="H175" s="55"/>
      <c r="I175" s="888"/>
      <c r="J175" s="891"/>
      <c r="K175" s="55"/>
      <c r="L175" s="55"/>
      <c r="M175" s="55"/>
      <c r="N175" s="55"/>
      <c r="O175" s="55"/>
      <c r="P175" s="55"/>
      <c r="Q175" s="55"/>
      <c r="R175" s="55"/>
      <c r="S175" s="55"/>
      <c r="T175" s="55"/>
      <c r="U175" s="757">
        <v>459.99900000000002</v>
      </c>
      <c r="V175" s="55"/>
      <c r="W175" s="55"/>
      <c r="X175" s="55"/>
      <c r="Y175" s="55"/>
      <c r="Z175" s="55"/>
      <c r="AA175" s="768" t="s">
        <v>2150</v>
      </c>
    </row>
    <row r="176" spans="1:27">
      <c r="A176" s="889">
        <f>A174+1</f>
        <v>86</v>
      </c>
      <c r="B176" s="55" t="s">
        <v>932</v>
      </c>
      <c r="C176" s="55" t="s">
        <v>76</v>
      </c>
      <c r="D176" s="55"/>
      <c r="E176" s="55"/>
      <c r="F176" s="55"/>
      <c r="G176" s="55">
        <v>534970.22</v>
      </c>
      <c r="H176" s="55">
        <v>3575242.568</v>
      </c>
      <c r="I176" s="888"/>
      <c r="J176" s="889">
        <f>J174+1</f>
        <v>86</v>
      </c>
      <c r="K176" s="55" t="s">
        <v>1015</v>
      </c>
      <c r="L176" s="55" t="s">
        <v>76</v>
      </c>
      <c r="M176" s="55">
        <v>0</v>
      </c>
      <c r="N176" s="55">
        <v>0</v>
      </c>
      <c r="O176" s="55">
        <v>0</v>
      </c>
      <c r="P176" s="55">
        <v>0</v>
      </c>
      <c r="Q176" s="754"/>
      <c r="R176" s="754"/>
      <c r="S176" s="754"/>
      <c r="T176" s="754"/>
      <c r="U176" s="757"/>
      <c r="V176" s="55"/>
      <c r="W176" s="55">
        <v>255.089</v>
      </c>
      <c r="X176" s="55"/>
      <c r="Y176" s="55">
        <v>534987.50300000003</v>
      </c>
      <c r="Z176" s="55">
        <v>3575232.503</v>
      </c>
      <c r="AA176" s="768"/>
    </row>
    <row r="177" spans="1:27">
      <c r="A177" s="891"/>
      <c r="B177" s="55"/>
      <c r="C177" s="55"/>
      <c r="D177" s="55">
        <v>280</v>
      </c>
      <c r="E177" s="55"/>
      <c r="F177" s="55"/>
      <c r="G177" s="55"/>
      <c r="H177" s="55"/>
      <c r="I177" s="888"/>
      <c r="J177" s="891"/>
      <c r="K177" s="55"/>
      <c r="L177" s="55"/>
      <c r="M177" s="55"/>
      <c r="N177" s="55"/>
      <c r="O177" s="55"/>
      <c r="P177" s="55"/>
      <c r="Q177" s="55"/>
      <c r="R177" s="55"/>
      <c r="S177" s="55"/>
      <c r="T177" s="55"/>
      <c r="U177" s="757">
        <v>260</v>
      </c>
      <c r="V177" s="55"/>
      <c r="W177" s="55"/>
      <c r="X177" s="55"/>
      <c r="Y177" s="55"/>
      <c r="Z177" s="55"/>
      <c r="AA177" s="768"/>
    </row>
    <row r="178" spans="1:27">
      <c r="A178" s="889">
        <f>A176+1</f>
        <v>87</v>
      </c>
      <c r="B178" s="55" t="s">
        <v>920</v>
      </c>
      <c r="C178" s="55" t="s">
        <v>76</v>
      </c>
      <c r="D178" s="55"/>
      <c r="E178" s="55"/>
      <c r="F178" s="55"/>
      <c r="G178" s="55">
        <v>535212.179</v>
      </c>
      <c r="H178" s="55">
        <v>3575101.656</v>
      </c>
      <c r="I178" s="888"/>
      <c r="J178" s="889">
        <f>J176+1</f>
        <v>87</v>
      </c>
      <c r="K178" s="55" t="s">
        <v>1016</v>
      </c>
      <c r="L178" s="55" t="s">
        <v>76</v>
      </c>
      <c r="M178" s="55">
        <v>0</v>
      </c>
      <c r="N178" s="55">
        <v>0</v>
      </c>
      <c r="O178" s="55">
        <v>0</v>
      </c>
      <c r="P178" s="55">
        <v>0</v>
      </c>
      <c r="Q178" s="754"/>
      <c r="R178" s="754"/>
      <c r="S178" s="754"/>
      <c r="T178" s="754"/>
      <c r="U178" s="757"/>
      <c r="V178" s="55"/>
      <c r="W178" s="55">
        <v>255.03299999999999</v>
      </c>
      <c r="X178" s="55"/>
      <c r="Y178" s="55">
        <v>535212.17799999996</v>
      </c>
      <c r="Z178" s="55">
        <v>3575101.656</v>
      </c>
      <c r="AA178" s="768"/>
    </row>
    <row r="179" spans="1:27">
      <c r="A179" s="891"/>
      <c r="B179" s="55"/>
      <c r="C179" s="55"/>
      <c r="D179" s="55">
        <v>330</v>
      </c>
      <c r="E179" s="55"/>
      <c r="F179" s="55"/>
      <c r="G179" s="55"/>
      <c r="H179" s="55"/>
      <c r="I179" s="888"/>
      <c r="J179" s="891"/>
      <c r="K179" s="55"/>
      <c r="L179" s="55"/>
      <c r="M179" s="55"/>
      <c r="N179" s="55"/>
      <c r="O179" s="55"/>
      <c r="P179" s="55"/>
      <c r="Q179" s="55"/>
      <c r="R179" s="55"/>
      <c r="S179" s="55"/>
      <c r="T179" s="55"/>
      <c r="U179" s="757">
        <v>330</v>
      </c>
      <c r="V179" s="55"/>
      <c r="W179" s="55"/>
      <c r="X179" s="55"/>
      <c r="Y179" s="55"/>
      <c r="Z179" s="55"/>
      <c r="AA179" s="768" t="s">
        <v>2151</v>
      </c>
    </row>
    <row r="180" spans="1:27">
      <c r="A180" s="889">
        <f>A178+1</f>
        <v>88</v>
      </c>
      <c r="B180" s="55" t="s">
        <v>926</v>
      </c>
      <c r="C180" s="55" t="s">
        <v>76</v>
      </c>
      <c r="D180" s="55"/>
      <c r="E180" s="55"/>
      <c r="F180" s="55"/>
      <c r="G180" s="55">
        <v>535497.34400000004</v>
      </c>
      <c r="H180" s="55">
        <v>3574935.5819999999</v>
      </c>
      <c r="I180" s="888"/>
      <c r="J180" s="889">
        <f>J178+1</f>
        <v>88</v>
      </c>
      <c r="K180" s="55" t="s">
        <v>1017</v>
      </c>
      <c r="L180" s="55" t="s">
        <v>76</v>
      </c>
      <c r="M180" s="55">
        <v>0</v>
      </c>
      <c r="N180" s="55">
        <v>0</v>
      </c>
      <c r="O180" s="55">
        <v>0</v>
      </c>
      <c r="P180" s="55">
        <v>0</v>
      </c>
      <c r="Q180" s="754"/>
      <c r="R180" s="754"/>
      <c r="S180" s="754"/>
      <c r="T180" s="754"/>
      <c r="U180" s="757"/>
      <c r="V180" s="55"/>
      <c r="W180" s="55">
        <v>255.023</v>
      </c>
      <c r="X180" s="55"/>
      <c r="Y180" s="55">
        <v>535497.34400000004</v>
      </c>
      <c r="Z180" s="55">
        <v>3574935.5819999999</v>
      </c>
      <c r="AA180" s="768"/>
    </row>
    <row r="181" spans="1:27">
      <c r="A181" s="891"/>
      <c r="B181" s="55"/>
      <c r="C181" s="55"/>
      <c r="D181" s="55">
        <v>311.04000000000002</v>
      </c>
      <c r="E181" s="55"/>
      <c r="F181" s="55"/>
      <c r="G181" s="55"/>
      <c r="H181" s="55"/>
      <c r="I181" s="888"/>
      <c r="J181" s="891"/>
      <c r="K181" s="55"/>
      <c r="L181" s="55"/>
      <c r="M181" s="55"/>
      <c r="N181" s="55"/>
      <c r="O181" s="55"/>
      <c r="P181" s="55"/>
      <c r="Q181" s="55"/>
      <c r="R181" s="55"/>
      <c r="S181" s="55"/>
      <c r="T181" s="55"/>
      <c r="U181" s="757">
        <v>311.04000000000002</v>
      </c>
      <c r="V181" s="55"/>
      <c r="W181" s="55"/>
      <c r="X181" s="55"/>
      <c r="Y181" s="55"/>
      <c r="Z181" s="55"/>
      <c r="AA181" s="768" t="s">
        <v>2152</v>
      </c>
    </row>
    <row r="182" spans="1:27">
      <c r="A182" s="889">
        <f>A180+1</f>
        <v>89</v>
      </c>
      <c r="B182" s="55" t="s">
        <v>1992</v>
      </c>
      <c r="C182" s="55" t="s">
        <v>1319</v>
      </c>
      <c r="D182" s="55"/>
      <c r="E182" s="55">
        <f>D175+D177+D179+D181</f>
        <v>1361.04</v>
      </c>
      <c r="F182" s="55" t="s">
        <v>1993</v>
      </c>
      <c r="G182" s="55">
        <v>535766.125</v>
      </c>
      <c r="H182" s="55">
        <v>3574779.0490000001</v>
      </c>
      <c r="I182" s="888"/>
      <c r="J182" s="889">
        <f>J180+1</f>
        <v>89</v>
      </c>
      <c r="K182" s="55" t="s">
        <v>1994</v>
      </c>
      <c r="L182" s="55" t="s">
        <v>1995</v>
      </c>
      <c r="M182" s="55">
        <v>0</v>
      </c>
      <c r="N182" s="55">
        <v>0</v>
      </c>
      <c r="O182" s="55">
        <v>0</v>
      </c>
      <c r="P182" s="55">
        <v>0</v>
      </c>
      <c r="Q182" s="754"/>
      <c r="R182" s="754"/>
      <c r="S182" s="754"/>
      <c r="T182" s="754"/>
      <c r="U182" s="757"/>
      <c r="V182" s="755">
        <f>U175+U177+U179+U181</f>
        <v>1361.039</v>
      </c>
      <c r="W182" s="55">
        <v>255.179</v>
      </c>
      <c r="X182" s="55" t="s">
        <v>1996</v>
      </c>
      <c r="Y182" s="55">
        <v>535766.125</v>
      </c>
      <c r="Z182" s="55">
        <v>3574779.0490000001</v>
      </c>
      <c r="AA182" s="768"/>
    </row>
    <row r="183" spans="1:27">
      <c r="A183" s="891"/>
      <c r="B183" s="55"/>
      <c r="C183" s="55"/>
      <c r="D183" s="55">
        <v>389.99900000000002</v>
      </c>
      <c r="E183" s="55"/>
      <c r="F183" s="55"/>
      <c r="G183" s="55"/>
      <c r="H183" s="55"/>
      <c r="I183" s="888"/>
      <c r="J183" s="891"/>
      <c r="K183" s="55"/>
      <c r="L183" s="55"/>
      <c r="M183" s="55"/>
      <c r="N183" s="55"/>
      <c r="O183" s="55"/>
      <c r="P183" s="55"/>
      <c r="Q183" s="55"/>
      <c r="R183" s="55"/>
      <c r="S183" s="55"/>
      <c r="T183" s="55"/>
      <c r="U183" s="757">
        <v>408.94799999999998</v>
      </c>
      <c r="V183" s="55"/>
      <c r="W183" s="55"/>
      <c r="X183" s="55"/>
      <c r="Y183" s="55"/>
      <c r="Z183" s="55"/>
      <c r="AA183" s="768" t="s">
        <v>2153</v>
      </c>
    </row>
    <row r="184" spans="1:27">
      <c r="A184" s="889">
        <f>A182+1</f>
        <v>90</v>
      </c>
      <c r="B184" s="55" t="s">
        <v>1015</v>
      </c>
      <c r="C184" s="55" t="s">
        <v>62</v>
      </c>
      <c r="D184" s="55"/>
      <c r="E184" s="55"/>
      <c r="F184" s="55"/>
      <c r="G184" s="55">
        <v>535923.054</v>
      </c>
      <c r="H184" s="55">
        <v>3574422.0159999998</v>
      </c>
      <c r="I184" s="888"/>
      <c r="J184" s="889">
        <f>J182+1</f>
        <v>90</v>
      </c>
      <c r="K184" s="55" t="s">
        <v>765</v>
      </c>
      <c r="L184" s="55" t="s">
        <v>53</v>
      </c>
      <c r="M184" s="55">
        <v>0</v>
      </c>
      <c r="N184" s="55">
        <v>0</v>
      </c>
      <c r="O184" s="55">
        <v>0</v>
      </c>
      <c r="P184" s="55">
        <v>0</v>
      </c>
      <c r="Q184" s="754"/>
      <c r="R184" s="754"/>
      <c r="S184" s="754"/>
      <c r="T184" s="754"/>
      <c r="U184" s="757"/>
      <c r="V184" s="55"/>
      <c r="W184" s="55">
        <v>256.00900000000001</v>
      </c>
      <c r="X184" s="55"/>
      <c r="Y184" s="55">
        <v>535916.31299999997</v>
      </c>
      <c r="Z184" s="55">
        <v>3574398.6779999998</v>
      </c>
      <c r="AA184" s="768"/>
    </row>
    <row r="185" spans="1:27">
      <c r="A185" s="891"/>
      <c r="B185" s="55"/>
      <c r="C185" s="55"/>
      <c r="D185" s="55">
        <v>385</v>
      </c>
      <c r="E185" s="55"/>
      <c r="F185" s="55"/>
      <c r="G185" s="55"/>
      <c r="H185" s="55"/>
      <c r="I185" s="888"/>
      <c r="J185" s="891"/>
      <c r="K185" s="55"/>
      <c r="L185" s="55"/>
      <c r="M185" s="55"/>
      <c r="N185" s="55"/>
      <c r="O185" s="55"/>
      <c r="P185" s="55"/>
      <c r="Q185" s="55"/>
      <c r="R185" s="55"/>
      <c r="S185" s="55"/>
      <c r="T185" s="55"/>
      <c r="U185" s="757">
        <v>371.34500000000003</v>
      </c>
      <c r="V185" s="55"/>
      <c r="W185" s="55"/>
      <c r="X185" s="55"/>
      <c r="Y185" s="55"/>
      <c r="Z185" s="55"/>
      <c r="AA185" s="768"/>
    </row>
    <row r="186" spans="1:27">
      <c r="A186" s="889">
        <f>A184+1</f>
        <v>91</v>
      </c>
      <c r="B186" s="55" t="s">
        <v>1016</v>
      </c>
      <c r="C186" s="55" t="s">
        <v>76</v>
      </c>
      <c r="D186" s="55"/>
      <c r="E186" s="55"/>
      <c r="F186" s="55"/>
      <c r="G186" s="55">
        <v>536077.97199999995</v>
      </c>
      <c r="H186" s="55">
        <v>3574069.5589999999</v>
      </c>
      <c r="I186" s="888"/>
      <c r="J186" s="889">
        <f>J184+1</f>
        <v>91</v>
      </c>
      <c r="K186" s="55" t="s">
        <v>801</v>
      </c>
      <c r="L186" s="55" t="s">
        <v>76</v>
      </c>
      <c r="M186" s="55">
        <v>0</v>
      </c>
      <c r="N186" s="55">
        <v>0</v>
      </c>
      <c r="O186" s="55">
        <v>0</v>
      </c>
      <c r="P186" s="55">
        <v>0</v>
      </c>
      <c r="Q186" s="754"/>
      <c r="R186" s="754"/>
      <c r="S186" s="754"/>
      <c r="T186" s="754"/>
      <c r="U186" s="757"/>
      <c r="V186" s="55"/>
      <c r="W186" s="55">
        <v>255.012</v>
      </c>
      <c r="X186" s="55"/>
      <c r="Y186" s="55">
        <v>536052.69099999999</v>
      </c>
      <c r="Z186" s="55">
        <v>3574053.2820000001</v>
      </c>
      <c r="AA186" s="768"/>
    </row>
    <row r="187" spans="1:27">
      <c r="A187" s="891"/>
      <c r="B187" s="55"/>
      <c r="C187" s="55"/>
      <c r="D187" s="55">
        <v>385</v>
      </c>
      <c r="E187" s="55"/>
      <c r="F187" s="55"/>
      <c r="G187" s="55"/>
      <c r="H187" s="55"/>
      <c r="I187" s="888"/>
      <c r="J187" s="891"/>
      <c r="K187" s="55"/>
      <c r="L187" s="55"/>
      <c r="M187" s="55"/>
      <c r="N187" s="55"/>
      <c r="O187" s="55"/>
      <c r="P187" s="55"/>
      <c r="Q187" s="55"/>
      <c r="R187" s="55"/>
      <c r="S187" s="55"/>
      <c r="T187" s="55"/>
      <c r="U187" s="757">
        <v>364.11399999999998</v>
      </c>
      <c r="V187" s="55"/>
      <c r="W187" s="55"/>
      <c r="X187" s="55"/>
      <c r="Y187" s="55"/>
      <c r="Z187" s="55"/>
      <c r="AA187" s="768" t="s">
        <v>2154</v>
      </c>
    </row>
    <row r="188" spans="1:27">
      <c r="A188" s="889">
        <f>A186+1</f>
        <v>92</v>
      </c>
      <c r="B188" s="55" t="s">
        <v>1017</v>
      </c>
      <c r="C188" s="55" t="s">
        <v>62</v>
      </c>
      <c r="D188" s="55"/>
      <c r="E188" s="55"/>
      <c r="F188" s="55"/>
      <c r="G188" s="55">
        <v>536232.88899999997</v>
      </c>
      <c r="H188" s="55">
        <v>3573717.1030000001</v>
      </c>
      <c r="I188" s="888"/>
      <c r="J188" s="889">
        <f>J186+1</f>
        <v>92</v>
      </c>
      <c r="K188" s="55" t="s">
        <v>806</v>
      </c>
      <c r="L188" s="55" t="s">
        <v>62</v>
      </c>
      <c r="M188" s="55">
        <v>0</v>
      </c>
      <c r="N188" s="55">
        <v>0</v>
      </c>
      <c r="O188" s="55">
        <v>0</v>
      </c>
      <c r="P188" s="55">
        <v>0</v>
      </c>
      <c r="Q188" s="754"/>
      <c r="R188" s="754"/>
      <c r="S188" s="754"/>
      <c r="T188" s="754"/>
      <c r="U188" s="757"/>
      <c r="V188" s="55"/>
      <c r="W188" s="55">
        <v>255.34700000000001</v>
      </c>
      <c r="X188" s="55"/>
      <c r="Y188" s="55">
        <v>536186.41299999994</v>
      </c>
      <c r="Z188" s="55">
        <v>3573714.6120000002</v>
      </c>
      <c r="AA188" s="768"/>
    </row>
    <row r="189" spans="1:27">
      <c r="A189" s="891"/>
      <c r="B189" s="55"/>
      <c r="C189" s="55"/>
      <c r="D189" s="55">
        <v>400</v>
      </c>
      <c r="E189" s="55"/>
      <c r="F189" s="55"/>
      <c r="G189" s="55"/>
      <c r="H189" s="55"/>
      <c r="I189" s="888"/>
      <c r="J189" s="891"/>
      <c r="K189" s="55"/>
      <c r="L189" s="55"/>
      <c r="M189" s="55"/>
      <c r="N189" s="55"/>
      <c r="O189" s="55"/>
      <c r="P189" s="55"/>
      <c r="Q189" s="55"/>
      <c r="R189" s="55"/>
      <c r="S189" s="55"/>
      <c r="T189" s="55"/>
      <c r="U189" s="757">
        <v>419.36</v>
      </c>
      <c r="V189" s="55"/>
      <c r="W189" s="55"/>
      <c r="X189" s="55"/>
      <c r="Y189" s="55"/>
      <c r="Z189" s="55"/>
      <c r="AA189" s="768" t="s">
        <v>2155</v>
      </c>
    </row>
    <row r="190" spans="1:27">
      <c r="A190" s="889">
        <f>A188+1</f>
        <v>93</v>
      </c>
      <c r="B190" s="55" t="s">
        <v>1018</v>
      </c>
      <c r="C190" s="55" t="s">
        <v>76</v>
      </c>
      <c r="D190" s="55"/>
      <c r="E190" s="55"/>
      <c r="F190" s="55"/>
      <c r="G190" s="55">
        <v>536393.84299999999</v>
      </c>
      <c r="H190" s="55">
        <v>3573350.9139999999</v>
      </c>
      <c r="I190" s="888"/>
      <c r="J190" s="889">
        <f>J188+1</f>
        <v>93</v>
      </c>
      <c r="K190" s="55" t="s">
        <v>719</v>
      </c>
      <c r="L190" s="55" t="s">
        <v>76</v>
      </c>
      <c r="M190" s="55">
        <v>0</v>
      </c>
      <c r="N190" s="55">
        <v>0</v>
      </c>
      <c r="O190" s="55">
        <v>0</v>
      </c>
      <c r="P190" s="55">
        <v>0</v>
      </c>
      <c r="Q190" s="754"/>
      <c r="R190" s="754"/>
      <c r="S190" s="754"/>
      <c r="T190" s="754"/>
      <c r="U190" s="757"/>
      <c r="V190" s="55"/>
      <c r="W190" s="55">
        <v>255.10400000000001</v>
      </c>
      <c r="X190" s="55"/>
      <c r="Y190" s="55">
        <v>536340.424</v>
      </c>
      <c r="Z190" s="55">
        <v>3573324.557</v>
      </c>
      <c r="AA190" s="768"/>
    </row>
    <row r="191" spans="1:27">
      <c r="A191" s="891"/>
      <c r="B191" s="55"/>
      <c r="C191" s="55"/>
      <c r="D191" s="55">
        <v>357.48</v>
      </c>
      <c r="E191" s="55"/>
      <c r="F191" s="55"/>
      <c r="G191" s="55"/>
      <c r="H191" s="55"/>
      <c r="I191" s="888"/>
      <c r="J191" s="891"/>
      <c r="K191" s="55"/>
      <c r="L191" s="55"/>
      <c r="M191" s="55"/>
      <c r="N191" s="55"/>
      <c r="O191" s="55"/>
      <c r="P191" s="55"/>
      <c r="Q191" s="55"/>
      <c r="R191" s="55"/>
      <c r="S191" s="55"/>
      <c r="T191" s="55"/>
      <c r="U191" s="757">
        <v>348.12900000000002</v>
      </c>
      <c r="V191" s="55"/>
      <c r="W191" s="55"/>
      <c r="X191" s="55"/>
      <c r="Y191" s="55"/>
      <c r="Z191" s="55"/>
      <c r="AA191" s="768" t="s">
        <v>2156</v>
      </c>
    </row>
    <row r="192" spans="1:27">
      <c r="A192" s="889">
        <f>A190+1</f>
        <v>94</v>
      </c>
      <c r="B192" s="55" t="s">
        <v>1019</v>
      </c>
      <c r="C192" s="55" t="s">
        <v>76</v>
      </c>
      <c r="D192" s="55"/>
      <c r="E192" s="55"/>
      <c r="F192" s="55"/>
      <c r="G192" s="55">
        <v>536537.68700000003</v>
      </c>
      <c r="H192" s="55">
        <v>3573023.6519999998</v>
      </c>
      <c r="I192" s="888"/>
      <c r="J192" s="889">
        <f>J190+1</f>
        <v>94</v>
      </c>
      <c r="K192" s="55" t="s">
        <v>844</v>
      </c>
      <c r="L192" s="55" t="s">
        <v>1269</v>
      </c>
      <c r="M192" s="55">
        <v>0</v>
      </c>
      <c r="N192" s="55">
        <v>0</v>
      </c>
      <c r="O192" s="55">
        <v>0</v>
      </c>
      <c r="P192" s="55">
        <v>0</v>
      </c>
      <c r="Q192" s="754"/>
      <c r="R192" s="754"/>
      <c r="S192" s="754"/>
      <c r="T192" s="754"/>
      <c r="U192" s="757"/>
      <c r="V192" s="755">
        <f>U183+U185+U187+U189+U191</f>
        <v>1911.8959999999997</v>
      </c>
      <c r="W192" s="55">
        <v>254.78100000000001</v>
      </c>
      <c r="X192" s="55" t="s">
        <v>1997</v>
      </c>
      <c r="Y192" s="55">
        <v>536468.27599999995</v>
      </c>
      <c r="Z192" s="55">
        <v>3573000.7549999999</v>
      </c>
      <c r="AA192" s="768"/>
    </row>
    <row r="193" spans="1:27">
      <c r="A193" s="891"/>
      <c r="B193" s="55"/>
      <c r="C193" s="55"/>
      <c r="D193" s="55">
        <v>367.82499999999999</v>
      </c>
      <c r="E193" s="55"/>
      <c r="F193" s="55"/>
      <c r="G193" s="55"/>
      <c r="H193" s="55"/>
      <c r="I193" s="888"/>
      <c r="J193" s="891"/>
      <c r="K193" s="55"/>
      <c r="L193" s="55"/>
      <c r="M193" s="55"/>
      <c r="N193" s="55"/>
      <c r="O193" s="55"/>
      <c r="P193" s="55"/>
      <c r="Q193" s="55"/>
      <c r="R193" s="55"/>
      <c r="S193" s="55"/>
      <c r="T193" s="55"/>
      <c r="U193" s="757">
        <v>367.84800000000001</v>
      </c>
      <c r="V193" s="55"/>
      <c r="W193" s="55"/>
      <c r="X193" s="55"/>
      <c r="Y193" s="55"/>
      <c r="Z193" s="55"/>
      <c r="AA193" s="768" t="s">
        <v>2157</v>
      </c>
    </row>
    <row r="194" spans="1:27">
      <c r="A194" s="889">
        <f>A192+1</f>
        <v>95</v>
      </c>
      <c r="B194" s="55" t="s">
        <v>1020</v>
      </c>
      <c r="C194" s="55" t="s">
        <v>76</v>
      </c>
      <c r="D194" s="55"/>
      <c r="E194" s="55"/>
      <c r="F194" s="55"/>
      <c r="G194" s="55">
        <v>536685.69299999997</v>
      </c>
      <c r="H194" s="55">
        <v>3572686.9190000002</v>
      </c>
      <c r="I194" s="888"/>
      <c r="J194" s="889">
        <f>J192+1</f>
        <v>95</v>
      </c>
      <c r="K194" s="55" t="s">
        <v>502</v>
      </c>
      <c r="L194" s="55" t="s">
        <v>76</v>
      </c>
      <c r="M194" s="55">
        <v>0</v>
      </c>
      <c r="N194" s="55">
        <v>0</v>
      </c>
      <c r="O194" s="55">
        <v>0</v>
      </c>
      <c r="P194" s="55">
        <v>0</v>
      </c>
      <c r="Q194" s="754"/>
      <c r="R194" s="754"/>
      <c r="S194" s="754"/>
      <c r="T194" s="754"/>
      <c r="U194" s="757"/>
      <c r="V194" s="55"/>
      <c r="W194" s="55">
        <v>254.78899999999999</v>
      </c>
      <c r="X194" s="55"/>
      <c r="Y194" s="55">
        <v>536632.72600000002</v>
      </c>
      <c r="Z194" s="55">
        <v>3572671.713</v>
      </c>
      <c r="AA194" s="768"/>
    </row>
    <row r="195" spans="1:27">
      <c r="A195" s="891"/>
      <c r="B195" s="55"/>
      <c r="C195" s="55"/>
      <c r="D195" s="55">
        <v>387.17099999999999</v>
      </c>
      <c r="E195" s="55"/>
      <c r="F195" s="55"/>
      <c r="G195" s="55"/>
      <c r="H195" s="55"/>
      <c r="I195" s="888"/>
      <c r="J195" s="891"/>
      <c r="K195" s="55"/>
      <c r="L195" s="55"/>
      <c r="M195" s="55"/>
      <c r="N195" s="55"/>
      <c r="O195" s="55"/>
      <c r="P195" s="55"/>
      <c r="Q195" s="55"/>
      <c r="R195" s="55"/>
      <c r="S195" s="55"/>
      <c r="T195" s="55"/>
      <c r="U195" s="757">
        <v>396.726</v>
      </c>
      <c r="V195" s="55"/>
      <c r="W195" s="55"/>
      <c r="X195" s="55"/>
      <c r="Y195" s="55"/>
      <c r="Z195" s="55"/>
      <c r="AA195" s="768" t="s">
        <v>2158</v>
      </c>
    </row>
    <row r="196" spans="1:27">
      <c r="A196" s="889">
        <f>A194+1</f>
        <v>96</v>
      </c>
      <c r="B196" s="55" t="s">
        <v>1998</v>
      </c>
      <c r="C196" s="55" t="s">
        <v>76</v>
      </c>
      <c r="D196" s="55"/>
      <c r="E196" s="55"/>
      <c r="F196" s="55"/>
      <c r="G196" s="55">
        <v>536841.48400000005</v>
      </c>
      <c r="H196" s="55">
        <v>3572332.4750000001</v>
      </c>
      <c r="I196" s="888"/>
      <c r="J196" s="889">
        <f>J194+1</f>
        <v>96</v>
      </c>
      <c r="K196" s="55" t="s">
        <v>503</v>
      </c>
      <c r="L196" s="55" t="s">
        <v>76</v>
      </c>
      <c r="M196" s="55">
        <v>0</v>
      </c>
      <c r="N196" s="55">
        <v>0</v>
      </c>
      <c r="O196" s="55">
        <v>0</v>
      </c>
      <c r="P196" s="55">
        <v>0</v>
      </c>
      <c r="Q196" s="754"/>
      <c r="R196" s="754"/>
      <c r="S196" s="754"/>
      <c r="T196" s="754"/>
      <c r="U196" s="757"/>
      <c r="V196" s="55"/>
      <c r="W196" s="55">
        <v>254.28700000000001</v>
      </c>
      <c r="X196" s="55"/>
      <c r="Y196" s="55">
        <v>536810.08600000001</v>
      </c>
      <c r="Z196" s="55">
        <v>3572316.84</v>
      </c>
      <c r="AA196" s="768"/>
    </row>
    <row r="197" spans="1:27">
      <c r="A197" s="891"/>
      <c r="B197" s="55"/>
      <c r="C197" s="55"/>
      <c r="D197" s="55">
        <v>375.54300000000001</v>
      </c>
      <c r="E197" s="55"/>
      <c r="F197" s="55"/>
      <c r="G197" s="55"/>
      <c r="H197" s="55"/>
      <c r="I197" s="888"/>
      <c r="J197" s="891"/>
      <c r="K197" s="55"/>
      <c r="L197" s="55"/>
      <c r="M197" s="55"/>
      <c r="N197" s="55"/>
      <c r="O197" s="55"/>
      <c r="P197" s="55"/>
      <c r="Q197" s="55"/>
      <c r="R197" s="55"/>
      <c r="S197" s="55"/>
      <c r="T197" s="55"/>
      <c r="U197" s="757">
        <v>375.11099999999999</v>
      </c>
      <c r="V197" s="55"/>
      <c r="W197" s="55"/>
      <c r="X197" s="55"/>
      <c r="Y197" s="55"/>
      <c r="Z197" s="55"/>
      <c r="AA197" s="768" t="s">
        <v>2159</v>
      </c>
    </row>
    <row r="198" spans="1:27">
      <c r="A198" s="889">
        <f>A196+1</f>
        <v>97</v>
      </c>
      <c r="B198" s="55" t="s">
        <v>1999</v>
      </c>
      <c r="C198" s="55" t="s">
        <v>76</v>
      </c>
      <c r="D198" s="55"/>
      <c r="E198" s="55"/>
      <c r="F198" s="55"/>
      <c r="G198" s="55">
        <v>536992.59600000002</v>
      </c>
      <c r="H198" s="55">
        <v>3571988.676</v>
      </c>
      <c r="I198" s="888"/>
      <c r="J198" s="889">
        <f>J196+1</f>
        <v>97</v>
      </c>
      <c r="K198" s="55" t="s">
        <v>555</v>
      </c>
      <c r="L198" s="55" t="s">
        <v>76</v>
      </c>
      <c r="M198" s="55">
        <v>0</v>
      </c>
      <c r="N198" s="55">
        <v>0</v>
      </c>
      <c r="O198" s="55">
        <v>0</v>
      </c>
      <c r="P198" s="55">
        <v>0</v>
      </c>
      <c r="Q198" s="754"/>
      <c r="R198" s="754"/>
      <c r="S198" s="754"/>
      <c r="T198" s="754"/>
      <c r="U198" s="757"/>
      <c r="V198" s="55"/>
      <c r="W198" s="55">
        <v>253.67500000000001</v>
      </c>
      <c r="X198" s="55"/>
      <c r="Y198" s="55">
        <v>536977.78300000005</v>
      </c>
      <c r="Z198" s="55">
        <v>3571981.3020000001</v>
      </c>
      <c r="AA198" s="768"/>
    </row>
    <row r="199" spans="1:27">
      <c r="A199" s="891"/>
      <c r="B199" s="55"/>
      <c r="C199" s="55"/>
      <c r="D199" s="55">
        <v>335.38499999999999</v>
      </c>
      <c r="E199" s="55"/>
      <c r="F199" s="55"/>
      <c r="G199" s="55"/>
      <c r="H199" s="55"/>
      <c r="I199" s="888"/>
      <c r="J199" s="891"/>
      <c r="K199" s="55"/>
      <c r="L199" s="55"/>
      <c r="M199" s="55"/>
      <c r="N199" s="55"/>
      <c r="O199" s="55"/>
      <c r="P199" s="55"/>
      <c r="Q199" s="55"/>
      <c r="R199" s="55"/>
      <c r="S199" s="55"/>
      <c r="T199" s="55"/>
      <c r="U199" s="757">
        <v>335.00299999999999</v>
      </c>
      <c r="V199" s="55"/>
      <c r="W199" s="55"/>
      <c r="X199" s="55"/>
      <c r="Y199" s="55"/>
      <c r="Z199" s="55"/>
      <c r="AA199" s="768" t="s">
        <v>2160</v>
      </c>
    </row>
    <row r="200" spans="1:27">
      <c r="A200" s="889">
        <f>A198+1</f>
        <v>98</v>
      </c>
      <c r="B200" s="55" t="s">
        <v>1994</v>
      </c>
      <c r="C200" s="55" t="s">
        <v>1269</v>
      </c>
      <c r="D200" s="55"/>
      <c r="E200" s="55">
        <f>D183+D185+D187+D189+D191+D193+D195+D197+D199</f>
        <v>3383.4030000000002</v>
      </c>
      <c r="F200" s="55" t="s">
        <v>2000</v>
      </c>
      <c r="G200" s="55">
        <v>537127.55000000005</v>
      </c>
      <c r="H200" s="55">
        <v>3571681.64</v>
      </c>
      <c r="I200" s="888"/>
      <c r="J200" s="889">
        <f>J198+1</f>
        <v>98</v>
      </c>
      <c r="K200" s="55" t="s">
        <v>2001</v>
      </c>
      <c r="L200" s="55" t="s">
        <v>1269</v>
      </c>
      <c r="M200" s="55">
        <v>0</v>
      </c>
      <c r="N200" s="55">
        <v>0</v>
      </c>
      <c r="O200" s="55">
        <v>0</v>
      </c>
      <c r="P200" s="55">
        <v>0</v>
      </c>
      <c r="Q200" s="754"/>
      <c r="R200" s="754"/>
      <c r="S200" s="754"/>
      <c r="T200" s="754"/>
      <c r="U200" s="757"/>
      <c r="V200" s="755">
        <f>U193+U195+U197+U199</f>
        <v>1474.6879999999999</v>
      </c>
      <c r="W200" s="55">
        <v>253.7</v>
      </c>
      <c r="X200" s="55" t="s">
        <v>2002</v>
      </c>
      <c r="Y200" s="55">
        <v>537127.55000000005</v>
      </c>
      <c r="Z200" s="55">
        <v>3571681.64</v>
      </c>
      <c r="AA200" s="768" t="s">
        <v>2003</v>
      </c>
    </row>
    <row r="201" spans="1:27">
      <c r="A201" s="891"/>
      <c r="B201" s="55"/>
      <c r="C201" s="55"/>
      <c r="D201" s="55">
        <v>360</v>
      </c>
      <c r="E201" s="55"/>
      <c r="F201" s="55"/>
      <c r="G201" s="55"/>
      <c r="H201" s="55"/>
      <c r="I201" s="888"/>
      <c r="J201" s="891"/>
      <c r="K201" s="55"/>
      <c r="L201" s="55"/>
      <c r="M201" s="55"/>
      <c r="N201" s="55"/>
      <c r="O201" s="55"/>
      <c r="P201" s="55"/>
      <c r="Q201" s="55"/>
      <c r="R201" s="55"/>
      <c r="S201" s="55"/>
      <c r="T201" s="55"/>
      <c r="U201" s="757">
        <v>360</v>
      </c>
      <c r="V201" s="55"/>
      <c r="W201" s="55"/>
      <c r="X201" s="55"/>
      <c r="Y201" s="55"/>
      <c r="Z201" s="55"/>
      <c r="AA201" s="768" t="s">
        <v>2161</v>
      </c>
    </row>
    <row r="202" spans="1:27">
      <c r="A202" s="889">
        <f>A200+1</f>
        <v>99</v>
      </c>
      <c r="B202" s="55" t="s">
        <v>765</v>
      </c>
      <c r="C202" s="55" t="s">
        <v>62</v>
      </c>
      <c r="D202" s="55"/>
      <c r="E202" s="55"/>
      <c r="F202" s="55"/>
      <c r="G202" s="55">
        <v>537216.12800000003</v>
      </c>
      <c r="H202" s="55">
        <v>3571332.7080000001</v>
      </c>
      <c r="I202" s="888"/>
      <c r="J202" s="889">
        <f>J200+1</f>
        <v>99</v>
      </c>
      <c r="K202" s="55" t="s">
        <v>564</v>
      </c>
      <c r="L202" s="55" t="s">
        <v>62</v>
      </c>
      <c r="M202" s="55">
        <v>0</v>
      </c>
      <c r="N202" s="55">
        <v>0</v>
      </c>
      <c r="O202" s="55">
        <v>0</v>
      </c>
      <c r="P202" s="55">
        <v>0</v>
      </c>
      <c r="Q202" s="754"/>
      <c r="R202" s="754"/>
      <c r="S202" s="754"/>
      <c r="T202" s="754"/>
      <c r="U202" s="757"/>
      <c r="V202" s="55"/>
      <c r="W202" s="55">
        <v>252.708</v>
      </c>
      <c r="X202" s="55"/>
      <c r="Y202" s="55">
        <v>537216.12800000003</v>
      </c>
      <c r="Z202" s="55">
        <v>3571332.7080000001</v>
      </c>
      <c r="AA202" s="768"/>
    </row>
    <row r="203" spans="1:27">
      <c r="A203" s="891"/>
      <c r="B203" s="55"/>
      <c r="C203" s="55"/>
      <c r="D203" s="55">
        <v>360</v>
      </c>
      <c r="E203" s="55"/>
      <c r="F203" s="55"/>
      <c r="G203" s="55"/>
      <c r="H203" s="55"/>
      <c r="I203" s="888"/>
      <c r="J203" s="891"/>
      <c r="K203" s="55"/>
      <c r="L203" s="55"/>
      <c r="M203" s="55"/>
      <c r="N203" s="55"/>
      <c r="O203" s="55"/>
      <c r="P203" s="55"/>
      <c r="Q203" s="55"/>
      <c r="R203" s="55"/>
      <c r="S203" s="55"/>
      <c r="T203" s="55"/>
      <c r="U203" s="757">
        <v>360</v>
      </c>
      <c r="V203" s="55"/>
      <c r="W203" s="55"/>
      <c r="X203" s="55"/>
      <c r="Y203" s="55"/>
      <c r="Z203" s="55"/>
      <c r="AA203" s="768" t="s">
        <v>2162</v>
      </c>
    </row>
    <row r="204" spans="1:27">
      <c r="A204" s="889">
        <f>A202+1</f>
        <v>100</v>
      </c>
      <c r="B204" s="55" t="s">
        <v>801</v>
      </c>
      <c r="C204" s="55" t="s">
        <v>76</v>
      </c>
      <c r="D204" s="55"/>
      <c r="E204" s="55"/>
      <c r="F204" s="55"/>
      <c r="G204" s="55">
        <v>537304.70600000001</v>
      </c>
      <c r="H204" s="55">
        <v>3570983.7749999999</v>
      </c>
      <c r="I204" s="888"/>
      <c r="J204" s="889">
        <f>J202+1</f>
        <v>100</v>
      </c>
      <c r="K204" s="55" t="s">
        <v>2004</v>
      </c>
      <c r="L204" s="55" t="s">
        <v>76</v>
      </c>
      <c r="M204" s="55">
        <v>0</v>
      </c>
      <c r="N204" s="55">
        <v>0</v>
      </c>
      <c r="O204" s="55">
        <v>0</v>
      </c>
      <c r="P204" s="55">
        <v>0</v>
      </c>
      <c r="Q204" s="754"/>
      <c r="R204" s="754"/>
      <c r="S204" s="754"/>
      <c r="T204" s="754"/>
      <c r="U204" s="757"/>
      <c r="V204" s="55"/>
      <c r="W204" s="55">
        <v>253.17400000000001</v>
      </c>
      <c r="X204" s="55"/>
      <c r="Y204" s="55">
        <v>537304.70600000001</v>
      </c>
      <c r="Z204" s="55">
        <v>3570983.7749999999</v>
      </c>
      <c r="AA204" s="768"/>
    </row>
    <row r="205" spans="1:27">
      <c r="A205" s="891"/>
      <c r="B205" s="55"/>
      <c r="C205" s="55"/>
      <c r="D205" s="55">
        <v>359.49599999999998</v>
      </c>
      <c r="E205" s="55"/>
      <c r="F205" s="55"/>
      <c r="G205" s="55"/>
      <c r="H205" s="55"/>
      <c r="I205" s="888"/>
      <c r="J205" s="891"/>
      <c r="K205" s="55"/>
      <c r="L205" s="55"/>
      <c r="M205" s="55"/>
      <c r="N205" s="55"/>
      <c r="O205" s="55"/>
      <c r="P205" s="55"/>
      <c r="Q205" s="55"/>
      <c r="R205" s="55"/>
      <c r="S205" s="55"/>
      <c r="T205" s="55"/>
      <c r="U205" s="757">
        <v>359.49599999999998</v>
      </c>
      <c r="V205" s="55"/>
      <c r="W205" s="55"/>
      <c r="X205" s="55"/>
      <c r="Y205" s="55"/>
      <c r="Z205" s="55"/>
      <c r="AA205" s="768" t="s">
        <v>2122</v>
      </c>
    </row>
    <row r="206" spans="1:27">
      <c r="A206" s="889">
        <f>A204+1</f>
        <v>101</v>
      </c>
      <c r="B206" s="55" t="s">
        <v>2005</v>
      </c>
      <c r="C206" s="55" t="s">
        <v>1269</v>
      </c>
      <c r="D206" s="55"/>
      <c r="E206" s="55">
        <f>D201+D203+D205</f>
        <v>1079.4960000000001</v>
      </c>
      <c r="F206" s="55" t="s">
        <v>2006</v>
      </c>
      <c r="G206" s="55">
        <v>537393.16</v>
      </c>
      <c r="H206" s="55">
        <v>3570635.3309999998</v>
      </c>
      <c r="I206" s="888"/>
      <c r="J206" s="889">
        <f>J204+1</f>
        <v>101</v>
      </c>
      <c r="K206" s="55" t="s">
        <v>2007</v>
      </c>
      <c r="L206" s="55" t="s">
        <v>1269</v>
      </c>
      <c r="M206" s="55">
        <v>0</v>
      </c>
      <c r="N206" s="55">
        <v>0</v>
      </c>
      <c r="O206" s="55">
        <v>0</v>
      </c>
      <c r="P206" s="55">
        <v>0</v>
      </c>
      <c r="Q206" s="754"/>
      <c r="R206" s="754"/>
      <c r="S206" s="754"/>
      <c r="T206" s="754"/>
      <c r="U206" s="757"/>
      <c r="V206" s="755">
        <f>U201+U203+U205</f>
        <v>1079.4960000000001</v>
      </c>
      <c r="W206" s="55">
        <v>253.12200000000001</v>
      </c>
      <c r="X206" s="55" t="s">
        <v>2008</v>
      </c>
      <c r="Y206" s="55">
        <v>537393.16</v>
      </c>
      <c r="Z206" s="55">
        <v>3570635.3309999998</v>
      </c>
      <c r="AA206" s="768"/>
    </row>
    <row r="207" spans="1:27">
      <c r="A207" s="891"/>
      <c r="B207" s="55"/>
      <c r="C207" s="55"/>
      <c r="D207" s="55">
        <v>350.73899999999998</v>
      </c>
      <c r="E207" s="55"/>
      <c r="F207" s="55"/>
      <c r="G207" s="55"/>
      <c r="H207" s="55"/>
      <c r="I207" s="888"/>
      <c r="J207" s="891"/>
      <c r="K207" s="55"/>
      <c r="L207" s="55"/>
      <c r="M207" s="55"/>
      <c r="N207" s="55"/>
      <c r="O207" s="55"/>
      <c r="P207" s="55"/>
      <c r="Q207" s="55"/>
      <c r="R207" s="55"/>
      <c r="S207" s="55"/>
      <c r="T207" s="55"/>
      <c r="U207" s="757">
        <v>350.73899999999998</v>
      </c>
      <c r="V207" s="55"/>
      <c r="W207" s="55"/>
      <c r="X207" s="55"/>
      <c r="Y207" s="55"/>
      <c r="Z207" s="55"/>
      <c r="AA207" s="768" t="s">
        <v>2163</v>
      </c>
    </row>
    <row r="208" spans="1:27">
      <c r="A208" s="889">
        <f>A206+1</f>
        <v>102</v>
      </c>
      <c r="B208" s="55" t="s">
        <v>502</v>
      </c>
      <c r="C208" s="55" t="s">
        <v>76</v>
      </c>
      <c r="D208" s="55"/>
      <c r="E208" s="55"/>
      <c r="F208" s="55"/>
      <c r="G208" s="55">
        <v>537424.61499999999</v>
      </c>
      <c r="H208" s="55">
        <v>3570286.0049999999</v>
      </c>
      <c r="I208" s="888"/>
      <c r="J208" s="889">
        <f>J206+1</f>
        <v>102</v>
      </c>
      <c r="K208" s="55" t="s">
        <v>985</v>
      </c>
      <c r="L208" s="55" t="s">
        <v>76</v>
      </c>
      <c r="M208" s="55">
        <v>0</v>
      </c>
      <c r="N208" s="55">
        <v>0</v>
      </c>
      <c r="O208" s="55">
        <v>0</v>
      </c>
      <c r="P208" s="55">
        <v>0</v>
      </c>
      <c r="Q208" s="754"/>
      <c r="R208" s="754"/>
      <c r="S208" s="754"/>
      <c r="T208" s="754"/>
      <c r="U208" s="757"/>
      <c r="V208" s="55"/>
      <c r="W208" s="55">
        <v>252.53299999999999</v>
      </c>
      <c r="X208" s="55"/>
      <c r="Y208" s="55">
        <v>537424.61499999999</v>
      </c>
      <c r="Z208" s="55">
        <v>3570286.0049999999</v>
      </c>
      <c r="AA208" s="768"/>
    </row>
    <row r="209" spans="1:27">
      <c r="A209" s="891"/>
      <c r="B209" s="55"/>
      <c r="C209" s="55"/>
      <c r="D209" s="55">
        <v>337.89100000000002</v>
      </c>
      <c r="E209" s="55"/>
      <c r="F209" s="55"/>
      <c r="G209" s="55"/>
      <c r="H209" s="55"/>
      <c r="I209" s="888"/>
      <c r="J209" s="891"/>
      <c r="K209" s="55"/>
      <c r="L209" s="55"/>
      <c r="M209" s="55"/>
      <c r="N209" s="55"/>
      <c r="O209" s="55"/>
      <c r="P209" s="55"/>
      <c r="Q209" s="55"/>
      <c r="R209" s="55"/>
      <c r="S209" s="55"/>
      <c r="T209" s="55"/>
      <c r="U209" s="757">
        <v>337.89100000000002</v>
      </c>
      <c r="V209" s="55"/>
      <c r="W209" s="55"/>
      <c r="X209" s="55"/>
      <c r="Y209" s="55"/>
      <c r="Z209" s="55"/>
      <c r="AA209" s="768" t="s">
        <v>2164</v>
      </c>
    </row>
    <row r="210" spans="1:27">
      <c r="A210" s="889">
        <f>A208+1</f>
        <v>103</v>
      </c>
      <c r="B210" s="55" t="s">
        <v>503</v>
      </c>
      <c r="C210" s="55" t="s">
        <v>76</v>
      </c>
      <c r="D210" s="55"/>
      <c r="E210" s="55"/>
      <c r="F210" s="55"/>
      <c r="G210" s="55">
        <v>537454.91799999995</v>
      </c>
      <c r="H210" s="55">
        <v>3569949.4759999998</v>
      </c>
      <c r="I210" s="888"/>
      <c r="J210" s="889">
        <f>J208+1</f>
        <v>103</v>
      </c>
      <c r="K210" s="55" t="s">
        <v>777</v>
      </c>
      <c r="L210" s="55" t="s">
        <v>76</v>
      </c>
      <c r="M210" s="55">
        <v>0</v>
      </c>
      <c r="N210" s="55">
        <v>0</v>
      </c>
      <c r="O210" s="55">
        <v>0</v>
      </c>
      <c r="P210" s="55">
        <v>0</v>
      </c>
      <c r="Q210" s="754"/>
      <c r="R210" s="754"/>
      <c r="S210" s="754"/>
      <c r="T210" s="754"/>
      <c r="U210" s="757"/>
      <c r="V210" s="55"/>
      <c r="W210" s="55">
        <v>251.738</v>
      </c>
      <c r="X210" s="55"/>
      <c r="Y210" s="55">
        <v>537454.91799999995</v>
      </c>
      <c r="Z210" s="55">
        <v>3569949.4759999998</v>
      </c>
      <c r="AA210" s="768"/>
    </row>
    <row r="211" spans="1:27">
      <c r="A211" s="891"/>
      <c r="B211" s="55"/>
      <c r="C211" s="55"/>
      <c r="D211" s="55">
        <v>331.00099999999998</v>
      </c>
      <c r="E211" s="55"/>
      <c r="F211" s="55"/>
      <c r="G211" s="55"/>
      <c r="H211" s="55"/>
      <c r="I211" s="888"/>
      <c r="J211" s="891"/>
      <c r="K211" s="55"/>
      <c r="L211" s="55"/>
      <c r="M211" s="55"/>
      <c r="N211" s="55"/>
      <c r="O211" s="55"/>
      <c r="P211" s="55"/>
      <c r="Q211" s="55"/>
      <c r="R211" s="55"/>
      <c r="S211" s="55"/>
      <c r="T211" s="55"/>
      <c r="U211" s="757">
        <v>331.00099999999998</v>
      </c>
      <c r="V211" s="55"/>
      <c r="W211" s="55"/>
      <c r="X211" s="55"/>
      <c r="Y211" s="55"/>
      <c r="Z211" s="55"/>
      <c r="AA211" s="768" t="s">
        <v>2165</v>
      </c>
    </row>
    <row r="212" spans="1:27">
      <c r="A212" s="889">
        <f>A210+1</f>
        <v>104</v>
      </c>
      <c r="B212" s="55" t="s">
        <v>555</v>
      </c>
      <c r="C212" s="55" t="s">
        <v>76</v>
      </c>
      <c r="D212" s="55"/>
      <c r="E212" s="55"/>
      <c r="F212" s="55"/>
      <c r="G212" s="55">
        <v>537484.60400000005</v>
      </c>
      <c r="H212" s="55">
        <v>3569619.8089999999</v>
      </c>
      <c r="I212" s="888"/>
      <c r="J212" s="889">
        <f>J210+1</f>
        <v>104</v>
      </c>
      <c r="K212" s="55" t="s">
        <v>786</v>
      </c>
      <c r="L212" s="55" t="s">
        <v>76</v>
      </c>
      <c r="M212" s="55">
        <v>0</v>
      </c>
      <c r="N212" s="55">
        <v>0</v>
      </c>
      <c r="O212" s="55">
        <v>0</v>
      </c>
      <c r="P212" s="55">
        <v>0</v>
      </c>
      <c r="Q212" s="754"/>
      <c r="R212" s="754"/>
      <c r="S212" s="754"/>
      <c r="T212" s="754"/>
      <c r="U212" s="757"/>
      <c r="V212" s="55"/>
      <c r="W212" s="55">
        <v>252.17699999999999</v>
      </c>
      <c r="X212" s="55"/>
      <c r="Y212" s="55">
        <v>537484.60400000005</v>
      </c>
      <c r="Z212" s="55">
        <v>3569619.8089999999</v>
      </c>
      <c r="AA212" s="768"/>
    </row>
    <row r="213" spans="1:27" ht="30">
      <c r="A213" s="891"/>
      <c r="B213" s="55"/>
      <c r="C213" s="55"/>
      <c r="D213" s="55">
        <v>370.36900000000003</v>
      </c>
      <c r="E213" s="55"/>
      <c r="F213" s="55"/>
      <c r="G213" s="55"/>
      <c r="H213" s="55"/>
      <c r="I213" s="888"/>
      <c r="J213" s="891"/>
      <c r="K213" s="55"/>
      <c r="L213" s="55"/>
      <c r="M213" s="55"/>
      <c r="N213" s="55"/>
      <c r="O213" s="55"/>
      <c r="P213" s="55"/>
      <c r="Q213" s="55"/>
      <c r="R213" s="55"/>
      <c r="S213" s="55"/>
      <c r="T213" s="55"/>
      <c r="U213" s="757">
        <v>360.36900000000003</v>
      </c>
      <c r="V213" s="55"/>
      <c r="W213" s="55"/>
      <c r="X213" s="55"/>
      <c r="Y213" s="55"/>
      <c r="Z213" s="55"/>
      <c r="AA213" s="769" t="s">
        <v>2166</v>
      </c>
    </row>
    <row r="214" spans="1:27">
      <c r="A214" s="889">
        <f>A212+1</f>
        <v>105</v>
      </c>
      <c r="B214" s="55" t="s">
        <v>521</v>
      </c>
      <c r="C214" s="55" t="s">
        <v>76</v>
      </c>
      <c r="D214" s="55"/>
      <c r="E214" s="55"/>
      <c r="F214" s="55"/>
      <c r="G214" s="55">
        <v>537517.81999999995</v>
      </c>
      <c r="H214" s="55">
        <v>3569250.932</v>
      </c>
      <c r="I214" s="888"/>
      <c r="J214" s="889">
        <f>J212+1</f>
        <v>105</v>
      </c>
      <c r="K214" s="55" t="s">
        <v>800</v>
      </c>
      <c r="L214" s="55" t="s">
        <v>76</v>
      </c>
      <c r="M214" s="55">
        <v>0</v>
      </c>
      <c r="N214" s="55">
        <v>0</v>
      </c>
      <c r="O214" s="55">
        <v>0</v>
      </c>
      <c r="P214" s="55">
        <v>0</v>
      </c>
      <c r="Q214" s="55"/>
      <c r="R214" s="55"/>
      <c r="S214" s="55"/>
      <c r="T214" s="55"/>
      <c r="U214" s="757"/>
      <c r="V214" s="55"/>
      <c r="W214" s="55">
        <v>252.018</v>
      </c>
      <c r="X214" s="55"/>
      <c r="Y214" s="55">
        <v>537516.92299999995</v>
      </c>
      <c r="Z214" s="55">
        <v>3569260.892</v>
      </c>
      <c r="AA214" s="768"/>
    </row>
    <row r="215" spans="1:27">
      <c r="A215" s="891"/>
      <c r="B215" s="55"/>
      <c r="C215" s="55"/>
      <c r="D215" s="55">
        <v>415</v>
      </c>
      <c r="E215" s="55"/>
      <c r="F215" s="55"/>
      <c r="G215" s="55"/>
      <c r="H215" s="55"/>
      <c r="I215" s="888"/>
      <c r="J215" s="891"/>
      <c r="K215" s="55"/>
      <c r="L215" s="55"/>
      <c r="M215" s="55"/>
      <c r="N215" s="55"/>
      <c r="O215" s="55"/>
      <c r="P215" s="55"/>
      <c r="Q215" s="55"/>
      <c r="R215" s="55"/>
      <c r="S215" s="55"/>
      <c r="T215" s="55"/>
      <c r="U215" s="757">
        <v>425</v>
      </c>
      <c r="V215" s="55"/>
      <c r="W215" s="55"/>
      <c r="X215" s="55"/>
      <c r="Y215" s="55"/>
      <c r="Z215" s="55"/>
      <c r="AA215" s="768" t="s">
        <v>2167</v>
      </c>
    </row>
    <row r="216" spans="1:27">
      <c r="A216" s="889">
        <f>A214+1</f>
        <v>106</v>
      </c>
      <c r="B216" s="55" t="s">
        <v>534</v>
      </c>
      <c r="C216" s="55" t="s">
        <v>53</v>
      </c>
      <c r="D216" s="55"/>
      <c r="E216" s="55"/>
      <c r="F216" s="55"/>
      <c r="G216" s="55">
        <v>537555.03899999999</v>
      </c>
      <c r="H216" s="55">
        <v>3568837.605</v>
      </c>
      <c r="I216" s="888"/>
      <c r="J216" s="889">
        <f>J214+1</f>
        <v>106</v>
      </c>
      <c r="K216" s="55" t="s">
        <v>2009</v>
      </c>
      <c r="L216" s="55" t="s">
        <v>53</v>
      </c>
      <c r="M216" s="55">
        <v>0</v>
      </c>
      <c r="N216" s="55">
        <v>0</v>
      </c>
      <c r="O216" s="55">
        <v>0</v>
      </c>
      <c r="P216" s="55">
        <v>0</v>
      </c>
      <c r="Q216" s="55"/>
      <c r="R216" s="55"/>
      <c r="S216" s="55"/>
      <c r="T216" s="55"/>
      <c r="U216" s="757"/>
      <c r="V216" s="55"/>
      <c r="W216" s="55">
        <v>251.398</v>
      </c>
      <c r="X216" s="55"/>
      <c r="Y216" s="55">
        <v>537555.03899999999</v>
      </c>
      <c r="Z216" s="55">
        <v>3568837.605</v>
      </c>
      <c r="AA216" s="768"/>
    </row>
    <row r="217" spans="1:27">
      <c r="A217" s="891"/>
      <c r="B217" s="55"/>
      <c r="C217" s="55"/>
      <c r="D217" s="55">
        <v>411.44799999999998</v>
      </c>
      <c r="E217" s="55"/>
      <c r="F217" s="55"/>
      <c r="G217" s="55"/>
      <c r="H217" s="55"/>
      <c r="I217" s="888"/>
      <c r="J217" s="891"/>
      <c r="K217" s="55"/>
      <c r="L217" s="55"/>
      <c r="M217" s="55"/>
      <c r="N217" s="55"/>
      <c r="O217" s="55"/>
      <c r="P217" s="55"/>
      <c r="Q217" s="55"/>
      <c r="R217" s="55"/>
      <c r="S217" s="55"/>
      <c r="T217" s="55"/>
      <c r="U217" s="757">
        <v>411.44799999999998</v>
      </c>
      <c r="V217" s="55"/>
      <c r="W217" s="55"/>
      <c r="X217" s="55"/>
      <c r="Y217" s="55"/>
      <c r="Z217" s="55"/>
      <c r="AA217" s="768"/>
    </row>
    <row r="218" spans="1:27">
      <c r="A218" s="889">
        <f>A216+1</f>
        <v>107</v>
      </c>
      <c r="B218" s="55" t="s">
        <v>2001</v>
      </c>
      <c r="C218" s="55" t="s">
        <v>1269</v>
      </c>
      <c r="D218" s="55"/>
      <c r="E218" s="55">
        <f>D207+D209+D211+D213+D215+D217</f>
        <v>2216.4479999999999</v>
      </c>
      <c r="F218" s="55" t="s">
        <v>2010</v>
      </c>
      <c r="G218" s="55">
        <v>537591.93900000001</v>
      </c>
      <c r="H218" s="55">
        <v>3568427.8149999999</v>
      </c>
      <c r="I218" s="888"/>
      <c r="J218" s="889">
        <f>J216+1</f>
        <v>107</v>
      </c>
      <c r="K218" s="55" t="s">
        <v>2011</v>
      </c>
      <c r="L218" s="55" t="s">
        <v>1269</v>
      </c>
      <c r="M218" s="55">
        <v>0</v>
      </c>
      <c r="N218" s="55">
        <v>0</v>
      </c>
      <c r="O218" s="55">
        <v>0</v>
      </c>
      <c r="P218" s="55">
        <v>0</v>
      </c>
      <c r="Q218" s="55"/>
      <c r="R218" s="55"/>
      <c r="S218" s="55"/>
      <c r="T218" s="55"/>
      <c r="U218" s="757"/>
      <c r="V218" s="755">
        <f>U207+U209+U211+U213+U215+U217</f>
        <v>2216.4479999999999</v>
      </c>
      <c r="W218" s="55">
        <v>250.71</v>
      </c>
      <c r="X218" s="55" t="s">
        <v>2012</v>
      </c>
      <c r="Y218" s="55">
        <v>537591.93900000001</v>
      </c>
      <c r="Z218" s="55">
        <v>3568427.8149999999</v>
      </c>
      <c r="AA218" s="768" t="s">
        <v>2013</v>
      </c>
    </row>
    <row r="219" spans="1:27">
      <c r="A219" s="891"/>
      <c r="B219" s="55"/>
      <c r="C219" s="55"/>
      <c r="D219" s="55">
        <v>288.42599999999999</v>
      </c>
      <c r="E219" s="55"/>
      <c r="F219" s="55"/>
      <c r="G219" s="55"/>
      <c r="H219" s="55"/>
      <c r="I219" s="888"/>
      <c r="J219" s="891"/>
      <c r="K219" s="55"/>
      <c r="L219" s="55"/>
      <c r="M219" s="55"/>
      <c r="N219" s="55"/>
      <c r="O219" s="55"/>
      <c r="P219" s="55"/>
      <c r="Q219" s="55"/>
      <c r="R219" s="55"/>
      <c r="S219" s="55"/>
      <c r="T219" s="55"/>
      <c r="U219" s="757">
        <v>298</v>
      </c>
      <c r="V219" s="55"/>
      <c r="W219" s="55"/>
      <c r="X219" s="55"/>
      <c r="Y219" s="55"/>
      <c r="Z219" s="55"/>
      <c r="AA219" s="768" t="s">
        <v>2168</v>
      </c>
    </row>
    <row r="220" spans="1:27">
      <c r="A220" s="889">
        <f>A218+1</f>
        <v>108</v>
      </c>
      <c r="B220" s="55" t="s">
        <v>564</v>
      </c>
      <c r="C220" s="55" t="s">
        <v>76</v>
      </c>
      <c r="D220" s="55"/>
      <c r="E220" s="55"/>
      <c r="F220" s="55"/>
      <c r="G220" s="55">
        <v>537545.92200000002</v>
      </c>
      <c r="H220" s="55">
        <v>3568143.0830000001</v>
      </c>
      <c r="I220" s="888"/>
      <c r="J220" s="889">
        <f>J218+1</f>
        <v>108</v>
      </c>
      <c r="K220" s="55" t="s">
        <v>562</v>
      </c>
      <c r="L220" s="55" t="s">
        <v>76</v>
      </c>
      <c r="M220" s="55">
        <v>1</v>
      </c>
      <c r="N220" s="55">
        <v>1</v>
      </c>
      <c r="O220" s="55">
        <v>1</v>
      </c>
      <c r="P220" s="55">
        <v>1</v>
      </c>
      <c r="Q220" s="55"/>
      <c r="R220" s="55"/>
      <c r="S220" s="55"/>
      <c r="T220" s="55"/>
      <c r="U220" s="757"/>
      <c r="V220" s="55"/>
      <c r="W220" s="55">
        <v>251.309</v>
      </c>
      <c r="X220" s="55"/>
      <c r="Y220" s="55">
        <v>537544.39500000002</v>
      </c>
      <c r="Z220" s="55">
        <v>3568133.6320000002</v>
      </c>
      <c r="AA220" s="768" t="s">
        <v>2013</v>
      </c>
    </row>
    <row r="221" spans="1:27">
      <c r="A221" s="891"/>
      <c r="B221" s="55"/>
      <c r="C221" s="55"/>
      <c r="D221" s="55">
        <v>378.89600000000002</v>
      </c>
      <c r="E221" s="55"/>
      <c r="F221" s="55"/>
      <c r="G221" s="55"/>
      <c r="H221" s="55"/>
      <c r="I221" s="888"/>
      <c r="J221" s="891"/>
      <c r="K221" s="55"/>
      <c r="L221" s="55"/>
      <c r="M221" s="55"/>
      <c r="N221" s="55"/>
      <c r="O221" s="55"/>
      <c r="P221" s="55"/>
      <c r="Q221" s="55"/>
      <c r="R221" s="55"/>
      <c r="S221" s="55"/>
      <c r="T221" s="55"/>
      <c r="U221" s="757">
        <v>349</v>
      </c>
      <c r="V221" s="55"/>
      <c r="W221" s="55"/>
      <c r="X221" s="55"/>
      <c r="Y221" s="55"/>
      <c r="Z221" s="55"/>
      <c r="AA221" s="768"/>
    </row>
    <row r="222" spans="1:27">
      <c r="A222" s="889">
        <f>A220+1</f>
        <v>109</v>
      </c>
      <c r="B222" s="55" t="s">
        <v>2004</v>
      </c>
      <c r="C222" s="55" t="s">
        <v>76</v>
      </c>
      <c r="D222" s="55"/>
      <c r="E222" s="55"/>
      <c r="F222" s="55"/>
      <c r="G222" s="55">
        <v>537485.47199999995</v>
      </c>
      <c r="H222" s="55">
        <v>3567769.04</v>
      </c>
      <c r="I222" s="888"/>
      <c r="J222" s="889">
        <f>J220+1</f>
        <v>109</v>
      </c>
      <c r="K222" s="55" t="s">
        <v>322</v>
      </c>
      <c r="L222" s="55" t="s">
        <v>76</v>
      </c>
      <c r="M222" s="55">
        <v>0</v>
      </c>
      <c r="N222" s="55">
        <v>0</v>
      </c>
      <c r="O222" s="55">
        <v>0</v>
      </c>
      <c r="P222" s="55">
        <v>0</v>
      </c>
      <c r="Q222" s="55"/>
      <c r="R222" s="55"/>
      <c r="S222" s="55"/>
      <c r="T222" s="55"/>
      <c r="U222" s="757"/>
      <c r="V222" s="55"/>
      <c r="W222" s="55">
        <v>250.31700000000001</v>
      </c>
      <c r="X222" s="55"/>
      <c r="Y222" s="55">
        <v>537488.71400000004</v>
      </c>
      <c r="Z222" s="55">
        <v>3567789.102</v>
      </c>
      <c r="AA222" s="768" t="s">
        <v>2013</v>
      </c>
    </row>
    <row r="223" spans="1:27">
      <c r="A223" s="891"/>
      <c r="B223" s="55"/>
      <c r="C223" s="55"/>
      <c r="D223" s="55">
        <v>330.346</v>
      </c>
      <c r="E223" s="55"/>
      <c r="F223" s="55"/>
      <c r="G223" s="55"/>
      <c r="H223" s="55"/>
      <c r="I223" s="888"/>
      <c r="J223" s="891"/>
      <c r="K223" s="55"/>
      <c r="L223" s="55"/>
      <c r="M223" s="55"/>
      <c r="N223" s="55"/>
      <c r="O223" s="55"/>
      <c r="P223" s="55"/>
      <c r="Q223" s="55"/>
      <c r="R223" s="55"/>
      <c r="S223" s="55"/>
      <c r="T223" s="55"/>
      <c r="U223" s="757">
        <v>350</v>
      </c>
      <c r="V223" s="55"/>
      <c r="W223" s="55"/>
      <c r="X223" s="55"/>
      <c r="Y223" s="55"/>
      <c r="Z223" s="55"/>
      <c r="AA223" s="769" t="s">
        <v>2169</v>
      </c>
    </row>
    <row r="224" spans="1:27">
      <c r="A224" s="889">
        <f>A222+1</f>
        <v>110</v>
      </c>
      <c r="B224" s="55" t="s">
        <v>2014</v>
      </c>
      <c r="C224" s="55" t="s">
        <v>76</v>
      </c>
      <c r="D224" s="55"/>
      <c r="E224" s="55"/>
      <c r="F224" s="55"/>
      <c r="G224" s="55">
        <v>537432.76800000004</v>
      </c>
      <c r="H224" s="55">
        <v>3567442.926</v>
      </c>
      <c r="I224" s="888"/>
      <c r="J224" s="889">
        <f>J222+1</f>
        <v>110</v>
      </c>
      <c r="K224" s="55" t="s">
        <v>336</v>
      </c>
      <c r="L224" s="55" t="s">
        <v>76</v>
      </c>
      <c r="M224" s="55">
        <v>0</v>
      </c>
      <c r="N224" s="55">
        <v>0</v>
      </c>
      <c r="O224" s="55">
        <v>0</v>
      </c>
      <c r="P224" s="55">
        <v>0</v>
      </c>
      <c r="Q224" s="55"/>
      <c r="R224" s="55"/>
      <c r="S224" s="55"/>
      <c r="T224" s="55"/>
      <c r="U224" s="757"/>
      <c r="V224" s="55"/>
      <c r="W224" s="55">
        <v>250.18600000000001</v>
      </c>
      <c r="X224" s="55"/>
      <c r="Y224" s="55">
        <v>537432.87399999995</v>
      </c>
      <c r="Z224" s="55">
        <v>3567443.585</v>
      </c>
      <c r="AA224" s="768"/>
    </row>
    <row r="225" spans="1:27">
      <c r="A225" s="891"/>
      <c r="B225" s="55"/>
      <c r="C225" s="55"/>
      <c r="D225" s="55">
        <v>362.69600000000003</v>
      </c>
      <c r="E225" s="55"/>
      <c r="F225" s="55"/>
      <c r="G225" s="55"/>
      <c r="H225" s="55"/>
      <c r="I225" s="888"/>
      <c r="J225" s="891"/>
      <c r="K225" s="55"/>
      <c r="L225" s="55"/>
      <c r="M225" s="55"/>
      <c r="N225" s="55"/>
      <c r="O225" s="55"/>
      <c r="P225" s="55"/>
      <c r="Q225" s="55"/>
      <c r="R225" s="55"/>
      <c r="S225" s="55"/>
      <c r="T225" s="55"/>
      <c r="U225" s="757">
        <v>363.36399999999998</v>
      </c>
      <c r="V225" s="55"/>
      <c r="W225" s="55"/>
      <c r="X225" s="55"/>
      <c r="Y225" s="55"/>
      <c r="Z225" s="55"/>
      <c r="AA225" s="768" t="s">
        <v>2170</v>
      </c>
    </row>
    <row r="226" spans="1:27">
      <c r="A226" s="889">
        <f>A224+1</f>
        <v>111</v>
      </c>
      <c r="B226" s="55" t="s">
        <v>2015</v>
      </c>
      <c r="C226" s="55" t="s">
        <v>76</v>
      </c>
      <c r="D226" s="55"/>
      <c r="E226" s="55"/>
      <c r="F226" s="55"/>
      <c r="G226" s="55">
        <v>537374.902</v>
      </c>
      <c r="H226" s="55">
        <v>3567084.8760000002</v>
      </c>
      <c r="I226" s="888"/>
      <c r="J226" s="889">
        <f>J224+1</f>
        <v>111</v>
      </c>
      <c r="K226" s="55" t="s">
        <v>2016</v>
      </c>
      <c r="L226" s="55" t="s">
        <v>1269</v>
      </c>
      <c r="M226" s="55">
        <v>0</v>
      </c>
      <c r="N226" s="55">
        <v>0</v>
      </c>
      <c r="O226" s="55">
        <v>0</v>
      </c>
      <c r="P226" s="55">
        <v>0</v>
      </c>
      <c r="Q226" s="55"/>
      <c r="R226" s="55"/>
      <c r="S226" s="55"/>
      <c r="T226" s="55"/>
      <c r="U226" s="757"/>
      <c r="V226" s="755">
        <f>U219+U221+U223+U225</f>
        <v>1360.364</v>
      </c>
      <c r="W226" s="55">
        <v>250.50899999999999</v>
      </c>
      <c r="X226" s="55" t="s">
        <v>2017</v>
      </c>
      <c r="Y226" s="55">
        <v>537374.902</v>
      </c>
      <c r="Z226" s="55">
        <v>3567084.8760000002</v>
      </c>
      <c r="AA226" s="768"/>
    </row>
    <row r="227" spans="1:27">
      <c r="A227" s="891"/>
      <c r="B227" s="55"/>
      <c r="C227" s="55"/>
      <c r="D227" s="55">
        <v>349.63499999999999</v>
      </c>
      <c r="E227" s="55"/>
      <c r="F227" s="55"/>
      <c r="G227" s="55"/>
      <c r="H227" s="55"/>
      <c r="I227" s="888"/>
      <c r="J227" s="891"/>
      <c r="K227" s="55"/>
      <c r="L227" s="55"/>
      <c r="M227" s="55"/>
      <c r="N227" s="55"/>
      <c r="O227" s="55"/>
      <c r="P227" s="55"/>
      <c r="Q227" s="55"/>
      <c r="R227" s="55"/>
      <c r="S227" s="55"/>
      <c r="T227" s="55"/>
      <c r="U227" s="757">
        <v>371.50400000000002</v>
      </c>
      <c r="V227" s="755"/>
      <c r="W227" s="55"/>
      <c r="X227" s="55"/>
      <c r="Y227" s="55"/>
      <c r="Z227" s="55"/>
      <c r="AA227" s="768"/>
    </row>
    <row r="228" spans="1:27">
      <c r="A228" s="889">
        <f>A226+1</f>
        <v>112</v>
      </c>
      <c r="B228" s="55" t="s">
        <v>2018</v>
      </c>
      <c r="C228" s="55" t="s">
        <v>1269</v>
      </c>
      <c r="D228" s="55"/>
      <c r="E228" s="55"/>
      <c r="F228" s="55"/>
      <c r="G228" s="55">
        <v>537319.12</v>
      </c>
      <c r="H228" s="55">
        <v>3566739.719</v>
      </c>
      <c r="I228" s="888"/>
      <c r="J228" s="889">
        <f>J226+1</f>
        <v>112</v>
      </c>
      <c r="K228" s="55" t="s">
        <v>1519</v>
      </c>
      <c r="L228" s="55" t="s">
        <v>1988</v>
      </c>
      <c r="M228" s="55">
        <v>2</v>
      </c>
      <c r="N228" s="55">
        <v>2</v>
      </c>
      <c r="O228" s="55">
        <v>2</v>
      </c>
      <c r="P228" s="55">
        <v>2</v>
      </c>
      <c r="Q228" s="55"/>
      <c r="R228" s="55"/>
      <c r="S228" s="55"/>
      <c r="T228" s="55"/>
      <c r="U228" s="757"/>
      <c r="V228" s="755">
        <f>U227</f>
        <v>371.50400000000002</v>
      </c>
      <c r="W228" s="55">
        <v>250.679</v>
      </c>
      <c r="X228" s="55" t="s">
        <v>2019</v>
      </c>
      <c r="Y228" s="55">
        <v>537244.33100000001</v>
      </c>
      <c r="Z228" s="55">
        <v>3566737.074</v>
      </c>
      <c r="AA228" s="768" t="s">
        <v>2020</v>
      </c>
    </row>
    <row r="229" spans="1:27">
      <c r="A229" s="891"/>
      <c r="B229" s="55"/>
      <c r="C229" s="55"/>
      <c r="D229" s="55">
        <v>313.60199999999998</v>
      </c>
      <c r="E229" s="55"/>
      <c r="F229" s="55"/>
      <c r="G229" s="55"/>
      <c r="H229" s="55"/>
      <c r="I229" s="888"/>
      <c r="J229" s="891"/>
      <c r="K229" s="55"/>
      <c r="L229" s="55"/>
      <c r="M229" s="55"/>
      <c r="N229" s="55"/>
      <c r="O229" s="55"/>
      <c r="P229" s="55"/>
      <c r="Q229" s="55"/>
      <c r="R229" s="55"/>
      <c r="S229" s="55"/>
      <c r="T229" s="55"/>
      <c r="U229" s="757">
        <v>203.304</v>
      </c>
      <c r="V229" s="755"/>
      <c r="W229" s="55"/>
      <c r="X229" s="55"/>
      <c r="Y229" s="55"/>
      <c r="Z229" s="55"/>
      <c r="AA229" s="768" t="s">
        <v>2149</v>
      </c>
    </row>
    <row r="230" spans="1:27">
      <c r="A230" s="889">
        <f>A228+1</f>
        <v>113</v>
      </c>
      <c r="B230" s="55" t="s">
        <v>2007</v>
      </c>
      <c r="C230" s="55" t="s">
        <v>1988</v>
      </c>
      <c r="D230" s="55"/>
      <c r="E230" s="55">
        <f>D219+D221+D223+D225+D227+D229</f>
        <v>2023.6010000000001</v>
      </c>
      <c r="F230" s="55" t="s">
        <v>2021</v>
      </c>
      <c r="G230" s="55">
        <v>537269.08700000006</v>
      </c>
      <c r="H230" s="55">
        <v>3566430.1340000001</v>
      </c>
      <c r="I230" s="888"/>
      <c r="J230" s="889">
        <f>J228+1</f>
        <v>113</v>
      </c>
      <c r="K230" s="55" t="s">
        <v>1520</v>
      </c>
      <c r="L230" s="55" t="s">
        <v>1988</v>
      </c>
      <c r="M230" s="55">
        <v>2</v>
      </c>
      <c r="N230" s="55">
        <v>2</v>
      </c>
      <c r="O230" s="55">
        <v>2</v>
      </c>
      <c r="P230" s="55">
        <v>2</v>
      </c>
      <c r="Q230" s="55"/>
      <c r="R230" s="55"/>
      <c r="S230" s="55"/>
      <c r="T230" s="55"/>
      <c r="U230" s="757"/>
      <c r="V230" s="755">
        <f>U229</f>
        <v>203.304</v>
      </c>
      <c r="W230" s="55">
        <v>250.61199999999999</v>
      </c>
      <c r="X230" s="55" t="s">
        <v>2022</v>
      </c>
      <c r="Y230" s="55">
        <v>537052.99399999995</v>
      </c>
      <c r="Z230" s="55">
        <v>3566668.3530000001</v>
      </c>
      <c r="AA230" s="768"/>
    </row>
    <row r="231" spans="1:27">
      <c r="A231" s="891"/>
      <c r="B231" s="55"/>
      <c r="C231" s="55"/>
      <c r="D231" s="55">
        <v>203.66200000000001</v>
      </c>
      <c r="E231" s="55"/>
      <c r="F231" s="55"/>
      <c r="G231" s="55"/>
      <c r="H231" s="55"/>
      <c r="I231" s="888"/>
      <c r="J231" s="891"/>
      <c r="K231" s="55"/>
      <c r="L231" s="55"/>
      <c r="M231" s="55"/>
      <c r="N231" s="55"/>
      <c r="O231" s="55"/>
      <c r="P231" s="55"/>
      <c r="Q231" s="55"/>
      <c r="R231" s="55"/>
      <c r="S231" s="55"/>
      <c r="T231" s="55"/>
      <c r="U231" s="757">
        <v>409.90800000000002</v>
      </c>
      <c r="V231" s="755"/>
      <c r="W231" s="55"/>
      <c r="X231" s="55"/>
      <c r="Y231" s="55"/>
      <c r="Z231" s="55"/>
      <c r="AA231" s="768" t="s">
        <v>2171</v>
      </c>
    </row>
    <row r="232" spans="1:27">
      <c r="A232" s="889">
        <f>A230+1</f>
        <v>114</v>
      </c>
      <c r="B232" s="55" t="s">
        <v>2011</v>
      </c>
      <c r="C232" s="55" t="s">
        <v>2023</v>
      </c>
      <c r="D232" s="55"/>
      <c r="E232" s="55">
        <f>D231</f>
        <v>203.66200000000001</v>
      </c>
      <c r="F232" s="55" t="s">
        <v>2024</v>
      </c>
      <c r="G232" s="55">
        <v>537083.87600000005</v>
      </c>
      <c r="H232" s="55">
        <v>3566345.429</v>
      </c>
      <c r="I232" s="888"/>
      <c r="J232" s="889">
        <f>J230+1</f>
        <v>114</v>
      </c>
      <c r="K232" s="55" t="s">
        <v>2025</v>
      </c>
      <c r="L232" s="55" t="s">
        <v>1277</v>
      </c>
      <c r="M232" s="55">
        <v>0</v>
      </c>
      <c r="N232" s="55">
        <v>0</v>
      </c>
      <c r="O232" s="55">
        <v>0</v>
      </c>
      <c r="P232" s="55">
        <v>0</v>
      </c>
      <c r="Q232" s="754"/>
      <c r="R232" s="754"/>
      <c r="S232" s="754"/>
      <c r="T232" s="754"/>
      <c r="U232" s="757"/>
      <c r="V232" s="755">
        <f>U231</f>
        <v>409.90800000000002</v>
      </c>
      <c r="W232" s="55">
        <v>250.49700000000001</v>
      </c>
      <c r="X232" s="55" t="s">
        <v>2026</v>
      </c>
      <c r="Y232" s="55">
        <v>536894.45700000005</v>
      </c>
      <c r="Z232" s="55">
        <v>3566290.3450000002</v>
      </c>
      <c r="AA232" s="768"/>
    </row>
    <row r="233" spans="1:27">
      <c r="A233" s="891"/>
      <c r="B233" s="55"/>
      <c r="C233" s="55"/>
      <c r="D233" s="55">
        <v>432.85</v>
      </c>
      <c r="E233" s="55"/>
      <c r="F233" s="55"/>
      <c r="G233" s="55"/>
      <c r="H233" s="55"/>
      <c r="I233" s="888"/>
      <c r="J233" s="891"/>
      <c r="K233" s="55"/>
      <c r="L233" s="55"/>
      <c r="M233" s="55"/>
      <c r="N233" s="55"/>
      <c r="O233" s="55"/>
      <c r="P233" s="55"/>
      <c r="Q233" s="55"/>
      <c r="R233" s="55"/>
      <c r="S233" s="55"/>
      <c r="T233" s="55"/>
      <c r="U233" s="757">
        <v>412</v>
      </c>
      <c r="V233" s="55"/>
      <c r="W233" s="55"/>
      <c r="X233" s="55"/>
      <c r="Y233" s="55"/>
      <c r="Z233" s="55"/>
      <c r="AA233" s="768" t="s">
        <v>2128</v>
      </c>
    </row>
    <row r="234" spans="1:27">
      <c r="A234" s="889">
        <f>A232+1</f>
        <v>115</v>
      </c>
      <c r="B234" s="55" t="s">
        <v>562</v>
      </c>
      <c r="C234" s="55" t="s">
        <v>1977</v>
      </c>
      <c r="D234" s="55"/>
      <c r="E234" s="55"/>
      <c r="F234" s="55"/>
      <c r="G234" s="55">
        <v>537017.47900000005</v>
      </c>
      <c r="H234" s="55">
        <v>3565917.702</v>
      </c>
      <c r="I234" s="888"/>
      <c r="J234" s="889">
        <f>J232+1</f>
        <v>115</v>
      </c>
      <c r="K234" s="55" t="s">
        <v>2027</v>
      </c>
      <c r="L234" s="55" t="s">
        <v>62</v>
      </c>
      <c r="M234" s="55">
        <v>0</v>
      </c>
      <c r="N234" s="55">
        <v>0</v>
      </c>
      <c r="O234" s="55">
        <v>0</v>
      </c>
      <c r="P234" s="55">
        <v>0</v>
      </c>
      <c r="Q234" s="754"/>
      <c r="R234" s="754"/>
      <c r="S234" s="754"/>
      <c r="T234" s="754"/>
      <c r="U234" s="757"/>
      <c r="V234" s="55"/>
      <c r="W234" s="55">
        <v>249.93600000000001</v>
      </c>
      <c r="X234" s="55"/>
      <c r="Y234" s="55">
        <v>536921.44299999997</v>
      </c>
      <c r="Z234" s="55">
        <v>3565879.23</v>
      </c>
      <c r="AA234" s="768"/>
    </row>
    <row r="235" spans="1:27">
      <c r="A235" s="891"/>
      <c r="B235" s="55"/>
      <c r="C235" s="55"/>
      <c r="D235" s="55">
        <v>475.23899999999998</v>
      </c>
      <c r="E235" s="55"/>
      <c r="F235" s="55"/>
      <c r="G235" s="55"/>
      <c r="H235" s="55"/>
      <c r="I235" s="888"/>
      <c r="J235" s="891"/>
      <c r="K235" s="55"/>
      <c r="L235" s="55"/>
      <c r="M235" s="55"/>
      <c r="N235" s="55"/>
      <c r="O235" s="55"/>
      <c r="P235" s="55"/>
      <c r="Q235" s="55"/>
      <c r="R235" s="55"/>
      <c r="S235" s="55"/>
      <c r="T235" s="55"/>
      <c r="U235" s="757">
        <v>428</v>
      </c>
      <c r="V235" s="55"/>
      <c r="W235" s="55"/>
      <c r="X235" s="55"/>
      <c r="Y235" s="55"/>
      <c r="Z235" s="55"/>
      <c r="AA235" s="768" t="s">
        <v>2172</v>
      </c>
    </row>
    <row r="236" spans="1:27">
      <c r="A236" s="889">
        <f>A234+1</f>
        <v>116</v>
      </c>
      <c r="B236" s="55" t="s">
        <v>2028</v>
      </c>
      <c r="C236" s="55" t="s">
        <v>1934</v>
      </c>
      <c r="D236" s="55"/>
      <c r="E236" s="55">
        <f>D233+D235</f>
        <v>908.08899999999994</v>
      </c>
      <c r="F236" s="55" t="s">
        <v>2029</v>
      </c>
      <c r="G236" s="55">
        <v>536944.57900000003</v>
      </c>
      <c r="H236" s="55">
        <v>3565448.0869999998</v>
      </c>
      <c r="I236" s="888"/>
      <c r="J236" s="889">
        <f>J234+1</f>
        <v>116</v>
      </c>
      <c r="K236" s="55" t="s">
        <v>2030</v>
      </c>
      <c r="L236" s="55" t="s">
        <v>62</v>
      </c>
      <c r="M236" s="55">
        <v>0</v>
      </c>
      <c r="N236" s="55">
        <v>0</v>
      </c>
      <c r="O236" s="55">
        <v>0</v>
      </c>
      <c r="P236" s="55">
        <v>0</v>
      </c>
      <c r="Q236" s="754"/>
      <c r="R236" s="754"/>
      <c r="S236" s="754"/>
      <c r="T236" s="754"/>
      <c r="U236" s="757"/>
      <c r="V236" s="55"/>
      <c r="W236" s="55">
        <v>249.34200000000001</v>
      </c>
      <c r="X236" s="55"/>
      <c r="Y236" s="55">
        <v>536949.478</v>
      </c>
      <c r="Z236" s="55">
        <v>3565452.1490000002</v>
      </c>
      <c r="AA236" s="768"/>
    </row>
    <row r="237" spans="1:27">
      <c r="A237" s="891"/>
      <c r="B237" s="55"/>
      <c r="C237" s="55"/>
      <c r="D237" s="55">
        <v>407.30500000000001</v>
      </c>
      <c r="E237" s="55"/>
      <c r="F237" s="55"/>
      <c r="G237" s="55"/>
      <c r="H237" s="55"/>
      <c r="I237" s="888"/>
      <c r="J237" s="891"/>
      <c r="K237" s="55"/>
      <c r="L237" s="55"/>
      <c r="M237" s="55"/>
      <c r="N237" s="55"/>
      <c r="O237" s="55"/>
      <c r="P237" s="55"/>
      <c r="Q237" s="55"/>
      <c r="R237" s="55"/>
      <c r="S237" s="55"/>
      <c r="T237" s="55"/>
      <c r="U237" s="757">
        <v>409</v>
      </c>
      <c r="V237" s="55"/>
      <c r="W237" s="55"/>
      <c r="X237" s="55"/>
      <c r="Y237" s="55"/>
      <c r="Z237" s="55"/>
      <c r="AA237" s="768" t="s">
        <v>2173</v>
      </c>
    </row>
    <row r="238" spans="1:27">
      <c r="A238" s="889">
        <f>A236+1</f>
        <v>117</v>
      </c>
      <c r="B238" s="55" t="s">
        <v>294</v>
      </c>
      <c r="C238" s="55" t="s">
        <v>76</v>
      </c>
      <c r="D238" s="55"/>
      <c r="E238" s="55"/>
      <c r="F238" s="55"/>
      <c r="G238" s="55">
        <v>536971.83900000004</v>
      </c>
      <c r="H238" s="55">
        <v>3565041.696</v>
      </c>
      <c r="I238" s="888"/>
      <c r="J238" s="889">
        <f>J236+1</f>
        <v>117</v>
      </c>
      <c r="K238" s="55" t="s">
        <v>2031</v>
      </c>
      <c r="L238" s="55" t="s">
        <v>62</v>
      </c>
      <c r="M238" s="55">
        <v>0</v>
      </c>
      <c r="N238" s="55">
        <v>0</v>
      </c>
      <c r="O238" s="55">
        <v>0</v>
      </c>
      <c r="P238" s="55">
        <v>0</v>
      </c>
      <c r="Q238" s="55"/>
      <c r="R238" s="55"/>
      <c r="S238" s="55"/>
      <c r="T238" s="55"/>
      <c r="U238" s="757"/>
      <c r="V238" s="55"/>
      <c r="W238" s="55">
        <v>249.63800000000001</v>
      </c>
      <c r="X238" s="55"/>
      <c r="Y238" s="55">
        <v>536976.26899999997</v>
      </c>
      <c r="Z238" s="55">
        <v>3565044.0269999998</v>
      </c>
      <c r="AA238" s="768"/>
    </row>
    <row r="239" spans="1:27">
      <c r="A239" s="891"/>
      <c r="B239" s="55"/>
      <c r="C239" s="55"/>
      <c r="D239" s="55">
        <v>383.49</v>
      </c>
      <c r="E239" s="55"/>
      <c r="F239" s="55"/>
      <c r="G239" s="55"/>
      <c r="H239" s="55"/>
      <c r="I239" s="888"/>
      <c r="J239" s="891"/>
      <c r="K239" s="55"/>
      <c r="L239" s="55"/>
      <c r="M239" s="55"/>
      <c r="N239" s="55"/>
      <c r="O239" s="55"/>
      <c r="P239" s="55"/>
      <c r="Q239" s="55"/>
      <c r="R239" s="55"/>
      <c r="S239" s="55"/>
      <c r="T239" s="55"/>
      <c r="U239" s="757">
        <v>416</v>
      </c>
      <c r="V239" s="55"/>
      <c r="W239" s="55"/>
      <c r="X239" s="55"/>
      <c r="Y239" s="55"/>
      <c r="Z239" s="55"/>
      <c r="AA239" s="768" t="s">
        <v>2174</v>
      </c>
    </row>
    <row r="240" spans="1:27">
      <c r="A240" s="889">
        <f>A238+1</f>
        <v>118</v>
      </c>
      <c r="B240" s="55" t="s">
        <v>712</v>
      </c>
      <c r="C240" s="55" t="s">
        <v>76</v>
      </c>
      <c r="D240" s="55"/>
      <c r="E240" s="55"/>
      <c r="F240" s="55"/>
      <c r="G240" s="55">
        <v>536997.505</v>
      </c>
      <c r="H240" s="55">
        <v>3564659.0660000001</v>
      </c>
      <c r="I240" s="888"/>
      <c r="J240" s="889">
        <f>J238+1</f>
        <v>118</v>
      </c>
      <c r="K240" s="55" t="s">
        <v>2032</v>
      </c>
      <c r="L240" s="55" t="s">
        <v>76</v>
      </c>
      <c r="M240" s="55">
        <v>0</v>
      </c>
      <c r="N240" s="55">
        <v>0</v>
      </c>
      <c r="O240" s="55">
        <v>0</v>
      </c>
      <c r="P240" s="55">
        <v>0</v>
      </c>
      <c r="Q240" s="55"/>
      <c r="R240" s="55"/>
      <c r="S240" s="55"/>
      <c r="T240" s="55"/>
      <c r="U240" s="757"/>
      <c r="V240" s="55"/>
      <c r="W240" s="55">
        <v>249.26900000000001</v>
      </c>
      <c r="X240" s="55"/>
      <c r="Y240" s="55">
        <v>537003.51800000004</v>
      </c>
      <c r="Z240" s="55">
        <v>3564628.92</v>
      </c>
      <c r="AA240" s="768"/>
    </row>
    <row r="241" spans="1:27">
      <c r="A241" s="891"/>
      <c r="B241" s="55"/>
      <c r="C241" s="55"/>
      <c r="D241" s="55">
        <v>414.16199999999998</v>
      </c>
      <c r="E241" s="55"/>
      <c r="F241" s="55"/>
      <c r="G241" s="55"/>
      <c r="H241" s="55"/>
      <c r="I241" s="888"/>
      <c r="J241" s="891"/>
      <c r="K241" s="55"/>
      <c r="L241" s="55"/>
      <c r="M241" s="55"/>
      <c r="N241" s="55"/>
      <c r="O241" s="55"/>
      <c r="P241" s="55"/>
      <c r="Q241" s="55"/>
      <c r="R241" s="55"/>
      <c r="S241" s="55"/>
      <c r="T241" s="55"/>
      <c r="U241" s="757">
        <v>397</v>
      </c>
      <c r="V241" s="55"/>
      <c r="W241" s="55"/>
      <c r="X241" s="55"/>
      <c r="Y241" s="55"/>
      <c r="Z241" s="55"/>
      <c r="AA241" s="768"/>
    </row>
    <row r="242" spans="1:27">
      <c r="A242" s="889">
        <f>A240+1</f>
        <v>119</v>
      </c>
      <c r="B242" s="55" t="s">
        <v>2033</v>
      </c>
      <c r="C242" s="55" t="s">
        <v>62</v>
      </c>
      <c r="D242" s="55"/>
      <c r="E242" s="55"/>
      <c r="F242" s="55"/>
      <c r="G242" s="55">
        <v>537025.22400000005</v>
      </c>
      <c r="H242" s="55">
        <v>3564245.8319999999</v>
      </c>
      <c r="I242" s="888"/>
      <c r="J242" s="889">
        <f>J240+1</f>
        <v>119</v>
      </c>
      <c r="K242" s="55" t="s">
        <v>2034</v>
      </c>
      <c r="L242" s="55" t="s">
        <v>76</v>
      </c>
      <c r="M242" s="55">
        <v>0</v>
      </c>
      <c r="N242" s="55">
        <v>0</v>
      </c>
      <c r="O242" s="55">
        <v>0</v>
      </c>
      <c r="P242" s="55">
        <v>0</v>
      </c>
      <c r="Q242" s="55"/>
      <c r="R242" s="55"/>
      <c r="S242" s="55"/>
      <c r="T242" s="55"/>
      <c r="U242" s="757"/>
      <c r="V242" s="55"/>
      <c r="W242" s="55">
        <v>249.98599999999999</v>
      </c>
      <c r="X242" s="55"/>
      <c r="Y242" s="55">
        <v>537029.522</v>
      </c>
      <c r="Z242" s="55">
        <v>3564232.773</v>
      </c>
      <c r="AA242" s="768"/>
    </row>
    <row r="243" spans="1:27">
      <c r="A243" s="891"/>
      <c r="B243" s="55"/>
      <c r="C243" s="55"/>
      <c r="D243" s="55">
        <v>375.84800000000001</v>
      </c>
      <c r="E243" s="55"/>
      <c r="F243" s="55"/>
      <c r="G243" s="55"/>
      <c r="H243" s="55"/>
      <c r="I243" s="888"/>
      <c r="J243" s="891"/>
      <c r="K243" s="55"/>
      <c r="L243" s="55"/>
      <c r="M243" s="55"/>
      <c r="N243" s="55"/>
      <c r="O243" s="55"/>
      <c r="P243" s="55"/>
      <c r="Q243" s="55"/>
      <c r="R243" s="55"/>
      <c r="S243" s="55"/>
      <c r="T243" s="55"/>
      <c r="U243" s="757">
        <v>337</v>
      </c>
      <c r="V243" s="55"/>
      <c r="W243" s="55"/>
      <c r="X243" s="55"/>
      <c r="Y243" s="55"/>
      <c r="Z243" s="55"/>
      <c r="AA243" s="768" t="s">
        <v>2174</v>
      </c>
    </row>
    <row r="244" spans="1:27">
      <c r="A244" s="889">
        <f>A242+1</f>
        <v>120</v>
      </c>
      <c r="B244" s="55" t="s">
        <v>2035</v>
      </c>
      <c r="C244" s="55" t="s">
        <v>62</v>
      </c>
      <c r="D244" s="55"/>
      <c r="E244" s="55"/>
      <c r="F244" s="55"/>
      <c r="G244" s="55">
        <v>537050.37899999996</v>
      </c>
      <c r="H244" s="55">
        <v>3563870.827</v>
      </c>
      <c r="I244" s="888"/>
      <c r="J244" s="889">
        <f>J242+1</f>
        <v>120</v>
      </c>
      <c r="K244" s="55" t="s">
        <v>2036</v>
      </c>
      <c r="L244" s="55" t="s">
        <v>62</v>
      </c>
      <c r="M244" s="55">
        <v>0</v>
      </c>
      <c r="N244" s="55">
        <v>0</v>
      </c>
      <c r="O244" s="55">
        <v>0</v>
      </c>
      <c r="P244" s="55">
        <v>0</v>
      </c>
      <c r="Q244" s="55"/>
      <c r="R244" s="55"/>
      <c r="S244" s="55"/>
      <c r="T244" s="55"/>
      <c r="U244" s="757"/>
      <c r="V244" s="55"/>
      <c r="W244" s="55">
        <v>249.81299999999999</v>
      </c>
      <c r="X244" s="55"/>
      <c r="Y244" s="55">
        <v>537051.59600000002</v>
      </c>
      <c r="Z244" s="55">
        <v>3563896.497</v>
      </c>
      <c r="AA244" s="768" t="s">
        <v>2020</v>
      </c>
    </row>
    <row r="245" spans="1:27">
      <c r="A245" s="891"/>
      <c r="B245" s="55"/>
      <c r="C245" s="55"/>
      <c r="D245" s="55">
        <v>424.19499999999999</v>
      </c>
      <c r="E245" s="55"/>
      <c r="F245" s="55"/>
      <c r="G245" s="55"/>
      <c r="H245" s="55"/>
      <c r="I245" s="888"/>
      <c r="J245" s="891"/>
      <c r="K245" s="55"/>
      <c r="L245" s="55"/>
      <c r="M245" s="55"/>
      <c r="N245" s="55"/>
      <c r="O245" s="55"/>
      <c r="P245" s="55"/>
      <c r="Q245" s="754"/>
      <c r="R245" s="754"/>
      <c r="S245" s="754"/>
      <c r="T245" s="754"/>
      <c r="U245" s="757">
        <v>451</v>
      </c>
      <c r="V245" s="55"/>
      <c r="W245" s="55"/>
      <c r="X245" s="55"/>
      <c r="Y245" s="55"/>
      <c r="Z245" s="55"/>
      <c r="AA245" s="768" t="s">
        <v>2146</v>
      </c>
    </row>
    <row r="246" spans="1:27">
      <c r="A246" s="889">
        <f>A244+1</f>
        <v>121</v>
      </c>
      <c r="B246" s="55" t="s">
        <v>2037</v>
      </c>
      <c r="C246" s="55" t="s">
        <v>62</v>
      </c>
      <c r="D246" s="55"/>
      <c r="E246" s="55"/>
      <c r="F246" s="55"/>
      <c r="G246" s="55">
        <v>537078.77</v>
      </c>
      <c r="H246" s="55">
        <v>3563447.5830000001</v>
      </c>
      <c r="I246" s="888"/>
      <c r="J246" s="889">
        <f>J244+1</f>
        <v>121</v>
      </c>
      <c r="K246" s="55" t="s">
        <v>2038</v>
      </c>
      <c r="L246" s="55" t="s">
        <v>53</v>
      </c>
      <c r="M246" s="55">
        <v>0</v>
      </c>
      <c r="N246" s="55">
        <v>0</v>
      </c>
      <c r="O246" s="55">
        <v>0</v>
      </c>
      <c r="P246" s="55">
        <v>0</v>
      </c>
      <c r="Q246" s="754"/>
      <c r="R246" s="754"/>
      <c r="S246" s="754"/>
      <c r="T246" s="754"/>
      <c r="U246" s="757"/>
      <c r="V246" s="55"/>
      <c r="W246" s="55">
        <v>248.97499999999999</v>
      </c>
      <c r="X246" s="55"/>
      <c r="Y246" s="55">
        <v>537081.13800000004</v>
      </c>
      <c r="Z246" s="55">
        <v>3563446.4649999999</v>
      </c>
      <c r="AA246" s="768" t="s">
        <v>2020</v>
      </c>
    </row>
    <row r="247" spans="1:27">
      <c r="A247" s="891"/>
      <c r="B247" s="55"/>
      <c r="C247" s="55"/>
      <c r="D247" s="55">
        <v>395</v>
      </c>
      <c r="E247" s="55"/>
      <c r="F247" s="55"/>
      <c r="G247" s="55"/>
      <c r="H247" s="55"/>
      <c r="I247" s="888"/>
      <c r="J247" s="891"/>
      <c r="K247" s="55"/>
      <c r="L247" s="55"/>
      <c r="M247" s="55"/>
      <c r="N247" s="55"/>
      <c r="O247" s="55"/>
      <c r="P247" s="55"/>
      <c r="Q247" s="754"/>
      <c r="R247" s="754"/>
      <c r="S247" s="754"/>
      <c r="T247" s="754"/>
      <c r="U247" s="757">
        <v>389</v>
      </c>
      <c r="V247" s="55"/>
      <c r="W247" s="55"/>
      <c r="X247" s="55"/>
      <c r="Y247" s="55"/>
      <c r="Z247" s="55"/>
      <c r="AA247" s="768" t="s">
        <v>2175</v>
      </c>
    </row>
    <row r="248" spans="1:27">
      <c r="A248" s="889">
        <f>A246+1</f>
        <v>122</v>
      </c>
      <c r="B248" s="55" t="s">
        <v>2039</v>
      </c>
      <c r="C248" s="55" t="s">
        <v>62</v>
      </c>
      <c r="D248" s="55"/>
      <c r="E248" s="55"/>
      <c r="F248" s="55"/>
      <c r="G248" s="55">
        <v>537105.20600000001</v>
      </c>
      <c r="H248" s="55">
        <v>3563053.469</v>
      </c>
      <c r="I248" s="888"/>
      <c r="J248" s="889">
        <f>J246+1</f>
        <v>122</v>
      </c>
      <c r="K248" s="55" t="s">
        <v>2040</v>
      </c>
      <c r="L248" s="55" t="s">
        <v>76</v>
      </c>
      <c r="M248" s="55">
        <v>0</v>
      </c>
      <c r="N248" s="55">
        <v>0</v>
      </c>
      <c r="O248" s="55">
        <v>0</v>
      </c>
      <c r="P248" s="55">
        <v>0</v>
      </c>
      <c r="Q248" s="754"/>
      <c r="R248" s="754"/>
      <c r="S248" s="754"/>
      <c r="T248" s="754"/>
      <c r="U248" s="757"/>
      <c r="V248" s="55"/>
      <c r="W248" s="55">
        <v>248.52</v>
      </c>
      <c r="X248" s="55"/>
      <c r="Y248" s="55">
        <v>537106.61800000002</v>
      </c>
      <c r="Z248" s="55">
        <v>3563058.301</v>
      </c>
      <c r="AA248" s="768"/>
    </row>
    <row r="249" spans="1:27">
      <c r="A249" s="891"/>
      <c r="B249" s="55"/>
      <c r="C249" s="55"/>
      <c r="D249" s="55">
        <v>390</v>
      </c>
      <c r="E249" s="55"/>
      <c r="F249" s="55"/>
      <c r="G249" s="55"/>
      <c r="H249" s="55"/>
      <c r="I249" s="888"/>
      <c r="J249" s="891"/>
      <c r="K249" s="55"/>
      <c r="L249" s="55"/>
      <c r="M249" s="55"/>
      <c r="N249" s="55"/>
      <c r="O249" s="55"/>
      <c r="P249" s="55"/>
      <c r="Q249" s="754"/>
      <c r="R249" s="754"/>
      <c r="S249" s="754"/>
      <c r="T249" s="754"/>
      <c r="U249" s="757">
        <v>395</v>
      </c>
      <c r="V249" s="55"/>
      <c r="W249" s="55"/>
      <c r="X249" s="55"/>
      <c r="Y249" s="55"/>
      <c r="Z249" s="55"/>
      <c r="AA249" s="768"/>
    </row>
    <row r="250" spans="1:27">
      <c r="A250" s="889">
        <f>A248+1</f>
        <v>123</v>
      </c>
      <c r="B250" s="55" t="s">
        <v>2041</v>
      </c>
      <c r="C250" s="55" t="s">
        <v>76</v>
      </c>
      <c r="D250" s="55"/>
      <c r="E250" s="55"/>
      <c r="F250" s="55"/>
      <c r="G250" s="55">
        <v>537131.30799999996</v>
      </c>
      <c r="H250" s="55">
        <v>3562664.3429999999</v>
      </c>
      <c r="I250" s="888"/>
      <c r="J250" s="889">
        <f>J248+1</f>
        <v>123</v>
      </c>
      <c r="K250" s="55" t="s">
        <v>2042</v>
      </c>
      <c r="L250" s="55" t="s">
        <v>76</v>
      </c>
      <c r="M250" s="55">
        <v>0</v>
      </c>
      <c r="N250" s="55">
        <v>0</v>
      </c>
      <c r="O250" s="55">
        <v>0</v>
      </c>
      <c r="P250" s="55">
        <v>0</v>
      </c>
      <c r="Q250" s="754"/>
      <c r="R250" s="754"/>
      <c r="S250" s="754"/>
      <c r="T250" s="754"/>
      <c r="U250" s="757"/>
      <c r="V250" s="55"/>
      <c r="W250" s="55">
        <v>248.89</v>
      </c>
      <c r="X250" s="55"/>
      <c r="Y250" s="55">
        <v>537132.49100000004</v>
      </c>
      <c r="Z250" s="55">
        <v>3562664.1490000002</v>
      </c>
      <c r="AA250" s="768" t="s">
        <v>2020</v>
      </c>
    </row>
    <row r="251" spans="1:27">
      <c r="A251" s="891"/>
      <c r="B251" s="55"/>
      <c r="C251" s="55"/>
      <c r="D251" s="55">
        <v>390</v>
      </c>
      <c r="E251" s="55"/>
      <c r="F251" s="55"/>
      <c r="G251" s="55"/>
      <c r="H251" s="55"/>
      <c r="I251" s="888"/>
      <c r="J251" s="891"/>
      <c r="K251" s="55"/>
      <c r="L251" s="55"/>
      <c r="M251" s="55"/>
      <c r="N251" s="55"/>
      <c r="O251" s="55"/>
      <c r="P251" s="55"/>
      <c r="Q251" s="754"/>
      <c r="R251" s="754"/>
      <c r="S251" s="754"/>
      <c r="T251" s="754"/>
      <c r="U251" s="757">
        <v>391</v>
      </c>
      <c r="V251" s="55"/>
      <c r="W251" s="55"/>
      <c r="X251" s="55"/>
      <c r="Y251" s="55"/>
      <c r="Z251" s="55"/>
      <c r="AA251" s="768" t="s">
        <v>2176</v>
      </c>
    </row>
    <row r="252" spans="1:27">
      <c r="A252" s="889">
        <f>A250+1</f>
        <v>124</v>
      </c>
      <c r="B252" s="55" t="s">
        <v>2043</v>
      </c>
      <c r="C252" s="55" t="s">
        <v>76</v>
      </c>
      <c r="D252" s="55"/>
      <c r="E252" s="55"/>
      <c r="F252" s="55"/>
      <c r="G252" s="55">
        <v>537157.41</v>
      </c>
      <c r="H252" s="55">
        <v>3562275.2179999999</v>
      </c>
      <c r="I252" s="888"/>
      <c r="J252" s="889">
        <f>J250+1</f>
        <v>124</v>
      </c>
      <c r="K252" s="55" t="s">
        <v>2044</v>
      </c>
      <c r="L252" s="55" t="s">
        <v>76</v>
      </c>
      <c r="M252" s="55">
        <v>0</v>
      </c>
      <c r="N252" s="55">
        <v>0</v>
      </c>
      <c r="O252" s="55">
        <v>0</v>
      </c>
      <c r="P252" s="55">
        <v>0</v>
      </c>
      <c r="Q252" s="55"/>
      <c r="R252" s="55"/>
      <c r="S252" s="55"/>
      <c r="T252" s="55"/>
      <c r="U252" s="757"/>
      <c r="V252" s="55"/>
      <c r="W252" s="55">
        <v>248.37</v>
      </c>
      <c r="X252" s="55"/>
      <c r="Y252" s="55">
        <v>537158.10199999996</v>
      </c>
      <c r="Z252" s="55">
        <v>3562273.9890000001</v>
      </c>
      <c r="AA252" s="768" t="s">
        <v>2020</v>
      </c>
    </row>
    <row r="253" spans="1:27">
      <c r="A253" s="891"/>
      <c r="B253" s="55"/>
      <c r="C253" s="55"/>
      <c r="D253" s="55">
        <v>427.17500000000001</v>
      </c>
      <c r="E253" s="55"/>
      <c r="F253" s="55"/>
      <c r="G253" s="55"/>
      <c r="H253" s="55"/>
      <c r="I253" s="888"/>
      <c r="J253" s="891"/>
      <c r="K253" s="55"/>
      <c r="L253" s="55"/>
      <c r="M253" s="55"/>
      <c r="N253" s="55"/>
      <c r="O253" s="55"/>
      <c r="P253" s="55"/>
      <c r="Q253" s="55"/>
      <c r="R253" s="55"/>
      <c r="S253" s="55"/>
      <c r="T253" s="55"/>
      <c r="U253" s="757">
        <v>425.90300000000002</v>
      </c>
      <c r="V253" s="55"/>
      <c r="W253" s="55"/>
      <c r="X253" s="55"/>
      <c r="Y253" s="55"/>
      <c r="Z253" s="55"/>
      <c r="AA253" s="769" t="s">
        <v>2177</v>
      </c>
    </row>
    <row r="254" spans="1:27">
      <c r="A254" s="889">
        <f>A252+1</f>
        <v>125</v>
      </c>
      <c r="B254" s="55" t="s">
        <v>2045</v>
      </c>
      <c r="C254" s="55" t="s">
        <v>1953</v>
      </c>
      <c r="D254" s="55"/>
      <c r="E254" s="55">
        <f>D237+D239+D241+D243+D245+D247+D249+D251+D253</f>
        <v>3607.1750000000002</v>
      </c>
      <c r="F254" s="55" t="s">
        <v>2046</v>
      </c>
      <c r="G254" s="55">
        <v>537186</v>
      </c>
      <c r="H254" s="55">
        <v>3561849</v>
      </c>
      <c r="I254" s="888"/>
      <c r="J254" s="889">
        <f>J252+1</f>
        <v>125</v>
      </c>
      <c r="K254" s="55" t="s">
        <v>2047</v>
      </c>
      <c r="L254" s="55" t="s">
        <v>1953</v>
      </c>
      <c r="M254" s="55">
        <v>0</v>
      </c>
      <c r="N254" s="55">
        <v>0</v>
      </c>
      <c r="O254" s="55">
        <v>0</v>
      </c>
      <c r="P254" s="55">
        <v>0</v>
      </c>
      <c r="Q254" s="55"/>
      <c r="R254" s="55"/>
      <c r="S254" s="55"/>
      <c r="T254" s="55"/>
      <c r="U254" s="757"/>
      <c r="V254" s="755">
        <f>U233+U235+U237+U239+U241+U243+U245+U247+U249+U251+U253</f>
        <v>4450.9030000000002</v>
      </c>
      <c r="W254" s="55">
        <v>246.84299999999999</v>
      </c>
      <c r="X254" s="55"/>
      <c r="Y254" s="55">
        <v>537186</v>
      </c>
      <c r="Z254" s="55">
        <v>3561849</v>
      </c>
      <c r="AA254" s="892"/>
    </row>
    <row r="255" spans="1:27">
      <c r="A255" s="891"/>
      <c r="B255" s="891"/>
      <c r="C255" s="893"/>
      <c r="D255" s="893"/>
      <c r="E255" s="891"/>
      <c r="F255" s="891"/>
      <c r="G255" s="891"/>
      <c r="H255" s="891"/>
      <c r="I255" s="888"/>
      <c r="J255" s="891"/>
      <c r="K255" s="891"/>
      <c r="L255" s="891"/>
      <c r="M255" s="891"/>
      <c r="N255" s="891"/>
      <c r="O255" s="891"/>
      <c r="P255" s="891"/>
      <c r="Q255" s="891"/>
      <c r="R255" s="891"/>
      <c r="S255" s="891"/>
      <c r="T255" s="891"/>
      <c r="U255" s="894"/>
      <c r="V255" s="891"/>
      <c r="W255" s="891"/>
      <c r="X255" s="891"/>
      <c r="Y255" s="891"/>
      <c r="Z255" s="891"/>
      <c r="AA255" s="889"/>
    </row>
    <row r="256" spans="1:27">
      <c r="A256" s="889">
        <f>A254+1</f>
        <v>126</v>
      </c>
      <c r="B256" s="55" t="s">
        <v>2048</v>
      </c>
      <c r="C256" s="55" t="s">
        <v>1277</v>
      </c>
      <c r="D256" s="760"/>
      <c r="E256" s="1634">
        <v>420.52499999999998</v>
      </c>
      <c r="F256" s="55" t="s">
        <v>2049</v>
      </c>
      <c r="G256" s="757">
        <v>537906.36100000003</v>
      </c>
      <c r="H256" s="757">
        <v>3560968.449</v>
      </c>
      <c r="I256" s="888"/>
      <c r="J256" s="889">
        <f>J254+1</f>
        <v>126</v>
      </c>
      <c r="K256" s="55" t="s">
        <v>2048</v>
      </c>
      <c r="L256" s="55" t="s">
        <v>1277</v>
      </c>
      <c r="M256" s="891"/>
      <c r="N256" s="891"/>
      <c r="O256" s="891"/>
      <c r="P256" s="891"/>
      <c r="Q256" s="891"/>
      <c r="R256" s="891"/>
      <c r="S256" s="891"/>
      <c r="T256" s="891"/>
      <c r="U256" s="757"/>
      <c r="V256" s="1632">
        <v>416.65800000000002</v>
      </c>
      <c r="W256" s="755">
        <v>250.02099999999999</v>
      </c>
      <c r="X256" s="55" t="s">
        <v>2050</v>
      </c>
      <c r="Y256" s="756">
        <v>537906.36100000003</v>
      </c>
      <c r="Z256" s="756">
        <v>3560968.449</v>
      </c>
      <c r="AA256" s="757"/>
    </row>
    <row r="257" spans="1:27">
      <c r="A257" s="891"/>
      <c r="B257" s="55"/>
      <c r="C257" s="55"/>
      <c r="D257" s="55">
        <v>420.52499999999998</v>
      </c>
      <c r="E257" s="1634"/>
      <c r="F257" s="55"/>
      <c r="G257" s="757"/>
      <c r="H257" s="757"/>
      <c r="I257" s="888"/>
      <c r="J257" s="891"/>
      <c r="K257" s="55"/>
      <c r="L257" s="55"/>
      <c r="M257" s="891"/>
      <c r="N257" s="891"/>
      <c r="O257" s="891"/>
      <c r="P257" s="891"/>
      <c r="Q257" s="891"/>
      <c r="R257" s="891"/>
      <c r="S257" s="891"/>
      <c r="T257" s="891"/>
      <c r="U257" s="756">
        <v>416.65800000000002</v>
      </c>
      <c r="V257" s="1632"/>
      <c r="W257" s="755"/>
      <c r="X257" s="55"/>
      <c r="Y257" s="754"/>
      <c r="Z257" s="754"/>
      <c r="AA257" s="762" t="s">
        <v>2051</v>
      </c>
    </row>
    <row r="258" spans="1:27">
      <c r="A258" s="889">
        <f>A256+1</f>
        <v>127</v>
      </c>
      <c r="B258" s="55" t="s">
        <v>2052</v>
      </c>
      <c r="C258" s="55" t="s">
        <v>1402</v>
      </c>
      <c r="D258" s="55"/>
      <c r="E258" s="1634">
        <v>394.27100000000002</v>
      </c>
      <c r="F258" s="55" t="s">
        <v>2053</v>
      </c>
      <c r="G258" s="757">
        <v>538072.03200000001</v>
      </c>
      <c r="H258" s="757">
        <v>3560581.9330000002</v>
      </c>
      <c r="I258" s="888"/>
      <c r="J258" s="889">
        <f>J256+1</f>
        <v>127</v>
      </c>
      <c r="K258" s="55" t="s">
        <v>2052</v>
      </c>
      <c r="L258" s="55" t="s">
        <v>1402</v>
      </c>
      <c r="M258" s="891"/>
      <c r="N258" s="891"/>
      <c r="O258" s="891"/>
      <c r="P258" s="891"/>
      <c r="Q258" s="891"/>
      <c r="R258" s="891"/>
      <c r="S258" s="891"/>
      <c r="T258" s="891"/>
      <c r="U258" s="756"/>
      <c r="V258" s="1632">
        <v>389.27699999999999</v>
      </c>
      <c r="W258" s="755">
        <v>248.53</v>
      </c>
      <c r="X258" s="55" t="s">
        <v>2054</v>
      </c>
      <c r="Y258" s="756">
        <v>538071.47400000005</v>
      </c>
      <c r="Z258" s="756">
        <v>3560585.9029999999</v>
      </c>
      <c r="AA258" s="762"/>
    </row>
    <row r="259" spans="1:27" ht="30">
      <c r="A259" s="891"/>
      <c r="B259" s="55"/>
      <c r="C259" s="55"/>
      <c r="D259" s="55">
        <v>394.27100000000002</v>
      </c>
      <c r="E259" s="1634"/>
      <c r="F259" s="55"/>
      <c r="G259" s="757"/>
      <c r="H259" s="757"/>
      <c r="I259" s="888"/>
      <c r="J259" s="891"/>
      <c r="K259" s="55"/>
      <c r="L259" s="55"/>
      <c r="M259" s="891"/>
      <c r="N259" s="891"/>
      <c r="O259" s="891"/>
      <c r="P259" s="891"/>
      <c r="Q259" s="891"/>
      <c r="R259" s="891"/>
      <c r="S259" s="891"/>
      <c r="T259" s="891"/>
      <c r="U259" s="756">
        <v>389.27699999999999</v>
      </c>
      <c r="V259" s="1632"/>
      <c r="W259" s="755"/>
      <c r="X259" s="55"/>
      <c r="Y259" s="754"/>
      <c r="Z259" s="754"/>
      <c r="AA259" s="762" t="s">
        <v>2055</v>
      </c>
    </row>
    <row r="260" spans="1:27">
      <c r="A260" s="889">
        <f>A258+1</f>
        <v>128</v>
      </c>
      <c r="B260" s="55" t="s">
        <v>2056</v>
      </c>
      <c r="C260" s="55" t="s">
        <v>1995</v>
      </c>
      <c r="D260" s="55"/>
      <c r="E260" s="1634">
        <f>D261+D263</f>
        <v>786.42</v>
      </c>
      <c r="F260" s="55" t="s">
        <v>2057</v>
      </c>
      <c r="G260" s="757">
        <v>538126.65</v>
      </c>
      <c r="H260" s="757">
        <v>3560191.4640000002</v>
      </c>
      <c r="I260" s="888"/>
      <c r="J260" s="889">
        <f>J258+1</f>
        <v>128</v>
      </c>
      <c r="K260" s="55" t="s">
        <v>2056</v>
      </c>
      <c r="L260" s="55" t="s">
        <v>1995</v>
      </c>
      <c r="M260" s="891"/>
      <c r="N260" s="891"/>
      <c r="O260" s="891"/>
      <c r="P260" s="891"/>
      <c r="Q260" s="891"/>
      <c r="R260" s="891"/>
      <c r="S260" s="891"/>
      <c r="T260" s="891"/>
      <c r="U260" s="756"/>
      <c r="V260" s="1632">
        <f>U261+U263</f>
        <v>793.45100000000002</v>
      </c>
      <c r="W260" s="755">
        <v>248.26599999999999</v>
      </c>
      <c r="X260" s="55" t="s">
        <v>2058</v>
      </c>
      <c r="Y260" s="756">
        <v>538125.38300000003</v>
      </c>
      <c r="Z260" s="756">
        <v>3560200.3769999999</v>
      </c>
      <c r="AA260" s="895"/>
    </row>
    <row r="261" spans="1:27">
      <c r="A261" s="891"/>
      <c r="B261" s="55"/>
      <c r="C261" s="55"/>
      <c r="D261" s="55">
        <v>377.11399999999998</v>
      </c>
      <c r="E261" s="1634"/>
      <c r="F261" s="55"/>
      <c r="G261" s="757"/>
      <c r="H261" s="757"/>
      <c r="I261" s="888"/>
      <c r="J261" s="891"/>
      <c r="K261" s="55"/>
      <c r="L261" s="55"/>
      <c r="M261" s="891"/>
      <c r="N261" s="891"/>
      <c r="O261" s="891"/>
      <c r="P261" s="891"/>
      <c r="Q261" s="891"/>
      <c r="R261" s="891"/>
      <c r="S261" s="891"/>
      <c r="T261" s="891"/>
      <c r="U261" s="756">
        <v>384.15100000000001</v>
      </c>
      <c r="V261" s="1632"/>
      <c r="W261" s="755"/>
      <c r="X261" s="55"/>
      <c r="Y261" s="754"/>
      <c r="Z261" s="754"/>
      <c r="AA261" s="762" t="s">
        <v>2059</v>
      </c>
    </row>
    <row r="262" spans="1:27">
      <c r="A262" s="889">
        <f>A260+1</f>
        <v>129</v>
      </c>
      <c r="B262" s="55" t="s">
        <v>702</v>
      </c>
      <c r="C262" s="55" t="s">
        <v>62</v>
      </c>
      <c r="D262" s="55"/>
      <c r="E262" s="1634"/>
      <c r="F262" s="55"/>
      <c r="G262" s="757">
        <v>537933.76699999999</v>
      </c>
      <c r="H262" s="757">
        <v>3559867.41</v>
      </c>
      <c r="I262" s="888"/>
      <c r="J262" s="889">
        <f>J260+1</f>
        <v>129</v>
      </c>
      <c r="K262" s="55" t="s">
        <v>702</v>
      </c>
      <c r="L262" s="55" t="s">
        <v>53</v>
      </c>
      <c r="M262" s="891"/>
      <c r="N262" s="891"/>
      <c r="O262" s="891"/>
      <c r="P262" s="891"/>
      <c r="Q262" s="891"/>
      <c r="R262" s="891"/>
      <c r="S262" s="891"/>
      <c r="T262" s="891"/>
      <c r="U262" s="756"/>
      <c r="V262" s="1632"/>
      <c r="W262" s="755">
        <v>247.77</v>
      </c>
      <c r="X262" s="55"/>
      <c r="Y262" s="756">
        <v>537931.255</v>
      </c>
      <c r="Z262" s="756">
        <v>3559868.8859999999</v>
      </c>
      <c r="AA262" s="762"/>
    </row>
    <row r="263" spans="1:27">
      <c r="A263" s="891"/>
      <c r="B263" s="55"/>
      <c r="C263" s="55"/>
      <c r="D263" s="55">
        <v>409.30599999999998</v>
      </c>
      <c r="E263" s="1634"/>
      <c r="F263" s="55"/>
      <c r="G263" s="757"/>
      <c r="H263" s="757"/>
      <c r="I263" s="888"/>
      <c r="J263" s="891"/>
      <c r="K263" s="55"/>
      <c r="L263" s="55"/>
      <c r="M263" s="891"/>
      <c r="N263" s="891"/>
      <c r="O263" s="891"/>
      <c r="P263" s="891"/>
      <c r="Q263" s="891"/>
      <c r="R263" s="891"/>
      <c r="S263" s="891"/>
      <c r="T263" s="891"/>
      <c r="U263" s="756">
        <v>409.3</v>
      </c>
      <c r="V263" s="1632"/>
      <c r="W263" s="755"/>
      <c r="X263" s="55"/>
      <c r="Y263" s="754"/>
      <c r="Z263" s="754"/>
      <c r="AA263" s="762" t="s">
        <v>2060</v>
      </c>
    </row>
    <row r="264" spans="1:27">
      <c r="A264" s="889">
        <f>A262+1</f>
        <v>130</v>
      </c>
      <c r="B264" s="55" t="s">
        <v>2061</v>
      </c>
      <c r="C264" s="55" t="s">
        <v>1277</v>
      </c>
      <c r="D264" s="55"/>
      <c r="E264" s="1634"/>
      <c r="F264" s="55" t="s">
        <v>2062</v>
      </c>
      <c r="G264" s="757">
        <v>537724.41799999995</v>
      </c>
      <c r="H264" s="757">
        <v>3559515.693</v>
      </c>
      <c r="I264" s="888"/>
      <c r="J264" s="889">
        <f>J262+1</f>
        <v>130</v>
      </c>
      <c r="K264" s="55" t="s">
        <v>2061</v>
      </c>
      <c r="L264" s="55" t="s">
        <v>1361</v>
      </c>
      <c r="M264" s="891"/>
      <c r="N264" s="891"/>
      <c r="O264" s="891"/>
      <c r="P264" s="891"/>
      <c r="Q264" s="891"/>
      <c r="R264" s="891"/>
      <c r="S264" s="891"/>
      <c r="T264" s="891"/>
      <c r="U264" s="756"/>
      <c r="V264" s="1632"/>
      <c r="W264" s="755">
        <v>247.416</v>
      </c>
      <c r="X264" s="55" t="s">
        <v>2063</v>
      </c>
      <c r="Y264" s="756">
        <v>537724.41799999995</v>
      </c>
      <c r="Z264" s="756">
        <v>3559515.693</v>
      </c>
      <c r="AA264" s="762"/>
    </row>
    <row r="265" spans="1:27">
      <c r="A265" s="891"/>
      <c r="B265" s="55"/>
      <c r="C265" s="55"/>
      <c r="D265" s="55">
        <v>409.72</v>
      </c>
      <c r="E265" s="1634">
        <f>D265+D267+D269+D271+D273</f>
        <v>1906.1019999999999</v>
      </c>
      <c r="F265" s="55"/>
      <c r="G265" s="757"/>
      <c r="H265" s="757"/>
      <c r="I265" s="888"/>
      <c r="J265" s="891"/>
      <c r="K265" s="55"/>
      <c r="L265" s="55"/>
      <c r="M265" s="891"/>
      <c r="N265" s="891"/>
      <c r="O265" s="891"/>
      <c r="P265" s="891"/>
      <c r="Q265" s="891"/>
      <c r="R265" s="891"/>
      <c r="S265" s="891"/>
      <c r="T265" s="891"/>
      <c r="U265" s="756">
        <v>409.72</v>
      </c>
      <c r="V265" s="1632">
        <f>U265+U267+U269+U271+U273</f>
        <v>1906.1019999999999</v>
      </c>
      <c r="W265" s="755"/>
      <c r="X265" s="55"/>
      <c r="Y265" s="754"/>
      <c r="Z265" s="754"/>
      <c r="AA265" s="55" t="s">
        <v>2064</v>
      </c>
    </row>
    <row r="266" spans="1:27">
      <c r="A266" s="889">
        <f>A264+1</f>
        <v>131</v>
      </c>
      <c r="B266" s="55" t="s">
        <v>753</v>
      </c>
      <c r="C266" s="55" t="s">
        <v>62</v>
      </c>
      <c r="D266" s="55"/>
      <c r="E266" s="1634"/>
      <c r="F266" s="55"/>
      <c r="G266" s="757">
        <v>537383.73499999999</v>
      </c>
      <c r="H266" s="757">
        <v>3559288.0860000001</v>
      </c>
      <c r="I266" s="888"/>
      <c r="J266" s="889">
        <f>J264+1</f>
        <v>131</v>
      </c>
      <c r="K266" s="55" t="s">
        <v>753</v>
      </c>
      <c r="L266" s="55" t="s">
        <v>53</v>
      </c>
      <c r="M266" s="891"/>
      <c r="N266" s="891"/>
      <c r="O266" s="891"/>
      <c r="P266" s="891"/>
      <c r="Q266" s="891"/>
      <c r="R266" s="891"/>
      <c r="S266" s="891"/>
      <c r="T266" s="891"/>
      <c r="U266" s="756"/>
      <c r="V266" s="1632"/>
      <c r="W266" s="755">
        <v>247.16399999999999</v>
      </c>
      <c r="X266" s="55"/>
      <c r="Y266" s="756">
        <v>537383.73499999999</v>
      </c>
      <c r="Z266" s="756">
        <v>3559288.085</v>
      </c>
      <c r="AA266" s="762"/>
    </row>
    <row r="267" spans="1:27">
      <c r="A267" s="891"/>
      <c r="B267" s="55"/>
      <c r="C267" s="55"/>
      <c r="D267" s="55">
        <v>406.73200000000003</v>
      </c>
      <c r="E267" s="1634"/>
      <c r="F267" s="55"/>
      <c r="G267" s="757"/>
      <c r="H267" s="757"/>
      <c r="I267" s="888"/>
      <c r="J267" s="891"/>
      <c r="K267" s="55"/>
      <c r="L267" s="55"/>
      <c r="M267" s="891"/>
      <c r="N267" s="891"/>
      <c r="O267" s="891"/>
      <c r="P267" s="891"/>
      <c r="Q267" s="891"/>
      <c r="R267" s="891"/>
      <c r="S267" s="891"/>
      <c r="T267" s="891"/>
      <c r="U267" s="756">
        <v>406.73200000000003</v>
      </c>
      <c r="V267" s="1632"/>
      <c r="W267" s="755"/>
      <c r="X267" s="55"/>
      <c r="Y267" s="754"/>
      <c r="Z267" s="754"/>
      <c r="AA267" s="762" t="s">
        <v>2065</v>
      </c>
    </row>
    <row r="268" spans="1:27">
      <c r="A268" s="889">
        <f>A266+1</f>
        <v>132</v>
      </c>
      <c r="B268" s="55" t="s">
        <v>761</v>
      </c>
      <c r="C268" s="55" t="s">
        <v>62</v>
      </c>
      <c r="D268" s="55"/>
      <c r="E268" s="1634"/>
      <c r="F268" s="55"/>
      <c r="G268" s="757">
        <v>537045.53599999996</v>
      </c>
      <c r="H268" s="757">
        <v>3559062.1379999998</v>
      </c>
      <c r="I268" s="888"/>
      <c r="J268" s="889">
        <f>J266+1</f>
        <v>132</v>
      </c>
      <c r="K268" s="55" t="s">
        <v>761</v>
      </c>
      <c r="L268" s="55" t="s">
        <v>62</v>
      </c>
      <c r="M268" s="891"/>
      <c r="N268" s="891"/>
      <c r="O268" s="891"/>
      <c r="P268" s="891"/>
      <c r="Q268" s="891"/>
      <c r="R268" s="891"/>
      <c r="S268" s="891"/>
      <c r="T268" s="891"/>
      <c r="U268" s="756"/>
      <c r="V268" s="1632"/>
      <c r="W268" s="755">
        <v>246.60300000000001</v>
      </c>
      <c r="X268" s="55"/>
      <c r="Y268" s="756">
        <v>537045.53599999996</v>
      </c>
      <c r="Z268" s="756">
        <v>3559062.1379999998</v>
      </c>
      <c r="AA268" s="762"/>
    </row>
    <row r="269" spans="1:27">
      <c r="A269" s="891"/>
      <c r="B269" s="55"/>
      <c r="C269" s="55"/>
      <c r="D269" s="55">
        <v>389.91300000000001</v>
      </c>
      <c r="E269" s="1634"/>
      <c r="F269" s="55"/>
      <c r="G269" s="757"/>
      <c r="H269" s="757"/>
      <c r="I269" s="888"/>
      <c r="J269" s="891"/>
      <c r="K269" s="55"/>
      <c r="L269" s="55"/>
      <c r="M269" s="891"/>
      <c r="N269" s="891"/>
      <c r="O269" s="891"/>
      <c r="P269" s="891"/>
      <c r="Q269" s="891"/>
      <c r="R269" s="891"/>
      <c r="S269" s="891"/>
      <c r="T269" s="891"/>
      <c r="U269" s="756">
        <v>404.91300000000001</v>
      </c>
      <c r="V269" s="1632"/>
      <c r="W269" s="755"/>
      <c r="X269" s="55"/>
      <c r="Y269" s="754"/>
      <c r="Z269" s="754"/>
      <c r="AA269" s="762" t="s">
        <v>2066</v>
      </c>
    </row>
    <row r="270" spans="1:27">
      <c r="A270" s="889">
        <f>A268+1</f>
        <v>133</v>
      </c>
      <c r="B270" s="55" t="s">
        <v>735</v>
      </c>
      <c r="C270" s="55" t="s">
        <v>62</v>
      </c>
      <c r="D270" s="55"/>
      <c r="E270" s="1634"/>
      <c r="F270" s="55"/>
      <c r="G270" s="757">
        <v>536721.32200000004</v>
      </c>
      <c r="H270" s="757">
        <v>3558845.534</v>
      </c>
      <c r="I270" s="888"/>
      <c r="J270" s="889">
        <f>J268+1</f>
        <v>133</v>
      </c>
      <c r="K270" s="55" t="s">
        <v>735</v>
      </c>
      <c r="L270" s="55" t="s">
        <v>53</v>
      </c>
      <c r="M270" s="891"/>
      <c r="N270" s="891"/>
      <c r="O270" s="891"/>
      <c r="P270" s="891"/>
      <c r="Q270" s="891"/>
      <c r="R270" s="891"/>
      <c r="S270" s="891"/>
      <c r="T270" s="891"/>
      <c r="U270" s="756"/>
      <c r="V270" s="1632"/>
      <c r="W270" s="755">
        <v>246.5</v>
      </c>
      <c r="X270" s="55"/>
      <c r="Y270" s="756">
        <v>536708.84900000005</v>
      </c>
      <c r="Z270" s="756">
        <v>3558837.2009999999</v>
      </c>
      <c r="AA270" s="762"/>
    </row>
    <row r="271" spans="1:27">
      <c r="A271" s="891"/>
      <c r="B271" s="55"/>
      <c r="C271" s="55"/>
      <c r="D271" s="55">
        <v>325.56299999999999</v>
      </c>
      <c r="E271" s="1634"/>
      <c r="F271" s="55"/>
      <c r="G271" s="757"/>
      <c r="H271" s="757"/>
      <c r="I271" s="888"/>
      <c r="J271" s="891"/>
      <c r="K271" s="55"/>
      <c r="L271" s="55"/>
      <c r="M271" s="891"/>
      <c r="N271" s="891"/>
      <c r="O271" s="891"/>
      <c r="P271" s="891"/>
      <c r="Q271" s="891"/>
      <c r="R271" s="891"/>
      <c r="S271" s="891"/>
      <c r="T271" s="891"/>
      <c r="U271" s="756">
        <v>285.56299999999999</v>
      </c>
      <c r="V271" s="1632"/>
      <c r="W271" s="755"/>
      <c r="X271" s="55"/>
      <c r="Y271" s="754"/>
      <c r="Z271" s="754"/>
      <c r="AA271" s="762" t="s">
        <v>2067</v>
      </c>
    </row>
    <row r="272" spans="1:27">
      <c r="A272" s="889">
        <f>A270+1</f>
        <v>134</v>
      </c>
      <c r="B272" s="55" t="s">
        <v>746</v>
      </c>
      <c r="C272" s="55" t="s">
        <v>53</v>
      </c>
      <c r="D272" s="55"/>
      <c r="E272" s="1634"/>
      <c r="F272" s="55"/>
      <c r="G272" s="757">
        <v>536450.61499999999</v>
      </c>
      <c r="H272" s="757">
        <v>3558664.6770000001</v>
      </c>
      <c r="I272" s="888"/>
      <c r="J272" s="889">
        <f>J270+1</f>
        <v>134</v>
      </c>
      <c r="K272" s="55" t="s">
        <v>746</v>
      </c>
      <c r="L272" s="55" t="s">
        <v>53</v>
      </c>
      <c r="M272" s="891"/>
      <c r="N272" s="891"/>
      <c r="O272" s="891"/>
      <c r="P272" s="891"/>
      <c r="Q272" s="891"/>
      <c r="R272" s="891"/>
      <c r="S272" s="891"/>
      <c r="T272" s="891"/>
      <c r="U272" s="756"/>
      <c r="V272" s="1632"/>
      <c r="W272" s="755">
        <v>247.63</v>
      </c>
      <c r="X272" s="55"/>
      <c r="Y272" s="756">
        <v>536471.402</v>
      </c>
      <c r="Z272" s="756">
        <v>3558678.5649999999</v>
      </c>
      <c r="AA272" s="762"/>
    </row>
    <row r="273" spans="1:27">
      <c r="A273" s="891"/>
      <c r="B273" s="55"/>
      <c r="C273" s="55"/>
      <c r="D273" s="55">
        <v>374.17399999999998</v>
      </c>
      <c r="E273" s="1634"/>
      <c r="F273" s="55"/>
      <c r="G273" s="757"/>
      <c r="H273" s="757"/>
      <c r="I273" s="888"/>
      <c r="J273" s="891"/>
      <c r="K273" s="55"/>
      <c r="L273" s="55"/>
      <c r="M273" s="891"/>
      <c r="N273" s="891"/>
      <c r="O273" s="891"/>
      <c r="P273" s="891"/>
      <c r="Q273" s="891"/>
      <c r="R273" s="891"/>
      <c r="S273" s="891"/>
      <c r="T273" s="891"/>
      <c r="U273" s="756">
        <v>399.17399999999998</v>
      </c>
      <c r="V273" s="1632"/>
      <c r="W273" s="755"/>
      <c r="X273" s="55"/>
      <c r="Y273" s="754"/>
      <c r="Z273" s="754"/>
      <c r="AA273" s="762" t="s">
        <v>2068</v>
      </c>
    </row>
    <row r="274" spans="1:27">
      <c r="A274" s="889">
        <f>A272+1</f>
        <v>135</v>
      </c>
      <c r="B274" s="55" t="s">
        <v>2069</v>
      </c>
      <c r="C274" s="55" t="s">
        <v>1935</v>
      </c>
      <c r="D274" s="55"/>
      <c r="E274" s="1634">
        <f>D275+D277+D279</f>
        <v>982.37199999999996</v>
      </c>
      <c r="F274" s="55" t="s">
        <v>2070</v>
      </c>
      <c r="G274" s="757">
        <v>536139.48800000001</v>
      </c>
      <c r="H274" s="757">
        <v>3558456.8160000001</v>
      </c>
      <c r="I274" s="888"/>
      <c r="J274" s="889">
        <f>J272+1</f>
        <v>135</v>
      </c>
      <c r="K274" s="55" t="s">
        <v>2069</v>
      </c>
      <c r="L274" s="55" t="s">
        <v>1995</v>
      </c>
      <c r="M274" s="891"/>
      <c r="N274" s="891"/>
      <c r="O274" s="891"/>
      <c r="P274" s="891"/>
      <c r="Q274" s="891"/>
      <c r="R274" s="891"/>
      <c r="S274" s="891"/>
      <c r="T274" s="891"/>
      <c r="U274" s="756"/>
      <c r="V274" s="1632">
        <f>U275+U277+U279</f>
        <v>982.37199999999996</v>
      </c>
      <c r="W274" s="755">
        <v>247.14099999999999</v>
      </c>
      <c r="X274" s="55" t="s">
        <v>2071</v>
      </c>
      <c r="Y274" s="756">
        <v>536139.48800000001</v>
      </c>
      <c r="Z274" s="756">
        <v>3558456.8160000001</v>
      </c>
      <c r="AA274" s="762"/>
    </row>
    <row r="275" spans="1:27" ht="30">
      <c r="A275" s="891"/>
      <c r="B275" s="55"/>
      <c r="C275" s="55"/>
      <c r="D275" s="55">
        <v>343.78399999999999</v>
      </c>
      <c r="E275" s="1634"/>
      <c r="F275" s="55"/>
      <c r="G275" s="757"/>
      <c r="H275" s="757"/>
      <c r="I275" s="888"/>
      <c r="J275" s="891"/>
      <c r="K275" s="55"/>
      <c r="L275" s="55"/>
      <c r="M275" s="891"/>
      <c r="N275" s="891"/>
      <c r="O275" s="891"/>
      <c r="P275" s="891"/>
      <c r="Q275" s="891"/>
      <c r="R275" s="891"/>
      <c r="S275" s="891"/>
      <c r="T275" s="891"/>
      <c r="U275" s="756">
        <v>343.78399999999999</v>
      </c>
      <c r="V275" s="1632"/>
      <c r="W275" s="755"/>
      <c r="X275" s="55"/>
      <c r="Y275" s="754"/>
      <c r="Z275" s="754"/>
      <c r="AA275" s="762" t="s">
        <v>2072</v>
      </c>
    </row>
    <row r="276" spans="1:27">
      <c r="A276" s="889">
        <f>A274+1</f>
        <v>136</v>
      </c>
      <c r="B276" s="55" t="s">
        <v>554</v>
      </c>
      <c r="C276" s="55" t="s">
        <v>76</v>
      </c>
      <c r="D276" s="55"/>
      <c r="E276" s="1634"/>
      <c r="F276" s="55"/>
      <c r="G276" s="757">
        <v>536041.32900000003</v>
      </c>
      <c r="H276" s="757">
        <v>3558127.3429999999</v>
      </c>
      <c r="I276" s="888"/>
      <c r="J276" s="889">
        <f>J274+1</f>
        <v>136</v>
      </c>
      <c r="K276" s="55" t="s">
        <v>554</v>
      </c>
      <c r="L276" s="55" t="s">
        <v>76</v>
      </c>
      <c r="M276" s="891"/>
      <c r="N276" s="891"/>
      <c r="O276" s="891"/>
      <c r="P276" s="891"/>
      <c r="Q276" s="891"/>
      <c r="R276" s="891"/>
      <c r="S276" s="891"/>
      <c r="T276" s="891"/>
      <c r="U276" s="756"/>
      <c r="V276" s="1632"/>
      <c r="W276" s="755">
        <v>246.804</v>
      </c>
      <c r="X276" s="55"/>
      <c r="Y276" s="756">
        <v>536041.32900000003</v>
      </c>
      <c r="Z276" s="756">
        <v>3558127.3429999999</v>
      </c>
      <c r="AA276" s="762"/>
    </row>
    <row r="277" spans="1:27">
      <c r="A277" s="891"/>
      <c r="B277" s="55"/>
      <c r="C277" s="55"/>
      <c r="D277" s="55">
        <v>313.06299999999999</v>
      </c>
      <c r="E277" s="1634"/>
      <c r="F277" s="55"/>
      <c r="G277" s="757"/>
      <c r="H277" s="757"/>
      <c r="I277" s="888"/>
      <c r="J277" s="891"/>
      <c r="K277" s="55"/>
      <c r="L277" s="55"/>
      <c r="M277" s="891"/>
      <c r="N277" s="891"/>
      <c r="O277" s="891"/>
      <c r="P277" s="891"/>
      <c r="Q277" s="891"/>
      <c r="R277" s="891"/>
      <c r="S277" s="891"/>
      <c r="T277" s="891"/>
      <c r="U277" s="756">
        <v>313.06299999999999</v>
      </c>
      <c r="V277" s="1632"/>
      <c r="W277" s="755"/>
      <c r="X277" s="55"/>
      <c r="Y277" s="754"/>
      <c r="Z277" s="754"/>
      <c r="AA277" s="762" t="s">
        <v>2073</v>
      </c>
    </row>
    <row r="278" spans="1:27">
      <c r="A278" s="889">
        <f>A276+1</f>
        <v>137</v>
      </c>
      <c r="B278" s="55" t="s">
        <v>125</v>
      </c>
      <c r="C278" s="55" t="s">
        <v>76</v>
      </c>
      <c r="D278" s="55"/>
      <c r="E278" s="1634"/>
      <c r="F278" s="55"/>
      <c r="G278" s="757">
        <v>535951.94200000004</v>
      </c>
      <c r="H278" s="757">
        <v>3557827.3130000001</v>
      </c>
      <c r="I278" s="888"/>
      <c r="J278" s="889">
        <f>J276+1</f>
        <v>137</v>
      </c>
      <c r="K278" s="55" t="s">
        <v>125</v>
      </c>
      <c r="L278" s="55" t="s">
        <v>76</v>
      </c>
      <c r="M278" s="891"/>
      <c r="N278" s="891"/>
      <c r="O278" s="891"/>
      <c r="P278" s="891"/>
      <c r="Q278" s="891"/>
      <c r="R278" s="891"/>
      <c r="S278" s="891"/>
      <c r="T278" s="891"/>
      <c r="U278" s="756"/>
      <c r="V278" s="1632"/>
      <c r="W278" s="755">
        <v>246.65299999999999</v>
      </c>
      <c r="X278" s="55"/>
      <c r="Y278" s="756">
        <v>535951.94099999999</v>
      </c>
      <c r="Z278" s="756">
        <v>3557827.3130000001</v>
      </c>
      <c r="AA278" s="762"/>
    </row>
    <row r="279" spans="1:27">
      <c r="A279" s="891"/>
      <c r="B279" s="55"/>
      <c r="C279" s="55"/>
      <c r="D279" s="55">
        <v>325.52499999999998</v>
      </c>
      <c r="E279" s="1634"/>
      <c r="F279" s="55"/>
      <c r="G279" s="757"/>
      <c r="H279" s="757"/>
      <c r="I279" s="888"/>
      <c r="J279" s="891"/>
      <c r="K279" s="55"/>
      <c r="L279" s="55"/>
      <c r="M279" s="891"/>
      <c r="N279" s="891"/>
      <c r="O279" s="891"/>
      <c r="P279" s="891"/>
      <c r="Q279" s="891"/>
      <c r="R279" s="891"/>
      <c r="S279" s="891"/>
      <c r="T279" s="891"/>
      <c r="U279" s="756">
        <v>325.52499999999998</v>
      </c>
      <c r="V279" s="1632"/>
      <c r="W279" s="755"/>
      <c r="X279" s="55"/>
      <c r="Y279" s="754"/>
      <c r="Z279" s="754"/>
      <c r="AA279" s="762" t="s">
        <v>2074</v>
      </c>
    </row>
    <row r="280" spans="1:27">
      <c r="A280" s="889">
        <f>A278+1</f>
        <v>138</v>
      </c>
      <c r="B280" s="55" t="s">
        <v>2075</v>
      </c>
      <c r="C280" s="55" t="s">
        <v>1319</v>
      </c>
      <c r="D280" s="55"/>
      <c r="E280" s="1634">
        <v>406.44299999999998</v>
      </c>
      <c r="F280" s="55" t="s">
        <v>2076</v>
      </c>
      <c r="G280" s="757">
        <v>535858.99600000004</v>
      </c>
      <c r="H280" s="757">
        <v>3557515.3390000002</v>
      </c>
      <c r="I280" s="888"/>
      <c r="J280" s="889">
        <f>J278+1</f>
        <v>138</v>
      </c>
      <c r="K280" s="55" t="s">
        <v>2075</v>
      </c>
      <c r="L280" s="55" t="s">
        <v>1277</v>
      </c>
      <c r="M280" s="891"/>
      <c r="N280" s="891"/>
      <c r="O280" s="891"/>
      <c r="P280" s="891"/>
      <c r="Q280" s="891"/>
      <c r="R280" s="891"/>
      <c r="S280" s="891"/>
      <c r="T280" s="891"/>
      <c r="U280" s="756"/>
      <c r="V280" s="1632">
        <v>406.44299999999998</v>
      </c>
      <c r="W280" s="755">
        <v>246.50399999999999</v>
      </c>
      <c r="X280" s="55" t="s">
        <v>2077</v>
      </c>
      <c r="Y280" s="756">
        <v>535858.99600000004</v>
      </c>
      <c r="Z280" s="756">
        <v>3557515.3390000002</v>
      </c>
      <c r="AA280" s="762"/>
    </row>
    <row r="281" spans="1:27">
      <c r="A281" s="891"/>
      <c r="B281" s="55"/>
      <c r="C281" s="55"/>
      <c r="D281" s="55">
        <v>406.44299999999998</v>
      </c>
      <c r="E281" s="1634"/>
      <c r="F281" s="55"/>
      <c r="G281" s="757"/>
      <c r="H281" s="757"/>
      <c r="I281" s="888"/>
      <c r="J281" s="891"/>
      <c r="K281" s="55"/>
      <c r="L281" s="55"/>
      <c r="M281" s="891"/>
      <c r="N281" s="891"/>
      <c r="O281" s="891"/>
      <c r="P281" s="891"/>
      <c r="Q281" s="891"/>
      <c r="R281" s="891"/>
      <c r="S281" s="891"/>
      <c r="T281" s="891"/>
      <c r="U281" s="756">
        <v>406.44299999999998</v>
      </c>
      <c r="V281" s="1632"/>
      <c r="W281" s="755"/>
      <c r="X281" s="55"/>
      <c r="Y281" s="754"/>
      <c r="Z281" s="754"/>
      <c r="AA281" s="762" t="s">
        <v>2078</v>
      </c>
    </row>
    <row r="282" spans="1:27">
      <c r="A282" s="889">
        <f>A280+1</f>
        <v>139</v>
      </c>
      <c r="B282" s="55" t="s">
        <v>2079</v>
      </c>
      <c r="C282" s="55" t="s">
        <v>1935</v>
      </c>
      <c r="D282" s="55"/>
      <c r="E282" s="1634"/>
      <c r="F282" s="55" t="s">
        <v>2080</v>
      </c>
      <c r="G282" s="757">
        <v>535592.84400000004</v>
      </c>
      <c r="H282" s="757">
        <v>3557208.16</v>
      </c>
      <c r="I282" s="888"/>
      <c r="J282" s="889">
        <f>J280+1</f>
        <v>139</v>
      </c>
      <c r="K282" s="55" t="s">
        <v>2079</v>
      </c>
      <c r="L282" s="55" t="s">
        <v>1935</v>
      </c>
      <c r="M282" s="891"/>
      <c r="N282" s="891"/>
      <c r="O282" s="891"/>
      <c r="P282" s="891"/>
      <c r="Q282" s="891"/>
      <c r="R282" s="891"/>
      <c r="S282" s="891"/>
      <c r="T282" s="891"/>
      <c r="U282" s="756"/>
      <c r="V282" s="1632"/>
      <c r="W282" s="755">
        <v>245.26400000000001</v>
      </c>
      <c r="X282" s="55" t="s">
        <v>2081</v>
      </c>
      <c r="Y282" s="756">
        <v>535592.84400000004</v>
      </c>
      <c r="Z282" s="756">
        <v>3557208.16</v>
      </c>
      <c r="AA282" s="762"/>
    </row>
    <row r="283" spans="1:27">
      <c r="A283" s="891"/>
      <c r="B283" s="55"/>
      <c r="C283" s="55"/>
      <c r="D283" s="55">
        <v>393.08</v>
      </c>
      <c r="E283" s="1634">
        <f>D283+D285</f>
        <v>788.03899999999999</v>
      </c>
      <c r="F283" s="55"/>
      <c r="G283" s="757"/>
      <c r="H283" s="757"/>
      <c r="I283" s="888"/>
      <c r="J283" s="891"/>
      <c r="K283" s="55"/>
      <c r="L283" s="55"/>
      <c r="M283" s="891"/>
      <c r="N283" s="891"/>
      <c r="O283" s="891"/>
      <c r="P283" s="891"/>
      <c r="Q283" s="891"/>
      <c r="R283" s="891"/>
      <c r="S283" s="891"/>
      <c r="T283" s="891"/>
      <c r="U283" s="756">
        <v>423.08100000000002</v>
      </c>
      <c r="V283" s="1632">
        <f>U283+U285</f>
        <v>788.03899999999999</v>
      </c>
      <c r="W283" s="755"/>
      <c r="X283" s="55"/>
      <c r="Y283" s="754"/>
      <c r="Z283" s="754"/>
      <c r="AA283" s="762" t="s">
        <v>2082</v>
      </c>
    </row>
    <row r="284" spans="1:27">
      <c r="A284" s="889">
        <f>A282+1</f>
        <v>140</v>
      </c>
      <c r="B284" s="55" t="s">
        <v>401</v>
      </c>
      <c r="C284" s="55" t="s">
        <v>53</v>
      </c>
      <c r="D284" s="55"/>
      <c r="E284" s="1634"/>
      <c r="F284" s="55"/>
      <c r="G284" s="757">
        <v>535635.66799999995</v>
      </c>
      <c r="H284" s="757">
        <v>3556817.4190000002</v>
      </c>
      <c r="I284" s="888"/>
      <c r="J284" s="889">
        <f>J282+1</f>
        <v>140</v>
      </c>
      <c r="K284" s="55" t="s">
        <v>401</v>
      </c>
      <c r="L284" s="55" t="s">
        <v>62</v>
      </c>
      <c r="M284" s="891"/>
      <c r="N284" s="891"/>
      <c r="O284" s="891"/>
      <c r="P284" s="891"/>
      <c r="Q284" s="891"/>
      <c r="R284" s="891"/>
      <c r="S284" s="891"/>
      <c r="T284" s="891"/>
      <c r="U284" s="756"/>
      <c r="V284" s="1632"/>
      <c r="W284" s="755">
        <v>245.75899999999999</v>
      </c>
      <c r="X284" s="55"/>
      <c r="Y284" s="756">
        <v>535638.93599999999</v>
      </c>
      <c r="Z284" s="756">
        <v>3556787.5970000001</v>
      </c>
      <c r="AA284" s="762"/>
    </row>
    <row r="285" spans="1:27">
      <c r="A285" s="891"/>
      <c r="B285" s="55"/>
      <c r="C285" s="55"/>
      <c r="D285" s="55">
        <v>394.959</v>
      </c>
      <c r="E285" s="1634"/>
      <c r="F285" s="55"/>
      <c r="G285" s="757"/>
      <c r="H285" s="757"/>
      <c r="I285" s="888"/>
      <c r="J285" s="891"/>
      <c r="K285" s="55"/>
      <c r="L285" s="55"/>
      <c r="M285" s="891"/>
      <c r="N285" s="891"/>
      <c r="O285" s="891"/>
      <c r="P285" s="891"/>
      <c r="Q285" s="891"/>
      <c r="R285" s="891"/>
      <c r="S285" s="891"/>
      <c r="T285" s="891"/>
      <c r="U285" s="756">
        <v>364.95800000000003</v>
      </c>
      <c r="V285" s="1632"/>
      <c r="W285" s="755"/>
      <c r="X285" s="55"/>
      <c r="Y285" s="754"/>
      <c r="Z285" s="754"/>
      <c r="AA285" s="762" t="s">
        <v>2083</v>
      </c>
    </row>
    <row r="286" spans="1:27">
      <c r="A286" s="889">
        <f>A284+1</f>
        <v>141</v>
      </c>
      <c r="B286" s="55" t="s">
        <v>2084</v>
      </c>
      <c r="C286" s="55" t="s">
        <v>1934</v>
      </c>
      <c r="D286" s="55"/>
      <c r="E286" s="1634">
        <f>D287+D289</f>
        <v>757.57500000000005</v>
      </c>
      <c r="F286" s="55" t="s">
        <v>2085</v>
      </c>
      <c r="G286" s="757">
        <v>535678.696</v>
      </c>
      <c r="H286" s="757">
        <v>3556424.8110000002</v>
      </c>
      <c r="I286" s="888"/>
      <c r="J286" s="889">
        <f>J284+1</f>
        <v>141</v>
      </c>
      <c r="K286" s="55" t="s">
        <v>2084</v>
      </c>
      <c r="L286" s="55" t="s">
        <v>1934</v>
      </c>
      <c r="M286" s="891"/>
      <c r="N286" s="891"/>
      <c r="O286" s="891"/>
      <c r="P286" s="891"/>
      <c r="Q286" s="891"/>
      <c r="R286" s="891"/>
      <c r="S286" s="891"/>
      <c r="T286" s="891"/>
      <c r="U286" s="756"/>
      <c r="V286" s="1632">
        <f>U287+U289</f>
        <v>757.57500000000005</v>
      </c>
      <c r="W286" s="755">
        <v>245.81899999999999</v>
      </c>
      <c r="X286" s="55" t="s">
        <v>2086</v>
      </c>
      <c r="Y286" s="756">
        <v>535678.696</v>
      </c>
      <c r="Z286" s="756">
        <v>3556424.8110000002</v>
      </c>
      <c r="AA286" s="762"/>
    </row>
    <row r="287" spans="1:27">
      <c r="A287" s="891"/>
      <c r="B287" s="55"/>
      <c r="C287" s="55"/>
      <c r="D287" s="55">
        <v>380.94900000000001</v>
      </c>
      <c r="E287" s="1634"/>
      <c r="F287" s="55"/>
      <c r="G287" s="757"/>
      <c r="H287" s="757"/>
      <c r="I287" s="888"/>
      <c r="J287" s="891"/>
      <c r="K287" s="55"/>
      <c r="L287" s="55"/>
      <c r="M287" s="891"/>
      <c r="N287" s="891"/>
      <c r="O287" s="891"/>
      <c r="P287" s="891"/>
      <c r="Q287" s="891"/>
      <c r="R287" s="891"/>
      <c r="S287" s="891"/>
      <c r="T287" s="891"/>
      <c r="U287" s="756">
        <v>380.94900000000001</v>
      </c>
      <c r="V287" s="1632"/>
      <c r="W287" s="755"/>
      <c r="X287" s="55"/>
      <c r="Y287" s="754"/>
      <c r="Z287" s="754"/>
      <c r="AA287" s="762" t="s">
        <v>2087</v>
      </c>
    </row>
    <row r="288" spans="1:27">
      <c r="A288" s="889">
        <f>A286+1</f>
        <v>142</v>
      </c>
      <c r="B288" s="55" t="s">
        <v>219</v>
      </c>
      <c r="C288" s="55" t="s">
        <v>76</v>
      </c>
      <c r="D288" s="55"/>
      <c r="E288" s="1634"/>
      <c r="F288" s="55" t="s">
        <v>2088</v>
      </c>
      <c r="G288" s="757">
        <v>535775.66099999996</v>
      </c>
      <c r="H288" s="757">
        <v>3556056.409</v>
      </c>
      <c r="I288" s="888"/>
      <c r="J288" s="889">
        <f>J286+1</f>
        <v>142</v>
      </c>
      <c r="K288" s="55" t="s">
        <v>219</v>
      </c>
      <c r="L288" s="55" t="s">
        <v>76</v>
      </c>
      <c r="M288" s="891"/>
      <c r="N288" s="891"/>
      <c r="O288" s="891"/>
      <c r="P288" s="891"/>
      <c r="Q288" s="891"/>
      <c r="R288" s="891"/>
      <c r="S288" s="891"/>
      <c r="T288" s="891"/>
      <c r="U288" s="756"/>
      <c r="V288" s="1632"/>
      <c r="W288" s="755">
        <v>245.47800000000001</v>
      </c>
      <c r="X288" s="55"/>
      <c r="Y288" s="756">
        <v>535775.66099999996</v>
      </c>
      <c r="Z288" s="756">
        <v>3556056.409</v>
      </c>
      <c r="AA288" s="762"/>
    </row>
    <row r="289" spans="1:27">
      <c r="A289" s="891"/>
      <c r="B289" s="55"/>
      <c r="C289" s="55"/>
      <c r="D289" s="55">
        <v>376.62599999999998</v>
      </c>
      <c r="E289" s="1634"/>
      <c r="F289" s="55"/>
      <c r="G289" s="757"/>
      <c r="H289" s="757"/>
      <c r="I289" s="888"/>
      <c r="J289" s="891"/>
      <c r="K289" s="55"/>
      <c r="L289" s="55"/>
      <c r="M289" s="891"/>
      <c r="N289" s="891"/>
      <c r="O289" s="891"/>
      <c r="P289" s="891"/>
      <c r="Q289" s="891"/>
      <c r="R289" s="891"/>
      <c r="S289" s="891"/>
      <c r="T289" s="891"/>
      <c r="U289" s="756">
        <v>376.62599999999998</v>
      </c>
      <c r="V289" s="1632"/>
      <c r="W289" s="755"/>
      <c r="X289" s="55"/>
      <c r="Y289" s="754"/>
      <c r="Z289" s="754"/>
      <c r="AA289" s="762" t="s">
        <v>2089</v>
      </c>
    </row>
    <row r="290" spans="1:27">
      <c r="A290" s="889">
        <f>A288+1</f>
        <v>143</v>
      </c>
      <c r="B290" s="55" t="s">
        <v>2090</v>
      </c>
      <c r="C290" s="55" t="s">
        <v>1277</v>
      </c>
      <c r="D290" s="55"/>
      <c r="E290" s="1634">
        <f>D291+D293</f>
        <v>547.97500000000002</v>
      </c>
      <c r="F290" s="761" t="s">
        <v>2088</v>
      </c>
      <c r="G290" s="757">
        <v>535871.52500000002</v>
      </c>
      <c r="H290" s="757">
        <v>3555692.1880000001</v>
      </c>
      <c r="I290" s="888"/>
      <c r="J290" s="889">
        <f>J288+1</f>
        <v>143</v>
      </c>
      <c r="K290" s="55" t="s">
        <v>2090</v>
      </c>
      <c r="L290" s="55" t="s">
        <v>1277</v>
      </c>
      <c r="M290" s="891"/>
      <c r="N290" s="891"/>
      <c r="O290" s="891"/>
      <c r="P290" s="891"/>
      <c r="Q290" s="891"/>
      <c r="R290" s="891"/>
      <c r="S290" s="891"/>
      <c r="T290" s="891"/>
      <c r="U290" s="756"/>
      <c r="V290" s="1632">
        <f>U291+U293</f>
        <v>563.91899999999998</v>
      </c>
      <c r="W290" s="755">
        <v>245.25200000000001</v>
      </c>
      <c r="X290" s="55" t="s">
        <v>2091</v>
      </c>
      <c r="Y290" s="756">
        <v>535871.52500000002</v>
      </c>
      <c r="Z290" s="756">
        <v>3555692.1880000001</v>
      </c>
      <c r="AA290" s="762"/>
    </row>
    <row r="291" spans="1:27">
      <c r="A291" s="891"/>
      <c r="B291" s="55"/>
      <c r="C291" s="55"/>
      <c r="D291" s="55">
        <v>299.10899999999998</v>
      </c>
      <c r="E291" s="1634"/>
      <c r="F291" s="761"/>
      <c r="G291" s="757"/>
      <c r="H291" s="757"/>
      <c r="I291" s="888"/>
      <c r="J291" s="891"/>
      <c r="K291" s="55"/>
      <c r="L291" s="55"/>
      <c r="M291" s="891"/>
      <c r="N291" s="891"/>
      <c r="O291" s="891"/>
      <c r="P291" s="891"/>
      <c r="Q291" s="891"/>
      <c r="R291" s="891"/>
      <c r="S291" s="891"/>
      <c r="T291" s="891"/>
      <c r="U291" s="756">
        <v>299.077</v>
      </c>
      <c r="V291" s="1632"/>
      <c r="W291" s="755"/>
      <c r="X291" s="55"/>
      <c r="Y291" s="754"/>
      <c r="Z291" s="754"/>
      <c r="AA291" s="762" t="s">
        <v>2087</v>
      </c>
    </row>
    <row r="292" spans="1:27">
      <c r="A292" s="889">
        <f>A290+1</f>
        <v>144</v>
      </c>
      <c r="B292" s="55" t="s">
        <v>170</v>
      </c>
      <c r="C292" s="55" t="s">
        <v>76</v>
      </c>
      <c r="D292" s="55"/>
      <c r="E292" s="1634"/>
      <c r="F292" s="761"/>
      <c r="G292" s="757">
        <v>535834.95400000003</v>
      </c>
      <c r="H292" s="757">
        <v>3555395.3229999999</v>
      </c>
      <c r="I292" s="888"/>
      <c r="J292" s="889">
        <f>J290+1</f>
        <v>144</v>
      </c>
      <c r="K292" s="55" t="s">
        <v>170</v>
      </c>
      <c r="L292" s="55" t="s">
        <v>76</v>
      </c>
      <c r="M292" s="891"/>
      <c r="N292" s="891"/>
      <c r="O292" s="891"/>
      <c r="P292" s="891"/>
      <c r="Q292" s="891"/>
      <c r="R292" s="891"/>
      <c r="S292" s="891"/>
      <c r="T292" s="891"/>
      <c r="U292" s="756"/>
      <c r="V292" s="1632"/>
      <c r="W292" s="755">
        <v>245.05</v>
      </c>
      <c r="X292" s="55"/>
      <c r="Y292" s="756">
        <v>535834.22199999995</v>
      </c>
      <c r="Z292" s="756">
        <v>3555395.446</v>
      </c>
      <c r="AA292" s="762"/>
    </row>
    <row r="293" spans="1:27">
      <c r="A293" s="891"/>
      <c r="B293" s="55"/>
      <c r="C293" s="55"/>
      <c r="D293" s="55">
        <v>248.86600000000001</v>
      </c>
      <c r="E293" s="1634"/>
      <c r="F293" s="761"/>
      <c r="G293" s="757"/>
      <c r="H293" s="757"/>
      <c r="I293" s="888"/>
      <c r="J293" s="891"/>
      <c r="K293" s="55"/>
      <c r="L293" s="55"/>
      <c r="M293" s="891"/>
      <c r="N293" s="891"/>
      <c r="O293" s="891"/>
      <c r="P293" s="891"/>
      <c r="Q293" s="891"/>
      <c r="R293" s="891"/>
      <c r="S293" s="891"/>
      <c r="T293" s="891"/>
      <c r="U293" s="756">
        <v>264.84199999999998</v>
      </c>
      <c r="V293" s="1632"/>
      <c r="W293" s="755"/>
      <c r="X293" s="55"/>
      <c r="Y293" s="754"/>
      <c r="Z293" s="754"/>
      <c r="AA293" s="762" t="s">
        <v>2092</v>
      </c>
    </row>
    <row r="294" spans="1:27">
      <c r="A294" s="889">
        <f>A292+1</f>
        <v>145</v>
      </c>
      <c r="B294" s="55" t="s">
        <v>2093</v>
      </c>
      <c r="C294" s="55" t="s">
        <v>1269</v>
      </c>
      <c r="D294" s="55"/>
      <c r="E294" s="1634">
        <f>D295+D297+D299</f>
        <v>1097.2359999999999</v>
      </c>
      <c r="F294" s="761" t="s">
        <v>2094</v>
      </c>
      <c r="G294" s="757">
        <v>535804.52500000002</v>
      </c>
      <c r="H294" s="757">
        <v>3555148.324</v>
      </c>
      <c r="I294" s="888"/>
      <c r="J294" s="889">
        <f>J292+1</f>
        <v>145</v>
      </c>
      <c r="K294" s="55" t="s">
        <v>2093</v>
      </c>
      <c r="L294" s="55" t="s">
        <v>1269</v>
      </c>
      <c r="M294" s="891"/>
      <c r="N294" s="891"/>
      <c r="O294" s="891"/>
      <c r="P294" s="891"/>
      <c r="Q294" s="891"/>
      <c r="R294" s="891"/>
      <c r="S294" s="891"/>
      <c r="T294" s="891"/>
      <c r="U294" s="756"/>
      <c r="V294" s="1632">
        <f>U295+U297+U299</f>
        <v>1081.2330000000002</v>
      </c>
      <c r="W294" s="755">
        <v>244.83</v>
      </c>
      <c r="X294" s="55" t="s">
        <v>2095</v>
      </c>
      <c r="Y294" s="756">
        <v>535801.18799999997</v>
      </c>
      <c r="Z294" s="756">
        <v>3555132.673</v>
      </c>
      <c r="AA294" s="762"/>
    </row>
    <row r="295" spans="1:27">
      <c r="A295" s="891"/>
      <c r="B295" s="55"/>
      <c r="C295" s="55"/>
      <c r="D295" s="55">
        <v>380.06799999999998</v>
      </c>
      <c r="E295" s="1634"/>
      <c r="F295" s="761"/>
      <c r="G295" s="757"/>
      <c r="H295" s="757"/>
      <c r="I295" s="888"/>
      <c r="J295" s="891"/>
      <c r="K295" s="55"/>
      <c r="L295" s="55"/>
      <c r="M295" s="891"/>
      <c r="N295" s="891"/>
      <c r="O295" s="891"/>
      <c r="P295" s="891"/>
      <c r="Q295" s="891"/>
      <c r="R295" s="891"/>
      <c r="S295" s="891"/>
      <c r="T295" s="891"/>
      <c r="U295" s="756">
        <v>364.06400000000002</v>
      </c>
      <c r="V295" s="1632"/>
      <c r="W295" s="755"/>
      <c r="X295" s="55"/>
      <c r="Y295" s="754"/>
      <c r="Z295" s="754"/>
      <c r="AA295" s="762" t="s">
        <v>2096</v>
      </c>
    </row>
    <row r="296" spans="1:27">
      <c r="A296" s="889">
        <f>A294+1</f>
        <v>146</v>
      </c>
      <c r="B296" s="55" t="s">
        <v>229</v>
      </c>
      <c r="C296" s="55" t="s">
        <v>76</v>
      </c>
      <c r="D296" s="55"/>
      <c r="E296" s="1634"/>
      <c r="F296" s="761"/>
      <c r="G296" s="757">
        <v>535725.26500000001</v>
      </c>
      <c r="H296" s="757">
        <v>3554776.6129999999</v>
      </c>
      <c r="I296" s="888"/>
      <c r="J296" s="889">
        <f>J294+1</f>
        <v>146</v>
      </c>
      <c r="K296" s="55" t="s">
        <v>229</v>
      </c>
      <c r="L296" s="55" t="s">
        <v>76</v>
      </c>
      <c r="M296" s="891"/>
      <c r="N296" s="891"/>
      <c r="O296" s="891"/>
      <c r="P296" s="891"/>
      <c r="Q296" s="891"/>
      <c r="R296" s="891"/>
      <c r="S296" s="891"/>
      <c r="T296" s="891"/>
      <c r="U296" s="756"/>
      <c r="V296" s="1632"/>
      <c r="W296" s="755">
        <v>244.34700000000001</v>
      </c>
      <c r="X296" s="55"/>
      <c r="Y296" s="756">
        <v>535725.26500000001</v>
      </c>
      <c r="Z296" s="756">
        <v>3554776.6129999999</v>
      </c>
      <c r="AA296" s="762"/>
    </row>
    <row r="297" spans="1:27">
      <c r="A297" s="891"/>
      <c r="B297" s="55"/>
      <c r="C297" s="55"/>
      <c r="D297" s="55">
        <v>319.18400000000003</v>
      </c>
      <c r="E297" s="1634"/>
      <c r="F297" s="761"/>
      <c r="G297" s="757"/>
      <c r="H297" s="757"/>
      <c r="I297" s="888"/>
      <c r="J297" s="891"/>
      <c r="K297" s="55"/>
      <c r="L297" s="55"/>
      <c r="M297" s="891"/>
      <c r="N297" s="891"/>
      <c r="O297" s="891"/>
      <c r="P297" s="891"/>
      <c r="Q297" s="891"/>
      <c r="R297" s="891"/>
      <c r="S297" s="891"/>
      <c r="T297" s="891"/>
      <c r="U297" s="756">
        <v>319.18400000000003</v>
      </c>
      <c r="V297" s="1632"/>
      <c r="W297" s="755"/>
      <c r="X297" s="55"/>
      <c r="Y297" s="754"/>
      <c r="Z297" s="754"/>
      <c r="AA297" s="762" t="s">
        <v>2087</v>
      </c>
    </row>
    <row r="298" spans="1:27">
      <c r="A298" s="889">
        <f>A296+1</f>
        <v>147</v>
      </c>
      <c r="B298" s="55" t="s">
        <v>106</v>
      </c>
      <c r="C298" s="55" t="s">
        <v>76</v>
      </c>
      <c r="D298" s="55"/>
      <c r="E298" s="1634"/>
      <c r="F298" s="761"/>
      <c r="G298" s="757">
        <v>535658.701</v>
      </c>
      <c r="H298" s="757">
        <v>3554464.4470000002</v>
      </c>
      <c r="I298" s="888"/>
      <c r="J298" s="889">
        <f>J296+1</f>
        <v>147</v>
      </c>
      <c r="K298" s="55" t="s">
        <v>106</v>
      </c>
      <c r="L298" s="55" t="s">
        <v>76</v>
      </c>
      <c r="M298" s="891"/>
      <c r="N298" s="891"/>
      <c r="O298" s="891"/>
      <c r="P298" s="891"/>
      <c r="Q298" s="891"/>
      <c r="R298" s="891"/>
      <c r="S298" s="891"/>
      <c r="T298" s="891"/>
      <c r="U298" s="756"/>
      <c r="V298" s="1632"/>
      <c r="W298" s="755">
        <v>244.154</v>
      </c>
      <c r="X298" s="55"/>
      <c r="Y298" s="756">
        <v>535658.701</v>
      </c>
      <c r="Z298" s="756">
        <v>3554464.4470000002</v>
      </c>
      <c r="AA298" s="895"/>
    </row>
    <row r="299" spans="1:27">
      <c r="A299" s="891"/>
      <c r="B299" s="55"/>
      <c r="C299" s="55"/>
      <c r="D299" s="55">
        <v>397.98399999999998</v>
      </c>
      <c r="E299" s="1634"/>
      <c r="F299" s="761"/>
      <c r="G299" s="757"/>
      <c r="H299" s="757"/>
      <c r="I299" s="888"/>
      <c r="J299" s="891"/>
      <c r="K299" s="55"/>
      <c r="L299" s="55"/>
      <c r="M299" s="891"/>
      <c r="N299" s="891"/>
      <c r="O299" s="891"/>
      <c r="P299" s="891"/>
      <c r="Q299" s="891"/>
      <c r="R299" s="891"/>
      <c r="S299" s="891"/>
      <c r="T299" s="891"/>
      <c r="U299" s="756">
        <v>397.98500000000001</v>
      </c>
      <c r="V299" s="1632"/>
      <c r="W299" s="755"/>
      <c r="X299" s="55"/>
      <c r="Y299" s="754"/>
      <c r="Z299" s="754"/>
      <c r="AA299" s="762" t="s">
        <v>2097</v>
      </c>
    </row>
    <row r="300" spans="1:27">
      <c r="A300" s="889">
        <f>A298+1</f>
        <v>148</v>
      </c>
      <c r="B300" s="55" t="s">
        <v>2098</v>
      </c>
      <c r="C300" s="55" t="s">
        <v>1977</v>
      </c>
      <c r="D300" s="55"/>
      <c r="E300" s="1634">
        <v>450.85899999999998</v>
      </c>
      <c r="F300" s="55" t="s">
        <v>2099</v>
      </c>
      <c r="G300" s="757">
        <v>535575.70400000003</v>
      </c>
      <c r="H300" s="757">
        <v>3554075.213</v>
      </c>
      <c r="I300" s="888"/>
      <c r="J300" s="889">
        <f>J298+1</f>
        <v>148</v>
      </c>
      <c r="K300" s="55" t="s">
        <v>2098</v>
      </c>
      <c r="L300" s="55" t="s">
        <v>1977</v>
      </c>
      <c r="M300" s="891"/>
      <c r="N300" s="891"/>
      <c r="O300" s="891"/>
      <c r="P300" s="891"/>
      <c r="Q300" s="891"/>
      <c r="R300" s="891"/>
      <c r="S300" s="891"/>
      <c r="T300" s="891"/>
      <c r="U300" s="756"/>
      <c r="V300" s="1632">
        <v>450.85899999999998</v>
      </c>
      <c r="W300" s="755">
        <v>244.07400000000001</v>
      </c>
      <c r="X300" s="55" t="s">
        <v>2100</v>
      </c>
      <c r="Y300" s="756">
        <v>535575.70400000003</v>
      </c>
      <c r="Z300" s="756">
        <v>3554075.213</v>
      </c>
      <c r="AA300" s="762"/>
    </row>
    <row r="301" spans="1:27">
      <c r="A301" s="891"/>
      <c r="B301" s="55"/>
      <c r="C301" s="55"/>
      <c r="D301" s="55">
        <v>450.85899999999998</v>
      </c>
      <c r="E301" s="1634"/>
      <c r="F301" s="761"/>
      <c r="G301" s="757"/>
      <c r="H301" s="757"/>
      <c r="I301" s="888"/>
      <c r="J301" s="891"/>
      <c r="K301" s="55"/>
      <c r="L301" s="55"/>
      <c r="M301" s="891"/>
      <c r="N301" s="891"/>
      <c r="O301" s="891"/>
      <c r="P301" s="891"/>
      <c r="Q301" s="891"/>
      <c r="R301" s="891"/>
      <c r="S301" s="891"/>
      <c r="T301" s="891"/>
      <c r="U301" s="756">
        <v>450.85899999999998</v>
      </c>
      <c r="V301" s="1632"/>
      <c r="W301" s="755"/>
      <c r="X301" s="55"/>
      <c r="Y301" s="754"/>
      <c r="Z301" s="754"/>
      <c r="AA301" s="762" t="s">
        <v>2101</v>
      </c>
    </row>
    <row r="302" spans="1:27">
      <c r="A302" s="889">
        <f>A300+1</f>
        <v>149</v>
      </c>
      <c r="B302" s="55" t="s">
        <v>2102</v>
      </c>
      <c r="C302" s="55" t="s">
        <v>1953</v>
      </c>
      <c r="D302" s="55"/>
      <c r="E302" s="1634"/>
      <c r="F302" s="761" t="s">
        <v>2103</v>
      </c>
      <c r="G302" s="757">
        <v>535578.74300000002</v>
      </c>
      <c r="H302" s="757">
        <v>3553624.3640000001</v>
      </c>
      <c r="I302" s="888"/>
      <c r="J302" s="889">
        <f>J300+1</f>
        <v>149</v>
      </c>
      <c r="K302" s="55" t="s">
        <v>2102</v>
      </c>
      <c r="L302" s="55" t="s">
        <v>1953</v>
      </c>
      <c r="M302" s="891"/>
      <c r="N302" s="891"/>
      <c r="O302" s="891"/>
      <c r="P302" s="891"/>
      <c r="Q302" s="891"/>
      <c r="R302" s="891"/>
      <c r="S302" s="891"/>
      <c r="T302" s="891"/>
      <c r="U302" s="756"/>
      <c r="V302" s="1632"/>
      <c r="W302" s="755">
        <v>243.572</v>
      </c>
      <c r="X302" s="55" t="s">
        <v>2104</v>
      </c>
      <c r="Y302" s="756">
        <v>535578.74300000002</v>
      </c>
      <c r="Z302" s="756">
        <v>3553624.3640000001</v>
      </c>
      <c r="AA302" s="762"/>
    </row>
    <row r="303" spans="1:27">
      <c r="A303" s="891"/>
      <c r="B303" s="55"/>
      <c r="C303" s="55"/>
      <c r="D303" s="55">
        <v>326.47800000000001</v>
      </c>
      <c r="E303" s="1634">
        <f>D303+D305</f>
        <v>602.84100000000001</v>
      </c>
      <c r="F303" s="55"/>
      <c r="G303" s="757"/>
      <c r="H303" s="757"/>
      <c r="I303" s="888"/>
      <c r="J303" s="891"/>
      <c r="K303" s="55"/>
      <c r="L303" s="55"/>
      <c r="M303" s="891"/>
      <c r="N303" s="891"/>
      <c r="O303" s="891"/>
      <c r="P303" s="891"/>
      <c r="Q303" s="891"/>
      <c r="R303" s="891"/>
      <c r="S303" s="891"/>
      <c r="T303" s="891"/>
      <c r="U303" s="756">
        <v>326.47699999999998</v>
      </c>
      <c r="V303" s="1632">
        <f>U303+U305</f>
        <v>602.83999999999992</v>
      </c>
      <c r="W303" s="755"/>
      <c r="X303" s="55"/>
      <c r="Y303" s="754"/>
      <c r="Z303" s="754"/>
      <c r="AA303" s="762"/>
    </row>
    <row r="304" spans="1:27">
      <c r="A304" s="889">
        <f>A302+1</f>
        <v>150</v>
      </c>
      <c r="B304" s="55" t="s">
        <v>144</v>
      </c>
      <c r="C304" s="55" t="s">
        <v>76</v>
      </c>
      <c r="D304" s="55"/>
      <c r="E304" s="1634"/>
      <c r="F304" s="55"/>
      <c r="G304" s="757">
        <v>535484.46100000001</v>
      </c>
      <c r="H304" s="757">
        <v>3553311.7960000001</v>
      </c>
      <c r="I304" s="888"/>
      <c r="J304" s="889">
        <f>J302+1</f>
        <v>150</v>
      </c>
      <c r="K304" s="55" t="s">
        <v>144</v>
      </c>
      <c r="L304" s="55" t="s">
        <v>76</v>
      </c>
      <c r="M304" s="891"/>
      <c r="N304" s="891"/>
      <c r="O304" s="891"/>
      <c r="P304" s="891"/>
      <c r="Q304" s="891"/>
      <c r="R304" s="891"/>
      <c r="S304" s="891"/>
      <c r="T304" s="891"/>
      <c r="U304" s="756"/>
      <c r="V304" s="1632"/>
      <c r="W304" s="755">
        <v>243.96299999999999</v>
      </c>
      <c r="X304" s="55"/>
      <c r="Y304" s="756">
        <v>535484.46100000001</v>
      </c>
      <c r="Z304" s="756">
        <v>3553311.7969999998</v>
      </c>
      <c r="AA304" s="762"/>
    </row>
    <row r="305" spans="1:27">
      <c r="A305" s="891"/>
      <c r="B305" s="55"/>
      <c r="C305" s="55"/>
      <c r="D305" s="55">
        <v>276.363</v>
      </c>
      <c r="E305" s="1634"/>
      <c r="F305" s="55"/>
      <c r="G305" s="757"/>
      <c r="H305" s="757"/>
      <c r="I305" s="888"/>
      <c r="J305" s="891"/>
      <c r="K305" s="55"/>
      <c r="L305" s="55"/>
      <c r="M305" s="891"/>
      <c r="N305" s="891"/>
      <c r="O305" s="891"/>
      <c r="P305" s="891"/>
      <c r="Q305" s="891"/>
      <c r="R305" s="891"/>
      <c r="S305" s="891"/>
      <c r="T305" s="891"/>
      <c r="U305" s="756">
        <v>276.363</v>
      </c>
      <c r="V305" s="1632"/>
      <c r="W305" s="755"/>
      <c r="X305" s="55"/>
      <c r="Y305" s="754"/>
      <c r="Z305" s="754"/>
      <c r="AA305" s="762" t="s">
        <v>2105</v>
      </c>
    </row>
    <row r="306" spans="1:27">
      <c r="A306" s="889">
        <f>A304+1</f>
        <v>151</v>
      </c>
      <c r="B306" s="55" t="s">
        <v>2106</v>
      </c>
      <c r="C306" s="754" t="s">
        <v>1269</v>
      </c>
      <c r="D306" s="55"/>
      <c r="E306" s="1634"/>
      <c r="F306" s="55" t="s">
        <v>2107</v>
      </c>
      <c r="G306" s="756">
        <v>535404.652</v>
      </c>
      <c r="H306" s="756">
        <v>3553047.2080000001</v>
      </c>
      <c r="I306" s="888"/>
      <c r="J306" s="889">
        <f>J304+1</f>
        <v>151</v>
      </c>
      <c r="K306" s="55" t="s">
        <v>2106</v>
      </c>
      <c r="L306" s="754" t="s">
        <v>1269</v>
      </c>
      <c r="M306" s="891"/>
      <c r="N306" s="891"/>
      <c r="O306" s="891"/>
      <c r="P306" s="891"/>
      <c r="Q306" s="891"/>
      <c r="R306" s="891"/>
      <c r="S306" s="891"/>
      <c r="T306" s="891"/>
      <c r="U306" s="756"/>
      <c r="V306" s="1632"/>
      <c r="W306" s="755">
        <v>243.196</v>
      </c>
      <c r="X306" s="55" t="s">
        <v>2108</v>
      </c>
      <c r="Y306" s="756">
        <v>535404.652</v>
      </c>
      <c r="Z306" s="756">
        <v>3553047.2080000001</v>
      </c>
      <c r="AA306" s="762"/>
    </row>
    <row r="307" spans="1:27">
      <c r="A307" s="891"/>
      <c r="B307" s="55"/>
      <c r="C307" s="754"/>
      <c r="D307" s="55">
        <v>307.21600000000001</v>
      </c>
      <c r="E307" s="1633">
        <f>D307+D309+D311+D313+D315+D317</f>
        <v>2228.4919999999997</v>
      </c>
      <c r="F307" s="55"/>
      <c r="G307" s="756"/>
      <c r="H307" s="756"/>
      <c r="I307" s="888"/>
      <c r="J307" s="891"/>
      <c r="K307" s="55"/>
      <c r="L307" s="754"/>
      <c r="M307" s="891"/>
      <c r="N307" s="891"/>
      <c r="O307" s="891"/>
      <c r="P307" s="891"/>
      <c r="Q307" s="891"/>
      <c r="R307" s="891"/>
      <c r="S307" s="891"/>
      <c r="T307" s="891"/>
      <c r="U307" s="756">
        <v>307.21600000000001</v>
      </c>
      <c r="V307" s="1632">
        <f>U307+U309+U311+U313+U315+U317</f>
        <v>2228.4919999999997</v>
      </c>
      <c r="W307" s="755"/>
      <c r="X307" s="55"/>
      <c r="Y307" s="754"/>
      <c r="Z307" s="754"/>
      <c r="AA307" s="762" t="s">
        <v>2066</v>
      </c>
    </row>
    <row r="308" spans="1:27">
      <c r="A308" s="889">
        <f>A306+1</f>
        <v>152</v>
      </c>
      <c r="B308" s="55" t="s">
        <v>251</v>
      </c>
      <c r="C308" s="754" t="s">
        <v>76</v>
      </c>
      <c r="D308" s="55"/>
      <c r="E308" s="1633"/>
      <c r="F308" s="55"/>
      <c r="G308" s="756">
        <v>535253.78200000001</v>
      </c>
      <c r="H308" s="756">
        <v>3552779.5890000002</v>
      </c>
      <c r="I308" s="888"/>
      <c r="J308" s="889">
        <f>J306+1</f>
        <v>152</v>
      </c>
      <c r="K308" s="55" t="s">
        <v>251</v>
      </c>
      <c r="L308" s="754" t="s">
        <v>76</v>
      </c>
      <c r="M308" s="891"/>
      <c r="N308" s="891"/>
      <c r="O308" s="891"/>
      <c r="P308" s="891"/>
      <c r="Q308" s="891"/>
      <c r="R308" s="891"/>
      <c r="S308" s="891"/>
      <c r="T308" s="891"/>
      <c r="U308" s="756"/>
      <c r="V308" s="1632"/>
      <c r="W308" s="755">
        <v>243.21799999999999</v>
      </c>
      <c r="X308" s="55"/>
      <c r="Y308" s="756">
        <v>535253.78200000001</v>
      </c>
      <c r="Z308" s="756">
        <v>3552779.5890000002</v>
      </c>
      <c r="AA308" s="762"/>
    </row>
    <row r="309" spans="1:27">
      <c r="A309" s="891"/>
      <c r="B309" s="55"/>
      <c r="C309" s="754"/>
      <c r="D309" s="55">
        <v>389.39699999999999</v>
      </c>
      <c r="E309" s="1633"/>
      <c r="F309" s="55"/>
      <c r="G309" s="756"/>
      <c r="H309" s="756"/>
      <c r="I309" s="888"/>
      <c r="J309" s="891"/>
      <c r="K309" s="55"/>
      <c r="L309" s="754"/>
      <c r="M309" s="891"/>
      <c r="N309" s="891"/>
      <c r="O309" s="891"/>
      <c r="P309" s="891"/>
      <c r="Q309" s="891"/>
      <c r="R309" s="891"/>
      <c r="S309" s="891"/>
      <c r="T309" s="891"/>
      <c r="U309" s="756">
        <v>389.39699999999999</v>
      </c>
      <c r="V309" s="1632"/>
      <c r="W309" s="755"/>
      <c r="X309" s="55"/>
      <c r="Y309" s="754"/>
      <c r="Z309" s="754"/>
      <c r="AA309" s="762" t="s">
        <v>2109</v>
      </c>
    </row>
    <row r="310" spans="1:27">
      <c r="A310" s="889">
        <f>A308+1</f>
        <v>153</v>
      </c>
      <c r="B310" s="55" t="s">
        <v>118</v>
      </c>
      <c r="C310" s="754" t="s">
        <v>53</v>
      </c>
      <c r="D310" s="55"/>
      <c r="E310" s="1633"/>
      <c r="F310" s="55"/>
      <c r="G310" s="756">
        <v>535062.55299999996</v>
      </c>
      <c r="H310" s="756">
        <v>3552440.3810000001</v>
      </c>
      <c r="I310" s="888"/>
      <c r="J310" s="889">
        <f>J308+1</f>
        <v>153</v>
      </c>
      <c r="K310" s="55" t="s">
        <v>118</v>
      </c>
      <c r="L310" s="754" t="s">
        <v>53</v>
      </c>
      <c r="M310" s="891"/>
      <c r="N310" s="891"/>
      <c r="O310" s="891"/>
      <c r="P310" s="891"/>
      <c r="Q310" s="891"/>
      <c r="R310" s="891"/>
      <c r="S310" s="891"/>
      <c r="T310" s="891"/>
      <c r="U310" s="756"/>
      <c r="V310" s="1632"/>
      <c r="W310" s="755">
        <v>242.83600000000001</v>
      </c>
      <c r="X310" s="55"/>
      <c r="Y310" s="756">
        <v>535062.554</v>
      </c>
      <c r="Z310" s="756">
        <v>3552440.3820000002</v>
      </c>
      <c r="AA310" s="762"/>
    </row>
    <row r="311" spans="1:27">
      <c r="A311" s="891"/>
      <c r="B311" s="55"/>
      <c r="C311" s="754"/>
      <c r="D311" s="55">
        <v>368.79199999999997</v>
      </c>
      <c r="E311" s="1633"/>
      <c r="F311" s="55"/>
      <c r="G311" s="756"/>
      <c r="H311" s="756"/>
      <c r="I311" s="888"/>
      <c r="J311" s="891"/>
      <c r="K311" s="55"/>
      <c r="L311" s="754"/>
      <c r="M311" s="891"/>
      <c r="N311" s="891"/>
      <c r="O311" s="891"/>
      <c r="P311" s="891"/>
      <c r="Q311" s="891"/>
      <c r="R311" s="891"/>
      <c r="S311" s="891"/>
      <c r="T311" s="891"/>
      <c r="U311" s="756">
        <v>368.79199999999997</v>
      </c>
      <c r="V311" s="1632"/>
      <c r="W311" s="755"/>
      <c r="X311" s="55"/>
      <c r="Y311" s="754"/>
      <c r="Z311" s="754"/>
      <c r="AA311" s="762" t="s">
        <v>2110</v>
      </c>
    </row>
    <row r="312" spans="1:27">
      <c r="A312" s="889">
        <f>A310+1</f>
        <v>154</v>
      </c>
      <c r="B312" s="55" t="s">
        <v>134</v>
      </c>
      <c r="C312" s="754" t="s">
        <v>76</v>
      </c>
      <c r="D312" s="55"/>
      <c r="E312" s="1633"/>
      <c r="F312" s="55"/>
      <c r="G312" s="756">
        <v>534881.44400000002</v>
      </c>
      <c r="H312" s="756">
        <v>3552119.1230000001</v>
      </c>
      <c r="I312" s="888"/>
      <c r="J312" s="889">
        <f>J310+1</f>
        <v>154</v>
      </c>
      <c r="K312" s="55" t="s">
        <v>134</v>
      </c>
      <c r="L312" s="754" t="s">
        <v>76</v>
      </c>
      <c r="M312" s="891"/>
      <c r="N312" s="891"/>
      <c r="O312" s="891"/>
      <c r="P312" s="891"/>
      <c r="Q312" s="891"/>
      <c r="R312" s="891"/>
      <c r="S312" s="891"/>
      <c r="T312" s="891"/>
      <c r="U312" s="756"/>
      <c r="V312" s="1632"/>
      <c r="W312" s="755">
        <v>242.40799999999999</v>
      </c>
      <c r="X312" s="55"/>
      <c r="Y312" s="756">
        <v>534881.44400000002</v>
      </c>
      <c r="Z312" s="756">
        <v>3552119.1230000001</v>
      </c>
      <c r="AA312" s="762"/>
    </row>
    <row r="313" spans="1:27">
      <c r="A313" s="891"/>
      <c r="B313" s="55"/>
      <c r="C313" s="754"/>
      <c r="D313" s="55">
        <v>404.38600000000002</v>
      </c>
      <c r="E313" s="1633"/>
      <c r="F313" s="55"/>
      <c r="G313" s="756"/>
      <c r="H313" s="756"/>
      <c r="I313" s="888"/>
      <c r="J313" s="891"/>
      <c r="K313" s="55"/>
      <c r="L313" s="754"/>
      <c r="M313" s="891"/>
      <c r="N313" s="891"/>
      <c r="O313" s="891"/>
      <c r="P313" s="891"/>
      <c r="Q313" s="891"/>
      <c r="R313" s="891"/>
      <c r="S313" s="891"/>
      <c r="T313" s="891"/>
      <c r="U313" s="756">
        <v>404.38600000000002</v>
      </c>
      <c r="V313" s="1632"/>
      <c r="W313" s="755"/>
      <c r="X313" s="55"/>
      <c r="Y313" s="754"/>
      <c r="Z313" s="754"/>
      <c r="AA313" s="762"/>
    </row>
    <row r="314" spans="1:27">
      <c r="A314" s="889">
        <f>A312+1</f>
        <v>155</v>
      </c>
      <c r="B314" s="55" t="s">
        <v>163</v>
      </c>
      <c r="C314" s="754" t="s">
        <v>62</v>
      </c>
      <c r="D314" s="55"/>
      <c r="E314" s="1633"/>
      <c r="F314" s="55"/>
      <c r="G314" s="756">
        <v>534682.85499999998</v>
      </c>
      <c r="H314" s="756">
        <v>3551766.858</v>
      </c>
      <c r="I314" s="888"/>
      <c r="J314" s="889">
        <f>J312+1</f>
        <v>155</v>
      </c>
      <c r="K314" s="55" t="s">
        <v>163</v>
      </c>
      <c r="L314" s="754" t="s">
        <v>62</v>
      </c>
      <c r="M314" s="891"/>
      <c r="N314" s="891"/>
      <c r="O314" s="891"/>
      <c r="P314" s="891"/>
      <c r="Q314" s="891"/>
      <c r="R314" s="891"/>
      <c r="S314" s="891"/>
      <c r="T314" s="891"/>
      <c r="U314" s="756"/>
      <c r="V314" s="1632"/>
      <c r="W314" s="755">
        <v>242.131</v>
      </c>
      <c r="X314" s="55"/>
      <c r="Y314" s="756">
        <v>534682.85499999998</v>
      </c>
      <c r="Z314" s="756">
        <v>3551766.858</v>
      </c>
      <c r="AA314" s="762"/>
    </row>
    <row r="315" spans="1:27">
      <c r="A315" s="891"/>
      <c r="B315" s="55"/>
      <c r="C315" s="754"/>
      <c r="D315" s="55">
        <v>378.13499999999999</v>
      </c>
      <c r="E315" s="1633"/>
      <c r="F315" s="55"/>
      <c r="G315" s="756"/>
      <c r="H315" s="756"/>
      <c r="I315" s="888"/>
      <c r="J315" s="891"/>
      <c r="K315" s="55"/>
      <c r="L315" s="754"/>
      <c r="M315" s="891"/>
      <c r="N315" s="891"/>
      <c r="O315" s="891"/>
      <c r="P315" s="891"/>
      <c r="Q315" s="891"/>
      <c r="R315" s="891"/>
      <c r="S315" s="891"/>
      <c r="T315" s="891"/>
      <c r="U315" s="756">
        <v>378.13499999999999</v>
      </c>
      <c r="V315" s="1632"/>
      <c r="W315" s="755"/>
      <c r="X315" s="55"/>
      <c r="Y315" s="754"/>
      <c r="Z315" s="754"/>
      <c r="AA315" s="762" t="s">
        <v>2111</v>
      </c>
    </row>
    <row r="316" spans="1:27">
      <c r="A316" s="889">
        <f>A314+1</f>
        <v>156</v>
      </c>
      <c r="B316" s="55" t="s">
        <v>151</v>
      </c>
      <c r="C316" s="754" t="s">
        <v>62</v>
      </c>
      <c r="D316" s="55"/>
      <c r="E316" s="1633"/>
      <c r="F316" s="55"/>
      <c r="G316" s="756">
        <v>534497.15800000005</v>
      </c>
      <c r="H316" s="756">
        <v>3551437.4610000001</v>
      </c>
      <c r="I316" s="888"/>
      <c r="J316" s="889">
        <f>J314+1</f>
        <v>156</v>
      </c>
      <c r="K316" s="55" t="s">
        <v>151</v>
      </c>
      <c r="L316" s="754" t="s">
        <v>62</v>
      </c>
      <c r="M316" s="891"/>
      <c r="N316" s="891"/>
      <c r="O316" s="891"/>
      <c r="P316" s="891"/>
      <c r="Q316" s="891"/>
      <c r="R316" s="891"/>
      <c r="S316" s="891"/>
      <c r="T316" s="891"/>
      <c r="U316" s="756"/>
      <c r="V316" s="1632"/>
      <c r="W316" s="755">
        <v>241.83699999999999</v>
      </c>
      <c r="X316" s="55"/>
      <c r="Y316" s="756">
        <v>534497.15800000005</v>
      </c>
      <c r="Z316" s="756">
        <v>3551437.4610000001</v>
      </c>
      <c r="AA316" s="762"/>
    </row>
    <row r="317" spans="1:27">
      <c r="A317" s="891"/>
      <c r="B317" s="55"/>
      <c r="C317" s="754"/>
      <c r="D317" s="55">
        <v>380.56599999999997</v>
      </c>
      <c r="E317" s="1633"/>
      <c r="F317" s="55"/>
      <c r="G317" s="756"/>
      <c r="H317" s="756"/>
      <c r="I317" s="888"/>
      <c r="J317" s="891"/>
      <c r="K317" s="55"/>
      <c r="L317" s="754"/>
      <c r="M317" s="891"/>
      <c r="N317" s="891"/>
      <c r="O317" s="891"/>
      <c r="P317" s="891"/>
      <c r="Q317" s="891"/>
      <c r="R317" s="891"/>
      <c r="S317" s="891"/>
      <c r="T317" s="891"/>
      <c r="U317" s="756">
        <v>380.56599999999997</v>
      </c>
      <c r="V317" s="1632"/>
      <c r="W317" s="755"/>
      <c r="X317" s="55"/>
      <c r="Y317" s="754"/>
      <c r="Z317" s="754"/>
      <c r="AA317" s="762" t="s">
        <v>2112</v>
      </c>
    </row>
    <row r="318" spans="1:27">
      <c r="A318" s="889">
        <f>A316+1</f>
        <v>157</v>
      </c>
      <c r="B318" s="55" t="s">
        <v>405</v>
      </c>
      <c r="C318" s="754" t="s">
        <v>1277</v>
      </c>
      <c r="D318" s="55"/>
      <c r="E318" s="1633"/>
      <c r="F318" s="55" t="s">
        <v>2113</v>
      </c>
      <c r="G318" s="756">
        <v>534310.26699999999</v>
      </c>
      <c r="H318" s="756">
        <v>3551105.946</v>
      </c>
      <c r="I318" s="888"/>
      <c r="J318" s="889">
        <f>J316+1</f>
        <v>157</v>
      </c>
      <c r="K318" s="55" t="s">
        <v>405</v>
      </c>
      <c r="L318" s="754" t="s">
        <v>1277</v>
      </c>
      <c r="M318" s="891"/>
      <c r="N318" s="891"/>
      <c r="O318" s="891"/>
      <c r="P318" s="891"/>
      <c r="Q318" s="891"/>
      <c r="R318" s="891"/>
      <c r="S318" s="891"/>
      <c r="T318" s="891"/>
      <c r="U318" s="756"/>
      <c r="V318" s="755"/>
      <c r="W318" s="755">
        <v>241.54599999999999</v>
      </c>
      <c r="X318" s="55" t="s">
        <v>2050</v>
      </c>
      <c r="Y318" s="756">
        <v>534310.26699999999</v>
      </c>
      <c r="Z318" s="756">
        <v>3551105.946</v>
      </c>
      <c r="AA318" s="762"/>
    </row>
    <row r="319" spans="1:27">
      <c r="A319" s="891"/>
      <c r="B319" s="891"/>
      <c r="C319" s="893"/>
      <c r="D319" s="893"/>
      <c r="E319" s="891"/>
      <c r="F319" s="891"/>
      <c r="G319" s="891"/>
      <c r="H319" s="891"/>
      <c r="I319" s="888"/>
      <c r="J319" s="891"/>
      <c r="K319" s="891"/>
      <c r="L319" s="891"/>
      <c r="M319" s="891"/>
      <c r="N319" s="891"/>
      <c r="O319" s="891"/>
      <c r="P319" s="891"/>
      <c r="Q319" s="891"/>
      <c r="R319" s="891"/>
      <c r="S319" s="891"/>
      <c r="T319" s="891"/>
      <c r="U319" s="894"/>
      <c r="V319" s="891"/>
      <c r="W319" s="891"/>
      <c r="X319" s="891"/>
      <c r="Y319" s="891"/>
      <c r="Z319" s="891"/>
      <c r="AA319" s="889"/>
    </row>
    <row r="320" spans="1:27">
      <c r="A320" s="889">
        <f>A318+1</f>
        <v>158</v>
      </c>
      <c r="B320" s="896" t="s">
        <v>1508</v>
      </c>
      <c r="C320" s="876" t="s">
        <v>1361</v>
      </c>
      <c r="D320" s="876"/>
      <c r="E320" s="1635">
        <f>D321+D323+D325+D327</f>
        <v>1599.7819999999999</v>
      </c>
      <c r="F320" s="876" t="s">
        <v>2188</v>
      </c>
      <c r="G320" s="897">
        <v>533703.46100000001</v>
      </c>
      <c r="H320" s="897">
        <v>3547814.2519999999</v>
      </c>
      <c r="I320" s="888"/>
      <c r="J320" s="889">
        <f>J318+1</f>
        <v>158</v>
      </c>
      <c r="K320" s="896" t="s">
        <v>1508</v>
      </c>
      <c r="L320" s="898" t="s">
        <v>1361</v>
      </c>
      <c r="M320" s="876"/>
      <c r="N320" s="876"/>
      <c r="O320" s="876"/>
      <c r="P320" s="876"/>
      <c r="Q320" s="876"/>
      <c r="R320" s="876"/>
      <c r="S320" s="876"/>
      <c r="T320" s="876"/>
      <c r="U320" s="897"/>
      <c r="V320" s="1635">
        <f>U321+U323+U325+U327</f>
        <v>1598.9549999999999</v>
      </c>
      <c r="W320" s="899">
        <v>242.922</v>
      </c>
      <c r="X320" s="55" t="s">
        <v>2050</v>
      </c>
      <c r="Y320" s="899">
        <v>533703.46100000001</v>
      </c>
      <c r="Z320" s="899">
        <v>3547814.2519999999</v>
      </c>
      <c r="AA320" s="876"/>
    </row>
    <row r="321" spans="1:27">
      <c r="A321" s="891"/>
      <c r="B321" s="896"/>
      <c r="C321" s="876"/>
      <c r="D321" s="876">
        <v>381.55399999999997</v>
      </c>
      <c r="E321" s="1635"/>
      <c r="F321" s="876"/>
      <c r="G321" s="897"/>
      <c r="H321" s="897"/>
      <c r="I321" s="888"/>
      <c r="J321" s="891"/>
      <c r="K321" s="896"/>
      <c r="L321" s="898"/>
      <c r="M321" s="899"/>
      <c r="N321" s="899"/>
      <c r="O321" s="898"/>
      <c r="P321" s="876"/>
      <c r="Q321" s="876"/>
      <c r="R321" s="876"/>
      <c r="S321" s="876"/>
      <c r="T321" s="876"/>
      <c r="U321" s="899">
        <v>435.863</v>
      </c>
      <c r="V321" s="1635"/>
      <c r="W321" s="898"/>
      <c r="X321" s="876"/>
      <c r="Y321" s="898"/>
      <c r="Z321" s="898"/>
      <c r="AA321" s="876" t="s">
        <v>2227</v>
      </c>
    </row>
    <row r="322" spans="1:27">
      <c r="A322" s="889">
        <f>A320+1</f>
        <v>159</v>
      </c>
      <c r="B322" s="896" t="s">
        <v>538</v>
      </c>
      <c r="C322" s="876" t="s">
        <v>76</v>
      </c>
      <c r="D322" s="876"/>
      <c r="E322" s="1635"/>
      <c r="F322" s="876"/>
      <c r="G322" s="897">
        <v>533491.27800000005</v>
      </c>
      <c r="H322" s="897">
        <v>3547497.1370000001</v>
      </c>
      <c r="I322" s="888"/>
      <c r="J322" s="889">
        <f>J320+1</f>
        <v>159</v>
      </c>
      <c r="K322" s="896" t="s">
        <v>538</v>
      </c>
      <c r="L322" s="898" t="s">
        <v>249</v>
      </c>
      <c r="M322" s="898"/>
      <c r="N322" s="898"/>
      <c r="O322" s="898"/>
      <c r="P322" s="876"/>
      <c r="Q322" s="876"/>
      <c r="R322" s="876"/>
      <c r="S322" s="876"/>
      <c r="T322" s="876"/>
      <c r="U322" s="899"/>
      <c r="V322" s="1635"/>
      <c r="W322" s="899">
        <v>242.715</v>
      </c>
      <c r="X322" s="876"/>
      <c r="Y322" s="899">
        <v>533459.00100000005</v>
      </c>
      <c r="Z322" s="899">
        <v>3547453.398</v>
      </c>
      <c r="AA322" s="876"/>
    </row>
    <row r="323" spans="1:27">
      <c r="A323" s="891"/>
      <c r="B323" s="896"/>
      <c r="C323" s="876"/>
      <c r="D323" s="876">
        <v>392.70100000000002</v>
      </c>
      <c r="E323" s="1635"/>
      <c r="F323" s="876"/>
      <c r="G323" s="897"/>
      <c r="H323" s="897"/>
      <c r="I323" s="888"/>
      <c r="J323" s="891"/>
      <c r="K323" s="896"/>
      <c r="L323" s="898"/>
      <c r="M323" s="898"/>
      <c r="N323" s="898"/>
      <c r="O323" s="898"/>
      <c r="P323" s="876"/>
      <c r="Q323" s="876"/>
      <c r="R323" s="876"/>
      <c r="S323" s="876"/>
      <c r="T323" s="876"/>
      <c r="U323" s="899">
        <v>338.94499999999999</v>
      </c>
      <c r="V323" s="1635"/>
      <c r="W323" s="898"/>
      <c r="X323" s="876"/>
      <c r="Y323" s="898"/>
      <c r="Z323" s="898"/>
      <c r="AA323" s="876"/>
    </row>
    <row r="324" spans="1:27">
      <c r="A324" s="889">
        <f>A322+1</f>
        <v>160</v>
      </c>
      <c r="B324" s="896" t="s">
        <v>529</v>
      </c>
      <c r="C324" s="876" t="s">
        <v>76</v>
      </c>
      <c r="D324" s="876"/>
      <c r="E324" s="1635"/>
      <c r="F324" s="876" t="s">
        <v>1543</v>
      </c>
      <c r="G324" s="897">
        <v>533272.897</v>
      </c>
      <c r="H324" s="897">
        <v>3547170.7579999999</v>
      </c>
      <c r="I324" s="888"/>
      <c r="J324" s="889">
        <f>J322+1</f>
        <v>160</v>
      </c>
      <c r="K324" s="896" t="s">
        <v>529</v>
      </c>
      <c r="L324" s="898" t="s">
        <v>76</v>
      </c>
      <c r="M324" s="899"/>
      <c r="N324" s="899"/>
      <c r="O324" s="898"/>
      <c r="P324" s="876"/>
      <c r="Q324" s="876"/>
      <c r="R324" s="876"/>
      <c r="S324" s="876"/>
      <c r="T324" s="876"/>
      <c r="U324" s="899"/>
      <c r="V324" s="1635"/>
      <c r="W324" s="899">
        <v>242.63499999999999</v>
      </c>
      <c r="X324" s="876"/>
      <c r="Y324" s="899">
        <v>533268.89899999998</v>
      </c>
      <c r="Z324" s="899">
        <v>3547172.7829999998</v>
      </c>
      <c r="AA324" s="876"/>
    </row>
    <row r="325" spans="1:27">
      <c r="A325" s="891"/>
      <c r="B325" s="896"/>
      <c r="C325" s="876"/>
      <c r="D325" s="876">
        <v>414.33499999999998</v>
      </c>
      <c r="E325" s="1635"/>
      <c r="F325" s="876"/>
      <c r="G325" s="897"/>
      <c r="H325" s="897"/>
      <c r="I325" s="888"/>
      <c r="J325" s="891"/>
      <c r="K325" s="896"/>
      <c r="L325" s="898"/>
      <c r="M325" s="899"/>
      <c r="N325" s="899"/>
      <c r="O325" s="898"/>
      <c r="P325" s="876"/>
      <c r="Q325" s="876"/>
      <c r="R325" s="876"/>
      <c r="S325" s="876"/>
      <c r="T325" s="876"/>
      <c r="U325" s="899">
        <v>497.83600000000001</v>
      </c>
      <c r="V325" s="1635"/>
      <c r="W325" s="898"/>
      <c r="X325" s="876"/>
      <c r="Y325" s="898"/>
      <c r="Z325" s="898"/>
      <c r="AA325" s="877" t="s">
        <v>2228</v>
      </c>
    </row>
    <row r="326" spans="1:27">
      <c r="A326" s="889">
        <f>A324+1</f>
        <v>161</v>
      </c>
      <c r="B326" s="896" t="s">
        <v>508</v>
      </c>
      <c r="C326" s="876" t="s">
        <v>62</v>
      </c>
      <c r="D326" s="876"/>
      <c r="E326" s="1635"/>
      <c r="F326" s="876"/>
      <c r="G326" s="897">
        <v>533042.48400000005</v>
      </c>
      <c r="H326" s="897">
        <v>3546826.398</v>
      </c>
      <c r="I326" s="888"/>
      <c r="J326" s="889">
        <f>J324+1</f>
        <v>161</v>
      </c>
      <c r="K326" s="896" t="s">
        <v>508</v>
      </c>
      <c r="L326" s="898" t="s">
        <v>2197</v>
      </c>
      <c r="M326" s="900">
        <v>2</v>
      </c>
      <c r="N326" s="900">
        <v>2</v>
      </c>
      <c r="O326" s="901">
        <v>2</v>
      </c>
      <c r="P326" s="901">
        <v>2</v>
      </c>
      <c r="Q326" s="876"/>
      <c r="R326" s="876"/>
      <c r="S326" s="876"/>
      <c r="T326" s="876"/>
      <c r="U326" s="899"/>
      <c r="V326" s="1635"/>
      <c r="W326" s="899">
        <v>242.40799999999999</v>
      </c>
      <c r="X326" s="876" t="s">
        <v>2229</v>
      </c>
      <c r="Y326" s="899">
        <v>532989.68000000005</v>
      </c>
      <c r="Z326" s="899">
        <v>3546760.6209999998</v>
      </c>
      <c r="AA326" s="876"/>
    </row>
    <row r="327" spans="1:27" ht="30">
      <c r="A327" s="891"/>
      <c r="B327" s="896"/>
      <c r="C327" s="876"/>
      <c r="D327" s="876">
        <v>411.19200000000001</v>
      </c>
      <c r="E327" s="1635"/>
      <c r="F327" s="876"/>
      <c r="G327" s="897"/>
      <c r="H327" s="897"/>
      <c r="I327" s="888"/>
      <c r="J327" s="891"/>
      <c r="K327" s="896"/>
      <c r="L327" s="898"/>
      <c r="M327" s="876"/>
      <c r="N327" s="876"/>
      <c r="O327" s="876"/>
      <c r="P327" s="876"/>
      <c r="Q327" s="876"/>
      <c r="R327" s="876"/>
      <c r="S327" s="876"/>
      <c r="T327" s="876"/>
      <c r="U327" s="899">
        <v>326.31099999999998</v>
      </c>
      <c r="V327" s="1635"/>
      <c r="W327" s="898"/>
      <c r="X327" s="876"/>
      <c r="Y327" s="898"/>
      <c r="Z327" s="898"/>
      <c r="AA327" s="877" t="s">
        <v>2230</v>
      </c>
    </row>
    <row r="328" spans="1:27">
      <c r="A328" s="889">
        <f>A326+1</f>
        <v>162</v>
      </c>
      <c r="B328" s="896" t="s">
        <v>2189</v>
      </c>
      <c r="C328" s="876" t="s">
        <v>1277</v>
      </c>
      <c r="D328" s="876"/>
      <c r="E328" s="1635"/>
      <c r="F328" s="876" t="s">
        <v>2190</v>
      </c>
      <c r="G328" s="897">
        <v>532813.81999999995</v>
      </c>
      <c r="H328" s="897">
        <v>3546484.65</v>
      </c>
      <c r="I328" s="888"/>
      <c r="J328" s="889">
        <f>J326+1</f>
        <v>162</v>
      </c>
      <c r="K328" s="896" t="s">
        <v>2189</v>
      </c>
      <c r="L328" s="898" t="s">
        <v>1953</v>
      </c>
      <c r="M328" s="876"/>
      <c r="N328" s="876"/>
      <c r="O328" s="876"/>
      <c r="P328" s="876"/>
      <c r="Q328" s="876"/>
      <c r="R328" s="876"/>
      <c r="S328" s="876"/>
      <c r="T328" s="876"/>
      <c r="U328" s="899"/>
      <c r="V328" s="1635">
        <f>U329+U331+U333+U335</f>
        <v>1666.222</v>
      </c>
      <c r="W328" s="899">
        <v>242.52</v>
      </c>
      <c r="X328" s="876" t="s">
        <v>2231</v>
      </c>
      <c r="Y328" s="899">
        <v>532821.00899999996</v>
      </c>
      <c r="Z328" s="899">
        <v>3546481.284</v>
      </c>
      <c r="AA328" s="876"/>
    </row>
    <row r="329" spans="1:27">
      <c r="A329" s="891"/>
      <c r="B329" s="896"/>
      <c r="C329" s="876"/>
      <c r="D329" s="876">
        <v>416.863</v>
      </c>
      <c r="E329" s="1635">
        <f>D329+D331+D333+D335</f>
        <v>1667.808</v>
      </c>
      <c r="F329" s="876"/>
      <c r="G329" s="897"/>
      <c r="H329" s="897"/>
      <c r="I329" s="888"/>
      <c r="J329" s="891"/>
      <c r="K329" s="896"/>
      <c r="L329" s="898"/>
      <c r="M329" s="876"/>
      <c r="N329" s="876"/>
      <c r="O329" s="876"/>
      <c r="P329" s="876"/>
      <c r="Q329" s="876"/>
      <c r="R329" s="876"/>
      <c r="S329" s="876"/>
      <c r="T329" s="876"/>
      <c r="U329" s="899">
        <v>415.29</v>
      </c>
      <c r="V329" s="1635"/>
      <c r="W329" s="898"/>
      <c r="X329" s="876"/>
      <c r="Y329" s="898"/>
      <c r="Z329" s="898"/>
      <c r="AA329" s="876" t="s">
        <v>2232</v>
      </c>
    </row>
    <row r="330" spans="1:27">
      <c r="A330" s="889">
        <f>A328+1</f>
        <v>163</v>
      </c>
      <c r="B330" s="896" t="s">
        <v>497</v>
      </c>
      <c r="C330" s="876" t="s">
        <v>62</v>
      </c>
      <c r="D330" s="876"/>
      <c r="E330" s="1635"/>
      <c r="F330" s="876"/>
      <c r="G330" s="897">
        <v>532717.02099999995</v>
      </c>
      <c r="H330" s="897">
        <v>3546079.182</v>
      </c>
      <c r="I330" s="888"/>
      <c r="J330" s="889">
        <f>J328+1</f>
        <v>163</v>
      </c>
      <c r="K330" s="896" t="s">
        <v>497</v>
      </c>
      <c r="L330" s="898" t="s">
        <v>62</v>
      </c>
      <c r="M330" s="876"/>
      <c r="N330" s="876"/>
      <c r="O330" s="876"/>
      <c r="P330" s="876"/>
      <c r="Q330" s="876"/>
      <c r="R330" s="876"/>
      <c r="S330" s="876"/>
      <c r="T330" s="876"/>
      <c r="U330" s="899"/>
      <c r="V330" s="1635"/>
      <c r="W330" s="899">
        <v>242.91399999999999</v>
      </c>
      <c r="X330" s="876"/>
      <c r="Y330" s="899">
        <v>532722.69099999999</v>
      </c>
      <c r="Z330" s="899">
        <v>3546077.8</v>
      </c>
      <c r="AA330" s="876"/>
    </row>
    <row r="331" spans="1:27">
      <c r="A331" s="891"/>
      <c r="B331" s="896"/>
      <c r="C331" s="876"/>
      <c r="D331" s="876">
        <v>422.42599999999999</v>
      </c>
      <c r="E331" s="1635"/>
      <c r="F331" s="876"/>
      <c r="G331" s="897"/>
      <c r="H331" s="897"/>
      <c r="I331" s="888"/>
      <c r="J331" s="891"/>
      <c r="K331" s="896"/>
      <c r="L331" s="898"/>
      <c r="M331" s="876"/>
      <c r="N331" s="876"/>
      <c r="O331" s="876"/>
      <c r="P331" s="876"/>
      <c r="Q331" s="876"/>
      <c r="R331" s="876"/>
      <c r="S331" s="876"/>
      <c r="T331" s="876"/>
      <c r="U331" s="899">
        <v>422.42200000000003</v>
      </c>
      <c r="V331" s="1635"/>
      <c r="W331" s="898"/>
      <c r="X331" s="876"/>
      <c r="Y331" s="898"/>
      <c r="Z331" s="898"/>
      <c r="AA331" s="876" t="s">
        <v>2233</v>
      </c>
    </row>
    <row r="332" spans="1:27">
      <c r="A332" s="889">
        <f>A330+1</f>
        <v>164</v>
      </c>
      <c r="B332" s="896" t="s">
        <v>495</v>
      </c>
      <c r="C332" s="876" t="s">
        <v>53</v>
      </c>
      <c r="D332" s="876"/>
      <c r="E332" s="1635"/>
      <c r="F332" s="876"/>
      <c r="G332" s="897">
        <v>532618.93000000005</v>
      </c>
      <c r="H332" s="897">
        <v>3545668.3020000001</v>
      </c>
      <c r="I332" s="888"/>
      <c r="J332" s="889">
        <f>J330+1</f>
        <v>164</v>
      </c>
      <c r="K332" s="896" t="s">
        <v>495</v>
      </c>
      <c r="L332" s="898" t="s">
        <v>53</v>
      </c>
      <c r="M332" s="876"/>
      <c r="N332" s="876"/>
      <c r="O332" s="876"/>
      <c r="P332" s="876"/>
      <c r="Q332" s="876"/>
      <c r="R332" s="876"/>
      <c r="S332" s="876"/>
      <c r="T332" s="876"/>
      <c r="U332" s="899"/>
      <c r="V332" s="1635"/>
      <c r="W332" s="899">
        <v>243.71600000000001</v>
      </c>
      <c r="X332" s="876"/>
      <c r="Y332" s="899">
        <v>532622.68500000006</v>
      </c>
      <c r="Z332" s="899">
        <v>3545667.3870000001</v>
      </c>
      <c r="AA332" s="876"/>
    </row>
    <row r="333" spans="1:27" ht="30">
      <c r="A333" s="891"/>
      <c r="B333" s="896"/>
      <c r="C333" s="876"/>
      <c r="D333" s="876">
        <v>418.37799999999999</v>
      </c>
      <c r="E333" s="1635"/>
      <c r="F333" s="876"/>
      <c r="G333" s="897"/>
      <c r="H333" s="897"/>
      <c r="I333" s="888"/>
      <c r="J333" s="891"/>
      <c r="K333" s="896"/>
      <c r="L333" s="898"/>
      <c r="M333" s="876"/>
      <c r="N333" s="876"/>
      <c r="O333" s="876"/>
      <c r="P333" s="876"/>
      <c r="Q333" s="876"/>
      <c r="R333" s="876"/>
      <c r="S333" s="876"/>
      <c r="T333" s="876"/>
      <c r="U333" s="899">
        <v>418.37299999999999</v>
      </c>
      <c r="V333" s="1635"/>
      <c r="W333" s="898"/>
      <c r="X333" s="876"/>
      <c r="Y333" s="898"/>
      <c r="Z333" s="898"/>
      <c r="AA333" s="877" t="s">
        <v>2234</v>
      </c>
    </row>
    <row r="334" spans="1:27">
      <c r="A334" s="889">
        <f>A332+1</f>
        <v>165</v>
      </c>
      <c r="B334" s="896" t="s">
        <v>490</v>
      </c>
      <c r="C334" s="876" t="s">
        <v>53</v>
      </c>
      <c r="D334" s="876"/>
      <c r="E334" s="1635"/>
      <c r="F334" s="876"/>
      <c r="G334" s="897">
        <v>532521.77899999998</v>
      </c>
      <c r="H334" s="897">
        <v>3545261.36</v>
      </c>
      <c r="I334" s="888"/>
      <c r="J334" s="889">
        <f>J332+1</f>
        <v>165</v>
      </c>
      <c r="K334" s="896" t="s">
        <v>490</v>
      </c>
      <c r="L334" s="898" t="s">
        <v>53</v>
      </c>
      <c r="M334" s="876"/>
      <c r="N334" s="876"/>
      <c r="O334" s="876"/>
      <c r="P334" s="876"/>
      <c r="Q334" s="876"/>
      <c r="R334" s="876"/>
      <c r="S334" s="876"/>
      <c r="T334" s="876"/>
      <c r="U334" s="899"/>
      <c r="V334" s="1635"/>
      <c r="W334" s="899">
        <v>243.86699999999999</v>
      </c>
      <c r="X334" s="876"/>
      <c r="Y334" s="899">
        <v>532523.63800000004</v>
      </c>
      <c r="Z334" s="899">
        <v>3545260.9070000001</v>
      </c>
      <c r="AA334" s="876"/>
    </row>
    <row r="335" spans="1:27" ht="30">
      <c r="A335" s="891"/>
      <c r="B335" s="896"/>
      <c r="C335" s="876"/>
      <c r="D335" s="876">
        <v>410.14100000000002</v>
      </c>
      <c r="E335" s="1635"/>
      <c r="F335" s="876"/>
      <c r="G335" s="897"/>
      <c r="H335" s="897"/>
      <c r="I335" s="888"/>
      <c r="J335" s="891"/>
      <c r="K335" s="896"/>
      <c r="L335" s="898"/>
      <c r="M335" s="876"/>
      <c r="N335" s="876"/>
      <c r="O335" s="876"/>
      <c r="P335" s="876"/>
      <c r="Q335" s="876"/>
      <c r="R335" s="876"/>
      <c r="S335" s="876"/>
      <c r="T335" s="876"/>
      <c r="U335" s="899">
        <v>410.137</v>
      </c>
      <c r="V335" s="1635"/>
      <c r="W335" s="898"/>
      <c r="X335" s="876"/>
      <c r="Y335" s="898"/>
      <c r="Z335" s="898"/>
      <c r="AA335" s="877" t="s">
        <v>2235</v>
      </c>
    </row>
    <row r="336" spans="1:27">
      <c r="A336" s="889">
        <f>A334+1</f>
        <v>166</v>
      </c>
      <c r="B336" s="896" t="s">
        <v>2191</v>
      </c>
      <c r="C336" s="876" t="s">
        <v>1269</v>
      </c>
      <c r="D336" s="876"/>
      <c r="E336" s="1635"/>
      <c r="F336" s="876" t="s">
        <v>2192</v>
      </c>
      <c r="G336" s="897">
        <v>532426.54</v>
      </c>
      <c r="H336" s="897">
        <v>3544862.43</v>
      </c>
      <c r="I336" s="888"/>
      <c r="J336" s="889">
        <f>J334+1</f>
        <v>166</v>
      </c>
      <c r="K336" s="896" t="s">
        <v>2191</v>
      </c>
      <c r="L336" s="898" t="s">
        <v>1269</v>
      </c>
      <c r="M336" s="902">
        <v>1.5</v>
      </c>
      <c r="N336" s="902">
        <v>1.5</v>
      </c>
      <c r="O336" s="902">
        <v>1.5</v>
      </c>
      <c r="P336" s="902">
        <v>1.5</v>
      </c>
      <c r="Q336" s="876"/>
      <c r="R336" s="876"/>
      <c r="S336" s="876"/>
      <c r="T336" s="876"/>
      <c r="U336" s="899"/>
      <c r="V336" s="1635">
        <f>U337+U339</f>
        <v>809.57100000000003</v>
      </c>
      <c r="W336" s="899">
        <v>244.92099999999999</v>
      </c>
      <c r="X336" s="876" t="s">
        <v>2236</v>
      </c>
      <c r="Y336" s="899">
        <v>532426.54</v>
      </c>
      <c r="Z336" s="899">
        <v>3544862.43</v>
      </c>
      <c r="AA336" s="876"/>
    </row>
    <row r="337" spans="1:27">
      <c r="A337" s="891"/>
      <c r="B337" s="896"/>
      <c r="C337" s="876"/>
      <c r="D337" s="876">
        <v>422.69799999999998</v>
      </c>
      <c r="E337" s="1635">
        <f>D337+D339</f>
        <v>820.50900000000001</v>
      </c>
      <c r="F337" s="876"/>
      <c r="G337" s="897"/>
      <c r="H337" s="897"/>
      <c r="I337" s="888"/>
      <c r="J337" s="891"/>
      <c r="K337" s="896"/>
      <c r="L337" s="898"/>
      <c r="M337" s="876"/>
      <c r="N337" s="876"/>
      <c r="O337" s="876"/>
      <c r="P337" s="876"/>
      <c r="Q337" s="876"/>
      <c r="R337" s="876"/>
      <c r="S337" s="876"/>
      <c r="T337" s="876"/>
      <c r="U337" s="899">
        <v>422.214</v>
      </c>
      <c r="V337" s="1635"/>
      <c r="W337" s="898"/>
      <c r="X337" s="876"/>
      <c r="Y337" s="898"/>
      <c r="Z337" s="898"/>
      <c r="AA337" s="876" t="s">
        <v>2237</v>
      </c>
    </row>
    <row r="338" spans="1:27">
      <c r="A338" s="889">
        <f>A336+1</f>
        <v>167</v>
      </c>
      <c r="B338" s="896" t="s">
        <v>458</v>
      </c>
      <c r="C338" s="876" t="s">
        <v>62</v>
      </c>
      <c r="D338" s="876"/>
      <c r="E338" s="1635"/>
      <c r="F338" s="876"/>
      <c r="G338" s="897">
        <v>532348.54599999997</v>
      </c>
      <c r="H338" s="897">
        <v>3544446.99</v>
      </c>
      <c r="I338" s="888"/>
      <c r="J338" s="889">
        <f>J336+1</f>
        <v>167</v>
      </c>
      <c r="K338" s="896" t="s">
        <v>458</v>
      </c>
      <c r="L338" s="898" t="s">
        <v>62</v>
      </c>
      <c r="M338" s="876"/>
      <c r="N338" s="876"/>
      <c r="O338" s="876"/>
      <c r="P338" s="876"/>
      <c r="Q338" s="876"/>
      <c r="R338" s="876"/>
      <c r="S338" s="876"/>
      <c r="T338" s="876"/>
      <c r="U338" s="899"/>
      <c r="V338" s="1635"/>
      <c r="W338" s="899">
        <v>243.63399999999999</v>
      </c>
      <c r="X338" s="876"/>
      <c r="Y338" s="899">
        <v>532334.88300000003</v>
      </c>
      <c r="Z338" s="899">
        <v>3544450.284</v>
      </c>
      <c r="AA338" s="876"/>
    </row>
    <row r="339" spans="1:27">
      <c r="A339" s="891"/>
      <c r="B339" s="896"/>
      <c r="C339" s="876"/>
      <c r="D339" s="876">
        <v>397.81099999999998</v>
      </c>
      <c r="E339" s="1635"/>
      <c r="F339" s="876"/>
      <c r="G339" s="897"/>
      <c r="H339" s="897"/>
      <c r="I339" s="888"/>
      <c r="J339" s="891"/>
      <c r="K339" s="896"/>
      <c r="L339" s="898"/>
      <c r="M339" s="876"/>
      <c r="N339" s="876"/>
      <c r="O339" s="876"/>
      <c r="P339" s="876"/>
      <c r="Q339" s="876"/>
      <c r="R339" s="876"/>
      <c r="S339" s="876"/>
      <c r="T339" s="876"/>
      <c r="U339" s="899">
        <v>387.35700000000003</v>
      </c>
      <c r="V339" s="1635"/>
      <c r="W339" s="898"/>
      <c r="X339" s="876"/>
      <c r="Y339" s="898"/>
      <c r="Z339" s="898"/>
      <c r="AA339" s="876" t="s">
        <v>2238</v>
      </c>
    </row>
    <row r="340" spans="1:27">
      <c r="A340" s="889">
        <f>A338+1</f>
        <v>168</v>
      </c>
      <c r="B340" s="896" t="s">
        <v>1535</v>
      </c>
      <c r="C340" s="876" t="s">
        <v>1934</v>
      </c>
      <c r="D340" s="876"/>
      <c r="E340" s="1635">
        <f>D341</f>
        <v>397.142</v>
      </c>
      <c r="F340" s="876" t="s">
        <v>2193</v>
      </c>
      <c r="G340" s="897">
        <v>532275.14399999997</v>
      </c>
      <c r="H340" s="897">
        <v>3544056.01</v>
      </c>
      <c r="I340" s="888"/>
      <c r="J340" s="889">
        <f>J338+1</f>
        <v>168</v>
      </c>
      <c r="K340" s="896" t="s">
        <v>1535</v>
      </c>
      <c r="L340" s="898" t="s">
        <v>53</v>
      </c>
      <c r="M340" s="876"/>
      <c r="N340" s="876"/>
      <c r="O340" s="876"/>
      <c r="P340" s="876"/>
      <c r="Q340" s="876"/>
      <c r="R340" s="876"/>
      <c r="S340" s="876"/>
      <c r="T340" s="876"/>
      <c r="U340" s="899"/>
      <c r="V340" s="1635">
        <f>U341</f>
        <v>406.68799999999999</v>
      </c>
      <c r="W340" s="899">
        <v>244.20099999999999</v>
      </c>
      <c r="X340" s="876"/>
      <c r="Y340" s="899">
        <v>532250.79299999995</v>
      </c>
      <c r="Z340" s="899">
        <v>3544072.165</v>
      </c>
      <c r="AA340" s="876"/>
    </row>
    <row r="341" spans="1:27">
      <c r="A341" s="891"/>
      <c r="B341" s="896"/>
      <c r="C341" s="876"/>
      <c r="D341" s="876">
        <v>397.142</v>
      </c>
      <c r="E341" s="1635"/>
      <c r="F341" s="876"/>
      <c r="G341" s="897"/>
      <c r="H341" s="897"/>
      <c r="I341" s="888"/>
      <c r="J341" s="891"/>
      <c r="K341" s="896"/>
      <c r="L341" s="898"/>
      <c r="M341" s="876"/>
      <c r="N341" s="876"/>
      <c r="O341" s="876"/>
      <c r="P341" s="876"/>
      <c r="Q341" s="876"/>
      <c r="R341" s="876"/>
      <c r="S341" s="876"/>
      <c r="T341" s="876"/>
      <c r="U341" s="899">
        <v>406.68799999999999</v>
      </c>
      <c r="V341" s="1635"/>
      <c r="W341" s="898"/>
      <c r="X341" s="876"/>
      <c r="Y341" s="898"/>
      <c r="Z341" s="898"/>
      <c r="AA341" s="876" t="s">
        <v>2239</v>
      </c>
    </row>
    <row r="342" spans="1:27">
      <c r="A342" s="889">
        <f>A340+1</f>
        <v>169</v>
      </c>
      <c r="B342" s="896" t="s">
        <v>2194</v>
      </c>
      <c r="C342" s="876" t="s">
        <v>1277</v>
      </c>
      <c r="D342" s="876"/>
      <c r="E342" s="1635"/>
      <c r="F342" s="876" t="s">
        <v>2195</v>
      </c>
      <c r="G342" s="897">
        <v>532162.50699999998</v>
      </c>
      <c r="H342" s="897">
        <v>3543675.176</v>
      </c>
      <c r="I342" s="888"/>
      <c r="J342" s="889">
        <f>J340+1</f>
        <v>169</v>
      </c>
      <c r="K342" s="896" t="s">
        <v>2194</v>
      </c>
      <c r="L342" s="898" t="s">
        <v>1269</v>
      </c>
      <c r="M342" s="876"/>
      <c r="N342" s="876"/>
      <c r="O342" s="876"/>
      <c r="P342" s="876"/>
      <c r="Q342" s="876"/>
      <c r="R342" s="876"/>
      <c r="S342" s="876"/>
      <c r="T342" s="876"/>
      <c r="U342" s="899"/>
      <c r="V342" s="1635"/>
      <c r="W342" s="899">
        <v>243.49299999999999</v>
      </c>
      <c r="X342" s="876" t="s">
        <v>2240</v>
      </c>
      <c r="Y342" s="899">
        <v>532162.50699999998</v>
      </c>
      <c r="Z342" s="899">
        <v>3543675.176</v>
      </c>
      <c r="AA342" s="876"/>
    </row>
    <row r="343" spans="1:27" ht="30">
      <c r="A343" s="891"/>
      <c r="B343" s="896"/>
      <c r="C343" s="876"/>
      <c r="D343" s="876">
        <v>305.02600000000001</v>
      </c>
      <c r="E343" s="876">
        <v>305.02600000000001</v>
      </c>
      <c r="F343" s="876"/>
      <c r="G343" s="897"/>
      <c r="H343" s="897"/>
      <c r="I343" s="888"/>
      <c r="J343" s="891"/>
      <c r="K343" s="896"/>
      <c r="L343" s="898"/>
      <c r="M343" s="876"/>
      <c r="N343" s="876"/>
      <c r="O343" s="876"/>
      <c r="P343" s="876"/>
      <c r="Q343" s="876"/>
      <c r="R343" s="876"/>
      <c r="S343" s="876"/>
      <c r="T343" s="876"/>
      <c r="U343" s="899">
        <v>316.25299999999999</v>
      </c>
      <c r="V343" s="876">
        <v>316.25299999999999</v>
      </c>
      <c r="W343" s="898"/>
      <c r="X343" s="876"/>
      <c r="Y343" s="898"/>
      <c r="Z343" s="898"/>
      <c r="AA343" s="877" t="s">
        <v>2241</v>
      </c>
    </row>
    <row r="344" spans="1:27">
      <c r="A344" s="889">
        <f>A342+1</f>
        <v>170</v>
      </c>
      <c r="B344" s="896" t="s">
        <v>2196</v>
      </c>
      <c r="C344" s="876" t="s">
        <v>2197</v>
      </c>
      <c r="D344" s="876"/>
      <c r="E344" s="1635">
        <v>259.88299999999998</v>
      </c>
      <c r="F344" s="876" t="s">
        <v>2198</v>
      </c>
      <c r="G344" s="897">
        <v>532184.99699999997</v>
      </c>
      <c r="H344" s="897">
        <v>3543370.98</v>
      </c>
      <c r="I344" s="888"/>
      <c r="J344" s="889">
        <f>J342+1</f>
        <v>170</v>
      </c>
      <c r="K344" s="896" t="s">
        <v>2196</v>
      </c>
      <c r="L344" s="898" t="s">
        <v>2212</v>
      </c>
      <c r="M344" s="876"/>
      <c r="N344" s="876"/>
      <c r="O344" s="876"/>
      <c r="P344" s="876"/>
      <c r="Q344" s="876"/>
      <c r="R344" s="876"/>
      <c r="S344" s="876"/>
      <c r="T344" s="876"/>
      <c r="U344" s="899"/>
      <c r="V344" s="876"/>
      <c r="W344" s="899">
        <v>243.53</v>
      </c>
      <c r="X344" s="876" t="s">
        <v>2242</v>
      </c>
      <c r="Y344" s="899">
        <v>532164.321</v>
      </c>
      <c r="Z344" s="899">
        <v>3543358.9279999998</v>
      </c>
      <c r="AA344" s="876"/>
    </row>
    <row r="345" spans="1:27">
      <c r="A345" s="891"/>
      <c r="B345" s="896"/>
      <c r="C345" s="876"/>
      <c r="D345" s="876">
        <v>259.88299999999998</v>
      </c>
      <c r="E345" s="1635"/>
      <c r="F345" s="876"/>
      <c r="G345" s="897"/>
      <c r="H345" s="897"/>
      <c r="I345" s="888"/>
      <c r="J345" s="891"/>
      <c r="K345" s="896"/>
      <c r="L345" s="898"/>
      <c r="M345" s="876"/>
      <c r="N345" s="876"/>
      <c r="O345" s="876"/>
      <c r="P345" s="876"/>
      <c r="Q345" s="876"/>
      <c r="R345" s="876"/>
      <c r="S345" s="876"/>
      <c r="T345" s="876"/>
      <c r="U345" s="899">
        <v>248.423</v>
      </c>
      <c r="V345" s="876">
        <v>248.423</v>
      </c>
      <c r="W345" s="898"/>
      <c r="X345" s="876"/>
      <c r="Y345" s="898"/>
      <c r="Z345" s="898"/>
      <c r="AA345" s="876" t="s">
        <v>2259</v>
      </c>
    </row>
    <row r="346" spans="1:27">
      <c r="A346" s="889">
        <f>A344+1</f>
        <v>171</v>
      </c>
      <c r="B346" s="896" t="s">
        <v>2199</v>
      </c>
      <c r="C346" s="876" t="s">
        <v>2197</v>
      </c>
      <c r="D346" s="876"/>
      <c r="E346" s="1635"/>
      <c r="F346" s="876" t="s">
        <v>2200</v>
      </c>
      <c r="G346" s="897">
        <v>532210.07999999996</v>
      </c>
      <c r="H346" s="897">
        <v>3543112.31</v>
      </c>
      <c r="I346" s="888"/>
      <c r="J346" s="889">
        <f>J344+1</f>
        <v>171</v>
      </c>
      <c r="K346" s="896" t="s">
        <v>2199</v>
      </c>
      <c r="L346" s="898" t="s">
        <v>2212</v>
      </c>
      <c r="M346" s="876"/>
      <c r="N346" s="876"/>
      <c r="O346" s="876"/>
      <c r="P346" s="876"/>
      <c r="Q346" s="876"/>
      <c r="R346" s="876"/>
      <c r="S346" s="876"/>
      <c r="T346" s="876"/>
      <c r="U346" s="899"/>
      <c r="V346" s="1635">
        <f>U347+U349+U351+U353</f>
        <v>1681.454</v>
      </c>
      <c r="W346" s="899">
        <v>243.28</v>
      </c>
      <c r="X346" s="876" t="s">
        <v>2243</v>
      </c>
      <c r="Y346" s="899">
        <v>532180</v>
      </c>
      <c r="Z346" s="899">
        <v>3543111</v>
      </c>
      <c r="AA346" s="876"/>
    </row>
    <row r="347" spans="1:27">
      <c r="A347" s="891"/>
      <c r="B347" s="896"/>
      <c r="C347" s="876"/>
      <c r="D347" s="876">
        <v>458.101</v>
      </c>
      <c r="E347" s="1635">
        <f>D347+D349+D351+D353</f>
        <v>1673.212</v>
      </c>
      <c r="F347" s="876"/>
      <c r="G347" s="897"/>
      <c r="H347" s="897"/>
      <c r="I347" s="888"/>
      <c r="J347" s="891"/>
      <c r="K347" s="896"/>
      <c r="L347" s="898"/>
      <c r="M347" s="876"/>
      <c r="N347" s="876"/>
      <c r="O347" s="876"/>
      <c r="P347" s="876"/>
      <c r="Q347" s="876"/>
      <c r="R347" s="876"/>
      <c r="S347" s="876"/>
      <c r="T347" s="876"/>
      <c r="U347" s="899">
        <v>427.32799999999997</v>
      </c>
      <c r="V347" s="1635"/>
      <c r="W347" s="898"/>
      <c r="X347" s="876"/>
      <c r="Y347" s="898"/>
      <c r="Z347" s="898"/>
      <c r="AA347" s="876" t="s">
        <v>2066</v>
      </c>
    </row>
    <row r="348" spans="1:27">
      <c r="A348" s="889">
        <f>A346+1</f>
        <v>172</v>
      </c>
      <c r="B348" s="896" t="s">
        <v>2201</v>
      </c>
      <c r="C348" s="876" t="s">
        <v>76</v>
      </c>
      <c r="D348" s="876"/>
      <c r="E348" s="1635"/>
      <c r="F348" s="876"/>
      <c r="G348" s="897">
        <v>532350.75399999996</v>
      </c>
      <c r="H348" s="897">
        <v>3542676.3429999999</v>
      </c>
      <c r="I348" s="888"/>
      <c r="J348" s="889">
        <f>J346+1</f>
        <v>172</v>
      </c>
      <c r="K348" s="896" t="s">
        <v>2201</v>
      </c>
      <c r="L348" s="898" t="s">
        <v>76</v>
      </c>
      <c r="M348" s="876"/>
      <c r="N348" s="876"/>
      <c r="O348" s="876"/>
      <c r="P348" s="876"/>
      <c r="Q348" s="876"/>
      <c r="R348" s="876"/>
      <c r="S348" s="876"/>
      <c r="T348" s="876"/>
      <c r="U348" s="899"/>
      <c r="V348" s="1635"/>
      <c r="W348" s="899">
        <v>243.93700000000001</v>
      </c>
      <c r="X348" s="876"/>
      <c r="Y348" s="899">
        <v>532318.22600000002</v>
      </c>
      <c r="Z348" s="899">
        <v>3542706.6460000002</v>
      </c>
      <c r="AA348" s="876"/>
    </row>
    <row r="349" spans="1:27">
      <c r="A349" s="891"/>
      <c r="B349" s="896"/>
      <c r="C349" s="876"/>
      <c r="D349" s="876">
        <v>381.45100000000002</v>
      </c>
      <c r="E349" s="1635"/>
      <c r="F349" s="876"/>
      <c r="G349" s="897"/>
      <c r="H349" s="897"/>
      <c r="I349" s="888"/>
      <c r="J349" s="891"/>
      <c r="K349" s="896"/>
      <c r="L349" s="898"/>
      <c r="M349" s="876"/>
      <c r="N349" s="876"/>
      <c r="O349" s="876"/>
      <c r="P349" s="876"/>
      <c r="Q349" s="876"/>
      <c r="R349" s="876"/>
      <c r="S349" s="876"/>
      <c r="T349" s="876"/>
      <c r="U349" s="899">
        <v>413.23399999999998</v>
      </c>
      <c r="V349" s="1635"/>
      <c r="W349" s="898"/>
      <c r="X349" s="876"/>
      <c r="Y349" s="898"/>
      <c r="Z349" s="898"/>
      <c r="AA349" s="876" t="s">
        <v>2244</v>
      </c>
    </row>
    <row r="350" spans="1:27">
      <c r="A350" s="889">
        <f>A348+1</f>
        <v>173</v>
      </c>
      <c r="B350" s="896" t="s">
        <v>2202</v>
      </c>
      <c r="C350" s="876" t="s">
        <v>76</v>
      </c>
      <c r="D350" s="876"/>
      <c r="E350" s="1635"/>
      <c r="F350" s="876"/>
      <c r="G350" s="897">
        <v>532467.89099999995</v>
      </c>
      <c r="H350" s="897">
        <v>3542313.3220000002</v>
      </c>
      <c r="I350" s="888"/>
      <c r="J350" s="889">
        <f>J348+1</f>
        <v>173</v>
      </c>
      <c r="K350" s="896" t="s">
        <v>2202</v>
      </c>
      <c r="L350" s="898" t="s">
        <v>62</v>
      </c>
      <c r="M350" s="876"/>
      <c r="N350" s="876"/>
      <c r="O350" s="876"/>
      <c r="P350" s="876"/>
      <c r="Q350" s="876"/>
      <c r="R350" s="876"/>
      <c r="S350" s="876"/>
      <c r="T350" s="876"/>
      <c r="U350" s="899"/>
      <c r="V350" s="1635"/>
      <c r="W350" s="899">
        <v>244.92699999999999</v>
      </c>
      <c r="X350" s="876"/>
      <c r="Y350" s="899">
        <v>532451.89300000004</v>
      </c>
      <c r="Z350" s="899">
        <v>3542315.6269999999</v>
      </c>
      <c r="AA350" s="876"/>
    </row>
    <row r="351" spans="1:27">
      <c r="A351" s="891"/>
      <c r="B351" s="896"/>
      <c r="C351" s="876"/>
      <c r="D351" s="876">
        <v>407.01299999999998</v>
      </c>
      <c r="E351" s="1635"/>
      <c r="F351" s="876"/>
      <c r="G351" s="897"/>
      <c r="H351" s="897"/>
      <c r="I351" s="888"/>
      <c r="J351" s="891"/>
      <c r="K351" s="896"/>
      <c r="L351" s="898"/>
      <c r="M351" s="876"/>
      <c r="N351" s="876"/>
      <c r="O351" s="876"/>
      <c r="P351" s="876"/>
      <c r="Q351" s="876"/>
      <c r="R351" s="876"/>
      <c r="S351" s="876"/>
      <c r="T351" s="876"/>
      <c r="U351" s="899">
        <v>414.71899999999999</v>
      </c>
      <c r="V351" s="1635"/>
      <c r="W351" s="898"/>
      <c r="X351" s="876"/>
      <c r="Y351" s="898"/>
      <c r="Z351" s="898"/>
      <c r="AA351" s="876"/>
    </row>
    <row r="352" spans="1:27">
      <c r="A352" s="889">
        <f>A350+1</f>
        <v>174</v>
      </c>
      <c r="B352" s="896" t="s">
        <v>2203</v>
      </c>
      <c r="C352" s="876" t="s">
        <v>62</v>
      </c>
      <c r="D352" s="876"/>
      <c r="E352" s="1635"/>
      <c r="F352" s="876"/>
      <c r="G352" s="897">
        <v>532592.87699999998</v>
      </c>
      <c r="H352" s="897">
        <v>3541925.9750000001</v>
      </c>
      <c r="I352" s="888"/>
      <c r="J352" s="889">
        <f>J350+1</f>
        <v>174</v>
      </c>
      <c r="K352" s="896" t="s">
        <v>2203</v>
      </c>
      <c r="L352" s="898" t="s">
        <v>62</v>
      </c>
      <c r="M352" s="876"/>
      <c r="N352" s="876"/>
      <c r="O352" s="876"/>
      <c r="P352" s="876"/>
      <c r="Q352" s="876"/>
      <c r="R352" s="876"/>
      <c r="S352" s="876"/>
      <c r="T352" s="876"/>
      <c r="U352" s="899"/>
      <c r="V352" s="1635"/>
      <c r="W352" s="899">
        <v>246.9</v>
      </c>
      <c r="X352" s="876"/>
      <c r="Y352" s="899">
        <v>532586.04099999997</v>
      </c>
      <c r="Z352" s="899">
        <v>3541923.2039999999</v>
      </c>
      <c r="AA352" s="876"/>
    </row>
    <row r="353" spans="1:27">
      <c r="A353" s="891"/>
      <c r="B353" s="896"/>
      <c r="C353" s="876"/>
      <c r="D353" s="876">
        <v>426.64699999999999</v>
      </c>
      <c r="E353" s="1635"/>
      <c r="F353" s="876"/>
      <c r="G353" s="897"/>
      <c r="H353" s="897"/>
      <c r="I353" s="888"/>
      <c r="J353" s="891"/>
      <c r="K353" s="896"/>
      <c r="L353" s="898"/>
      <c r="M353" s="876"/>
      <c r="N353" s="876"/>
      <c r="O353" s="876"/>
      <c r="P353" s="876"/>
      <c r="Q353" s="876"/>
      <c r="R353" s="876"/>
      <c r="S353" s="876"/>
      <c r="T353" s="876"/>
      <c r="U353" s="899">
        <v>426.173</v>
      </c>
      <c r="V353" s="1635"/>
      <c r="W353" s="898"/>
      <c r="X353" s="876"/>
      <c r="Y353" s="898"/>
      <c r="Z353" s="898"/>
      <c r="AA353" s="876" t="s">
        <v>2245</v>
      </c>
    </row>
    <row r="354" spans="1:27">
      <c r="A354" s="889">
        <f>A352+1</f>
        <v>175</v>
      </c>
      <c r="B354" s="896" t="s">
        <v>2204</v>
      </c>
      <c r="C354" s="876" t="s">
        <v>90</v>
      </c>
      <c r="D354" s="876"/>
      <c r="E354" s="1635"/>
      <c r="F354" s="876" t="s">
        <v>2205</v>
      </c>
      <c r="G354" s="897">
        <v>532723.89300000004</v>
      </c>
      <c r="H354" s="897">
        <v>3541519.9419999998</v>
      </c>
      <c r="I354" s="888"/>
      <c r="J354" s="889">
        <f>J352+1</f>
        <v>175</v>
      </c>
      <c r="K354" s="896" t="s">
        <v>2204</v>
      </c>
      <c r="L354" s="898" t="s">
        <v>90</v>
      </c>
      <c r="M354" s="876"/>
      <c r="N354" s="876"/>
      <c r="O354" s="876"/>
      <c r="P354" s="876"/>
      <c r="Q354" s="876"/>
      <c r="R354" s="876"/>
      <c r="S354" s="876"/>
      <c r="T354" s="876"/>
      <c r="U354" s="899"/>
      <c r="V354" s="1635"/>
      <c r="W354" s="899">
        <v>247.023</v>
      </c>
      <c r="X354" s="876" t="s">
        <v>2246</v>
      </c>
      <c r="Y354" s="899">
        <v>532723.89300000004</v>
      </c>
      <c r="Z354" s="899">
        <v>3541519.9419999998</v>
      </c>
      <c r="AA354" s="876"/>
    </row>
    <row r="355" spans="1:27" ht="30">
      <c r="A355" s="891"/>
      <c r="B355" s="896"/>
      <c r="C355" s="876"/>
      <c r="D355" s="876">
        <v>404.80900000000003</v>
      </c>
      <c r="E355" s="1635">
        <f>D355+D357+D359+D361</f>
        <v>1630.3970000000002</v>
      </c>
      <c r="F355" s="876"/>
      <c r="G355" s="897"/>
      <c r="H355" s="897"/>
      <c r="I355" s="888"/>
      <c r="J355" s="891"/>
      <c r="K355" s="896"/>
      <c r="L355" s="898"/>
      <c r="M355" s="876"/>
      <c r="N355" s="876"/>
      <c r="O355" s="876"/>
      <c r="P355" s="876"/>
      <c r="Q355" s="876"/>
      <c r="R355" s="876"/>
      <c r="S355" s="876"/>
      <c r="T355" s="876"/>
      <c r="U355" s="899">
        <v>404.80900000000003</v>
      </c>
      <c r="V355" s="1642">
        <f>U355+U357+U359+U361</f>
        <v>1630.3960000000002</v>
      </c>
      <c r="W355" s="898"/>
      <c r="X355" s="876"/>
      <c r="Y355" s="898"/>
      <c r="Z355" s="898"/>
      <c r="AA355" s="877" t="s">
        <v>2247</v>
      </c>
    </row>
    <row r="356" spans="1:27">
      <c r="A356" s="889">
        <f>A354+1</f>
        <v>176</v>
      </c>
      <c r="B356" s="896" t="s">
        <v>2206</v>
      </c>
      <c r="C356" s="876" t="s">
        <v>76</v>
      </c>
      <c r="D356" s="876"/>
      <c r="E356" s="1635"/>
      <c r="F356" s="876"/>
      <c r="G356" s="897">
        <v>532884.30900000001</v>
      </c>
      <c r="H356" s="897">
        <v>3541148.2740000002</v>
      </c>
      <c r="I356" s="888"/>
      <c r="J356" s="889">
        <f>J354+1</f>
        <v>176</v>
      </c>
      <c r="K356" s="896" t="s">
        <v>2206</v>
      </c>
      <c r="L356" s="898" t="s">
        <v>76</v>
      </c>
      <c r="M356" s="876"/>
      <c r="N356" s="876"/>
      <c r="O356" s="876"/>
      <c r="P356" s="876"/>
      <c r="Q356" s="876"/>
      <c r="R356" s="876"/>
      <c r="S356" s="876"/>
      <c r="T356" s="876"/>
      <c r="U356" s="899"/>
      <c r="V356" s="1635"/>
      <c r="W356" s="899">
        <v>247.02600000000001</v>
      </c>
      <c r="X356" s="876"/>
      <c r="Y356" s="899">
        <v>532884.30900000001</v>
      </c>
      <c r="Z356" s="899">
        <v>3541148.2740000002</v>
      </c>
      <c r="AA356" s="876"/>
    </row>
    <row r="357" spans="1:27">
      <c r="A357" s="891"/>
      <c r="B357" s="896"/>
      <c r="C357" s="876"/>
      <c r="D357" s="876">
        <v>392.738</v>
      </c>
      <c r="E357" s="1635"/>
      <c r="F357" s="876"/>
      <c r="G357" s="897"/>
      <c r="H357" s="897"/>
      <c r="I357" s="888"/>
      <c r="J357" s="891"/>
      <c r="K357" s="896"/>
      <c r="L357" s="898"/>
      <c r="M357" s="876"/>
      <c r="N357" s="876"/>
      <c r="O357" s="876"/>
      <c r="P357" s="876"/>
      <c r="Q357" s="876"/>
      <c r="R357" s="876"/>
      <c r="S357" s="876"/>
      <c r="T357" s="876"/>
      <c r="U357" s="899">
        <v>392.738</v>
      </c>
      <c r="V357" s="1635"/>
      <c r="W357" s="898"/>
      <c r="X357" s="876"/>
      <c r="Y357" s="898"/>
      <c r="Z357" s="898"/>
      <c r="AA357" s="876" t="s">
        <v>2248</v>
      </c>
    </row>
    <row r="358" spans="1:27">
      <c r="A358" s="889">
        <f>A356+1</f>
        <v>177</v>
      </c>
      <c r="B358" s="896" t="s">
        <v>2207</v>
      </c>
      <c r="C358" s="876" t="s">
        <v>76</v>
      </c>
      <c r="D358" s="876"/>
      <c r="E358" s="1635"/>
      <c r="F358" s="876"/>
      <c r="G358" s="897">
        <v>533039.94200000004</v>
      </c>
      <c r="H358" s="897">
        <v>3540787.6889999998</v>
      </c>
      <c r="I358" s="888"/>
      <c r="J358" s="889">
        <f>J356+1</f>
        <v>177</v>
      </c>
      <c r="K358" s="896" t="s">
        <v>2207</v>
      </c>
      <c r="L358" s="898" t="s">
        <v>76</v>
      </c>
      <c r="M358" s="876"/>
      <c r="N358" s="876"/>
      <c r="O358" s="876"/>
      <c r="P358" s="876"/>
      <c r="Q358" s="876"/>
      <c r="R358" s="876"/>
      <c r="S358" s="876"/>
      <c r="T358" s="876"/>
      <c r="U358" s="899"/>
      <c r="V358" s="1635"/>
      <c r="W358" s="899">
        <v>247.048</v>
      </c>
      <c r="X358" s="876"/>
      <c r="Y358" s="899">
        <v>533039.94200000004</v>
      </c>
      <c r="Z358" s="899">
        <v>3540787.6889999998</v>
      </c>
      <c r="AA358" s="876"/>
    </row>
    <row r="359" spans="1:27">
      <c r="A359" s="891"/>
      <c r="B359" s="896"/>
      <c r="C359" s="876"/>
      <c r="D359" s="876">
        <v>391.93900000000002</v>
      </c>
      <c r="E359" s="1635"/>
      <c r="F359" s="876"/>
      <c r="G359" s="897"/>
      <c r="H359" s="897"/>
      <c r="I359" s="888"/>
      <c r="J359" s="891"/>
      <c r="K359" s="896"/>
      <c r="L359" s="898"/>
      <c r="M359" s="876"/>
      <c r="N359" s="876"/>
      <c r="O359" s="876"/>
      <c r="P359" s="876"/>
      <c r="Q359" s="876"/>
      <c r="R359" s="876"/>
      <c r="S359" s="876"/>
      <c r="T359" s="876"/>
      <c r="U359" s="899">
        <v>391.93900000000002</v>
      </c>
      <c r="V359" s="1635"/>
      <c r="W359" s="898"/>
      <c r="X359" s="876"/>
      <c r="Y359" s="898"/>
      <c r="Z359" s="898"/>
      <c r="AA359" s="876" t="s">
        <v>2249</v>
      </c>
    </row>
    <row r="360" spans="1:27">
      <c r="A360" s="889">
        <f>A358+1</f>
        <v>178</v>
      </c>
      <c r="B360" s="896" t="s">
        <v>2208</v>
      </c>
      <c r="C360" s="876" t="s">
        <v>76</v>
      </c>
      <c r="D360" s="876"/>
      <c r="E360" s="1635"/>
      <c r="F360" s="876"/>
      <c r="G360" s="897">
        <v>533195.25800000003</v>
      </c>
      <c r="H360" s="897">
        <v>3540427.838</v>
      </c>
      <c r="I360" s="888"/>
      <c r="J360" s="889">
        <f>J358+1</f>
        <v>178</v>
      </c>
      <c r="K360" s="896" t="s">
        <v>2208</v>
      </c>
      <c r="L360" s="898" t="s">
        <v>76</v>
      </c>
      <c r="M360" s="876"/>
      <c r="N360" s="876"/>
      <c r="O360" s="876"/>
      <c r="P360" s="876"/>
      <c r="Q360" s="876"/>
      <c r="R360" s="876"/>
      <c r="S360" s="876"/>
      <c r="T360" s="876"/>
      <c r="U360" s="899"/>
      <c r="V360" s="1635"/>
      <c r="W360" s="899">
        <v>247.309</v>
      </c>
      <c r="X360" s="876"/>
      <c r="Y360" s="899">
        <v>533195.25899999996</v>
      </c>
      <c r="Z360" s="899">
        <v>3540427.8369999998</v>
      </c>
      <c r="AA360" s="876"/>
    </row>
    <row r="361" spans="1:27">
      <c r="A361" s="891"/>
      <c r="B361" s="896"/>
      <c r="C361" s="876"/>
      <c r="D361" s="876">
        <v>440.911</v>
      </c>
      <c r="E361" s="1635"/>
      <c r="F361" s="876"/>
      <c r="G361" s="897"/>
      <c r="H361" s="897"/>
      <c r="I361" s="888"/>
      <c r="J361" s="891"/>
      <c r="K361" s="896"/>
      <c r="L361" s="898"/>
      <c r="M361" s="876"/>
      <c r="N361" s="876"/>
      <c r="O361" s="876"/>
      <c r="P361" s="876"/>
      <c r="Q361" s="876"/>
      <c r="R361" s="876"/>
      <c r="S361" s="876"/>
      <c r="T361" s="876"/>
      <c r="U361" s="899">
        <v>440.91</v>
      </c>
      <c r="V361" s="1635"/>
      <c r="W361" s="898"/>
      <c r="X361" s="876"/>
      <c r="Y361" s="898"/>
      <c r="Z361" s="898"/>
      <c r="AA361" s="876"/>
    </row>
    <row r="362" spans="1:27">
      <c r="A362" s="889">
        <f>A360+1</f>
        <v>179</v>
      </c>
      <c r="B362" s="896" t="s">
        <v>2209</v>
      </c>
      <c r="C362" s="876" t="s">
        <v>2197</v>
      </c>
      <c r="D362" s="876"/>
      <c r="E362" s="1635"/>
      <c r="F362" s="876" t="s">
        <v>2210</v>
      </c>
      <c r="G362" s="897">
        <v>533369.98100000003</v>
      </c>
      <c r="H362" s="897">
        <v>3540023.0240000002</v>
      </c>
      <c r="I362" s="888"/>
      <c r="J362" s="889">
        <f>J360+1</f>
        <v>179</v>
      </c>
      <c r="K362" s="896" t="s">
        <v>2209</v>
      </c>
      <c r="L362" s="898" t="s">
        <v>2197</v>
      </c>
      <c r="M362" s="876">
        <v>1</v>
      </c>
      <c r="N362" s="876">
        <v>1</v>
      </c>
      <c r="O362" s="876">
        <v>1</v>
      </c>
      <c r="P362" s="876">
        <v>1</v>
      </c>
      <c r="Q362" s="876"/>
      <c r="R362" s="876"/>
      <c r="S362" s="876"/>
      <c r="T362" s="876"/>
      <c r="U362" s="899"/>
      <c r="V362" s="1635"/>
      <c r="W362" s="899">
        <v>248.95400000000001</v>
      </c>
      <c r="X362" s="876" t="s">
        <v>2250</v>
      </c>
      <c r="Y362" s="899">
        <v>533369.98100000003</v>
      </c>
      <c r="Z362" s="899">
        <v>3540023.0240000002</v>
      </c>
      <c r="AA362" s="876"/>
    </row>
    <row r="363" spans="1:27" ht="30">
      <c r="A363" s="891"/>
      <c r="B363" s="896"/>
      <c r="C363" s="876"/>
      <c r="D363" s="876">
        <v>186.01400000000001</v>
      </c>
      <c r="E363" s="1635">
        <v>186.01400000000001</v>
      </c>
      <c r="F363" s="876"/>
      <c r="G363" s="897"/>
      <c r="H363" s="897"/>
      <c r="I363" s="888"/>
      <c r="J363" s="891"/>
      <c r="K363" s="896"/>
      <c r="L363" s="898"/>
      <c r="M363" s="876"/>
      <c r="N363" s="876"/>
      <c r="O363" s="876"/>
      <c r="P363" s="876"/>
      <c r="Q363" s="876"/>
      <c r="R363" s="876"/>
      <c r="S363" s="876"/>
      <c r="T363" s="876"/>
      <c r="U363" s="899">
        <v>320.74299999999999</v>
      </c>
      <c r="V363" s="897">
        <v>320.74250000000001</v>
      </c>
      <c r="W363" s="898"/>
      <c r="X363" s="876"/>
      <c r="Y363" s="898"/>
      <c r="Z363" s="898"/>
      <c r="AA363" s="877" t="s">
        <v>2260</v>
      </c>
    </row>
    <row r="364" spans="1:27">
      <c r="A364" s="889">
        <f>A362+1</f>
        <v>180</v>
      </c>
      <c r="B364" s="896" t="s">
        <v>2211</v>
      </c>
      <c r="C364" s="876" t="s">
        <v>2212</v>
      </c>
      <c r="D364" s="876"/>
      <c r="E364" s="1635"/>
      <c r="F364" s="876" t="s">
        <v>2213</v>
      </c>
      <c r="G364" s="897">
        <v>533433.00300000003</v>
      </c>
      <c r="H364" s="897">
        <v>3539848.0109999999</v>
      </c>
      <c r="I364" s="888"/>
      <c r="J364" s="889">
        <f>J362+1</f>
        <v>180</v>
      </c>
      <c r="K364" s="896" t="s">
        <v>2211</v>
      </c>
      <c r="L364" s="898" t="s">
        <v>2212</v>
      </c>
      <c r="M364" s="876"/>
      <c r="N364" s="876"/>
      <c r="O364" s="876"/>
      <c r="P364" s="876"/>
      <c r="Q364" s="876"/>
      <c r="R364" s="876"/>
      <c r="S364" s="876"/>
      <c r="T364" s="876"/>
      <c r="U364" s="899"/>
      <c r="V364" s="876"/>
      <c r="W364" s="899">
        <v>250.76</v>
      </c>
      <c r="X364" s="876" t="s">
        <v>2251</v>
      </c>
      <c r="Y364" s="899">
        <v>533486</v>
      </c>
      <c r="Z364" s="899">
        <v>3539724</v>
      </c>
      <c r="AA364" s="876"/>
    </row>
    <row r="365" spans="1:27">
      <c r="A365" s="891"/>
      <c r="B365" s="896"/>
      <c r="C365" s="876"/>
      <c r="D365" s="876">
        <v>372.46</v>
      </c>
      <c r="E365" s="1635">
        <v>372.46</v>
      </c>
      <c r="F365" s="876"/>
      <c r="G365" s="897"/>
      <c r="H365" s="897"/>
      <c r="I365" s="888"/>
      <c r="J365" s="891"/>
      <c r="K365" s="896"/>
      <c r="L365" s="898"/>
      <c r="M365" s="876"/>
      <c r="N365" s="876"/>
      <c r="O365" s="876"/>
      <c r="P365" s="876"/>
      <c r="Q365" s="876"/>
      <c r="R365" s="876"/>
      <c r="S365" s="876"/>
      <c r="T365" s="876"/>
      <c r="U365" s="899">
        <v>242.22499999999999</v>
      </c>
      <c r="V365" s="876">
        <v>242.22499999999999</v>
      </c>
      <c r="W365" s="898"/>
      <c r="X365" s="876"/>
      <c r="Y365" s="898"/>
      <c r="Z365" s="898"/>
      <c r="AA365" s="877" t="s">
        <v>2261</v>
      </c>
    </row>
    <row r="366" spans="1:27">
      <c r="A366" s="889">
        <f>A364+1</f>
        <v>181</v>
      </c>
      <c r="B366" s="896" t="s">
        <v>2214</v>
      </c>
      <c r="C366" s="876" t="s">
        <v>1319</v>
      </c>
      <c r="D366" s="876"/>
      <c r="E366" s="1635"/>
      <c r="F366" s="876" t="s">
        <v>2215</v>
      </c>
      <c r="G366" s="897">
        <v>533679.48</v>
      </c>
      <c r="H366" s="897">
        <v>3539568.77</v>
      </c>
      <c r="I366" s="888"/>
      <c r="J366" s="889">
        <f>J364+1</f>
        <v>181</v>
      </c>
      <c r="K366" s="896" t="s">
        <v>2214</v>
      </c>
      <c r="L366" s="898" t="s">
        <v>1319</v>
      </c>
      <c r="M366" s="876"/>
      <c r="N366" s="876"/>
      <c r="O366" s="876"/>
      <c r="P366" s="876"/>
      <c r="Q366" s="876"/>
      <c r="R366" s="876"/>
      <c r="S366" s="876"/>
      <c r="T366" s="876"/>
      <c r="U366" s="899"/>
      <c r="V366" s="1635">
        <f>U367+U369</f>
        <v>839.24900000000002</v>
      </c>
      <c r="W366" s="899">
        <v>253.15</v>
      </c>
      <c r="X366" s="876" t="s">
        <v>2252</v>
      </c>
      <c r="Y366" s="899">
        <v>533678.44299999997</v>
      </c>
      <c r="Z366" s="899">
        <v>3539576.8990000002</v>
      </c>
      <c r="AA366" s="876"/>
    </row>
    <row r="367" spans="1:27">
      <c r="A367" s="891"/>
      <c r="B367" s="896"/>
      <c r="C367" s="876"/>
      <c r="D367" s="876">
        <v>378.29199999999997</v>
      </c>
      <c r="E367" s="876">
        <v>378.29199999999997</v>
      </c>
      <c r="F367" s="876"/>
      <c r="G367" s="897"/>
      <c r="H367" s="897"/>
      <c r="I367" s="888"/>
      <c r="J367" s="891"/>
      <c r="K367" s="896"/>
      <c r="L367" s="898"/>
      <c r="M367" s="876"/>
      <c r="N367" s="876"/>
      <c r="O367" s="876"/>
      <c r="P367" s="876"/>
      <c r="Q367" s="876"/>
      <c r="R367" s="876"/>
      <c r="S367" s="876"/>
      <c r="T367" s="876"/>
      <c r="U367" s="899">
        <v>380.988</v>
      </c>
      <c r="V367" s="1635"/>
      <c r="W367" s="898"/>
      <c r="X367" s="876"/>
      <c r="Y367" s="898"/>
      <c r="Z367" s="898"/>
      <c r="AA367" s="877" t="s">
        <v>2253</v>
      </c>
    </row>
    <row r="368" spans="1:27">
      <c r="A368" s="889">
        <f>A366+1</f>
        <v>182</v>
      </c>
      <c r="B368" s="896" t="s">
        <v>2216</v>
      </c>
      <c r="C368" s="876" t="s">
        <v>76</v>
      </c>
      <c r="D368" s="876"/>
      <c r="E368" s="1635">
        <f>D369+D371</f>
        <v>703.04200000000003</v>
      </c>
      <c r="F368" s="876"/>
      <c r="G368" s="897">
        <v>533707.17000000004</v>
      </c>
      <c r="H368" s="897">
        <v>3539191.4929999998</v>
      </c>
      <c r="I368" s="888"/>
      <c r="J368" s="889">
        <f>J366+1</f>
        <v>182</v>
      </c>
      <c r="K368" s="896" t="s">
        <v>2216</v>
      </c>
      <c r="L368" s="898" t="s">
        <v>76</v>
      </c>
      <c r="M368" s="876"/>
      <c r="N368" s="876"/>
      <c r="O368" s="876"/>
      <c r="P368" s="876"/>
      <c r="Q368" s="876"/>
      <c r="R368" s="876"/>
      <c r="S368" s="876"/>
      <c r="T368" s="876"/>
      <c r="U368" s="899"/>
      <c r="V368" s="1635"/>
      <c r="W368" s="899">
        <v>252.87100000000001</v>
      </c>
      <c r="X368" s="876"/>
      <c r="Y368" s="899">
        <v>533692.38199999998</v>
      </c>
      <c r="Z368" s="899">
        <v>3539196.1660000002</v>
      </c>
      <c r="AA368" s="876"/>
    </row>
    <row r="369" spans="1:27">
      <c r="A369" s="891"/>
      <c r="B369" s="896"/>
      <c r="C369" s="876"/>
      <c r="D369" s="876">
        <v>455.59500000000003</v>
      </c>
      <c r="E369" s="1635"/>
      <c r="F369" s="876"/>
      <c r="G369" s="897"/>
      <c r="H369" s="897"/>
      <c r="I369" s="888"/>
      <c r="J369" s="891"/>
      <c r="K369" s="896"/>
      <c r="L369" s="898"/>
      <c r="M369" s="876"/>
      <c r="N369" s="876"/>
      <c r="O369" s="876"/>
      <c r="P369" s="876"/>
      <c r="Q369" s="876"/>
      <c r="R369" s="876"/>
      <c r="S369" s="876"/>
      <c r="T369" s="876"/>
      <c r="U369" s="899">
        <v>458.26100000000002</v>
      </c>
      <c r="V369" s="1635"/>
      <c r="W369" s="898"/>
      <c r="X369" s="876"/>
      <c r="Y369" s="898"/>
      <c r="Z369" s="898"/>
      <c r="AA369" s="876"/>
    </row>
    <row r="370" spans="1:27">
      <c r="A370" s="889">
        <f>A368+1</f>
        <v>183</v>
      </c>
      <c r="B370" s="896" t="s">
        <v>2217</v>
      </c>
      <c r="C370" s="876" t="s">
        <v>2212</v>
      </c>
      <c r="D370" s="876"/>
      <c r="E370" s="1635"/>
      <c r="F370" s="876" t="s">
        <v>2218</v>
      </c>
      <c r="G370" s="897">
        <v>533740.51899999997</v>
      </c>
      <c r="H370" s="897">
        <v>3538737.12</v>
      </c>
      <c r="I370" s="888"/>
      <c r="J370" s="889">
        <f>J368+1</f>
        <v>183</v>
      </c>
      <c r="K370" s="896" t="s">
        <v>2217</v>
      </c>
      <c r="L370" s="898" t="s">
        <v>2212</v>
      </c>
      <c r="M370" s="876"/>
      <c r="N370" s="876"/>
      <c r="O370" s="876"/>
      <c r="P370" s="876"/>
      <c r="Q370" s="876"/>
      <c r="R370" s="876"/>
      <c r="S370" s="876"/>
      <c r="T370" s="876"/>
      <c r="U370" s="899"/>
      <c r="V370" s="1635"/>
      <c r="W370" s="899">
        <v>252.38499999999999</v>
      </c>
      <c r="X370" s="876" t="s">
        <v>2254</v>
      </c>
      <c r="Y370" s="899">
        <v>533709.14800000004</v>
      </c>
      <c r="Z370" s="899">
        <v>3538738.2119999998</v>
      </c>
      <c r="AA370" s="876"/>
    </row>
    <row r="371" spans="1:27" ht="30">
      <c r="A371" s="891"/>
      <c r="B371" s="896"/>
      <c r="C371" s="876"/>
      <c r="D371" s="876">
        <v>247.447</v>
      </c>
      <c r="E371" s="1635"/>
      <c r="F371" s="876"/>
      <c r="G371" s="897"/>
      <c r="H371" s="897"/>
      <c r="I371" s="888"/>
      <c r="J371" s="891"/>
      <c r="K371" s="896"/>
      <c r="L371" s="898"/>
      <c r="M371" s="876"/>
      <c r="N371" s="876"/>
      <c r="O371" s="876"/>
      <c r="P371" s="876"/>
      <c r="Q371" s="876"/>
      <c r="R371" s="876"/>
      <c r="S371" s="876"/>
      <c r="T371" s="876"/>
      <c r="U371" s="899">
        <v>242.66300000000001</v>
      </c>
      <c r="V371" s="876">
        <v>242.66300000000001</v>
      </c>
      <c r="W371" s="898"/>
      <c r="X371" s="876"/>
      <c r="Y371" s="898"/>
      <c r="Z371" s="898"/>
      <c r="AA371" s="877" t="s">
        <v>2262</v>
      </c>
    </row>
    <row r="372" spans="1:27">
      <c r="A372" s="889">
        <f>A370+1</f>
        <v>184</v>
      </c>
      <c r="B372" s="896" t="s">
        <v>2219</v>
      </c>
      <c r="C372" s="876" t="s">
        <v>2212</v>
      </c>
      <c r="D372" s="876"/>
      <c r="E372" s="876"/>
      <c r="F372" s="876" t="s">
        <v>2220</v>
      </c>
      <c r="G372" s="897">
        <v>533893.99100000004</v>
      </c>
      <c r="H372" s="897">
        <v>3538543.0159999998</v>
      </c>
      <c r="I372" s="888"/>
      <c r="J372" s="889">
        <f>J370+1</f>
        <v>184</v>
      </c>
      <c r="K372" s="896" t="s">
        <v>2219</v>
      </c>
      <c r="L372" s="898" t="s">
        <v>1995</v>
      </c>
      <c r="M372" s="876"/>
      <c r="N372" s="876"/>
      <c r="O372" s="876"/>
      <c r="P372" s="876"/>
      <c r="Q372" s="876"/>
      <c r="R372" s="876"/>
      <c r="S372" s="876"/>
      <c r="T372" s="876"/>
      <c r="U372" s="899"/>
      <c r="V372" s="1635">
        <f>U373+U375+U377</f>
        <v>1149.152</v>
      </c>
      <c r="W372" s="899">
        <v>252.47300000000001</v>
      </c>
      <c r="X372" s="876" t="s">
        <v>2255</v>
      </c>
      <c r="Y372" s="899">
        <v>533887.87399999995</v>
      </c>
      <c r="Z372" s="899">
        <v>3538574.071</v>
      </c>
      <c r="AA372" s="876"/>
    </row>
    <row r="373" spans="1:27">
      <c r="A373" s="891"/>
      <c r="B373" s="896"/>
      <c r="C373" s="876"/>
      <c r="D373" s="876">
        <v>376.60700000000003</v>
      </c>
      <c r="E373" s="1635">
        <f>D373+D375+D377</f>
        <v>1117.502</v>
      </c>
      <c r="F373" s="876"/>
      <c r="G373" s="897"/>
      <c r="H373" s="897"/>
      <c r="I373" s="888"/>
      <c r="J373" s="891"/>
      <c r="K373" s="896"/>
      <c r="L373" s="898"/>
      <c r="M373" s="876"/>
      <c r="N373" s="876"/>
      <c r="O373" s="876"/>
      <c r="P373" s="876"/>
      <c r="Q373" s="876"/>
      <c r="R373" s="876"/>
      <c r="S373" s="876"/>
      <c r="T373" s="876"/>
      <c r="U373" s="899">
        <v>408.25799999999998</v>
      </c>
      <c r="V373" s="1635"/>
      <c r="W373" s="898"/>
      <c r="X373" s="876"/>
      <c r="Y373" s="898"/>
      <c r="Z373" s="898"/>
      <c r="AA373" s="876" t="s">
        <v>2256</v>
      </c>
    </row>
    <row r="374" spans="1:27">
      <c r="A374" s="889">
        <f>A372+1</f>
        <v>185</v>
      </c>
      <c r="B374" s="896" t="s">
        <v>2221</v>
      </c>
      <c r="C374" s="876" t="s">
        <v>76</v>
      </c>
      <c r="D374" s="876"/>
      <c r="E374" s="1635"/>
      <c r="F374" s="876"/>
      <c r="G374" s="897">
        <v>533963.11300000001</v>
      </c>
      <c r="H374" s="897">
        <v>3538172.807</v>
      </c>
      <c r="I374" s="888"/>
      <c r="J374" s="889">
        <f>J372+1</f>
        <v>185</v>
      </c>
      <c r="K374" s="896" t="s">
        <v>2221</v>
      </c>
      <c r="L374" s="898" t="s">
        <v>76</v>
      </c>
      <c r="M374" s="876"/>
      <c r="N374" s="876"/>
      <c r="O374" s="876"/>
      <c r="P374" s="876"/>
      <c r="Q374" s="876"/>
      <c r="R374" s="876"/>
      <c r="S374" s="876"/>
      <c r="T374" s="876"/>
      <c r="U374" s="899"/>
      <c r="V374" s="1635"/>
      <c r="W374" s="899">
        <v>252.708</v>
      </c>
      <c r="X374" s="876"/>
      <c r="Y374" s="899">
        <v>533962.91399999999</v>
      </c>
      <c r="Z374" s="899">
        <v>3538172.7689999999</v>
      </c>
      <c r="AA374" s="876"/>
    </row>
    <row r="375" spans="1:27">
      <c r="A375" s="891"/>
      <c r="B375" s="896"/>
      <c r="C375" s="876"/>
      <c r="D375" s="876">
        <v>342.47699999999998</v>
      </c>
      <c r="E375" s="1635"/>
      <c r="F375" s="876"/>
      <c r="G375" s="897"/>
      <c r="H375" s="897"/>
      <c r="I375" s="888"/>
      <c r="J375" s="891"/>
      <c r="K375" s="896"/>
      <c r="L375" s="898"/>
      <c r="M375" s="876"/>
      <c r="N375" s="876"/>
      <c r="O375" s="876"/>
      <c r="P375" s="876"/>
      <c r="Q375" s="876"/>
      <c r="R375" s="876"/>
      <c r="S375" s="876"/>
      <c r="T375" s="876"/>
      <c r="U375" s="899">
        <v>342.476</v>
      </c>
      <c r="V375" s="1635"/>
      <c r="W375" s="898"/>
      <c r="X375" s="876"/>
      <c r="Y375" s="898"/>
      <c r="Z375" s="898"/>
      <c r="AA375" s="876" t="s">
        <v>2257</v>
      </c>
    </row>
    <row r="376" spans="1:27">
      <c r="A376" s="889">
        <f>A374+1</f>
        <v>186</v>
      </c>
      <c r="B376" s="896" t="s">
        <v>2222</v>
      </c>
      <c r="C376" s="876" t="s">
        <v>76</v>
      </c>
      <c r="D376" s="876"/>
      <c r="E376" s="1635"/>
      <c r="F376" s="876"/>
      <c r="G376" s="897">
        <v>534025.97</v>
      </c>
      <c r="H376" s="897">
        <v>3537836.148</v>
      </c>
      <c r="I376" s="888"/>
      <c r="J376" s="889">
        <f>J374+1</f>
        <v>186</v>
      </c>
      <c r="K376" s="896" t="s">
        <v>2222</v>
      </c>
      <c r="L376" s="898" t="s">
        <v>76</v>
      </c>
      <c r="M376" s="876"/>
      <c r="N376" s="876"/>
      <c r="O376" s="876"/>
      <c r="P376" s="876"/>
      <c r="Q376" s="876"/>
      <c r="R376" s="876"/>
      <c r="S376" s="876"/>
      <c r="T376" s="876"/>
      <c r="U376" s="899"/>
      <c r="V376" s="1635"/>
      <c r="W376" s="899">
        <v>252.36500000000001</v>
      </c>
      <c r="X376" s="876"/>
      <c r="Y376" s="899">
        <v>534025.86300000001</v>
      </c>
      <c r="Z376" s="899">
        <v>3537836.128</v>
      </c>
      <c r="AA376" s="876"/>
    </row>
    <row r="377" spans="1:27">
      <c r="A377" s="891"/>
      <c r="B377" s="896"/>
      <c r="C377" s="876"/>
      <c r="D377" s="876">
        <v>398.41800000000001</v>
      </c>
      <c r="E377" s="1635"/>
      <c r="F377" s="876"/>
      <c r="G377" s="897"/>
      <c r="H377" s="897"/>
      <c r="I377" s="888"/>
      <c r="J377" s="891"/>
      <c r="K377" s="896"/>
      <c r="L377" s="898"/>
      <c r="M377" s="876"/>
      <c r="N377" s="876"/>
      <c r="O377" s="876"/>
      <c r="P377" s="876"/>
      <c r="Q377" s="876"/>
      <c r="R377" s="876"/>
      <c r="S377" s="876"/>
      <c r="T377" s="876"/>
      <c r="U377" s="899">
        <v>398.41800000000001</v>
      </c>
      <c r="V377" s="1635"/>
      <c r="W377" s="898"/>
      <c r="X377" s="876"/>
      <c r="Y377" s="898"/>
      <c r="Z377" s="898"/>
      <c r="AA377" s="876"/>
    </row>
    <row r="378" spans="1:27">
      <c r="A378" s="889">
        <f>A376+1</f>
        <v>187</v>
      </c>
      <c r="B378" s="896" t="s">
        <v>2223</v>
      </c>
      <c r="C378" s="876" t="s">
        <v>2197</v>
      </c>
      <c r="D378" s="786"/>
      <c r="E378" s="1635"/>
      <c r="F378" s="876" t="s">
        <v>2224</v>
      </c>
      <c r="G378" s="897">
        <v>534099.09499999997</v>
      </c>
      <c r="H378" s="897">
        <v>3537444.4980000001</v>
      </c>
      <c r="I378" s="888"/>
      <c r="J378" s="889">
        <f>J376+1</f>
        <v>187</v>
      </c>
      <c r="K378" s="896" t="s">
        <v>2223</v>
      </c>
      <c r="L378" s="898" t="s">
        <v>2197</v>
      </c>
      <c r="M378" s="876"/>
      <c r="N378" s="876"/>
      <c r="O378" s="876"/>
      <c r="P378" s="876"/>
      <c r="Q378" s="876"/>
      <c r="R378" s="876"/>
      <c r="S378" s="876"/>
      <c r="T378" s="876"/>
      <c r="U378" s="899"/>
      <c r="V378" s="1635"/>
      <c r="W378" s="899">
        <v>251.542</v>
      </c>
      <c r="X378" s="876" t="s">
        <v>2258</v>
      </c>
      <c r="Y378" s="899">
        <v>534099.09499999997</v>
      </c>
      <c r="Z378" s="899">
        <v>3537444.4980000001</v>
      </c>
      <c r="AA378" s="876"/>
    </row>
    <row r="379" spans="1:27">
      <c r="A379" s="891"/>
      <c r="B379" s="896"/>
      <c r="C379" s="876"/>
      <c r="D379" s="876">
        <v>251.51599999999999</v>
      </c>
      <c r="E379" s="1635">
        <v>251.51599999999999</v>
      </c>
      <c r="F379" s="876"/>
      <c r="G379" s="897"/>
      <c r="H379" s="897"/>
      <c r="I379" s="888"/>
      <c r="J379" s="891"/>
      <c r="K379" s="896"/>
      <c r="L379" s="898"/>
      <c r="M379" s="876"/>
      <c r="N379" s="876"/>
      <c r="O379" s="876"/>
      <c r="P379" s="876"/>
      <c r="Q379" s="876"/>
      <c r="R379" s="876"/>
      <c r="S379" s="876"/>
      <c r="T379" s="876"/>
      <c r="U379" s="897">
        <v>251.51599999999999</v>
      </c>
      <c r="V379" s="1635">
        <f>U379</f>
        <v>251.51599999999999</v>
      </c>
      <c r="W379" s="898"/>
      <c r="X379" s="876"/>
      <c r="Y379" s="898"/>
      <c r="Z379" s="898"/>
      <c r="AA379" s="877" t="s">
        <v>2263</v>
      </c>
    </row>
    <row r="380" spans="1:27">
      <c r="A380" s="889">
        <f>A378+1</f>
        <v>188</v>
      </c>
      <c r="B380" s="896" t="s">
        <v>2225</v>
      </c>
      <c r="C380" s="876" t="s">
        <v>2197</v>
      </c>
      <c r="D380" s="876"/>
      <c r="E380" s="1635"/>
      <c r="F380" s="876" t="s">
        <v>2226</v>
      </c>
      <c r="G380" s="897">
        <v>534147.81200000003</v>
      </c>
      <c r="H380" s="897">
        <v>3537197.7450000001</v>
      </c>
      <c r="I380" s="888"/>
      <c r="J380" s="889">
        <f>J378+1</f>
        <v>188</v>
      </c>
      <c r="K380" s="896" t="s">
        <v>2304</v>
      </c>
      <c r="L380" s="876" t="s">
        <v>2197</v>
      </c>
      <c r="M380" s="876"/>
      <c r="N380" s="876"/>
      <c r="O380" s="876"/>
      <c r="P380" s="876"/>
      <c r="Q380" s="876"/>
      <c r="R380" s="876"/>
      <c r="S380" s="876"/>
      <c r="T380" s="876"/>
      <c r="U380" s="897"/>
      <c r="V380" s="1635"/>
      <c r="W380" s="899">
        <v>251.39400000000001</v>
      </c>
      <c r="X380" s="876" t="s">
        <v>2305</v>
      </c>
      <c r="Y380" s="899">
        <v>534147.81200000003</v>
      </c>
      <c r="Z380" s="899">
        <v>3537197.7450000001</v>
      </c>
      <c r="AA380" s="876"/>
    </row>
    <row r="381" spans="1:27" ht="30">
      <c r="A381" s="891"/>
      <c r="B381" s="891"/>
      <c r="C381" s="893"/>
      <c r="D381" s="903">
        <v>430.21300000000002</v>
      </c>
      <c r="E381" s="1635">
        <v>430.21300000000002</v>
      </c>
      <c r="F381" s="891"/>
      <c r="G381" s="891"/>
      <c r="H381" s="891"/>
      <c r="I381" s="888"/>
      <c r="J381" s="891"/>
      <c r="K381" s="891"/>
      <c r="L381" s="891"/>
      <c r="M381" s="891"/>
      <c r="N381" s="891"/>
      <c r="O381" s="891"/>
      <c r="P381" s="891"/>
      <c r="Q381" s="891"/>
      <c r="R381" s="891"/>
      <c r="S381" s="891"/>
      <c r="T381" s="891"/>
      <c r="U381" s="897">
        <v>445.12599999999998</v>
      </c>
      <c r="V381" s="1640">
        <f>U381</f>
        <v>445.12599999999998</v>
      </c>
      <c r="W381" s="891"/>
      <c r="X381" s="891"/>
      <c r="Y381" s="891"/>
      <c r="Z381" s="891"/>
      <c r="AA381" s="904" t="s">
        <v>2317</v>
      </c>
    </row>
    <row r="382" spans="1:27" ht="14.45" customHeight="1">
      <c r="A382" s="889">
        <f>A380+1</f>
        <v>189</v>
      </c>
      <c r="B382" s="896" t="s">
        <v>2265</v>
      </c>
      <c r="C382" s="876" t="s">
        <v>1269</v>
      </c>
      <c r="D382" s="893"/>
      <c r="E382" s="1635"/>
      <c r="F382" s="876" t="s">
        <v>2264</v>
      </c>
      <c r="G382" s="897">
        <v>534211.07999999996</v>
      </c>
      <c r="H382" s="897">
        <v>3536772.21</v>
      </c>
      <c r="I382" s="888"/>
      <c r="J382" s="889">
        <f>J380+1</f>
        <v>189</v>
      </c>
      <c r="K382" s="896" t="s">
        <v>2265</v>
      </c>
      <c r="L382" s="876" t="s">
        <v>1269</v>
      </c>
      <c r="M382" s="891"/>
      <c r="N382" s="891"/>
      <c r="O382" s="891"/>
      <c r="P382" s="891"/>
      <c r="Q382" s="891"/>
      <c r="R382" s="891"/>
      <c r="S382" s="891"/>
      <c r="T382" s="891"/>
      <c r="U382" s="897"/>
      <c r="V382" s="1641"/>
      <c r="W382" s="899">
        <v>248.76</v>
      </c>
      <c r="X382" s="876" t="s">
        <v>2307</v>
      </c>
      <c r="Y382" s="897">
        <v>534209.72400000005</v>
      </c>
      <c r="Z382" s="897">
        <v>3536756.9449999998</v>
      </c>
      <c r="AA382" s="905"/>
    </row>
    <row r="383" spans="1:27" ht="14.45" customHeight="1">
      <c r="A383" s="891"/>
      <c r="B383" s="876"/>
      <c r="C383" s="876"/>
      <c r="D383" s="903">
        <v>413.16800000000001</v>
      </c>
      <c r="E383" s="1635">
        <f>D383+D385</f>
        <v>834.25800000000004</v>
      </c>
      <c r="F383" s="876"/>
      <c r="G383" s="897"/>
      <c r="H383" s="897"/>
      <c r="I383" s="888"/>
      <c r="J383" s="891"/>
      <c r="K383" s="876"/>
      <c r="L383" s="876"/>
      <c r="M383" s="891"/>
      <c r="N383" s="891"/>
      <c r="O383" s="891"/>
      <c r="P383" s="891"/>
      <c r="Q383" s="891"/>
      <c r="R383" s="891"/>
      <c r="S383" s="891"/>
      <c r="T383" s="891"/>
      <c r="U383" s="897">
        <v>418.77699999999999</v>
      </c>
      <c r="V383" s="1635">
        <f>SUM(U383:U385)</f>
        <v>838.553</v>
      </c>
      <c r="W383" s="899"/>
      <c r="X383" s="876"/>
      <c r="Y383" s="897"/>
      <c r="Z383" s="897"/>
      <c r="AA383" s="904" t="s">
        <v>2318</v>
      </c>
    </row>
    <row r="384" spans="1:27">
      <c r="A384" s="889">
        <f>A382+1</f>
        <v>190</v>
      </c>
      <c r="B384" s="896" t="s">
        <v>2266</v>
      </c>
      <c r="C384" s="876" t="s">
        <v>53</v>
      </c>
      <c r="D384" s="876"/>
      <c r="E384" s="1635"/>
      <c r="F384" s="876"/>
      <c r="G384" s="897">
        <v>534252.37399999995</v>
      </c>
      <c r="H384" s="897">
        <v>3536361.111</v>
      </c>
      <c r="I384" s="888"/>
      <c r="J384" s="889">
        <f>J382+1</f>
        <v>190</v>
      </c>
      <c r="K384" s="896" t="s">
        <v>2266</v>
      </c>
      <c r="L384" s="876" t="s">
        <v>53</v>
      </c>
      <c r="M384" s="891"/>
      <c r="N384" s="891"/>
      <c r="O384" s="891"/>
      <c r="P384" s="891"/>
      <c r="Q384" s="891"/>
      <c r="R384" s="891"/>
      <c r="S384" s="891"/>
      <c r="T384" s="891"/>
      <c r="U384" s="897"/>
      <c r="V384" s="1635"/>
      <c r="W384" s="899">
        <v>249.17099999999999</v>
      </c>
      <c r="X384" s="876"/>
      <c r="Y384" s="897">
        <v>534255.59499999997</v>
      </c>
      <c r="Z384" s="897">
        <v>3536340.6889999998</v>
      </c>
      <c r="AA384" s="905"/>
    </row>
    <row r="385" spans="1:27">
      <c r="A385" s="891"/>
      <c r="B385" s="876"/>
      <c r="C385" s="876"/>
      <c r="D385" s="903">
        <v>421.09</v>
      </c>
      <c r="E385" s="1635"/>
      <c r="F385" s="876"/>
      <c r="G385" s="897"/>
      <c r="H385" s="897"/>
      <c r="I385" s="888"/>
      <c r="J385" s="891"/>
      <c r="K385" s="876"/>
      <c r="L385" s="876"/>
      <c r="M385" s="891"/>
      <c r="N385" s="891"/>
      <c r="O385" s="891"/>
      <c r="P385" s="891"/>
      <c r="Q385" s="891"/>
      <c r="R385" s="891"/>
      <c r="S385" s="891"/>
      <c r="T385" s="891"/>
      <c r="U385" s="897">
        <v>419.77600000000001</v>
      </c>
      <c r="V385" s="1635"/>
      <c r="W385" s="899"/>
      <c r="X385" s="876"/>
      <c r="Y385" s="897"/>
      <c r="Z385" s="897"/>
      <c r="AA385" s="904" t="s">
        <v>2319</v>
      </c>
    </row>
    <row r="386" spans="1:27">
      <c r="A386" s="889">
        <f>A384+1</f>
        <v>191</v>
      </c>
      <c r="B386" s="896" t="s">
        <v>2267</v>
      </c>
      <c r="C386" s="876" t="s">
        <v>1277</v>
      </c>
      <c r="D386" s="876"/>
      <c r="E386" s="1635">
        <f>D387+D389</f>
        <v>835.173</v>
      </c>
      <c r="F386" s="876" t="s">
        <v>2268</v>
      </c>
      <c r="G386" s="897">
        <v>534294.46</v>
      </c>
      <c r="H386" s="897">
        <v>3535942.13</v>
      </c>
      <c r="I386" s="888"/>
      <c r="J386" s="889">
        <f>J384+1</f>
        <v>191</v>
      </c>
      <c r="K386" s="896" t="s">
        <v>2267</v>
      </c>
      <c r="L386" s="876" t="s">
        <v>1277</v>
      </c>
      <c r="M386" s="891"/>
      <c r="N386" s="891"/>
      <c r="O386" s="891"/>
      <c r="P386" s="891"/>
      <c r="Q386" s="891"/>
      <c r="R386" s="891"/>
      <c r="S386" s="891"/>
      <c r="T386" s="891"/>
      <c r="U386" s="897"/>
      <c r="V386" s="1635">
        <f>SUM(U386:U390)</f>
        <v>836.76400000000001</v>
      </c>
      <c r="W386" s="899">
        <v>248.58</v>
      </c>
      <c r="X386" s="876" t="s">
        <v>2308</v>
      </c>
      <c r="Y386" s="897">
        <v>534301.576</v>
      </c>
      <c r="Z386" s="897">
        <v>3535923.4389999998</v>
      </c>
      <c r="AA386" s="905"/>
    </row>
    <row r="387" spans="1:27">
      <c r="A387" s="891"/>
      <c r="B387" s="876"/>
      <c r="C387" s="876"/>
      <c r="D387" s="903">
        <v>400.63200000000001</v>
      </c>
      <c r="E387" s="1635"/>
      <c r="F387" s="876"/>
      <c r="G387" s="897"/>
      <c r="H387" s="897"/>
      <c r="I387" s="888"/>
      <c r="J387" s="891"/>
      <c r="K387" s="876"/>
      <c r="L387" s="876"/>
      <c r="M387" s="891"/>
      <c r="N387" s="891"/>
      <c r="O387" s="891"/>
      <c r="P387" s="891"/>
      <c r="Q387" s="891"/>
      <c r="R387" s="891"/>
      <c r="S387" s="891"/>
      <c r="T387" s="891"/>
      <c r="U387" s="897">
        <v>404.589</v>
      </c>
      <c r="V387" s="1635"/>
      <c r="W387" s="899"/>
      <c r="X387" s="876"/>
      <c r="Y387" s="897"/>
      <c r="Z387" s="897"/>
      <c r="AA387" s="904" t="s">
        <v>2320</v>
      </c>
    </row>
    <row r="388" spans="1:27">
      <c r="A388" s="889">
        <f>A386+1</f>
        <v>192</v>
      </c>
      <c r="B388" s="896" t="s">
        <v>2269</v>
      </c>
      <c r="C388" s="876" t="s">
        <v>62</v>
      </c>
      <c r="D388" s="876"/>
      <c r="E388" s="1635"/>
      <c r="F388" s="876"/>
      <c r="G388" s="897">
        <v>534437.00100000005</v>
      </c>
      <c r="H388" s="897">
        <v>3535567.7119999998</v>
      </c>
      <c r="I388" s="888"/>
      <c r="J388" s="889">
        <f>J386+1</f>
        <v>192</v>
      </c>
      <c r="K388" s="896" t="s">
        <v>2269</v>
      </c>
      <c r="L388" s="876" t="s">
        <v>62</v>
      </c>
      <c r="M388" s="891"/>
      <c r="N388" s="891"/>
      <c r="O388" s="891"/>
      <c r="P388" s="891"/>
      <c r="Q388" s="891"/>
      <c r="R388" s="891"/>
      <c r="S388" s="891"/>
      <c r="T388" s="891"/>
      <c r="U388" s="897"/>
      <c r="V388" s="1635"/>
      <c r="W388" s="899">
        <v>247.86799999999999</v>
      </c>
      <c r="X388" s="876"/>
      <c r="Y388" s="897">
        <v>534443.89800000004</v>
      </c>
      <c r="Z388" s="897">
        <v>3535544.7080000001</v>
      </c>
      <c r="AA388" s="905"/>
    </row>
    <row r="389" spans="1:27">
      <c r="A389" s="891"/>
      <c r="B389" s="876"/>
      <c r="C389" s="876"/>
      <c r="D389" s="903">
        <v>434.541</v>
      </c>
      <c r="E389" s="1635"/>
      <c r="F389" s="876"/>
      <c r="G389" s="897"/>
      <c r="H389" s="897"/>
      <c r="I389" s="888"/>
      <c r="J389" s="891"/>
      <c r="K389" s="876"/>
      <c r="L389" s="876"/>
      <c r="M389" s="891"/>
      <c r="N389" s="891"/>
      <c r="O389" s="891"/>
      <c r="P389" s="891"/>
      <c r="Q389" s="891"/>
      <c r="R389" s="891"/>
      <c r="S389" s="891"/>
      <c r="T389" s="891"/>
      <c r="U389" s="897">
        <v>432.17500000000001</v>
      </c>
      <c r="V389" s="1635"/>
      <c r="W389" s="899"/>
      <c r="X389" s="876"/>
      <c r="Y389" s="897"/>
      <c r="Z389" s="897"/>
      <c r="AA389" s="905" t="s">
        <v>2321</v>
      </c>
    </row>
    <row r="390" spans="1:27">
      <c r="A390" s="889">
        <f>A388+1</f>
        <v>193</v>
      </c>
      <c r="B390" s="896" t="s">
        <v>2270</v>
      </c>
      <c r="C390" s="876" t="s">
        <v>1977</v>
      </c>
      <c r="D390" s="876"/>
      <c r="E390" s="1635"/>
      <c r="F390" s="876" t="s">
        <v>2271</v>
      </c>
      <c r="G390" s="897">
        <v>534591.60600000003</v>
      </c>
      <c r="H390" s="897">
        <v>3535161.605</v>
      </c>
      <c r="I390" s="888"/>
      <c r="J390" s="889">
        <f>J388+1</f>
        <v>193</v>
      </c>
      <c r="K390" s="896" t="s">
        <v>2270</v>
      </c>
      <c r="L390" s="876" t="s">
        <v>1977</v>
      </c>
      <c r="M390" s="891"/>
      <c r="N390" s="891"/>
      <c r="O390" s="891"/>
      <c r="P390" s="891"/>
      <c r="Q390" s="891"/>
      <c r="R390" s="891"/>
      <c r="S390" s="891"/>
      <c r="T390" s="891"/>
      <c r="U390" s="897"/>
      <c r="V390" s="1635"/>
      <c r="W390" s="899">
        <v>247.57300000000001</v>
      </c>
      <c r="X390" s="876" t="s">
        <v>2309</v>
      </c>
      <c r="Y390" s="897">
        <v>534595.924</v>
      </c>
      <c r="Z390" s="897">
        <v>3535140.1549999998</v>
      </c>
      <c r="AA390" s="905"/>
    </row>
    <row r="391" spans="1:27">
      <c r="A391" s="891"/>
      <c r="B391" s="876"/>
      <c r="C391" s="876"/>
      <c r="D391" s="903">
        <v>384.78199999999998</v>
      </c>
      <c r="E391" s="1635">
        <f>D391+D393+D395</f>
        <v>1209.7159999999999</v>
      </c>
      <c r="F391" s="876"/>
      <c r="G391" s="897"/>
      <c r="H391" s="897"/>
      <c r="I391" s="888"/>
      <c r="J391" s="891"/>
      <c r="K391" s="876"/>
      <c r="L391" s="876"/>
      <c r="M391" s="891"/>
      <c r="N391" s="891"/>
      <c r="O391" s="891"/>
      <c r="P391" s="891"/>
      <c r="Q391" s="891"/>
      <c r="R391" s="891"/>
      <c r="S391" s="891"/>
      <c r="T391" s="891"/>
      <c r="U391" s="897">
        <v>383.24900000000002</v>
      </c>
      <c r="V391" s="1635">
        <f>SUM(U391:U396)</f>
        <v>1185.42</v>
      </c>
      <c r="W391" s="899"/>
      <c r="X391" s="876"/>
      <c r="Y391" s="876"/>
      <c r="Z391" s="876"/>
      <c r="AA391" s="905" t="s">
        <v>2322</v>
      </c>
    </row>
    <row r="392" spans="1:27">
      <c r="A392" s="889">
        <f>A390+1</f>
        <v>194</v>
      </c>
      <c r="B392" s="896" t="s">
        <v>2272</v>
      </c>
      <c r="C392" s="876" t="s">
        <v>62</v>
      </c>
      <c r="D392" s="876"/>
      <c r="E392" s="1635"/>
      <c r="F392" s="898"/>
      <c r="G392" s="897">
        <v>534667.54799999995</v>
      </c>
      <c r="H392" s="897">
        <v>3534784.392</v>
      </c>
      <c r="I392" s="888"/>
      <c r="J392" s="889">
        <f>J390+1</f>
        <v>194</v>
      </c>
      <c r="K392" s="896" t="s">
        <v>2272</v>
      </c>
      <c r="L392" s="876" t="s">
        <v>62</v>
      </c>
      <c r="M392" s="891"/>
      <c r="N392" s="891"/>
      <c r="O392" s="891"/>
      <c r="P392" s="891"/>
      <c r="Q392" s="891"/>
      <c r="R392" s="891"/>
      <c r="S392" s="891"/>
      <c r="T392" s="891"/>
      <c r="U392" s="897"/>
      <c r="V392" s="1635"/>
      <c r="W392" s="899">
        <v>259.11</v>
      </c>
      <c r="X392" s="876"/>
      <c r="Y392" s="897">
        <v>534673.47</v>
      </c>
      <c r="Z392" s="897">
        <v>3534764.8330000001</v>
      </c>
      <c r="AA392" s="905"/>
    </row>
    <row r="393" spans="1:27">
      <c r="A393" s="891"/>
      <c r="B393" s="876"/>
      <c r="C393" s="876"/>
      <c r="D393" s="903">
        <v>376.64499999999998</v>
      </c>
      <c r="E393" s="1635"/>
      <c r="F393" s="876"/>
      <c r="G393" s="897"/>
      <c r="H393" s="897"/>
      <c r="I393" s="888"/>
      <c r="J393" s="891"/>
      <c r="K393" s="876"/>
      <c r="L393" s="876"/>
      <c r="M393" s="891"/>
      <c r="N393" s="891"/>
      <c r="O393" s="891"/>
      <c r="P393" s="891"/>
      <c r="Q393" s="891"/>
      <c r="R393" s="891"/>
      <c r="S393" s="891"/>
      <c r="T393" s="891"/>
      <c r="U393" s="897">
        <v>382.084</v>
      </c>
      <c r="V393" s="1635"/>
      <c r="W393" s="899"/>
      <c r="X393" s="876"/>
      <c r="Y393" s="876"/>
      <c r="Z393" s="876"/>
      <c r="AA393" s="904" t="s">
        <v>2323</v>
      </c>
    </row>
    <row r="394" spans="1:27">
      <c r="A394" s="889">
        <f>A392+1</f>
        <v>195</v>
      </c>
      <c r="B394" s="896" t="s">
        <v>2273</v>
      </c>
      <c r="C394" s="876" t="s">
        <v>62</v>
      </c>
      <c r="D394" s="876"/>
      <c r="E394" s="1635"/>
      <c r="F394" s="876"/>
      <c r="G394" s="897">
        <v>534741.88399999996</v>
      </c>
      <c r="H394" s="897">
        <v>3534415.1549999998</v>
      </c>
      <c r="I394" s="888"/>
      <c r="J394" s="889">
        <f>J392+1</f>
        <v>195</v>
      </c>
      <c r="K394" s="896" t="s">
        <v>2273</v>
      </c>
      <c r="L394" s="876" t="s">
        <v>62</v>
      </c>
      <c r="M394" s="891"/>
      <c r="N394" s="891"/>
      <c r="O394" s="891"/>
      <c r="P394" s="891"/>
      <c r="Q394" s="891"/>
      <c r="R394" s="891"/>
      <c r="S394" s="891"/>
      <c r="T394" s="891"/>
      <c r="U394" s="897"/>
      <c r="V394" s="1635"/>
      <c r="W394" s="899">
        <v>259.08699999999999</v>
      </c>
      <c r="X394" s="876"/>
      <c r="Y394" s="897">
        <v>534750.78</v>
      </c>
      <c r="Z394" s="897">
        <v>3534390.6519999998</v>
      </c>
      <c r="AA394" s="905"/>
    </row>
    <row r="395" spans="1:27">
      <c r="A395" s="891"/>
      <c r="B395" s="876"/>
      <c r="C395" s="876"/>
      <c r="D395" s="903">
        <v>448.28899999999999</v>
      </c>
      <c r="E395" s="1635"/>
      <c r="F395" s="876"/>
      <c r="G395" s="897"/>
      <c r="H395" s="897"/>
      <c r="I395" s="888"/>
      <c r="J395" s="891"/>
      <c r="K395" s="876"/>
      <c r="L395" s="876"/>
      <c r="M395" s="891"/>
      <c r="N395" s="891"/>
      <c r="O395" s="891"/>
      <c r="P395" s="891"/>
      <c r="Q395" s="891"/>
      <c r="R395" s="891"/>
      <c r="S395" s="891"/>
      <c r="T395" s="891"/>
      <c r="U395" s="897">
        <v>420.08699999999999</v>
      </c>
      <c r="V395" s="1635"/>
      <c r="W395" s="899"/>
      <c r="X395" s="876"/>
      <c r="Y395" s="876"/>
      <c r="Z395" s="876"/>
      <c r="AA395" s="904" t="s">
        <v>2324</v>
      </c>
    </row>
    <row r="396" spans="1:27">
      <c r="A396" s="889">
        <f>A394+1</f>
        <v>196</v>
      </c>
      <c r="B396" s="896" t="s">
        <v>2274</v>
      </c>
      <c r="C396" s="876" t="s">
        <v>2197</v>
      </c>
      <c r="D396" s="876"/>
      <c r="E396" s="1635"/>
      <c r="F396" s="876" t="s">
        <v>2275</v>
      </c>
      <c r="G396" s="897">
        <v>534830.36</v>
      </c>
      <c r="H396" s="897">
        <v>3533975.6839999999</v>
      </c>
      <c r="I396" s="888"/>
      <c r="J396" s="889">
        <f>J394+1</f>
        <v>196</v>
      </c>
      <c r="K396" s="896" t="s">
        <v>2274</v>
      </c>
      <c r="L396" s="876" t="s">
        <v>2197</v>
      </c>
      <c r="M396" s="891"/>
      <c r="N396" s="891"/>
      <c r="O396" s="891"/>
      <c r="P396" s="891"/>
      <c r="Q396" s="891"/>
      <c r="R396" s="891"/>
      <c r="S396" s="891"/>
      <c r="T396" s="891"/>
      <c r="U396" s="897"/>
      <c r="V396" s="1635"/>
      <c r="W396" s="899">
        <v>259.185</v>
      </c>
      <c r="X396" s="876" t="s">
        <v>2310</v>
      </c>
      <c r="Y396" s="897">
        <v>534835.77899999998</v>
      </c>
      <c r="Z396" s="897">
        <v>3533979.2540000002</v>
      </c>
      <c r="AA396" s="905"/>
    </row>
    <row r="397" spans="1:27">
      <c r="A397" s="891"/>
      <c r="B397" s="876"/>
      <c r="C397" s="876"/>
      <c r="D397" s="903">
        <v>212.08500000000001</v>
      </c>
      <c r="E397" s="1635">
        <v>212.08500000000001</v>
      </c>
      <c r="F397" s="876"/>
      <c r="G397" s="897"/>
      <c r="H397" s="897"/>
      <c r="I397" s="888"/>
      <c r="J397" s="891"/>
      <c r="K397" s="876"/>
      <c r="L397" s="876"/>
      <c r="M397" s="891"/>
      <c r="N397" s="891"/>
      <c r="O397" s="891"/>
      <c r="P397" s="891"/>
      <c r="Q397" s="891"/>
      <c r="R397" s="891"/>
      <c r="S397" s="891"/>
      <c r="T397" s="891"/>
      <c r="U397" s="897">
        <v>211.06299999999999</v>
      </c>
      <c r="V397" s="1635">
        <f>SUM(U397)</f>
        <v>211.06299999999999</v>
      </c>
      <c r="W397" s="899"/>
      <c r="X397" s="876"/>
      <c r="Y397" s="876"/>
      <c r="Z397" s="876"/>
      <c r="AA397" s="905" t="s">
        <v>2325</v>
      </c>
    </row>
    <row r="398" spans="1:27">
      <c r="A398" s="889">
        <f>A396+1</f>
        <v>197</v>
      </c>
      <c r="B398" s="896" t="s">
        <v>2276</v>
      </c>
      <c r="C398" s="876" t="s">
        <v>2197</v>
      </c>
      <c r="D398" s="876"/>
      <c r="E398" s="1635"/>
      <c r="F398" s="876" t="s">
        <v>2277</v>
      </c>
      <c r="G398" s="897">
        <v>534975.84100000001</v>
      </c>
      <c r="H398" s="897">
        <v>3533821.361</v>
      </c>
      <c r="I398" s="888"/>
      <c r="J398" s="889">
        <f>J396+1</f>
        <v>197</v>
      </c>
      <c r="K398" s="896" t="s">
        <v>2276</v>
      </c>
      <c r="L398" s="876" t="s">
        <v>2197</v>
      </c>
      <c r="M398" s="891"/>
      <c r="N398" s="891"/>
      <c r="O398" s="891"/>
      <c r="P398" s="891"/>
      <c r="Q398" s="891"/>
      <c r="R398" s="891"/>
      <c r="S398" s="891"/>
      <c r="T398" s="891"/>
      <c r="U398" s="897"/>
      <c r="V398" s="1635"/>
      <c r="W398" s="899">
        <v>259.19200000000001</v>
      </c>
      <c r="X398" s="876" t="s">
        <v>2311</v>
      </c>
      <c r="Y398" s="897">
        <v>534975.84100000001</v>
      </c>
      <c r="Z398" s="897">
        <v>3533821.361</v>
      </c>
      <c r="AA398" s="787" t="s">
        <v>2326</v>
      </c>
    </row>
    <row r="399" spans="1:27">
      <c r="A399" s="891"/>
      <c r="B399" s="876"/>
      <c r="C399" s="876"/>
      <c r="D399" s="903">
        <v>384.98500000000001</v>
      </c>
      <c r="E399" s="1635">
        <f>D399+D401</f>
        <v>604.23099999999999</v>
      </c>
      <c r="F399" s="876"/>
      <c r="G399" s="897"/>
      <c r="H399" s="897"/>
      <c r="I399" s="888"/>
      <c r="J399" s="891"/>
      <c r="K399" s="876"/>
      <c r="L399" s="876"/>
      <c r="M399" s="891"/>
      <c r="N399" s="891"/>
      <c r="O399" s="891"/>
      <c r="P399" s="891"/>
      <c r="Q399" s="891"/>
      <c r="R399" s="891"/>
      <c r="S399" s="891"/>
      <c r="T399" s="891"/>
      <c r="U399" s="897">
        <v>385.10300000000001</v>
      </c>
      <c r="V399" s="1635">
        <f>SUM(U399:U402)</f>
        <v>618.22900000000004</v>
      </c>
      <c r="W399" s="899"/>
      <c r="X399" s="876"/>
      <c r="Y399" s="898"/>
      <c r="Z399" s="898"/>
      <c r="AA399" s="905" t="s">
        <v>2327</v>
      </c>
    </row>
    <row r="400" spans="1:27">
      <c r="A400" s="889">
        <f>A398+1</f>
        <v>198</v>
      </c>
      <c r="B400" s="896" t="s">
        <v>2278</v>
      </c>
      <c r="C400" s="876" t="s">
        <v>62</v>
      </c>
      <c r="D400" s="876"/>
      <c r="E400" s="1635"/>
      <c r="F400" s="876"/>
      <c r="G400" s="897">
        <v>535035.07299999997</v>
      </c>
      <c r="H400" s="897">
        <v>3533440.96</v>
      </c>
      <c r="I400" s="888"/>
      <c r="J400" s="889">
        <f>J398+1</f>
        <v>198</v>
      </c>
      <c r="K400" s="896" t="s">
        <v>2278</v>
      </c>
      <c r="L400" s="876" t="s">
        <v>62</v>
      </c>
      <c r="M400" s="891"/>
      <c r="N400" s="891"/>
      <c r="O400" s="891"/>
      <c r="P400" s="891"/>
      <c r="Q400" s="891"/>
      <c r="R400" s="891"/>
      <c r="S400" s="891"/>
      <c r="T400" s="891"/>
      <c r="U400" s="897"/>
      <c r="V400" s="1635"/>
      <c r="W400" s="899">
        <v>259.19499999999999</v>
      </c>
      <c r="X400" s="876"/>
      <c r="Y400" s="876">
        <v>535042.64199999999</v>
      </c>
      <c r="Z400" s="876">
        <v>3533442.0959999999</v>
      </c>
      <c r="AA400" s="905"/>
    </row>
    <row r="401" spans="1:27">
      <c r="A401" s="891"/>
      <c r="B401" s="876"/>
      <c r="C401" s="876"/>
      <c r="D401" s="903">
        <v>219.24600000000001</v>
      </c>
      <c r="E401" s="1635"/>
      <c r="F401" s="876"/>
      <c r="G401" s="897"/>
      <c r="H401" s="897"/>
      <c r="I401" s="888"/>
      <c r="J401" s="891"/>
      <c r="K401" s="876"/>
      <c r="L401" s="876"/>
      <c r="M401" s="891"/>
      <c r="N401" s="891"/>
      <c r="O401" s="891"/>
      <c r="P401" s="891"/>
      <c r="Q401" s="891"/>
      <c r="R401" s="891"/>
      <c r="S401" s="891"/>
      <c r="T401" s="891"/>
      <c r="U401" s="897">
        <v>233.126</v>
      </c>
      <c r="V401" s="1635"/>
      <c r="W401" s="899"/>
      <c r="X401" s="876"/>
      <c r="Y401" s="876"/>
      <c r="Z401" s="876"/>
      <c r="AA401" s="905" t="s">
        <v>2328</v>
      </c>
    </row>
    <row r="402" spans="1:27">
      <c r="A402" s="889">
        <f>A400+1</f>
        <v>199</v>
      </c>
      <c r="B402" s="896" t="s">
        <v>2279</v>
      </c>
      <c r="C402" s="876" t="s">
        <v>1319</v>
      </c>
      <c r="D402" s="876"/>
      <c r="E402" s="1635"/>
      <c r="F402" s="876" t="s">
        <v>2280</v>
      </c>
      <c r="G402" s="897">
        <v>535068.80500000005</v>
      </c>
      <c r="H402" s="897">
        <v>3533224.324</v>
      </c>
      <c r="I402" s="888"/>
      <c r="J402" s="889">
        <f>J400+1</f>
        <v>199</v>
      </c>
      <c r="K402" s="896" t="s">
        <v>2279</v>
      </c>
      <c r="L402" s="876" t="s">
        <v>1319</v>
      </c>
      <c r="M402" s="891"/>
      <c r="N402" s="891"/>
      <c r="O402" s="891"/>
      <c r="P402" s="891"/>
      <c r="Q402" s="891"/>
      <c r="R402" s="891"/>
      <c r="S402" s="891"/>
      <c r="T402" s="891"/>
      <c r="U402" s="897"/>
      <c r="V402" s="1635"/>
      <c r="W402" s="899">
        <v>259.26400000000001</v>
      </c>
      <c r="X402" s="876" t="s">
        <v>2312</v>
      </c>
      <c r="Y402" s="897">
        <v>535083.07999999996</v>
      </c>
      <c r="Z402" s="897">
        <v>3533212.5040000002</v>
      </c>
      <c r="AA402" s="905"/>
    </row>
    <row r="403" spans="1:27">
      <c r="A403" s="891"/>
      <c r="B403" s="876"/>
      <c r="C403" s="876"/>
      <c r="D403" s="903">
        <v>389.65100000000001</v>
      </c>
      <c r="E403" s="1635">
        <f>D403+D405+D407</f>
        <v>1199.5439999999999</v>
      </c>
      <c r="F403" s="876"/>
      <c r="G403" s="897"/>
      <c r="H403" s="897"/>
      <c r="I403" s="888"/>
      <c r="J403" s="891"/>
      <c r="K403" s="876"/>
      <c r="L403" s="876"/>
      <c r="M403" s="891"/>
      <c r="N403" s="891"/>
      <c r="O403" s="891"/>
      <c r="P403" s="891"/>
      <c r="Q403" s="891"/>
      <c r="R403" s="891"/>
      <c r="S403" s="891"/>
      <c r="T403" s="891"/>
      <c r="U403" s="897">
        <v>401.23200000000003</v>
      </c>
      <c r="V403" s="1635">
        <f>SUM(U403:U408)</f>
        <v>1181.01</v>
      </c>
      <c r="W403" s="899"/>
      <c r="X403" s="876"/>
      <c r="Y403" s="876"/>
      <c r="Z403" s="876"/>
      <c r="AA403" s="905" t="s">
        <v>2329</v>
      </c>
    </row>
    <row r="404" spans="1:27">
      <c r="A404" s="889">
        <f>A402+1</f>
        <v>200</v>
      </c>
      <c r="B404" s="896" t="s">
        <v>2281</v>
      </c>
      <c r="C404" s="876" t="s">
        <v>62</v>
      </c>
      <c r="D404" s="903"/>
      <c r="E404" s="1635"/>
      <c r="F404" s="876"/>
      <c r="G404" s="897">
        <v>535368.93200000003</v>
      </c>
      <c r="H404" s="897">
        <v>3532975.8259999999</v>
      </c>
      <c r="I404" s="888"/>
      <c r="J404" s="889">
        <f>J402+1</f>
        <v>200</v>
      </c>
      <c r="K404" s="896" t="s">
        <v>2281</v>
      </c>
      <c r="L404" s="876" t="s">
        <v>62</v>
      </c>
      <c r="M404" s="891"/>
      <c r="N404" s="891"/>
      <c r="O404" s="891"/>
      <c r="P404" s="891"/>
      <c r="Q404" s="891"/>
      <c r="R404" s="891"/>
      <c r="S404" s="891"/>
      <c r="T404" s="891"/>
      <c r="U404" s="897"/>
      <c r="V404" s="1635"/>
      <c r="W404" s="899">
        <v>259.92099999999999</v>
      </c>
      <c r="X404" s="876"/>
      <c r="Y404" s="897">
        <v>535392.12699999998</v>
      </c>
      <c r="Z404" s="897">
        <v>3532956.62</v>
      </c>
      <c r="AA404" s="905"/>
    </row>
    <row r="405" spans="1:27">
      <c r="A405" s="891"/>
      <c r="B405" s="876"/>
      <c r="C405" s="876"/>
      <c r="D405" s="903">
        <v>367.11</v>
      </c>
      <c r="E405" s="1635"/>
      <c r="F405" s="876"/>
      <c r="G405" s="897"/>
      <c r="H405" s="897"/>
      <c r="I405" s="888"/>
      <c r="J405" s="891"/>
      <c r="K405" s="876"/>
      <c r="L405" s="876"/>
      <c r="M405" s="891"/>
      <c r="N405" s="891"/>
      <c r="O405" s="891"/>
      <c r="P405" s="891"/>
      <c r="Q405" s="891"/>
      <c r="R405" s="891"/>
      <c r="S405" s="891"/>
      <c r="T405" s="891"/>
      <c r="U405" s="897">
        <v>342.99900000000002</v>
      </c>
      <c r="V405" s="1635"/>
      <c r="W405" s="899"/>
      <c r="X405" s="876"/>
      <c r="Y405" s="876"/>
      <c r="Z405" s="876"/>
      <c r="AA405" s="905" t="s">
        <v>2067</v>
      </c>
    </row>
    <row r="406" spans="1:27">
      <c r="A406" s="889">
        <f>A404+1</f>
        <v>201</v>
      </c>
      <c r="B406" s="896" t="s">
        <v>2282</v>
      </c>
      <c r="C406" s="876" t="s">
        <v>76</v>
      </c>
      <c r="D406" s="903"/>
      <c r="E406" s="1635"/>
      <c r="F406" s="876"/>
      <c r="G406" s="897">
        <v>535651.69700000004</v>
      </c>
      <c r="H406" s="897">
        <v>3532741.7030000002</v>
      </c>
      <c r="I406" s="888"/>
      <c r="J406" s="889">
        <f>J404+1</f>
        <v>201</v>
      </c>
      <c r="K406" s="896" t="s">
        <v>2282</v>
      </c>
      <c r="L406" s="876" t="s">
        <v>76</v>
      </c>
      <c r="M406" s="891"/>
      <c r="N406" s="891"/>
      <c r="O406" s="891"/>
      <c r="P406" s="891"/>
      <c r="Q406" s="891"/>
      <c r="R406" s="891"/>
      <c r="S406" s="891"/>
      <c r="T406" s="891"/>
      <c r="U406" s="897"/>
      <c r="V406" s="1635"/>
      <c r="W406" s="899">
        <v>260.32499999999999</v>
      </c>
      <c r="X406" s="876"/>
      <c r="Y406" s="897">
        <v>535656.321</v>
      </c>
      <c r="Z406" s="897">
        <v>3532737.8730000001</v>
      </c>
      <c r="AA406" s="905"/>
    </row>
    <row r="407" spans="1:27">
      <c r="A407" s="891"/>
      <c r="B407" s="876"/>
      <c r="C407" s="876"/>
      <c r="D407" s="903">
        <v>442.78300000000002</v>
      </c>
      <c r="E407" s="1635"/>
      <c r="F407" s="876"/>
      <c r="G407" s="897"/>
      <c r="H407" s="897"/>
      <c r="I407" s="888"/>
      <c r="J407" s="891"/>
      <c r="K407" s="876"/>
      <c r="L407" s="876"/>
      <c r="M407" s="891"/>
      <c r="N407" s="891"/>
      <c r="O407" s="891"/>
      <c r="P407" s="891"/>
      <c r="Q407" s="891"/>
      <c r="R407" s="891"/>
      <c r="S407" s="891"/>
      <c r="T407" s="891"/>
      <c r="U407" s="897">
        <v>436.779</v>
      </c>
      <c r="V407" s="1635"/>
      <c r="W407" s="899"/>
      <c r="X407" s="876"/>
      <c r="Y407" s="876"/>
      <c r="Z407" s="876"/>
      <c r="AA407" s="905" t="s">
        <v>2328</v>
      </c>
    </row>
    <row r="408" spans="1:27">
      <c r="A408" s="889">
        <f>A406+1</f>
        <v>202</v>
      </c>
      <c r="B408" s="896" t="s">
        <v>2283</v>
      </c>
      <c r="C408" s="876" t="s">
        <v>2197</v>
      </c>
      <c r="D408" s="876"/>
      <c r="E408" s="1635"/>
      <c r="F408" s="876" t="s">
        <v>2284</v>
      </c>
      <c r="G408" s="897">
        <v>535992.74899999995</v>
      </c>
      <c r="H408" s="897">
        <v>3532459.3190000001</v>
      </c>
      <c r="I408" s="888"/>
      <c r="J408" s="889">
        <f>J406+1</f>
        <v>202</v>
      </c>
      <c r="K408" s="896" t="s">
        <v>2283</v>
      </c>
      <c r="L408" s="876" t="s">
        <v>1988</v>
      </c>
      <c r="M408" s="891"/>
      <c r="N408" s="891"/>
      <c r="O408" s="891"/>
      <c r="P408" s="891"/>
      <c r="Q408" s="891"/>
      <c r="R408" s="891"/>
      <c r="S408" s="891"/>
      <c r="T408" s="891"/>
      <c r="U408" s="897"/>
      <c r="V408" s="1635"/>
      <c r="W408" s="899">
        <v>260.55900000000003</v>
      </c>
      <c r="X408" s="876" t="s">
        <v>2313</v>
      </c>
      <c r="Y408" s="897">
        <v>535992.74899999995</v>
      </c>
      <c r="Z408" s="897">
        <v>3532459.3190000001</v>
      </c>
      <c r="AA408" s="905"/>
    </row>
    <row r="409" spans="1:27" ht="30">
      <c r="A409" s="891"/>
      <c r="B409" s="876"/>
      <c r="C409" s="876"/>
      <c r="D409" s="903">
        <v>242.124</v>
      </c>
      <c r="E409" s="1635">
        <v>242.124</v>
      </c>
      <c r="F409" s="876"/>
      <c r="G409" s="897"/>
      <c r="H409" s="897"/>
      <c r="I409" s="888"/>
      <c r="J409" s="891"/>
      <c r="K409" s="876"/>
      <c r="L409" s="876"/>
      <c r="M409" s="891"/>
      <c r="N409" s="891"/>
      <c r="O409" s="891"/>
      <c r="P409" s="891"/>
      <c r="Q409" s="891"/>
      <c r="R409" s="891"/>
      <c r="S409" s="891"/>
      <c r="T409" s="891"/>
      <c r="U409" s="897">
        <v>247.685</v>
      </c>
      <c r="V409" s="1635">
        <f>SUM(U409)</f>
        <v>247.685</v>
      </c>
      <c r="W409" s="899"/>
      <c r="X409" s="876"/>
      <c r="Y409" s="876"/>
      <c r="Z409" s="876"/>
      <c r="AA409" s="904" t="s">
        <v>2330</v>
      </c>
    </row>
    <row r="410" spans="1:27">
      <c r="A410" s="889">
        <f>A408+1</f>
        <v>203</v>
      </c>
      <c r="B410" s="896" t="s">
        <v>2285</v>
      </c>
      <c r="C410" s="876" t="s">
        <v>2197</v>
      </c>
      <c r="D410" s="876"/>
      <c r="E410" s="1635"/>
      <c r="F410" s="876" t="s">
        <v>2286</v>
      </c>
      <c r="G410" s="897">
        <v>536158.98600000003</v>
      </c>
      <c r="H410" s="897">
        <v>3532283.2820000001</v>
      </c>
      <c r="I410" s="888"/>
      <c r="J410" s="889">
        <f>J408+1</f>
        <v>203</v>
      </c>
      <c r="K410" s="896" t="s">
        <v>2285</v>
      </c>
      <c r="L410" s="876" t="s">
        <v>2197</v>
      </c>
      <c r="M410" s="891"/>
      <c r="N410" s="891"/>
      <c r="O410" s="891"/>
      <c r="P410" s="891"/>
      <c r="Q410" s="891"/>
      <c r="R410" s="891"/>
      <c r="S410" s="891"/>
      <c r="T410" s="891"/>
      <c r="U410" s="897"/>
      <c r="V410" s="1635"/>
      <c r="W410" s="899">
        <v>260.69200000000001</v>
      </c>
      <c r="X410" s="876" t="s">
        <v>2314</v>
      </c>
      <c r="Y410" s="897">
        <v>536147.34400000004</v>
      </c>
      <c r="Z410" s="897">
        <v>3532265.804</v>
      </c>
      <c r="AA410" s="905"/>
    </row>
    <row r="411" spans="1:27">
      <c r="A411" s="891"/>
      <c r="B411" s="876"/>
      <c r="C411" s="876"/>
      <c r="D411" s="903">
        <v>377.46800000000002</v>
      </c>
      <c r="E411" s="1635">
        <f>D411+D413+D415+D417</f>
        <v>1471.729</v>
      </c>
      <c r="F411" s="876"/>
      <c r="G411" s="897"/>
      <c r="H411" s="897"/>
      <c r="I411" s="888"/>
      <c r="J411" s="891"/>
      <c r="K411" s="876"/>
      <c r="L411" s="876"/>
      <c r="M411" s="891"/>
      <c r="N411" s="891"/>
      <c r="O411" s="891"/>
      <c r="P411" s="891"/>
      <c r="Q411" s="891"/>
      <c r="R411" s="891"/>
      <c r="S411" s="891"/>
      <c r="T411" s="891"/>
      <c r="U411" s="897">
        <v>360.87799999999999</v>
      </c>
      <c r="V411" s="1635">
        <f>SUM(U411:U417)</f>
        <v>1455.1559999999999</v>
      </c>
      <c r="W411" s="899"/>
      <c r="X411" s="876"/>
      <c r="Y411" s="876"/>
      <c r="Z411" s="876"/>
      <c r="AA411" s="905" t="s">
        <v>2067</v>
      </c>
    </row>
    <row r="412" spans="1:27">
      <c r="A412" s="889">
        <f>A410+1</f>
        <v>204</v>
      </c>
      <c r="B412" s="896" t="s">
        <v>2287</v>
      </c>
      <c r="C412" s="876" t="s">
        <v>62</v>
      </c>
      <c r="D412" s="876"/>
      <c r="E412" s="1635"/>
      <c r="F412" s="876"/>
      <c r="G412" s="897">
        <v>536185.15700000001</v>
      </c>
      <c r="H412" s="897">
        <v>3531906.7230000002</v>
      </c>
      <c r="I412" s="888"/>
      <c r="J412" s="889">
        <f>J410+1</f>
        <v>204</v>
      </c>
      <c r="K412" s="896" t="s">
        <v>2287</v>
      </c>
      <c r="L412" s="876" t="s">
        <v>62</v>
      </c>
      <c r="M412" s="891"/>
      <c r="N412" s="891"/>
      <c r="O412" s="891"/>
      <c r="P412" s="891"/>
      <c r="Q412" s="891"/>
      <c r="R412" s="891"/>
      <c r="S412" s="891"/>
      <c r="T412" s="891"/>
      <c r="U412" s="897"/>
      <c r="V412" s="1635"/>
      <c r="W412" s="899">
        <v>260.87599999999998</v>
      </c>
      <c r="X412" s="876"/>
      <c r="Y412" s="897">
        <v>536175.53700000001</v>
      </c>
      <c r="Z412" s="897">
        <v>3531906.0290000001</v>
      </c>
      <c r="AA412" s="906"/>
    </row>
    <row r="413" spans="1:27">
      <c r="A413" s="891"/>
      <c r="B413" s="876"/>
      <c r="C413" s="876"/>
      <c r="D413" s="903">
        <v>415.65199999999999</v>
      </c>
      <c r="E413" s="1635"/>
      <c r="F413" s="876"/>
      <c r="G413" s="897"/>
      <c r="H413" s="897"/>
      <c r="I413" s="888"/>
      <c r="J413" s="891"/>
      <c r="K413" s="876"/>
      <c r="L413" s="876"/>
      <c r="M413" s="891"/>
      <c r="N413" s="891"/>
      <c r="O413" s="891"/>
      <c r="P413" s="891"/>
      <c r="Q413" s="891"/>
      <c r="R413" s="891"/>
      <c r="S413" s="891"/>
      <c r="T413" s="891"/>
      <c r="U413" s="897">
        <v>415.64299999999997</v>
      </c>
      <c r="V413" s="1635"/>
      <c r="W413" s="899"/>
      <c r="X413" s="876"/>
      <c r="Y413" s="897"/>
      <c r="Z413" s="897"/>
      <c r="AA413" s="905" t="s">
        <v>2331</v>
      </c>
    </row>
    <row r="414" spans="1:27">
      <c r="A414" s="889">
        <f>A412+1</f>
        <v>205</v>
      </c>
      <c r="B414" s="896" t="s">
        <v>2288</v>
      </c>
      <c r="C414" s="876" t="s">
        <v>53</v>
      </c>
      <c r="D414" s="876"/>
      <c r="E414" s="1635"/>
      <c r="F414" s="876"/>
      <c r="G414" s="897">
        <v>536213.97600000002</v>
      </c>
      <c r="H414" s="897">
        <v>3531492.071</v>
      </c>
      <c r="I414" s="888"/>
      <c r="J414" s="889">
        <f>J412+1</f>
        <v>205</v>
      </c>
      <c r="K414" s="896" t="s">
        <v>2288</v>
      </c>
      <c r="L414" s="876" t="s">
        <v>53</v>
      </c>
      <c r="M414" s="891"/>
      <c r="N414" s="891"/>
      <c r="O414" s="891"/>
      <c r="P414" s="891"/>
      <c r="Q414" s="891"/>
      <c r="R414" s="891"/>
      <c r="S414" s="891"/>
      <c r="T414" s="891"/>
      <c r="U414" s="897"/>
      <c r="V414" s="1635"/>
      <c r="W414" s="899">
        <v>259.988</v>
      </c>
      <c r="X414" s="876"/>
      <c r="Y414" s="897">
        <v>536208.00800000003</v>
      </c>
      <c r="Z414" s="897">
        <v>3531491.659</v>
      </c>
      <c r="AA414" s="905"/>
    </row>
    <row r="415" spans="1:27">
      <c r="A415" s="891"/>
      <c r="B415" s="876"/>
      <c r="C415" s="876"/>
      <c r="D415" s="903">
        <v>378.39699999999999</v>
      </c>
      <c r="E415" s="1635"/>
      <c r="F415" s="876"/>
      <c r="G415" s="897"/>
      <c r="H415" s="897"/>
      <c r="I415" s="888"/>
      <c r="J415" s="891"/>
      <c r="K415" s="876"/>
      <c r="L415" s="876"/>
      <c r="M415" s="891"/>
      <c r="N415" s="891"/>
      <c r="O415" s="891"/>
      <c r="P415" s="891"/>
      <c r="Q415" s="891"/>
      <c r="R415" s="891"/>
      <c r="S415" s="891"/>
      <c r="T415" s="891"/>
      <c r="U415" s="897">
        <v>379.75099999999998</v>
      </c>
      <c r="V415" s="1635"/>
      <c r="W415" s="899"/>
      <c r="X415" s="876"/>
      <c r="Y415" s="897"/>
      <c r="Z415" s="897"/>
      <c r="AA415" s="904" t="s">
        <v>2332</v>
      </c>
    </row>
    <row r="416" spans="1:27">
      <c r="A416" s="889">
        <f>A414+1</f>
        <v>206</v>
      </c>
      <c r="B416" s="896" t="s">
        <v>2289</v>
      </c>
      <c r="C416" s="876" t="s">
        <v>76</v>
      </c>
      <c r="D416" s="903"/>
      <c r="E416" s="1635"/>
      <c r="F416" s="876"/>
      <c r="G416" s="897">
        <v>536240.21100000001</v>
      </c>
      <c r="H416" s="897">
        <v>3531114.5839999998</v>
      </c>
      <c r="I416" s="888"/>
      <c r="J416" s="889">
        <f>J414+1</f>
        <v>206</v>
      </c>
      <c r="K416" s="896" t="s">
        <v>2289</v>
      </c>
      <c r="L416" s="876" t="s">
        <v>76</v>
      </c>
      <c r="M416" s="891"/>
      <c r="N416" s="891"/>
      <c r="O416" s="891"/>
      <c r="P416" s="891"/>
      <c r="Q416" s="891"/>
      <c r="R416" s="891"/>
      <c r="S416" s="891"/>
      <c r="T416" s="891"/>
      <c r="U416" s="897"/>
      <c r="V416" s="1635"/>
      <c r="W416" s="899">
        <v>259.39299999999997</v>
      </c>
      <c r="X416" s="876"/>
      <c r="Y416" s="897">
        <v>536237.67599999998</v>
      </c>
      <c r="Z416" s="897">
        <v>3531113.0660000001</v>
      </c>
      <c r="AA416" s="905"/>
    </row>
    <row r="417" spans="1:27">
      <c r="A417" s="891"/>
      <c r="B417" s="876"/>
      <c r="C417" s="876"/>
      <c r="D417" s="903">
        <v>300.21199999999999</v>
      </c>
      <c r="E417" s="1635"/>
      <c r="F417" s="876"/>
      <c r="G417" s="897"/>
      <c r="H417" s="897"/>
      <c r="I417" s="888"/>
      <c r="J417" s="891"/>
      <c r="K417" s="876"/>
      <c r="L417" s="876"/>
      <c r="M417" s="891"/>
      <c r="N417" s="891"/>
      <c r="O417" s="891"/>
      <c r="P417" s="891"/>
      <c r="Q417" s="891"/>
      <c r="R417" s="891"/>
      <c r="S417" s="891"/>
      <c r="T417" s="891"/>
      <c r="U417" s="897">
        <v>298.88400000000001</v>
      </c>
      <c r="V417" s="1635"/>
      <c r="W417" s="899"/>
      <c r="X417" s="876"/>
      <c r="Y417" s="897"/>
      <c r="Z417" s="897"/>
      <c r="AA417" s="905" t="s">
        <v>2067</v>
      </c>
    </row>
    <row r="418" spans="1:27">
      <c r="A418" s="889">
        <f>A416+1</f>
        <v>207</v>
      </c>
      <c r="B418" s="896" t="s">
        <v>2290</v>
      </c>
      <c r="C418" s="876" t="s">
        <v>1277</v>
      </c>
      <c r="D418" s="903"/>
      <c r="E418" s="1635">
        <f>D419+D421+D423</f>
        <v>889.07500000000005</v>
      </c>
      <c r="F418" s="876" t="s">
        <v>2291</v>
      </c>
      <c r="G418" s="897">
        <v>536261.02599999995</v>
      </c>
      <c r="H418" s="897">
        <v>3530815.0950000002</v>
      </c>
      <c r="I418" s="888"/>
      <c r="J418" s="889">
        <f>J416+1</f>
        <v>207</v>
      </c>
      <c r="K418" s="896" t="s">
        <v>2290</v>
      </c>
      <c r="L418" s="876" t="s">
        <v>1277</v>
      </c>
      <c r="M418" s="891"/>
      <c r="N418" s="891"/>
      <c r="O418" s="891"/>
      <c r="P418" s="891"/>
      <c r="Q418" s="891"/>
      <c r="R418" s="891"/>
      <c r="S418" s="891"/>
      <c r="T418" s="891"/>
      <c r="U418" s="897"/>
      <c r="V418" s="1635">
        <f>SUM(U418:U424)</f>
        <v>889.07500000000005</v>
      </c>
      <c r="W418" s="899">
        <v>259.56700000000001</v>
      </c>
      <c r="X418" s="876" t="s">
        <v>2315</v>
      </c>
      <c r="Y418" s="897">
        <v>536261.02599999995</v>
      </c>
      <c r="Z418" s="897">
        <v>3530815.0950000002</v>
      </c>
      <c r="AA418" s="905"/>
    </row>
    <row r="419" spans="1:27">
      <c r="A419" s="891"/>
      <c r="B419" s="876"/>
      <c r="C419" s="876"/>
      <c r="D419" s="903">
        <v>314.66300000000001</v>
      </c>
      <c r="E419" s="1635"/>
      <c r="F419" s="876"/>
      <c r="G419" s="897"/>
      <c r="H419" s="897"/>
      <c r="I419" s="888"/>
      <c r="J419" s="891"/>
      <c r="K419" s="876"/>
      <c r="L419" s="876"/>
      <c r="M419" s="891"/>
      <c r="N419" s="891"/>
      <c r="O419" s="891"/>
      <c r="P419" s="891"/>
      <c r="Q419" s="891"/>
      <c r="R419" s="891"/>
      <c r="S419" s="891"/>
      <c r="T419" s="891"/>
      <c r="U419" s="897">
        <v>314.66399999999999</v>
      </c>
      <c r="V419" s="1635"/>
      <c r="W419" s="899"/>
      <c r="X419" s="876"/>
      <c r="Y419" s="876"/>
      <c r="Z419" s="876"/>
      <c r="AA419" s="905" t="s">
        <v>2333</v>
      </c>
    </row>
    <row r="420" spans="1:27">
      <c r="A420" s="889">
        <f>A418+1</f>
        <v>208</v>
      </c>
      <c r="B420" s="896" t="s">
        <v>2292</v>
      </c>
      <c r="C420" s="876" t="s">
        <v>76</v>
      </c>
      <c r="D420" s="876"/>
      <c r="E420" s="1635"/>
      <c r="F420" s="876"/>
      <c r="G420" s="897">
        <v>536183.85499999998</v>
      </c>
      <c r="H420" s="897">
        <v>3530510.0410000002</v>
      </c>
      <c r="I420" s="888"/>
      <c r="J420" s="889">
        <f>J418+1</f>
        <v>208</v>
      </c>
      <c r="K420" s="896" t="s">
        <v>2292</v>
      </c>
      <c r="L420" s="876" t="s">
        <v>76</v>
      </c>
      <c r="M420" s="891"/>
      <c r="N420" s="891"/>
      <c r="O420" s="891"/>
      <c r="P420" s="891"/>
      <c r="Q420" s="891"/>
      <c r="R420" s="891"/>
      <c r="S420" s="891"/>
      <c r="T420" s="891"/>
      <c r="U420" s="897"/>
      <c r="V420" s="1635"/>
      <c r="W420" s="899">
        <v>260.00700000000001</v>
      </c>
      <c r="X420" s="876"/>
      <c r="Y420" s="897">
        <v>536183.85499999998</v>
      </c>
      <c r="Z420" s="897">
        <v>3530510.0410000002</v>
      </c>
      <c r="AA420" s="905"/>
    </row>
    <row r="421" spans="1:27">
      <c r="A421" s="891"/>
      <c r="B421" s="876"/>
      <c r="C421" s="876"/>
      <c r="D421" s="903">
        <v>301.75700000000001</v>
      </c>
      <c r="E421" s="1635"/>
      <c r="F421" s="876"/>
      <c r="G421" s="897"/>
      <c r="H421" s="897"/>
      <c r="I421" s="888"/>
      <c r="J421" s="891"/>
      <c r="K421" s="876"/>
      <c r="L421" s="876"/>
      <c r="M421" s="891"/>
      <c r="N421" s="891"/>
      <c r="O421" s="891"/>
      <c r="P421" s="891"/>
      <c r="Q421" s="891"/>
      <c r="R421" s="891"/>
      <c r="S421" s="891"/>
      <c r="T421" s="891"/>
      <c r="U421" s="897">
        <v>301.75700000000001</v>
      </c>
      <c r="V421" s="1635"/>
      <c r="W421" s="899"/>
      <c r="X421" s="876"/>
      <c r="Y421" s="897"/>
      <c r="Z421" s="897"/>
      <c r="AA421" s="905" t="s">
        <v>2334</v>
      </c>
    </row>
    <row r="422" spans="1:27">
      <c r="A422" s="889">
        <f>A420+1</f>
        <v>209</v>
      </c>
      <c r="B422" s="896" t="s">
        <v>2293</v>
      </c>
      <c r="C422" s="876" t="s">
        <v>76</v>
      </c>
      <c r="D422" s="876"/>
      <c r="E422" s="1635"/>
      <c r="F422" s="876"/>
      <c r="G422" s="897">
        <v>536109.85</v>
      </c>
      <c r="H422" s="897">
        <v>3530217.5</v>
      </c>
      <c r="I422" s="888"/>
      <c r="J422" s="889">
        <f>J420+1</f>
        <v>209</v>
      </c>
      <c r="K422" s="896" t="s">
        <v>2293</v>
      </c>
      <c r="L422" s="876" t="s">
        <v>76</v>
      </c>
      <c r="M422" s="891"/>
      <c r="N422" s="891"/>
      <c r="O422" s="891"/>
      <c r="P422" s="891"/>
      <c r="Q422" s="891"/>
      <c r="R422" s="891"/>
      <c r="S422" s="891"/>
      <c r="T422" s="891"/>
      <c r="U422" s="897"/>
      <c r="V422" s="1635"/>
      <c r="W422" s="899">
        <v>259.339</v>
      </c>
      <c r="X422" s="876"/>
      <c r="Y422" s="897">
        <v>536109.85</v>
      </c>
      <c r="Z422" s="897">
        <v>3530217.4989999998</v>
      </c>
      <c r="AA422" s="905"/>
    </row>
    <row r="423" spans="1:27">
      <c r="A423" s="891"/>
      <c r="B423" s="876"/>
      <c r="C423" s="876"/>
      <c r="D423" s="903">
        <v>272.65499999999997</v>
      </c>
      <c r="E423" s="1635"/>
      <c r="F423" s="876"/>
      <c r="G423" s="897"/>
      <c r="H423" s="897"/>
      <c r="I423" s="888"/>
      <c r="J423" s="891"/>
      <c r="K423" s="876"/>
      <c r="L423" s="876"/>
      <c r="M423" s="891"/>
      <c r="N423" s="891"/>
      <c r="O423" s="891"/>
      <c r="P423" s="891"/>
      <c r="Q423" s="891"/>
      <c r="R423" s="891"/>
      <c r="S423" s="891"/>
      <c r="T423" s="891"/>
      <c r="U423" s="897">
        <v>272.654</v>
      </c>
      <c r="V423" s="1635"/>
      <c r="W423" s="899"/>
      <c r="X423" s="876"/>
      <c r="Y423" s="897"/>
      <c r="Z423" s="897"/>
      <c r="AA423" s="904"/>
    </row>
    <row r="424" spans="1:27">
      <c r="A424" s="889">
        <f>A422+1</f>
        <v>210</v>
      </c>
      <c r="B424" s="896" t="s">
        <v>2294</v>
      </c>
      <c r="C424" s="876" t="s">
        <v>1269</v>
      </c>
      <c r="D424" s="876"/>
      <c r="E424" s="1635"/>
      <c r="F424" s="876" t="s">
        <v>2295</v>
      </c>
      <c r="G424" s="897">
        <v>536042.98300000001</v>
      </c>
      <c r="H424" s="897">
        <v>3529953.1719999998</v>
      </c>
      <c r="I424" s="888"/>
      <c r="J424" s="889">
        <f>J422+1</f>
        <v>210</v>
      </c>
      <c r="K424" s="896" t="s">
        <v>2306</v>
      </c>
      <c r="L424" s="876" t="s">
        <v>1269</v>
      </c>
      <c r="M424" s="891"/>
      <c r="N424" s="891"/>
      <c r="O424" s="891"/>
      <c r="P424" s="891"/>
      <c r="Q424" s="891"/>
      <c r="R424" s="891"/>
      <c r="S424" s="891"/>
      <c r="T424" s="891"/>
      <c r="U424" s="897"/>
      <c r="V424" s="1635"/>
      <c r="W424" s="899">
        <v>259.19200000000001</v>
      </c>
      <c r="X424" s="876" t="s">
        <v>2316</v>
      </c>
      <c r="Y424" s="897">
        <v>536042.98300000001</v>
      </c>
      <c r="Z424" s="897">
        <v>3529953.1719999998</v>
      </c>
      <c r="AA424" s="905"/>
    </row>
    <row r="425" spans="1:27">
      <c r="A425" s="891"/>
      <c r="B425" s="876"/>
      <c r="C425" s="876"/>
      <c r="D425" s="903">
        <v>411.54199999999997</v>
      </c>
      <c r="E425" s="1635">
        <v>411.54199999999997</v>
      </c>
      <c r="F425" s="876"/>
      <c r="G425" s="897"/>
      <c r="H425" s="897"/>
      <c r="I425" s="888"/>
      <c r="J425" s="891"/>
      <c r="K425" s="876"/>
      <c r="L425" s="876"/>
      <c r="M425" s="891"/>
      <c r="N425" s="891"/>
      <c r="O425" s="891"/>
      <c r="P425" s="891"/>
      <c r="Q425" s="891"/>
      <c r="R425" s="891"/>
      <c r="S425" s="891"/>
      <c r="T425" s="891"/>
      <c r="U425" s="897">
        <v>411.54199999999997</v>
      </c>
      <c r="V425" s="1635">
        <f>SUM(U425)</f>
        <v>411.54199999999997</v>
      </c>
      <c r="W425" s="899"/>
      <c r="X425" s="876"/>
      <c r="Y425" s="876"/>
      <c r="Z425" s="876"/>
      <c r="AA425" s="904" t="s">
        <v>2335</v>
      </c>
    </row>
    <row r="426" spans="1:27">
      <c r="A426" s="889">
        <f>A424+1</f>
        <v>211</v>
      </c>
      <c r="B426" s="896" t="s">
        <v>2296</v>
      </c>
      <c r="C426" s="876" t="s">
        <v>1361</v>
      </c>
      <c r="D426" s="876"/>
      <c r="E426" s="1635"/>
      <c r="F426" s="876" t="s">
        <v>2297</v>
      </c>
      <c r="G426" s="897">
        <v>535938.58799999999</v>
      </c>
      <c r="H426" s="897">
        <v>3529555.091</v>
      </c>
      <c r="I426" s="888"/>
      <c r="J426" s="889">
        <f>J424+1</f>
        <v>211</v>
      </c>
      <c r="K426" s="896" t="s">
        <v>2296</v>
      </c>
      <c r="L426" s="876" t="s">
        <v>1361</v>
      </c>
      <c r="M426" s="891"/>
      <c r="N426" s="891"/>
      <c r="O426" s="891"/>
      <c r="P426" s="891"/>
      <c r="Q426" s="891"/>
      <c r="R426" s="891"/>
      <c r="S426" s="891"/>
      <c r="T426" s="891"/>
      <c r="U426" s="897"/>
      <c r="V426" s="1635"/>
      <c r="W426" s="899">
        <v>258.815</v>
      </c>
      <c r="X426" s="876" t="s">
        <v>2297</v>
      </c>
      <c r="Y426" s="897">
        <v>535938.58799999999</v>
      </c>
      <c r="Z426" s="897">
        <v>3529555.091</v>
      </c>
      <c r="AA426" s="905"/>
    </row>
    <row r="427" spans="1:27">
      <c r="A427" s="891"/>
      <c r="B427" s="876"/>
      <c r="C427" s="876"/>
      <c r="D427" s="903">
        <v>375.053</v>
      </c>
      <c r="E427" s="1635">
        <f>D427+D429+D431+D433+D435</f>
        <v>1751.0180000000003</v>
      </c>
      <c r="F427" s="876"/>
      <c r="G427" s="897"/>
      <c r="H427" s="897"/>
      <c r="I427" s="888"/>
      <c r="J427" s="891"/>
      <c r="K427" s="876"/>
      <c r="L427" s="876"/>
      <c r="M427" s="891"/>
      <c r="N427" s="891"/>
      <c r="O427" s="891"/>
      <c r="P427" s="891"/>
      <c r="Q427" s="891"/>
      <c r="R427" s="891"/>
      <c r="S427" s="891"/>
      <c r="T427" s="891"/>
      <c r="U427" s="897">
        <v>375.05399999999997</v>
      </c>
      <c r="V427" s="1635">
        <f>SUM(U427:U436)</f>
        <v>1751.019</v>
      </c>
      <c r="W427" s="899"/>
      <c r="X427" s="876"/>
      <c r="Y427" s="876"/>
      <c r="Z427" s="876"/>
      <c r="AA427" s="904" t="s">
        <v>2336</v>
      </c>
    </row>
    <row r="428" spans="1:27">
      <c r="A428" s="889">
        <f>A426+1</f>
        <v>212</v>
      </c>
      <c r="B428" s="896" t="s">
        <v>2298</v>
      </c>
      <c r="C428" s="876" t="s">
        <v>76</v>
      </c>
      <c r="D428" s="903"/>
      <c r="E428" s="1635"/>
      <c r="F428" s="876"/>
      <c r="G428" s="897">
        <v>535971.53700000001</v>
      </c>
      <c r="H428" s="897">
        <v>3529181.4879999999</v>
      </c>
      <c r="I428" s="888"/>
      <c r="J428" s="889">
        <f>J426+1</f>
        <v>212</v>
      </c>
      <c r="K428" s="896" t="s">
        <v>2298</v>
      </c>
      <c r="L428" s="876" t="s">
        <v>76</v>
      </c>
      <c r="M428" s="891"/>
      <c r="N428" s="891"/>
      <c r="O428" s="891"/>
      <c r="P428" s="891"/>
      <c r="Q428" s="891"/>
      <c r="R428" s="891"/>
      <c r="S428" s="891"/>
      <c r="T428" s="891"/>
      <c r="U428" s="897"/>
      <c r="V428" s="1635"/>
      <c r="W428" s="899">
        <v>258.94099999999997</v>
      </c>
      <c r="X428" s="876"/>
      <c r="Y428" s="897">
        <v>535971.53700000001</v>
      </c>
      <c r="Z428" s="897">
        <v>3529181.4870000002</v>
      </c>
      <c r="AA428" s="905"/>
    </row>
    <row r="429" spans="1:27">
      <c r="A429" s="891"/>
      <c r="B429" s="876"/>
      <c r="C429" s="876"/>
      <c r="D429" s="903">
        <v>357.80099999999999</v>
      </c>
      <c r="E429" s="1635"/>
      <c r="F429" s="876"/>
      <c r="G429" s="897"/>
      <c r="H429" s="897"/>
      <c r="I429" s="888"/>
      <c r="J429" s="891"/>
      <c r="K429" s="876"/>
      <c r="L429" s="876"/>
      <c r="M429" s="891"/>
      <c r="N429" s="891"/>
      <c r="O429" s="891"/>
      <c r="P429" s="891"/>
      <c r="Q429" s="891"/>
      <c r="R429" s="891"/>
      <c r="S429" s="891"/>
      <c r="T429" s="891"/>
      <c r="U429" s="897">
        <v>357.80099999999999</v>
      </c>
      <c r="V429" s="1635"/>
      <c r="W429" s="899"/>
      <c r="X429" s="876"/>
      <c r="Y429" s="897"/>
      <c r="Z429" s="897"/>
      <c r="AA429" s="905" t="s">
        <v>2337</v>
      </c>
    </row>
    <row r="430" spans="1:27">
      <c r="A430" s="889">
        <f>A428+1</f>
        <v>213</v>
      </c>
      <c r="B430" s="896" t="s">
        <v>2299</v>
      </c>
      <c r="C430" s="876" t="s">
        <v>76</v>
      </c>
      <c r="D430" s="903"/>
      <c r="E430" s="1635"/>
      <c r="F430" s="876"/>
      <c r="G430" s="897">
        <v>536002.97199999995</v>
      </c>
      <c r="H430" s="897">
        <v>3528825.07</v>
      </c>
      <c r="I430" s="888"/>
      <c r="J430" s="889">
        <f>J428+1</f>
        <v>213</v>
      </c>
      <c r="K430" s="896" t="s">
        <v>2299</v>
      </c>
      <c r="L430" s="876" t="s">
        <v>76</v>
      </c>
      <c r="M430" s="891"/>
      <c r="N430" s="891"/>
      <c r="O430" s="891"/>
      <c r="P430" s="891"/>
      <c r="Q430" s="891"/>
      <c r="R430" s="891"/>
      <c r="S430" s="891"/>
      <c r="T430" s="891"/>
      <c r="U430" s="897"/>
      <c r="V430" s="1635"/>
      <c r="W430" s="899">
        <v>258.584</v>
      </c>
      <c r="X430" s="876"/>
      <c r="Y430" s="897">
        <v>536002.97199999995</v>
      </c>
      <c r="Z430" s="897">
        <v>3528825.07</v>
      </c>
      <c r="AA430" s="905"/>
    </row>
    <row r="431" spans="1:27">
      <c r="A431" s="891"/>
      <c r="B431" s="876"/>
      <c r="C431" s="876"/>
      <c r="D431" s="903">
        <v>338.209</v>
      </c>
      <c r="E431" s="1635"/>
      <c r="F431" s="876"/>
      <c r="G431" s="897"/>
      <c r="H431" s="897"/>
      <c r="I431" s="888"/>
      <c r="J431" s="891"/>
      <c r="K431" s="876"/>
      <c r="L431" s="876"/>
      <c r="M431" s="891"/>
      <c r="N431" s="891"/>
      <c r="O431" s="891"/>
      <c r="P431" s="891"/>
      <c r="Q431" s="891"/>
      <c r="R431" s="891"/>
      <c r="S431" s="891"/>
      <c r="T431" s="891"/>
      <c r="U431" s="897">
        <v>338.209</v>
      </c>
      <c r="V431" s="1635"/>
      <c r="W431" s="899"/>
      <c r="X431" s="876"/>
      <c r="Y431" s="897"/>
      <c r="Z431" s="897"/>
      <c r="AA431" s="904" t="s">
        <v>2227</v>
      </c>
    </row>
    <row r="432" spans="1:27">
      <c r="A432" s="889">
        <f>A430+1</f>
        <v>214</v>
      </c>
      <c r="B432" s="896" t="s">
        <v>2300</v>
      </c>
      <c r="C432" s="876" t="s">
        <v>76</v>
      </c>
      <c r="D432" s="903"/>
      <c r="E432" s="1635"/>
      <c r="F432" s="876"/>
      <c r="G432" s="897">
        <v>536032.68500000006</v>
      </c>
      <c r="H432" s="897">
        <v>3528488.1690000002</v>
      </c>
      <c r="I432" s="888"/>
      <c r="J432" s="889">
        <f>J430+1</f>
        <v>214</v>
      </c>
      <c r="K432" s="896" t="s">
        <v>2300</v>
      </c>
      <c r="L432" s="876" t="s">
        <v>76</v>
      </c>
      <c r="M432" s="891"/>
      <c r="N432" s="891"/>
      <c r="O432" s="891"/>
      <c r="P432" s="891"/>
      <c r="Q432" s="891"/>
      <c r="R432" s="891"/>
      <c r="S432" s="891"/>
      <c r="T432" s="891"/>
      <c r="U432" s="897"/>
      <c r="V432" s="1635"/>
      <c r="W432" s="899">
        <v>258.51600000000002</v>
      </c>
      <c r="X432" s="876"/>
      <c r="Y432" s="897">
        <v>536032.68500000006</v>
      </c>
      <c r="Z432" s="897">
        <v>3528488.1690000002</v>
      </c>
      <c r="AA432" s="905"/>
    </row>
    <row r="433" spans="1:27">
      <c r="A433" s="891"/>
      <c r="B433" s="876"/>
      <c r="C433" s="876"/>
      <c r="D433" s="903">
        <v>358.79300000000001</v>
      </c>
      <c r="E433" s="1635"/>
      <c r="F433" s="876"/>
      <c r="G433" s="897"/>
      <c r="H433" s="897"/>
      <c r="I433" s="888"/>
      <c r="J433" s="891"/>
      <c r="K433" s="876"/>
      <c r="L433" s="876"/>
      <c r="M433" s="891"/>
      <c r="N433" s="891"/>
      <c r="O433" s="891"/>
      <c r="P433" s="891"/>
      <c r="Q433" s="891"/>
      <c r="R433" s="891"/>
      <c r="S433" s="891"/>
      <c r="T433" s="891"/>
      <c r="U433" s="897">
        <v>358.79300000000001</v>
      </c>
      <c r="V433" s="1635"/>
      <c r="W433" s="899"/>
      <c r="X433" s="876"/>
      <c r="Y433" s="897"/>
      <c r="Z433" s="897"/>
      <c r="AA433" s="904" t="s">
        <v>2338</v>
      </c>
    </row>
    <row r="434" spans="1:27">
      <c r="A434" s="889">
        <f>A432+1</f>
        <v>215</v>
      </c>
      <c r="B434" s="896" t="s">
        <v>2301</v>
      </c>
      <c r="C434" s="876" t="s">
        <v>76</v>
      </c>
      <c r="D434" s="903"/>
      <c r="E434" s="1635"/>
      <c r="F434" s="876"/>
      <c r="G434" s="897">
        <v>536064.20600000001</v>
      </c>
      <c r="H434" s="897">
        <v>3528130.7629999998</v>
      </c>
      <c r="I434" s="888"/>
      <c r="J434" s="889">
        <f>J432+1</f>
        <v>215</v>
      </c>
      <c r="K434" s="896" t="s">
        <v>2301</v>
      </c>
      <c r="L434" s="876" t="s">
        <v>76</v>
      </c>
      <c r="M434" s="891"/>
      <c r="N434" s="891"/>
      <c r="O434" s="891"/>
      <c r="P434" s="891"/>
      <c r="Q434" s="891"/>
      <c r="R434" s="891"/>
      <c r="S434" s="891"/>
      <c r="T434" s="891"/>
      <c r="U434" s="897"/>
      <c r="V434" s="1635"/>
      <c r="W434" s="899">
        <v>259.27800000000002</v>
      </c>
      <c r="X434" s="876"/>
      <c r="Y434" s="897">
        <v>536064.20600000001</v>
      </c>
      <c r="Z434" s="897">
        <v>3528130.7629999998</v>
      </c>
      <c r="AA434" s="904"/>
    </row>
    <row r="435" spans="1:27">
      <c r="A435" s="891"/>
      <c r="B435" s="876"/>
      <c r="C435" s="876"/>
      <c r="D435" s="903">
        <v>321.16199999999998</v>
      </c>
      <c r="E435" s="1635"/>
      <c r="F435" s="876"/>
      <c r="G435" s="897"/>
      <c r="H435" s="897"/>
      <c r="I435" s="888"/>
      <c r="J435" s="891"/>
      <c r="K435" s="876"/>
      <c r="L435" s="876"/>
      <c r="M435" s="891"/>
      <c r="N435" s="891"/>
      <c r="O435" s="891"/>
      <c r="P435" s="891"/>
      <c r="Q435" s="891"/>
      <c r="R435" s="891"/>
      <c r="S435" s="891"/>
      <c r="T435" s="891"/>
      <c r="U435" s="897">
        <v>321.16199999999998</v>
      </c>
      <c r="V435" s="1635"/>
      <c r="W435" s="899"/>
      <c r="X435" s="876"/>
      <c r="Y435" s="897"/>
      <c r="Z435" s="897"/>
      <c r="AA435" s="904" t="s">
        <v>2339</v>
      </c>
    </row>
    <row r="436" spans="1:27">
      <c r="A436" s="889">
        <f>A434+1</f>
        <v>216</v>
      </c>
      <c r="B436" s="896" t="s">
        <v>2302</v>
      </c>
      <c r="C436" s="876" t="s">
        <v>1277</v>
      </c>
      <c r="D436" s="876"/>
      <c r="E436" s="1635"/>
      <c r="F436" s="876" t="s">
        <v>2303</v>
      </c>
      <c r="G436" s="897">
        <v>536092.42099999997</v>
      </c>
      <c r="H436" s="897">
        <v>3527810.8429999999</v>
      </c>
      <c r="I436" s="888"/>
      <c r="J436" s="889">
        <f>J434+1</f>
        <v>216</v>
      </c>
      <c r="K436" s="896" t="s">
        <v>2302</v>
      </c>
      <c r="L436" s="876" t="s">
        <v>1277</v>
      </c>
      <c r="M436" s="891"/>
      <c r="N436" s="891"/>
      <c r="O436" s="891"/>
      <c r="P436" s="891"/>
      <c r="Q436" s="891"/>
      <c r="R436" s="891"/>
      <c r="S436" s="891"/>
      <c r="T436" s="891"/>
      <c r="U436" s="897"/>
      <c r="V436" s="1635"/>
      <c r="W436" s="899">
        <v>258.70400000000001</v>
      </c>
      <c r="X436" s="876" t="s">
        <v>2303</v>
      </c>
      <c r="Y436" s="897">
        <v>536092.42099999997</v>
      </c>
      <c r="Z436" s="897">
        <v>3527810.8429999999</v>
      </c>
      <c r="AA436" s="905"/>
    </row>
    <row r="437" spans="1:27" ht="8.1" customHeight="1">
      <c r="A437" s="907"/>
      <c r="B437" s="907"/>
      <c r="C437" s="908"/>
      <c r="D437" s="908"/>
      <c r="E437" s="907"/>
      <c r="F437" s="907"/>
      <c r="G437" s="907"/>
      <c r="H437" s="907"/>
      <c r="I437" s="888"/>
      <c r="J437" s="907"/>
      <c r="K437" s="907"/>
      <c r="L437" s="907"/>
      <c r="M437" s="907"/>
      <c r="N437" s="907"/>
      <c r="O437" s="907"/>
      <c r="P437" s="907"/>
      <c r="Q437" s="907"/>
      <c r="R437" s="907"/>
      <c r="S437" s="907"/>
      <c r="T437" s="907"/>
      <c r="U437" s="909"/>
      <c r="V437" s="907"/>
      <c r="W437" s="907"/>
      <c r="X437" s="907"/>
      <c r="Y437" s="907"/>
      <c r="Z437" s="907"/>
      <c r="AA437" s="910"/>
    </row>
    <row r="438" spans="1:27">
      <c r="A438" s="889">
        <f>A436+1</f>
        <v>217</v>
      </c>
      <c r="B438" s="876" t="s">
        <v>2445</v>
      </c>
      <c r="C438" s="876" t="s">
        <v>1269</v>
      </c>
      <c r="D438" s="876"/>
      <c r="E438" s="1627">
        <v>751.41</v>
      </c>
      <c r="F438" s="55" t="s">
        <v>2446</v>
      </c>
      <c r="G438" s="825">
        <v>537339.01399999997</v>
      </c>
      <c r="H438" s="825">
        <v>3519225.8870000001</v>
      </c>
      <c r="I438" s="888"/>
      <c r="J438" s="889">
        <f>J436+1</f>
        <v>217</v>
      </c>
      <c r="K438" s="55" t="s">
        <v>2445</v>
      </c>
      <c r="L438" s="55" t="s">
        <v>1269</v>
      </c>
      <c r="M438" s="891"/>
      <c r="N438" s="891"/>
      <c r="O438" s="891"/>
      <c r="P438" s="891"/>
      <c r="Q438" s="891"/>
      <c r="R438" s="891"/>
      <c r="S438" s="891"/>
      <c r="T438" s="891"/>
      <c r="U438" s="897"/>
      <c r="V438" s="1631">
        <f>U439+U441</f>
        <v>751.41100000000006</v>
      </c>
      <c r="W438" s="825">
        <v>255.816</v>
      </c>
      <c r="X438" s="55" t="s">
        <v>2446</v>
      </c>
      <c r="Y438" s="825">
        <v>537339.01399999997</v>
      </c>
      <c r="Z438" s="825">
        <v>3519225.8870000001</v>
      </c>
      <c r="AA438" s="825"/>
    </row>
    <row r="439" spans="1:27" ht="30">
      <c r="A439" s="891"/>
      <c r="B439" s="877"/>
      <c r="C439" s="877"/>
      <c r="D439" s="877">
        <v>373.37799999999999</v>
      </c>
      <c r="E439" s="1627"/>
      <c r="F439" s="911"/>
      <c r="G439" s="877"/>
      <c r="H439" s="877"/>
      <c r="I439" s="888"/>
      <c r="J439" s="891"/>
      <c r="K439" s="822"/>
      <c r="L439" s="877"/>
      <c r="M439" s="891"/>
      <c r="N439" s="891"/>
      <c r="O439" s="891"/>
      <c r="P439" s="891"/>
      <c r="Q439" s="891"/>
      <c r="R439" s="891"/>
      <c r="S439" s="891"/>
      <c r="T439" s="891"/>
      <c r="U439" s="912">
        <v>373.37900000000002</v>
      </c>
      <c r="V439" s="1631"/>
      <c r="W439" s="877"/>
      <c r="X439" s="819"/>
      <c r="Y439" s="877"/>
      <c r="Z439" s="877"/>
      <c r="AA439" s="822" t="s">
        <v>2469</v>
      </c>
    </row>
    <row r="440" spans="1:27">
      <c r="A440" s="889">
        <f>A438+1</f>
        <v>218</v>
      </c>
      <c r="B440" s="877" t="s">
        <v>2447</v>
      </c>
      <c r="C440" s="877" t="s">
        <v>53</v>
      </c>
      <c r="D440" s="877"/>
      <c r="E440" s="1627"/>
      <c r="F440" s="911"/>
      <c r="G440" s="826">
        <v>537297.25300000003</v>
      </c>
      <c r="H440" s="826">
        <v>3518854.852</v>
      </c>
      <c r="I440" s="888"/>
      <c r="J440" s="889">
        <f>J438+1</f>
        <v>218</v>
      </c>
      <c r="K440" s="822" t="s">
        <v>2447</v>
      </c>
      <c r="L440" s="822" t="s">
        <v>53</v>
      </c>
      <c r="M440" s="891"/>
      <c r="N440" s="891"/>
      <c r="O440" s="891"/>
      <c r="P440" s="891"/>
      <c r="Q440" s="891"/>
      <c r="R440" s="891"/>
      <c r="S440" s="891"/>
      <c r="T440" s="891"/>
      <c r="U440" s="912"/>
      <c r="V440" s="1631"/>
      <c r="W440" s="826">
        <v>255.91300000000001</v>
      </c>
      <c r="X440" s="819"/>
      <c r="Y440" s="826">
        <v>537297.25300000003</v>
      </c>
      <c r="Z440" s="826">
        <v>3518854.852</v>
      </c>
      <c r="AA440" s="826"/>
    </row>
    <row r="441" spans="1:27">
      <c r="A441" s="891"/>
      <c r="B441" s="877"/>
      <c r="C441" s="877"/>
      <c r="D441" s="877">
        <v>378.00299999999999</v>
      </c>
      <c r="E441" s="1627"/>
      <c r="F441" s="911"/>
      <c r="G441" s="877"/>
      <c r="H441" s="877"/>
      <c r="I441" s="888"/>
      <c r="J441" s="891"/>
      <c r="K441" s="822"/>
      <c r="L441" s="877"/>
      <c r="M441" s="891"/>
      <c r="N441" s="891"/>
      <c r="O441" s="891"/>
      <c r="P441" s="891"/>
      <c r="Q441" s="891"/>
      <c r="R441" s="891"/>
      <c r="S441" s="891"/>
      <c r="T441" s="891"/>
      <c r="U441" s="912">
        <v>378.03199999999998</v>
      </c>
      <c r="V441" s="1631"/>
      <c r="W441" s="877"/>
      <c r="X441" s="819"/>
      <c r="Y441" s="877"/>
      <c r="Z441" s="877"/>
      <c r="AA441" s="877" t="s">
        <v>2470</v>
      </c>
    </row>
    <row r="442" spans="1:27">
      <c r="A442" s="889">
        <f>A440+1</f>
        <v>219</v>
      </c>
      <c r="B442" s="876" t="s">
        <v>2448</v>
      </c>
      <c r="C442" s="876" t="s">
        <v>1269</v>
      </c>
      <c r="D442" s="876"/>
      <c r="E442" s="1627">
        <v>515.47</v>
      </c>
      <c r="F442" s="55" t="s">
        <v>2449</v>
      </c>
      <c r="G442" s="825">
        <v>537254.97199999995</v>
      </c>
      <c r="H442" s="825">
        <v>3518479.1910000001</v>
      </c>
      <c r="I442" s="888"/>
      <c r="J442" s="889">
        <f>J440+1</f>
        <v>219</v>
      </c>
      <c r="K442" s="55" t="s">
        <v>2448</v>
      </c>
      <c r="L442" s="55" t="s">
        <v>1269</v>
      </c>
      <c r="M442" s="891"/>
      <c r="N442" s="891"/>
      <c r="O442" s="891"/>
      <c r="P442" s="891"/>
      <c r="Q442" s="891"/>
      <c r="R442" s="891"/>
      <c r="S442" s="891"/>
      <c r="T442" s="891"/>
      <c r="U442" s="897"/>
      <c r="V442" s="1631">
        <f>U443+U445</f>
        <v>515.46900000000005</v>
      </c>
      <c r="W442" s="825">
        <v>255.82599999999999</v>
      </c>
      <c r="X442" s="55" t="s">
        <v>2449</v>
      </c>
      <c r="Y442" s="825">
        <v>537254.97199999995</v>
      </c>
      <c r="Z442" s="825">
        <v>3518479.1910000001</v>
      </c>
      <c r="AA442" s="825"/>
    </row>
    <row r="443" spans="1:27">
      <c r="A443" s="891"/>
      <c r="B443" s="877"/>
      <c r="C443" s="877"/>
      <c r="D443" s="877">
        <v>283.15600000000001</v>
      </c>
      <c r="E443" s="1627"/>
      <c r="F443" s="911"/>
      <c r="G443" s="877"/>
      <c r="H443" s="877"/>
      <c r="I443" s="888"/>
      <c r="J443" s="891"/>
      <c r="K443" s="822"/>
      <c r="L443" s="877"/>
      <c r="M443" s="891"/>
      <c r="N443" s="891"/>
      <c r="O443" s="891"/>
      <c r="P443" s="891"/>
      <c r="Q443" s="891"/>
      <c r="R443" s="891"/>
      <c r="S443" s="891"/>
      <c r="T443" s="891"/>
      <c r="U443" s="912">
        <v>283.15699999999998</v>
      </c>
      <c r="V443" s="1631"/>
      <c r="W443" s="877"/>
      <c r="X443" s="911"/>
      <c r="Y443" s="877"/>
      <c r="Z443" s="877"/>
      <c r="AA443" s="877" t="s">
        <v>2471</v>
      </c>
    </row>
    <row r="444" spans="1:27">
      <c r="A444" s="889">
        <f>A442+1</f>
        <v>220</v>
      </c>
      <c r="B444" s="877" t="s">
        <v>2450</v>
      </c>
      <c r="C444" s="877" t="s">
        <v>76</v>
      </c>
      <c r="D444" s="877"/>
      <c r="E444" s="1627"/>
      <c r="F444" s="911"/>
      <c r="G444" s="826">
        <v>537244.53099999996</v>
      </c>
      <c r="H444" s="826">
        <v>3518196.227</v>
      </c>
      <c r="I444" s="888"/>
      <c r="J444" s="889">
        <f>J442+1</f>
        <v>220</v>
      </c>
      <c r="K444" s="822" t="s">
        <v>2450</v>
      </c>
      <c r="L444" s="822" t="s">
        <v>1277</v>
      </c>
      <c r="M444" s="891"/>
      <c r="N444" s="891"/>
      <c r="O444" s="891"/>
      <c r="P444" s="891"/>
      <c r="Q444" s="891"/>
      <c r="R444" s="891"/>
      <c r="S444" s="891"/>
      <c r="T444" s="891"/>
      <c r="U444" s="912"/>
      <c r="V444" s="1631"/>
      <c r="W444" s="826">
        <v>254.81</v>
      </c>
      <c r="X444" s="911"/>
      <c r="Y444" s="826">
        <v>537244.53099999996</v>
      </c>
      <c r="Z444" s="826">
        <v>3518196.227</v>
      </c>
      <c r="AA444" s="892" t="s">
        <v>2472</v>
      </c>
    </row>
    <row r="445" spans="1:27">
      <c r="A445" s="891"/>
      <c r="B445" s="877"/>
      <c r="C445" s="877"/>
      <c r="D445" s="877">
        <v>232.31200000000001</v>
      </c>
      <c r="E445" s="1627"/>
      <c r="F445" s="911"/>
      <c r="G445" s="877"/>
      <c r="H445" s="877"/>
      <c r="I445" s="888"/>
      <c r="J445" s="891"/>
      <c r="K445" s="822"/>
      <c r="L445" s="877"/>
      <c r="M445" s="891"/>
      <c r="N445" s="891"/>
      <c r="O445" s="891"/>
      <c r="P445" s="891"/>
      <c r="Q445" s="891"/>
      <c r="R445" s="891"/>
      <c r="S445" s="891"/>
      <c r="T445" s="891"/>
      <c r="U445" s="912">
        <v>232.31200000000001</v>
      </c>
      <c r="V445" s="1631"/>
      <c r="W445" s="877"/>
      <c r="X445" s="911"/>
      <c r="Y445" s="877"/>
      <c r="Z445" s="877"/>
      <c r="AA445" s="877"/>
    </row>
    <row r="446" spans="1:27">
      <c r="A446" s="889">
        <f>A444+1</f>
        <v>221</v>
      </c>
      <c r="B446" s="876" t="s">
        <v>2451</v>
      </c>
      <c r="C446" s="876" t="s">
        <v>1269</v>
      </c>
      <c r="D446" s="876"/>
      <c r="E446" s="876"/>
      <c r="F446" s="913" t="s">
        <v>2452</v>
      </c>
      <c r="G446" s="825">
        <v>537235.96499999997</v>
      </c>
      <c r="H446" s="825">
        <v>3517964.0729999999</v>
      </c>
      <c r="I446" s="888"/>
      <c r="J446" s="889">
        <f>J444+1</f>
        <v>221</v>
      </c>
      <c r="K446" s="55" t="s">
        <v>2451</v>
      </c>
      <c r="L446" s="55" t="s">
        <v>1269</v>
      </c>
      <c r="M446" s="891"/>
      <c r="N446" s="891"/>
      <c r="O446" s="891"/>
      <c r="P446" s="891"/>
      <c r="Q446" s="891"/>
      <c r="R446" s="891"/>
      <c r="S446" s="891"/>
      <c r="T446" s="891"/>
      <c r="U446" s="897"/>
      <c r="V446" s="820"/>
      <c r="W446" s="825">
        <v>254.46100000000001</v>
      </c>
      <c r="X446" s="55" t="s">
        <v>2452</v>
      </c>
      <c r="Y446" s="825">
        <v>537235.96499999997</v>
      </c>
      <c r="Z446" s="825">
        <v>3517964.0729999999</v>
      </c>
      <c r="AA446" s="825"/>
    </row>
    <row r="447" spans="1:27">
      <c r="A447" s="891"/>
      <c r="B447" s="877"/>
      <c r="C447" s="877"/>
      <c r="D447" s="877">
        <v>323.18599999999998</v>
      </c>
      <c r="E447" s="1627">
        <v>1409.68</v>
      </c>
      <c r="F447" s="911"/>
      <c r="G447" s="877"/>
      <c r="H447" s="877"/>
      <c r="I447" s="888"/>
      <c r="J447" s="891"/>
      <c r="K447" s="822"/>
      <c r="L447" s="877"/>
      <c r="M447" s="891"/>
      <c r="N447" s="891"/>
      <c r="O447" s="891"/>
      <c r="P447" s="891"/>
      <c r="Q447" s="891"/>
      <c r="R447" s="891"/>
      <c r="S447" s="891"/>
      <c r="T447" s="891"/>
      <c r="U447" s="912">
        <v>323.18599999999998</v>
      </c>
      <c r="V447" s="1631">
        <f>U447+U449+U451+U453</f>
        <v>1409.681</v>
      </c>
      <c r="W447" s="877"/>
      <c r="X447" s="911"/>
      <c r="Y447" s="877"/>
      <c r="Z447" s="877"/>
      <c r="AA447" s="877" t="s">
        <v>2473</v>
      </c>
    </row>
    <row r="448" spans="1:27">
      <c r="A448" s="889">
        <f>A446+1</f>
        <v>222</v>
      </c>
      <c r="B448" s="877" t="s">
        <v>2378</v>
      </c>
      <c r="C448" s="877" t="s">
        <v>76</v>
      </c>
      <c r="D448" s="877"/>
      <c r="E448" s="1627"/>
      <c r="F448" s="911"/>
      <c r="G448" s="826">
        <v>537189.43799999997</v>
      </c>
      <c r="H448" s="826">
        <v>3517644.2540000002</v>
      </c>
      <c r="I448" s="888"/>
      <c r="J448" s="889">
        <f>J446+1</f>
        <v>222</v>
      </c>
      <c r="K448" s="822" t="s">
        <v>2378</v>
      </c>
      <c r="L448" s="822" t="s">
        <v>76</v>
      </c>
      <c r="M448" s="891"/>
      <c r="N448" s="891"/>
      <c r="O448" s="891"/>
      <c r="P448" s="891"/>
      <c r="Q448" s="891"/>
      <c r="R448" s="891"/>
      <c r="S448" s="891"/>
      <c r="T448" s="891"/>
      <c r="U448" s="912"/>
      <c r="V448" s="1631"/>
      <c r="W448" s="826">
        <v>254.09100000000001</v>
      </c>
      <c r="X448" s="911"/>
      <c r="Y448" s="826">
        <v>537189.43799999997</v>
      </c>
      <c r="Z448" s="826">
        <v>3517644.2540000002</v>
      </c>
      <c r="AA448" s="826"/>
    </row>
    <row r="449" spans="1:27">
      <c r="A449" s="891"/>
      <c r="B449" s="877"/>
      <c r="C449" s="877"/>
      <c r="D449" s="877">
        <v>351.47500000000002</v>
      </c>
      <c r="E449" s="1627"/>
      <c r="F449" s="911"/>
      <c r="G449" s="877"/>
      <c r="H449" s="877"/>
      <c r="I449" s="888"/>
      <c r="J449" s="891"/>
      <c r="K449" s="822"/>
      <c r="L449" s="877"/>
      <c r="M449" s="891"/>
      <c r="N449" s="891"/>
      <c r="O449" s="891"/>
      <c r="P449" s="891"/>
      <c r="Q449" s="891"/>
      <c r="R449" s="891"/>
      <c r="S449" s="891"/>
      <c r="T449" s="891"/>
      <c r="U449" s="912">
        <v>351.47500000000002</v>
      </c>
      <c r="V449" s="1631"/>
      <c r="W449" s="877"/>
      <c r="X449" s="911"/>
      <c r="Y449" s="877"/>
      <c r="Z449" s="877"/>
      <c r="AA449" s="877" t="s">
        <v>2474</v>
      </c>
    </row>
    <row r="450" spans="1:27">
      <c r="A450" s="889">
        <f>A448+1</f>
        <v>223</v>
      </c>
      <c r="B450" s="877" t="s">
        <v>2453</v>
      </c>
      <c r="C450" s="877" t="s">
        <v>62</v>
      </c>
      <c r="D450" s="877"/>
      <c r="E450" s="1627"/>
      <c r="F450" s="911"/>
      <c r="G450" s="826">
        <v>537138.83900000004</v>
      </c>
      <c r="H450" s="826">
        <v>3517296.44</v>
      </c>
      <c r="I450" s="888"/>
      <c r="J450" s="889">
        <f>J448+1</f>
        <v>223</v>
      </c>
      <c r="K450" s="822" t="s">
        <v>2453</v>
      </c>
      <c r="L450" s="822" t="s">
        <v>62</v>
      </c>
      <c r="M450" s="891"/>
      <c r="N450" s="891"/>
      <c r="O450" s="891"/>
      <c r="P450" s="891"/>
      <c r="Q450" s="891"/>
      <c r="R450" s="891"/>
      <c r="S450" s="891"/>
      <c r="T450" s="891"/>
      <c r="U450" s="912"/>
      <c r="V450" s="1631"/>
      <c r="W450" s="826">
        <v>253.624</v>
      </c>
      <c r="X450" s="911"/>
      <c r="Y450" s="826">
        <v>537138.83900000004</v>
      </c>
      <c r="Z450" s="826">
        <v>3517296.44</v>
      </c>
      <c r="AA450" s="826"/>
    </row>
    <row r="451" spans="1:27">
      <c r="A451" s="891"/>
      <c r="B451" s="877"/>
      <c r="C451" s="877"/>
      <c r="D451" s="877">
        <v>368.87400000000002</v>
      </c>
      <c r="E451" s="1627"/>
      <c r="F451" s="911"/>
      <c r="G451" s="877"/>
      <c r="H451" s="877"/>
      <c r="I451" s="888"/>
      <c r="J451" s="891"/>
      <c r="K451" s="822"/>
      <c r="L451" s="877"/>
      <c r="M451" s="891"/>
      <c r="N451" s="891"/>
      <c r="O451" s="891"/>
      <c r="P451" s="891"/>
      <c r="Q451" s="891"/>
      <c r="R451" s="891"/>
      <c r="S451" s="891"/>
      <c r="T451" s="891"/>
      <c r="U451" s="912">
        <v>368.87400000000002</v>
      </c>
      <c r="V451" s="1631"/>
      <c r="W451" s="877"/>
      <c r="X451" s="911"/>
      <c r="Y451" s="877"/>
      <c r="Z451" s="877"/>
      <c r="AA451" s="877" t="s">
        <v>2475</v>
      </c>
    </row>
    <row r="452" spans="1:27">
      <c r="A452" s="889">
        <f>A450+1</f>
        <v>224</v>
      </c>
      <c r="B452" s="877" t="s">
        <v>2379</v>
      </c>
      <c r="C452" s="877" t="s">
        <v>76</v>
      </c>
      <c r="D452" s="877"/>
      <c r="E452" s="1627"/>
      <c r="F452" s="911"/>
      <c r="G452" s="826">
        <v>537085.73400000005</v>
      </c>
      <c r="H452" s="826">
        <v>3516931.409</v>
      </c>
      <c r="I452" s="888"/>
      <c r="J452" s="889">
        <f>J450+1</f>
        <v>224</v>
      </c>
      <c r="K452" s="822" t="s">
        <v>2379</v>
      </c>
      <c r="L452" s="822" t="s">
        <v>76</v>
      </c>
      <c r="M452" s="891"/>
      <c r="N452" s="891"/>
      <c r="O452" s="891"/>
      <c r="P452" s="891"/>
      <c r="Q452" s="891"/>
      <c r="R452" s="891"/>
      <c r="S452" s="891"/>
      <c r="T452" s="891"/>
      <c r="U452" s="912"/>
      <c r="V452" s="1631"/>
      <c r="W452" s="826">
        <v>252.684</v>
      </c>
      <c r="X452" s="911"/>
      <c r="Y452" s="826">
        <v>537085.73400000005</v>
      </c>
      <c r="Z452" s="826">
        <v>3516931.409</v>
      </c>
      <c r="AA452" s="826"/>
    </row>
    <row r="453" spans="1:27">
      <c r="A453" s="891"/>
      <c r="B453" s="877"/>
      <c r="C453" s="877"/>
      <c r="D453" s="877">
        <v>366.14699999999999</v>
      </c>
      <c r="E453" s="1627"/>
      <c r="F453" s="911"/>
      <c r="G453" s="877"/>
      <c r="H453" s="877"/>
      <c r="I453" s="888"/>
      <c r="J453" s="891"/>
      <c r="K453" s="822"/>
      <c r="L453" s="877"/>
      <c r="M453" s="891"/>
      <c r="N453" s="891"/>
      <c r="O453" s="891"/>
      <c r="P453" s="891"/>
      <c r="Q453" s="891"/>
      <c r="R453" s="891"/>
      <c r="S453" s="891"/>
      <c r="T453" s="891"/>
      <c r="U453" s="912">
        <v>366.14600000000002</v>
      </c>
      <c r="V453" s="1631"/>
      <c r="W453" s="877"/>
      <c r="X453" s="911"/>
      <c r="Y453" s="877"/>
      <c r="Z453" s="877"/>
      <c r="AA453" s="877" t="s">
        <v>2476</v>
      </c>
    </row>
    <row r="454" spans="1:27">
      <c r="A454" s="889">
        <f>A452+1</f>
        <v>225</v>
      </c>
      <c r="B454" s="876" t="s">
        <v>2454</v>
      </c>
      <c r="C454" s="876" t="s">
        <v>1277</v>
      </c>
      <c r="D454" s="876"/>
      <c r="E454" s="1627">
        <v>634.36</v>
      </c>
      <c r="F454" s="55" t="s">
        <v>2455</v>
      </c>
      <c r="G454" s="825">
        <v>537033.022</v>
      </c>
      <c r="H454" s="825">
        <v>3516569.0759999999</v>
      </c>
      <c r="I454" s="888"/>
      <c r="J454" s="889">
        <f>J452+1</f>
        <v>225</v>
      </c>
      <c r="K454" s="55" t="s">
        <v>2454</v>
      </c>
      <c r="L454" s="55" t="s">
        <v>1277</v>
      </c>
      <c r="M454" s="891"/>
      <c r="N454" s="891"/>
      <c r="O454" s="891"/>
      <c r="P454" s="891"/>
      <c r="Q454" s="891"/>
      <c r="R454" s="891"/>
      <c r="S454" s="891"/>
      <c r="T454" s="891"/>
      <c r="U454" s="897"/>
      <c r="V454" s="1631">
        <f>U455+U457</f>
        <v>634.35900000000004</v>
      </c>
      <c r="W454" s="825">
        <v>252.40199999999999</v>
      </c>
      <c r="X454" s="55" t="s">
        <v>2455</v>
      </c>
      <c r="Y454" s="825">
        <v>537033.022</v>
      </c>
      <c r="Z454" s="825">
        <v>3516569.0759999999</v>
      </c>
      <c r="AA454" s="825"/>
    </row>
    <row r="455" spans="1:27">
      <c r="A455" s="891"/>
      <c r="B455" s="877"/>
      <c r="C455" s="877"/>
      <c r="D455" s="877">
        <v>326.20999999999998</v>
      </c>
      <c r="E455" s="1627"/>
      <c r="F455" s="911"/>
      <c r="G455" s="877"/>
      <c r="H455" s="877"/>
      <c r="I455" s="888"/>
      <c r="J455" s="891"/>
      <c r="K455" s="822"/>
      <c r="L455" s="877"/>
      <c r="M455" s="891"/>
      <c r="N455" s="891"/>
      <c r="O455" s="891"/>
      <c r="P455" s="891"/>
      <c r="Q455" s="891"/>
      <c r="R455" s="891"/>
      <c r="S455" s="891"/>
      <c r="T455" s="891"/>
      <c r="U455" s="912">
        <v>326.21100000000001</v>
      </c>
      <c r="V455" s="1631"/>
      <c r="W455" s="877"/>
      <c r="X455" s="911"/>
      <c r="Y455" s="877"/>
      <c r="Z455" s="877"/>
      <c r="AA455" s="877" t="s">
        <v>2477</v>
      </c>
    </row>
    <row r="456" spans="1:27">
      <c r="A456" s="889">
        <f>A454+1</f>
        <v>226</v>
      </c>
      <c r="B456" s="877" t="s">
        <v>2377</v>
      </c>
      <c r="C456" s="877" t="s">
        <v>76</v>
      </c>
      <c r="D456" s="877"/>
      <c r="E456" s="1627"/>
      <c r="F456" s="911"/>
      <c r="G456" s="826">
        <v>537077.777</v>
      </c>
      <c r="H456" s="826">
        <v>3516245.9509999999</v>
      </c>
      <c r="I456" s="888"/>
      <c r="J456" s="889">
        <f>J454+1</f>
        <v>226</v>
      </c>
      <c r="K456" s="822" t="s">
        <v>2377</v>
      </c>
      <c r="L456" s="822" t="s">
        <v>76</v>
      </c>
      <c r="M456" s="891"/>
      <c r="N456" s="891"/>
      <c r="O456" s="891"/>
      <c r="P456" s="891"/>
      <c r="Q456" s="891"/>
      <c r="R456" s="891"/>
      <c r="S456" s="891"/>
      <c r="T456" s="891"/>
      <c r="U456" s="912"/>
      <c r="V456" s="1631"/>
      <c r="W456" s="826">
        <v>253.28100000000001</v>
      </c>
      <c r="X456" s="911"/>
      <c r="Y456" s="826">
        <v>537077.777</v>
      </c>
      <c r="Z456" s="826">
        <v>3516245.9509999999</v>
      </c>
      <c r="AA456" s="826"/>
    </row>
    <row r="457" spans="1:27">
      <c r="A457" s="891"/>
      <c r="B457" s="877"/>
      <c r="C457" s="877"/>
      <c r="D457" s="877">
        <v>308.149</v>
      </c>
      <c r="E457" s="1627"/>
      <c r="F457" s="911"/>
      <c r="G457" s="877"/>
      <c r="H457" s="877"/>
      <c r="I457" s="888"/>
      <c r="J457" s="891"/>
      <c r="K457" s="822"/>
      <c r="L457" s="877"/>
      <c r="M457" s="891"/>
      <c r="N457" s="891"/>
      <c r="O457" s="891"/>
      <c r="P457" s="891"/>
      <c r="Q457" s="891"/>
      <c r="R457" s="891"/>
      <c r="S457" s="891"/>
      <c r="T457" s="891"/>
      <c r="U457" s="912">
        <v>308.14800000000002</v>
      </c>
      <c r="V457" s="1631"/>
      <c r="W457" s="877"/>
      <c r="X457" s="911"/>
      <c r="Y457" s="877"/>
      <c r="Z457" s="877"/>
      <c r="AA457" s="877" t="s">
        <v>2478</v>
      </c>
    </row>
    <row r="458" spans="1:27">
      <c r="A458" s="889">
        <f>A456+1</f>
        <v>227</v>
      </c>
      <c r="B458" s="876" t="s">
        <v>2456</v>
      </c>
      <c r="C458" s="876" t="s">
        <v>1277</v>
      </c>
      <c r="D458" s="876"/>
      <c r="E458" s="1627">
        <v>518.17999999999995</v>
      </c>
      <c r="F458" s="55" t="s">
        <v>2457</v>
      </c>
      <c r="G458" s="825">
        <v>537120.054</v>
      </c>
      <c r="H458" s="825">
        <v>3515940.716</v>
      </c>
      <c r="I458" s="888"/>
      <c r="J458" s="889">
        <f>J456+1</f>
        <v>227</v>
      </c>
      <c r="K458" s="55" t="s">
        <v>2456</v>
      </c>
      <c r="L458" s="55" t="s">
        <v>1277</v>
      </c>
      <c r="M458" s="891"/>
      <c r="N458" s="891"/>
      <c r="O458" s="891"/>
      <c r="P458" s="891"/>
      <c r="Q458" s="891"/>
      <c r="R458" s="891"/>
      <c r="S458" s="891"/>
      <c r="T458" s="891"/>
      <c r="U458" s="897"/>
      <c r="V458" s="1631">
        <f>U459+U461</f>
        <v>518.17499999999995</v>
      </c>
      <c r="W458" s="825">
        <v>253.51</v>
      </c>
      <c r="X458" s="55" t="s">
        <v>2457</v>
      </c>
      <c r="Y458" s="825">
        <v>537120.054</v>
      </c>
      <c r="Z458" s="825">
        <v>3515940.716</v>
      </c>
      <c r="AA458" s="825"/>
    </row>
    <row r="459" spans="1:27">
      <c r="A459" s="891"/>
      <c r="B459" s="877"/>
      <c r="C459" s="877"/>
      <c r="D459" s="877">
        <v>285.935</v>
      </c>
      <c r="E459" s="1627"/>
      <c r="F459" s="911"/>
      <c r="G459" s="877"/>
      <c r="H459" s="877"/>
      <c r="I459" s="888"/>
      <c r="J459" s="891"/>
      <c r="K459" s="822"/>
      <c r="L459" s="877"/>
      <c r="M459" s="891"/>
      <c r="N459" s="891"/>
      <c r="O459" s="891"/>
      <c r="P459" s="891"/>
      <c r="Q459" s="891"/>
      <c r="R459" s="891"/>
      <c r="S459" s="891"/>
      <c r="T459" s="891"/>
      <c r="U459" s="912">
        <v>285.93599999999998</v>
      </c>
      <c r="V459" s="1631"/>
      <c r="W459" s="877"/>
      <c r="X459" s="911"/>
      <c r="Y459" s="877"/>
      <c r="Z459" s="877"/>
      <c r="AA459" s="877" t="s">
        <v>2479</v>
      </c>
    </row>
    <row r="460" spans="1:27">
      <c r="A460" s="889">
        <f>A458+1</f>
        <v>228</v>
      </c>
      <c r="B460" s="877" t="s">
        <v>2458</v>
      </c>
      <c r="C460" s="877" t="s">
        <v>76</v>
      </c>
      <c r="D460" s="877"/>
      <c r="E460" s="1627"/>
      <c r="F460" s="911"/>
      <c r="G460" s="826">
        <v>537280.62300000002</v>
      </c>
      <c r="H460" s="826">
        <v>3515704.1230000001</v>
      </c>
      <c r="I460" s="888"/>
      <c r="J460" s="889">
        <f>J458+1</f>
        <v>228</v>
      </c>
      <c r="K460" s="822" t="s">
        <v>2458</v>
      </c>
      <c r="L460" s="822" t="s">
        <v>76</v>
      </c>
      <c r="M460" s="891"/>
      <c r="N460" s="891"/>
      <c r="O460" s="891"/>
      <c r="P460" s="891"/>
      <c r="Q460" s="891"/>
      <c r="R460" s="891"/>
      <c r="S460" s="891"/>
      <c r="T460" s="891"/>
      <c r="U460" s="912"/>
      <c r="V460" s="1631"/>
      <c r="W460" s="826">
        <v>253.74799999999999</v>
      </c>
      <c r="X460" s="911"/>
      <c r="Y460" s="826">
        <v>537280.62300000002</v>
      </c>
      <c r="Z460" s="826">
        <v>3515704.1230000001</v>
      </c>
      <c r="AA460" s="826"/>
    </row>
    <row r="461" spans="1:27">
      <c r="A461" s="891"/>
      <c r="B461" s="877"/>
      <c r="C461" s="877"/>
      <c r="D461" s="877">
        <v>232.24</v>
      </c>
      <c r="E461" s="1627"/>
      <c r="F461" s="911"/>
      <c r="G461" s="877"/>
      <c r="H461" s="877"/>
      <c r="I461" s="888"/>
      <c r="J461" s="891"/>
      <c r="K461" s="822"/>
      <c r="L461" s="877"/>
      <c r="M461" s="891"/>
      <c r="N461" s="891"/>
      <c r="O461" s="891"/>
      <c r="P461" s="891"/>
      <c r="Q461" s="891"/>
      <c r="R461" s="891"/>
      <c r="S461" s="891"/>
      <c r="T461" s="891"/>
      <c r="U461" s="912">
        <v>232.239</v>
      </c>
      <c r="V461" s="1631"/>
      <c r="W461" s="877"/>
      <c r="X461" s="911"/>
      <c r="Y461" s="877"/>
      <c r="Z461" s="877"/>
      <c r="AA461" s="877" t="s">
        <v>2480</v>
      </c>
    </row>
    <row r="462" spans="1:27">
      <c r="A462" s="889">
        <f>A460+1</f>
        <v>229</v>
      </c>
      <c r="B462" s="876" t="s">
        <v>2459</v>
      </c>
      <c r="C462" s="876" t="s">
        <v>1319</v>
      </c>
      <c r="D462" s="876"/>
      <c r="E462" s="1627">
        <v>1212.3699999999999</v>
      </c>
      <c r="F462" s="818" t="s">
        <v>2460</v>
      </c>
      <c r="G462" s="825">
        <v>537411.04</v>
      </c>
      <c r="H462" s="825">
        <v>3515511.9589999998</v>
      </c>
      <c r="I462" s="888"/>
      <c r="J462" s="889">
        <f>J460+1</f>
        <v>229</v>
      </c>
      <c r="K462" s="55" t="s">
        <v>2459</v>
      </c>
      <c r="L462" s="55" t="s">
        <v>1319</v>
      </c>
      <c r="M462" s="891"/>
      <c r="N462" s="891"/>
      <c r="O462" s="891"/>
      <c r="P462" s="891"/>
      <c r="Q462" s="891"/>
      <c r="R462" s="891"/>
      <c r="S462" s="891"/>
      <c r="T462" s="891"/>
      <c r="U462" s="897"/>
      <c r="V462" s="1631">
        <f>U463+U465+U467</f>
        <v>1212.3690000000001</v>
      </c>
      <c r="W462" s="825">
        <v>254.13200000000001</v>
      </c>
      <c r="X462" s="55" t="s">
        <v>2460</v>
      </c>
      <c r="Y462" s="825">
        <v>537411.04</v>
      </c>
      <c r="Z462" s="825">
        <v>3515511.9589999998</v>
      </c>
      <c r="AA462" s="825"/>
    </row>
    <row r="463" spans="1:27">
      <c r="A463" s="891"/>
      <c r="B463" s="877"/>
      <c r="C463" s="877"/>
      <c r="D463" s="877">
        <v>396.91300000000001</v>
      </c>
      <c r="E463" s="1627"/>
      <c r="F463" s="821"/>
      <c r="G463" s="877"/>
      <c r="H463" s="877"/>
      <c r="I463" s="888"/>
      <c r="J463" s="891"/>
      <c r="K463" s="822"/>
      <c r="L463" s="877"/>
      <c r="M463" s="891"/>
      <c r="N463" s="891"/>
      <c r="O463" s="891"/>
      <c r="P463" s="891"/>
      <c r="Q463" s="891"/>
      <c r="R463" s="891"/>
      <c r="S463" s="891"/>
      <c r="T463" s="891"/>
      <c r="U463" s="912">
        <v>396.91399999999999</v>
      </c>
      <c r="V463" s="1631"/>
      <c r="W463" s="877"/>
      <c r="X463" s="822"/>
      <c r="Y463" s="877"/>
      <c r="Z463" s="877"/>
      <c r="AA463" s="877" t="s">
        <v>2481</v>
      </c>
    </row>
    <row r="464" spans="1:27">
      <c r="A464" s="889">
        <f>A462+1</f>
        <v>230</v>
      </c>
      <c r="B464" s="877" t="s">
        <v>2461</v>
      </c>
      <c r="C464" s="877" t="s">
        <v>62</v>
      </c>
      <c r="D464" s="877"/>
      <c r="E464" s="1627"/>
      <c r="F464" s="821"/>
      <c r="G464" s="826">
        <v>537356.68700000003</v>
      </c>
      <c r="H464" s="826">
        <v>3515118.7850000001</v>
      </c>
      <c r="I464" s="888"/>
      <c r="J464" s="889">
        <f>J462+1</f>
        <v>230</v>
      </c>
      <c r="K464" s="822" t="s">
        <v>2461</v>
      </c>
      <c r="L464" s="822" t="s">
        <v>62</v>
      </c>
      <c r="M464" s="891"/>
      <c r="N464" s="891"/>
      <c r="O464" s="891"/>
      <c r="P464" s="891"/>
      <c r="Q464" s="891"/>
      <c r="R464" s="891"/>
      <c r="S464" s="891"/>
      <c r="T464" s="891"/>
      <c r="U464" s="912"/>
      <c r="V464" s="1631"/>
      <c r="W464" s="826">
        <v>253.923</v>
      </c>
      <c r="X464" s="823"/>
      <c r="Y464" s="826">
        <v>537356.68700000003</v>
      </c>
      <c r="Z464" s="826">
        <v>3515118.7850000001</v>
      </c>
      <c r="AA464" s="826"/>
    </row>
    <row r="465" spans="1:27">
      <c r="A465" s="891"/>
      <c r="B465" s="877"/>
      <c r="C465" s="877"/>
      <c r="D465" s="877">
        <v>412.77600000000001</v>
      </c>
      <c r="E465" s="1627"/>
      <c r="F465" s="821"/>
      <c r="G465" s="877"/>
      <c r="H465" s="877"/>
      <c r="I465" s="888"/>
      <c r="J465" s="891"/>
      <c r="K465" s="822"/>
      <c r="L465" s="877"/>
      <c r="M465" s="891"/>
      <c r="N465" s="891"/>
      <c r="O465" s="891"/>
      <c r="P465" s="891"/>
      <c r="Q465" s="891"/>
      <c r="R465" s="891"/>
      <c r="S465" s="891"/>
      <c r="T465" s="891"/>
      <c r="U465" s="912">
        <v>412.76600000000002</v>
      </c>
      <c r="V465" s="1631"/>
      <c r="W465" s="877"/>
      <c r="X465" s="823"/>
      <c r="Y465" s="877"/>
      <c r="Z465" s="877"/>
      <c r="AA465" s="877" t="s">
        <v>2482</v>
      </c>
    </row>
    <row r="466" spans="1:27">
      <c r="A466" s="889">
        <f>A464+1</f>
        <v>231</v>
      </c>
      <c r="B466" s="877" t="s">
        <v>2462</v>
      </c>
      <c r="C466" s="877" t="s">
        <v>53</v>
      </c>
      <c r="D466" s="877"/>
      <c r="E466" s="1627"/>
      <c r="F466" s="821"/>
      <c r="G466" s="826">
        <v>537300.16299999994</v>
      </c>
      <c r="H466" s="826">
        <v>3514709.9070000001</v>
      </c>
      <c r="I466" s="888"/>
      <c r="J466" s="889">
        <f>J464+1</f>
        <v>231</v>
      </c>
      <c r="K466" s="822" t="s">
        <v>2462</v>
      </c>
      <c r="L466" s="822" t="s">
        <v>53</v>
      </c>
      <c r="M466" s="891"/>
      <c r="N466" s="891"/>
      <c r="O466" s="891"/>
      <c r="P466" s="891"/>
      <c r="Q466" s="891"/>
      <c r="R466" s="891"/>
      <c r="S466" s="891"/>
      <c r="T466" s="891"/>
      <c r="U466" s="912"/>
      <c r="V466" s="1631"/>
      <c r="W466" s="826">
        <v>253.78299999999999</v>
      </c>
      <c r="X466" s="823"/>
      <c r="Y466" s="826">
        <v>537300.16299999994</v>
      </c>
      <c r="Z466" s="826">
        <v>3514709.9070000001</v>
      </c>
      <c r="AA466" s="826"/>
    </row>
    <row r="467" spans="1:27">
      <c r="A467" s="891"/>
      <c r="B467" s="877"/>
      <c r="C467" s="877"/>
      <c r="D467" s="877">
        <v>402.69</v>
      </c>
      <c r="E467" s="1627"/>
      <c r="F467" s="821"/>
      <c r="G467" s="877"/>
      <c r="H467" s="877"/>
      <c r="I467" s="888"/>
      <c r="J467" s="891"/>
      <c r="K467" s="822"/>
      <c r="L467" s="877"/>
      <c r="M467" s="891"/>
      <c r="N467" s="891"/>
      <c r="O467" s="891"/>
      <c r="P467" s="891"/>
      <c r="Q467" s="891"/>
      <c r="R467" s="891"/>
      <c r="S467" s="891"/>
      <c r="T467" s="891"/>
      <c r="U467" s="912">
        <v>402.68900000000002</v>
      </c>
      <c r="V467" s="1631"/>
      <c r="W467" s="877"/>
      <c r="X467" s="823"/>
      <c r="Y467" s="877"/>
      <c r="Z467" s="877"/>
      <c r="AA467" s="877" t="s">
        <v>2483</v>
      </c>
    </row>
    <row r="468" spans="1:27">
      <c r="A468" s="889">
        <f>A466+1</f>
        <v>232</v>
      </c>
      <c r="B468" s="876" t="s">
        <v>2463</v>
      </c>
      <c r="C468" s="876" t="s">
        <v>1361</v>
      </c>
      <c r="D468" s="876"/>
      <c r="E468" s="1627">
        <v>1136.05</v>
      </c>
      <c r="F468" s="818" t="s">
        <v>2493</v>
      </c>
      <c r="G468" s="825">
        <v>537245.01800000004</v>
      </c>
      <c r="H468" s="825">
        <v>3514311.0109999999</v>
      </c>
      <c r="I468" s="888"/>
      <c r="J468" s="889">
        <f>J466+1</f>
        <v>232</v>
      </c>
      <c r="K468" s="55" t="s">
        <v>2463</v>
      </c>
      <c r="L468" s="55" t="s">
        <v>1361</v>
      </c>
      <c r="M468" s="891"/>
      <c r="N468" s="891"/>
      <c r="O468" s="891"/>
      <c r="P468" s="891"/>
      <c r="Q468" s="891"/>
      <c r="R468" s="891"/>
      <c r="S468" s="891"/>
      <c r="T468" s="891"/>
      <c r="U468" s="897"/>
      <c r="V468" s="1629">
        <f>U469+U471+U473</f>
        <v>1136.8589999999999</v>
      </c>
      <c r="W468" s="825">
        <v>253.607</v>
      </c>
      <c r="X468" s="55" t="s">
        <v>2484</v>
      </c>
      <c r="Y468" s="825">
        <v>537245.01800000004</v>
      </c>
      <c r="Z468" s="825">
        <v>3514311.0109999999</v>
      </c>
      <c r="AA468" s="825"/>
    </row>
    <row r="469" spans="1:27">
      <c r="A469" s="891"/>
      <c r="B469" s="877"/>
      <c r="C469" s="877"/>
      <c r="D469" s="877">
        <v>373.86599999999999</v>
      </c>
      <c r="E469" s="1627"/>
      <c r="F469" s="821"/>
      <c r="G469" s="877"/>
      <c r="H469" s="877"/>
      <c r="I469" s="888"/>
      <c r="J469" s="891"/>
      <c r="K469" s="822"/>
      <c r="L469" s="877"/>
      <c r="M469" s="891"/>
      <c r="N469" s="891"/>
      <c r="O469" s="891"/>
      <c r="P469" s="891"/>
      <c r="Q469" s="891"/>
      <c r="R469" s="891"/>
      <c r="S469" s="891"/>
      <c r="T469" s="891"/>
      <c r="U469" s="912">
        <v>374.13299999999998</v>
      </c>
      <c r="V469" s="1629"/>
      <c r="W469" s="877"/>
      <c r="X469" s="823"/>
      <c r="Y469" s="824"/>
      <c r="Z469" s="824"/>
      <c r="AA469" s="824" t="s">
        <v>2485</v>
      </c>
    </row>
    <row r="470" spans="1:27">
      <c r="A470" s="889">
        <f>A468+1</f>
        <v>233</v>
      </c>
      <c r="B470" s="877" t="s">
        <v>2464</v>
      </c>
      <c r="C470" s="877" t="s">
        <v>76</v>
      </c>
      <c r="D470" s="877"/>
      <c r="E470" s="1627"/>
      <c r="F470" s="821"/>
      <c r="G470" s="826">
        <v>537325.24399999995</v>
      </c>
      <c r="H470" s="826">
        <v>3513945.8539999998</v>
      </c>
      <c r="I470" s="888"/>
      <c r="J470" s="889">
        <f>J468+1</f>
        <v>233</v>
      </c>
      <c r="K470" s="822" t="s">
        <v>2464</v>
      </c>
      <c r="L470" s="822" t="s">
        <v>76</v>
      </c>
      <c r="M470" s="891"/>
      <c r="N470" s="891"/>
      <c r="O470" s="891"/>
      <c r="P470" s="891"/>
      <c r="Q470" s="891"/>
      <c r="R470" s="891"/>
      <c r="S470" s="891"/>
      <c r="T470" s="891"/>
      <c r="U470" s="912"/>
      <c r="V470" s="1629"/>
      <c r="W470" s="826">
        <v>253.477</v>
      </c>
      <c r="X470" s="823"/>
      <c r="Y470" s="824">
        <v>537320.478</v>
      </c>
      <c r="Z470" s="824">
        <v>3513944.5669999998</v>
      </c>
      <c r="AA470" s="824"/>
    </row>
    <row r="471" spans="1:27">
      <c r="A471" s="891"/>
      <c r="B471" s="877"/>
      <c r="C471" s="877"/>
      <c r="D471" s="877">
        <v>377.108</v>
      </c>
      <c r="E471" s="1627"/>
      <c r="F471" s="821"/>
      <c r="G471" s="877"/>
      <c r="H471" s="877"/>
      <c r="I471" s="888"/>
      <c r="J471" s="891"/>
      <c r="K471" s="822"/>
      <c r="L471" s="877"/>
      <c r="M471" s="891"/>
      <c r="N471" s="891"/>
      <c r="O471" s="891"/>
      <c r="P471" s="891"/>
      <c r="Q471" s="891"/>
      <c r="R471" s="891"/>
      <c r="S471" s="891"/>
      <c r="T471" s="891"/>
      <c r="U471" s="912">
        <v>377.37599999999998</v>
      </c>
      <c r="V471" s="1629"/>
      <c r="W471" s="877"/>
      <c r="X471" s="823"/>
      <c r="Y471" s="824"/>
      <c r="Z471" s="824" t="s">
        <v>1543</v>
      </c>
      <c r="AA471" s="824" t="s">
        <v>2486</v>
      </c>
    </row>
    <row r="472" spans="1:27">
      <c r="A472" s="889">
        <f>A470+1</f>
        <v>234</v>
      </c>
      <c r="B472" s="877" t="s">
        <v>2465</v>
      </c>
      <c r="C472" s="877" t="s">
        <v>76</v>
      </c>
      <c r="D472" s="877"/>
      <c r="E472" s="1627"/>
      <c r="F472" s="821"/>
      <c r="G472" s="826">
        <v>537406.16399999999</v>
      </c>
      <c r="H472" s="826">
        <v>3513577.53</v>
      </c>
      <c r="I472" s="888"/>
      <c r="J472" s="889">
        <f>J470+1</f>
        <v>234</v>
      </c>
      <c r="K472" s="822" t="s">
        <v>2465</v>
      </c>
      <c r="L472" s="822" t="s">
        <v>76</v>
      </c>
      <c r="M472" s="891"/>
      <c r="N472" s="891"/>
      <c r="O472" s="891"/>
      <c r="P472" s="891"/>
      <c r="Q472" s="891"/>
      <c r="R472" s="891"/>
      <c r="S472" s="891"/>
      <c r="T472" s="891"/>
      <c r="U472" s="912"/>
      <c r="V472" s="1629"/>
      <c r="W472" s="826">
        <v>253.35400000000001</v>
      </c>
      <c r="X472" s="823"/>
      <c r="Y472" s="824">
        <v>537396.59100000001</v>
      </c>
      <c r="Z472" s="824">
        <v>3513574.946</v>
      </c>
      <c r="AA472" s="824"/>
    </row>
    <row r="473" spans="1:27">
      <c r="A473" s="891"/>
      <c r="B473" s="877"/>
      <c r="C473" s="877"/>
      <c r="D473" s="877">
        <v>385.07600000000002</v>
      </c>
      <c r="E473" s="1627"/>
      <c r="F473" s="821"/>
      <c r="G473" s="877"/>
      <c r="H473" s="877"/>
      <c r="I473" s="888"/>
      <c r="J473" s="891"/>
      <c r="K473" s="822"/>
      <c r="L473" s="877"/>
      <c r="M473" s="891"/>
      <c r="N473" s="891"/>
      <c r="O473" s="891"/>
      <c r="P473" s="891"/>
      <c r="Q473" s="891"/>
      <c r="R473" s="891"/>
      <c r="S473" s="891"/>
      <c r="T473" s="891"/>
      <c r="U473" s="912">
        <v>385.35</v>
      </c>
      <c r="V473" s="1629"/>
      <c r="W473" s="877"/>
      <c r="X473" s="823"/>
      <c r="Y473" s="824"/>
      <c r="Z473" s="824"/>
      <c r="AA473" s="824" t="s">
        <v>2487</v>
      </c>
    </row>
    <row r="474" spans="1:27" ht="30">
      <c r="A474" s="889">
        <f>A472+1</f>
        <v>235</v>
      </c>
      <c r="B474" s="876" t="s">
        <v>2494</v>
      </c>
      <c r="C474" s="876" t="s">
        <v>1269</v>
      </c>
      <c r="D474" s="876"/>
      <c r="E474" s="1630">
        <v>753.4</v>
      </c>
      <c r="F474" s="818" t="s">
        <v>2495</v>
      </c>
      <c r="G474" s="876">
        <v>537488.79500000004</v>
      </c>
      <c r="H474" s="876">
        <v>3513201.4240000001</v>
      </c>
      <c r="I474" s="888"/>
      <c r="J474" s="889">
        <f>J472+1</f>
        <v>235</v>
      </c>
      <c r="K474" s="55" t="s">
        <v>2466</v>
      </c>
      <c r="L474" s="876" t="s">
        <v>1269</v>
      </c>
      <c r="M474" s="891"/>
      <c r="N474" s="891"/>
      <c r="O474" s="891"/>
      <c r="P474" s="891"/>
      <c r="Q474" s="891"/>
      <c r="R474" s="891"/>
      <c r="S474" s="891"/>
      <c r="T474" s="891"/>
      <c r="U474" s="897"/>
      <c r="V474" s="1629">
        <f>U475+U477</f>
        <v>753.54600000000005</v>
      </c>
      <c r="W474" s="876">
        <v>253.22900000000001</v>
      </c>
      <c r="X474" s="55" t="s">
        <v>2488</v>
      </c>
      <c r="Y474" s="757">
        <v>537474.31299999997</v>
      </c>
      <c r="Z474" s="757">
        <v>3513197.5159999998</v>
      </c>
      <c r="AA474" s="824" t="s">
        <v>2489</v>
      </c>
    </row>
    <row r="475" spans="1:27">
      <c r="A475" s="891"/>
      <c r="B475" s="877"/>
      <c r="C475" s="877"/>
      <c r="D475" s="877">
        <v>395.17200000000003</v>
      </c>
      <c r="E475" s="1630"/>
      <c r="F475" s="821"/>
      <c r="G475" s="877"/>
      <c r="H475" s="877"/>
      <c r="I475" s="888"/>
      <c r="J475" s="891"/>
      <c r="K475" s="822"/>
      <c r="L475" s="877"/>
      <c r="M475" s="891"/>
      <c r="N475" s="891"/>
      <c r="O475" s="891"/>
      <c r="P475" s="891"/>
      <c r="Q475" s="891"/>
      <c r="R475" s="891"/>
      <c r="S475" s="891"/>
      <c r="T475" s="891"/>
      <c r="U475" s="912">
        <v>395.25</v>
      </c>
      <c r="V475" s="1629"/>
      <c r="W475" s="877"/>
      <c r="X475" s="823"/>
      <c r="Y475" s="824"/>
      <c r="Z475" s="824"/>
      <c r="AA475" s="824" t="s">
        <v>2490</v>
      </c>
    </row>
    <row r="476" spans="1:27">
      <c r="A476" s="889">
        <f>A474+1</f>
        <v>236</v>
      </c>
      <c r="B476" s="877" t="s">
        <v>2467</v>
      </c>
      <c r="C476" s="877" t="s">
        <v>62</v>
      </c>
      <c r="D476" s="877"/>
      <c r="E476" s="1630"/>
      <c r="F476" s="821"/>
      <c r="G476" s="877">
        <v>537591.74800000002</v>
      </c>
      <c r="H476" s="877">
        <v>3512819.8990000002</v>
      </c>
      <c r="I476" s="888"/>
      <c r="J476" s="889">
        <f>J474+1</f>
        <v>236</v>
      </c>
      <c r="K476" s="822" t="s">
        <v>2467</v>
      </c>
      <c r="L476" s="877" t="s">
        <v>62</v>
      </c>
      <c r="M476" s="891"/>
      <c r="N476" s="891"/>
      <c r="O476" s="891"/>
      <c r="P476" s="891"/>
      <c r="Q476" s="891"/>
      <c r="R476" s="891"/>
      <c r="S476" s="891"/>
      <c r="T476" s="891"/>
      <c r="U476" s="912"/>
      <c r="V476" s="1629"/>
      <c r="W476" s="877">
        <v>254.136</v>
      </c>
      <c r="X476" s="823"/>
      <c r="Y476" s="824">
        <v>537584.94099999999</v>
      </c>
      <c r="Z476" s="824">
        <v>3512817.7719999999</v>
      </c>
      <c r="AA476" s="824"/>
    </row>
    <row r="477" spans="1:27">
      <c r="A477" s="891"/>
      <c r="B477" s="877"/>
      <c r="C477" s="877"/>
      <c r="D477" s="877">
        <v>358.22500000000002</v>
      </c>
      <c r="E477" s="1630"/>
      <c r="F477" s="761"/>
      <c r="G477" s="826"/>
      <c r="H477" s="826"/>
      <c r="I477" s="888"/>
      <c r="J477" s="891"/>
      <c r="K477" s="822"/>
      <c r="L477" s="822"/>
      <c r="M477" s="891"/>
      <c r="N477" s="891"/>
      <c r="O477" s="891"/>
      <c r="P477" s="891"/>
      <c r="Q477" s="891"/>
      <c r="R477" s="891"/>
      <c r="S477" s="891"/>
      <c r="T477" s="891"/>
      <c r="U477" s="912">
        <v>358.29599999999999</v>
      </c>
      <c r="V477" s="1629"/>
      <c r="W477" s="826"/>
      <c r="X477" s="823"/>
      <c r="Y477" s="824"/>
      <c r="Z477" s="824"/>
      <c r="AA477" s="824" t="s">
        <v>2491</v>
      </c>
    </row>
    <row r="478" spans="1:27">
      <c r="A478" s="889">
        <f>A476+1</f>
        <v>237</v>
      </c>
      <c r="B478" s="877" t="s">
        <v>2496</v>
      </c>
      <c r="C478" s="877" t="s">
        <v>1319</v>
      </c>
      <c r="D478" s="877"/>
      <c r="E478" s="1630"/>
      <c r="F478" s="818" t="s">
        <v>2497</v>
      </c>
      <c r="G478" s="822">
        <v>537685.70600000001</v>
      </c>
      <c r="H478" s="823">
        <v>3512474.0449999999</v>
      </c>
      <c r="I478" s="888"/>
      <c r="J478" s="889">
        <f>J476+1</f>
        <v>237</v>
      </c>
      <c r="K478" s="822" t="s">
        <v>2468</v>
      </c>
      <c r="L478" s="822" t="s">
        <v>1319</v>
      </c>
      <c r="M478" s="891"/>
      <c r="N478" s="891"/>
      <c r="O478" s="891"/>
      <c r="P478" s="891"/>
      <c r="Q478" s="891"/>
      <c r="R478" s="891"/>
      <c r="S478" s="891"/>
      <c r="T478" s="891"/>
      <c r="U478" s="824"/>
      <c r="V478" s="824"/>
      <c r="W478" s="822">
        <v>253.947</v>
      </c>
      <c r="X478" s="55" t="s">
        <v>2492</v>
      </c>
      <c r="Y478" s="824">
        <v>537685.076</v>
      </c>
      <c r="Z478" s="824">
        <v>3512474.0449999999</v>
      </c>
      <c r="AA478" s="824"/>
    </row>
    <row r="479" spans="1:27" ht="8.1" customHeight="1">
      <c r="A479" s="907" t="s">
        <v>2627</v>
      </c>
      <c r="B479" s="907"/>
      <c r="C479" s="908"/>
      <c r="D479" s="908"/>
      <c r="E479" s="907"/>
      <c r="F479" s="907"/>
      <c r="G479" s="907"/>
      <c r="H479" s="907"/>
      <c r="I479" s="907"/>
      <c r="J479" s="907"/>
      <c r="K479" s="907"/>
      <c r="L479" s="907"/>
      <c r="M479" s="907"/>
      <c r="N479" s="907"/>
      <c r="O479" s="907"/>
      <c r="P479" s="907"/>
      <c r="Q479" s="907"/>
      <c r="R479" s="907"/>
      <c r="S479" s="907"/>
      <c r="T479" s="907"/>
      <c r="U479" s="909"/>
      <c r="V479" s="907"/>
      <c r="W479" s="907"/>
      <c r="X479" s="907"/>
      <c r="Y479" s="907"/>
      <c r="Z479" s="907"/>
      <c r="AA479" s="910"/>
    </row>
    <row r="480" spans="1:27" s="886" customFormat="1">
      <c r="A480" s="914">
        <f>A478+1</f>
        <v>238</v>
      </c>
      <c r="B480" s="822" t="s">
        <v>2498</v>
      </c>
      <c r="C480" s="822" t="s">
        <v>1277</v>
      </c>
      <c r="D480" s="826"/>
      <c r="E480" s="1626">
        <f>D481+D483+D485+D487+D489+D491+D493</f>
        <v>2841.9870000000001</v>
      </c>
      <c r="F480" s="833" t="s">
        <v>2499</v>
      </c>
      <c r="G480" s="826">
        <v>538168.00899999996</v>
      </c>
      <c r="H480" s="826">
        <v>3509218.148</v>
      </c>
      <c r="I480" s="831"/>
      <c r="J480" s="914">
        <f>J478+1</f>
        <v>238</v>
      </c>
      <c r="K480" s="822" t="s">
        <v>2498</v>
      </c>
      <c r="L480" s="822" t="s">
        <v>1277</v>
      </c>
      <c r="M480" s="893"/>
      <c r="N480" s="893"/>
      <c r="O480" s="893"/>
      <c r="P480" s="893"/>
      <c r="Q480" s="893"/>
      <c r="R480" s="893"/>
      <c r="S480" s="893"/>
      <c r="T480" s="893"/>
      <c r="U480" s="912"/>
      <c r="V480" s="1628">
        <f>U481+U483+U485+U487+U489+U491+U493</f>
        <v>2841.9879999999998</v>
      </c>
      <c r="W480" s="826">
        <v>252.715</v>
      </c>
      <c r="X480" s="761" t="s">
        <v>2499</v>
      </c>
      <c r="Y480" s="826">
        <v>538168.00899999996</v>
      </c>
      <c r="Z480" s="826">
        <v>3509218.148</v>
      </c>
      <c r="AA480" s="826"/>
    </row>
    <row r="481" spans="1:27" s="886" customFormat="1">
      <c r="A481" s="893"/>
      <c r="B481" s="880"/>
      <c r="C481" s="876"/>
      <c r="D481" s="880">
        <v>407.94499999999999</v>
      </c>
      <c r="E481" s="1626"/>
      <c r="F481" s="833"/>
      <c r="G481" s="876"/>
      <c r="H481" s="876"/>
      <c r="I481" s="915"/>
      <c r="J481" s="893"/>
      <c r="K481" s="880"/>
      <c r="L481" s="876"/>
      <c r="M481" s="893"/>
      <c r="N481" s="893"/>
      <c r="O481" s="893"/>
      <c r="P481" s="893"/>
      <c r="Q481" s="893"/>
      <c r="R481" s="893"/>
      <c r="S481" s="893"/>
      <c r="T481" s="893"/>
      <c r="U481" s="897">
        <v>407.94600000000003</v>
      </c>
      <c r="V481" s="1628"/>
      <c r="W481" s="877"/>
      <c r="X481" s="911"/>
      <c r="Y481" s="876"/>
      <c r="Z481" s="876"/>
      <c r="AA481" s="822" t="s">
        <v>2527</v>
      </c>
    </row>
    <row r="482" spans="1:27" s="886" customFormat="1">
      <c r="A482" s="914">
        <f>A480+1</f>
        <v>239</v>
      </c>
      <c r="B482" s="822" t="s">
        <v>2500</v>
      </c>
      <c r="C482" s="822" t="s">
        <v>62</v>
      </c>
      <c r="D482" s="828"/>
      <c r="E482" s="1626"/>
      <c r="F482" s="833"/>
      <c r="G482" s="825">
        <v>538287.402</v>
      </c>
      <c r="H482" s="825">
        <v>3508828.0649999999</v>
      </c>
      <c r="I482" s="832"/>
      <c r="J482" s="914">
        <f>J480+1</f>
        <v>239</v>
      </c>
      <c r="K482" s="822" t="s">
        <v>2500</v>
      </c>
      <c r="L482" s="822" t="s">
        <v>62</v>
      </c>
      <c r="M482" s="893"/>
      <c r="N482" s="893"/>
      <c r="O482" s="893"/>
      <c r="P482" s="893"/>
      <c r="Q482" s="893"/>
      <c r="R482" s="893"/>
      <c r="S482" s="893"/>
      <c r="T482" s="893"/>
      <c r="U482" s="825"/>
      <c r="V482" s="1628"/>
      <c r="W482" s="826">
        <v>253.285</v>
      </c>
      <c r="X482" s="911"/>
      <c r="Y482" s="825">
        <v>538287.402</v>
      </c>
      <c r="Z482" s="825">
        <v>3508828.0649999999</v>
      </c>
      <c r="AA482" s="826"/>
    </row>
    <row r="483" spans="1:27" s="886" customFormat="1">
      <c r="A483" s="893"/>
      <c r="B483" s="880"/>
      <c r="C483" s="876"/>
      <c r="D483" s="880">
        <v>429.84699999999998</v>
      </c>
      <c r="E483" s="1626"/>
      <c r="F483" s="833"/>
      <c r="G483" s="876"/>
      <c r="H483" s="876"/>
      <c r="I483" s="915"/>
      <c r="J483" s="893"/>
      <c r="K483" s="880"/>
      <c r="L483" s="876"/>
      <c r="M483" s="893"/>
      <c r="N483" s="893"/>
      <c r="O483" s="893"/>
      <c r="P483" s="893"/>
      <c r="Q483" s="893"/>
      <c r="R483" s="893"/>
      <c r="S483" s="893"/>
      <c r="T483" s="893"/>
      <c r="U483" s="897">
        <v>429.84699999999998</v>
      </c>
      <c r="V483" s="1628"/>
      <c r="W483" s="877"/>
      <c r="X483" s="911"/>
      <c r="Y483" s="876"/>
      <c r="Z483" s="876"/>
      <c r="AA483" s="877" t="s">
        <v>2477</v>
      </c>
    </row>
    <row r="484" spans="1:27" s="886" customFormat="1">
      <c r="A484" s="914">
        <f>A482+1</f>
        <v>240</v>
      </c>
      <c r="B484" s="822" t="s">
        <v>2501</v>
      </c>
      <c r="C484" s="822" t="s">
        <v>62</v>
      </c>
      <c r="D484" s="825"/>
      <c r="E484" s="1626"/>
      <c r="F484" s="833"/>
      <c r="G484" s="825">
        <v>538413.20499999996</v>
      </c>
      <c r="H484" s="825">
        <v>3508417.0389999999</v>
      </c>
      <c r="I484" s="832"/>
      <c r="J484" s="914">
        <f>J482+1</f>
        <v>240</v>
      </c>
      <c r="K484" s="822" t="s">
        <v>2501</v>
      </c>
      <c r="L484" s="822" t="s">
        <v>62</v>
      </c>
      <c r="M484" s="893"/>
      <c r="N484" s="893"/>
      <c r="O484" s="893"/>
      <c r="P484" s="893"/>
      <c r="Q484" s="893"/>
      <c r="R484" s="893"/>
      <c r="S484" s="893"/>
      <c r="T484" s="893"/>
      <c r="U484" s="825"/>
      <c r="V484" s="1628"/>
      <c r="W484" s="825">
        <v>252.58099999999999</v>
      </c>
      <c r="X484" s="818"/>
      <c r="Y484" s="825">
        <v>538413.20499999996</v>
      </c>
      <c r="Z484" s="825">
        <v>3508417.0389999999</v>
      </c>
      <c r="AA484" s="825"/>
    </row>
    <row r="485" spans="1:27" s="886" customFormat="1">
      <c r="A485" s="893"/>
      <c r="B485" s="880"/>
      <c r="C485" s="876"/>
      <c r="D485" s="880">
        <v>407.77800000000002</v>
      </c>
      <c r="E485" s="1626"/>
      <c r="F485" s="833"/>
      <c r="G485" s="876"/>
      <c r="H485" s="876"/>
      <c r="I485" s="915"/>
      <c r="J485" s="893"/>
      <c r="K485" s="880"/>
      <c r="L485" s="876"/>
      <c r="M485" s="893"/>
      <c r="N485" s="893"/>
      <c r="O485" s="893"/>
      <c r="P485" s="893"/>
      <c r="Q485" s="893"/>
      <c r="R485" s="893"/>
      <c r="S485" s="893"/>
      <c r="T485" s="893"/>
      <c r="U485" s="897">
        <v>407.77800000000002</v>
      </c>
      <c r="V485" s="1628"/>
      <c r="W485" s="877"/>
      <c r="X485" s="911"/>
      <c r="Y485" s="876"/>
      <c r="Z485" s="876"/>
      <c r="AA485" s="877" t="s">
        <v>2475</v>
      </c>
    </row>
    <row r="486" spans="1:27" s="886" customFormat="1">
      <c r="A486" s="914">
        <f>A484+1</f>
        <v>241</v>
      </c>
      <c r="B486" s="822" t="s">
        <v>2502</v>
      </c>
      <c r="C486" s="822" t="s">
        <v>62</v>
      </c>
      <c r="D486" s="825"/>
      <c r="E486" s="1626"/>
      <c r="F486" s="833"/>
      <c r="G486" s="825">
        <v>538532.549</v>
      </c>
      <c r="H486" s="825">
        <v>3508027.1159999999</v>
      </c>
      <c r="I486" s="832"/>
      <c r="J486" s="914">
        <f>J484+1</f>
        <v>241</v>
      </c>
      <c r="K486" s="822" t="s">
        <v>2502</v>
      </c>
      <c r="L486" s="822" t="s">
        <v>62</v>
      </c>
      <c r="M486" s="893"/>
      <c r="N486" s="893"/>
      <c r="O486" s="893"/>
      <c r="P486" s="893"/>
      <c r="Q486" s="893"/>
      <c r="R486" s="893"/>
      <c r="S486" s="893"/>
      <c r="T486" s="893"/>
      <c r="U486" s="825"/>
      <c r="V486" s="1628"/>
      <c r="W486" s="826">
        <v>253.64099999999999</v>
      </c>
      <c r="X486" s="911"/>
      <c r="Y486" s="825">
        <v>538532.549</v>
      </c>
      <c r="Z486" s="825">
        <v>3508027.1159999999</v>
      </c>
      <c r="AA486" s="826"/>
    </row>
    <row r="487" spans="1:27" s="886" customFormat="1">
      <c r="A487" s="893"/>
      <c r="B487" s="880"/>
      <c r="C487" s="876"/>
      <c r="D487" s="880">
        <v>416.733</v>
      </c>
      <c r="E487" s="1626"/>
      <c r="F487" s="833"/>
      <c r="G487" s="876"/>
      <c r="H487" s="876"/>
      <c r="I487" s="915"/>
      <c r="J487" s="893"/>
      <c r="K487" s="880"/>
      <c r="L487" s="876"/>
      <c r="M487" s="893"/>
      <c r="N487" s="893"/>
      <c r="O487" s="893"/>
      <c r="P487" s="893"/>
      <c r="Q487" s="893"/>
      <c r="R487" s="893"/>
      <c r="S487" s="893"/>
      <c r="T487" s="893"/>
      <c r="U487" s="897">
        <v>416.733</v>
      </c>
      <c r="V487" s="1628"/>
      <c r="W487" s="877"/>
      <c r="X487" s="911"/>
      <c r="Y487" s="876"/>
      <c r="Z487" s="876"/>
      <c r="AA487" s="877" t="s">
        <v>2528</v>
      </c>
    </row>
    <row r="488" spans="1:27" s="886" customFormat="1">
      <c r="A488" s="914">
        <f>A486+1</f>
        <v>242</v>
      </c>
      <c r="B488" s="822" t="s">
        <v>2503</v>
      </c>
      <c r="C488" s="822" t="s">
        <v>76</v>
      </c>
      <c r="D488" s="825"/>
      <c r="E488" s="1626"/>
      <c r="F488" s="833"/>
      <c r="G488" s="825">
        <v>538654.51300000004</v>
      </c>
      <c r="H488" s="825">
        <v>3507628.63</v>
      </c>
      <c r="I488" s="832"/>
      <c r="J488" s="914">
        <f>J486+1</f>
        <v>242</v>
      </c>
      <c r="K488" s="822" t="s">
        <v>2503</v>
      </c>
      <c r="L488" s="822" t="s">
        <v>76</v>
      </c>
      <c r="M488" s="893"/>
      <c r="N488" s="893"/>
      <c r="O488" s="893"/>
      <c r="P488" s="893"/>
      <c r="Q488" s="893"/>
      <c r="R488" s="893"/>
      <c r="S488" s="893"/>
      <c r="T488" s="893"/>
      <c r="U488" s="825"/>
      <c r="V488" s="1628"/>
      <c r="W488" s="825">
        <v>251.63800000000001</v>
      </c>
      <c r="X488" s="818"/>
      <c r="Y488" s="825">
        <v>538654.51300000004</v>
      </c>
      <c r="Z488" s="825">
        <v>3507628.63</v>
      </c>
      <c r="AA488" s="825"/>
    </row>
    <row r="489" spans="1:27" s="886" customFormat="1">
      <c r="A489" s="893"/>
      <c r="B489" s="880"/>
      <c r="C489" s="876"/>
      <c r="D489" s="880">
        <v>421.34500000000003</v>
      </c>
      <c r="E489" s="1626"/>
      <c r="F489" s="833"/>
      <c r="G489" s="876"/>
      <c r="H489" s="876"/>
      <c r="I489" s="915"/>
      <c r="J489" s="893"/>
      <c r="K489" s="880"/>
      <c r="L489" s="876"/>
      <c r="M489" s="893"/>
      <c r="N489" s="893"/>
      <c r="O489" s="893"/>
      <c r="P489" s="893"/>
      <c r="Q489" s="893"/>
      <c r="R489" s="893"/>
      <c r="S489" s="893"/>
      <c r="T489" s="893"/>
      <c r="U489" s="897">
        <v>421.34500000000003</v>
      </c>
      <c r="V489" s="1628"/>
      <c r="W489" s="877"/>
      <c r="X489" s="911"/>
      <c r="Y489" s="876"/>
      <c r="Z489" s="876"/>
      <c r="AA489" s="877" t="s">
        <v>2529</v>
      </c>
    </row>
    <row r="490" spans="1:27" s="886" customFormat="1">
      <c r="A490" s="914">
        <f>A488+1</f>
        <v>243</v>
      </c>
      <c r="B490" s="822" t="s">
        <v>2504</v>
      </c>
      <c r="C490" s="822" t="s">
        <v>62</v>
      </c>
      <c r="D490" s="825"/>
      <c r="E490" s="1626"/>
      <c r="F490" s="833"/>
      <c r="G490" s="825">
        <v>538777.82799999998</v>
      </c>
      <c r="H490" s="825">
        <v>3507225.7340000002</v>
      </c>
      <c r="I490" s="832"/>
      <c r="J490" s="914">
        <f>J488+1</f>
        <v>243</v>
      </c>
      <c r="K490" s="822" t="s">
        <v>2504</v>
      </c>
      <c r="L490" s="822" t="s">
        <v>62</v>
      </c>
      <c r="M490" s="893"/>
      <c r="N490" s="893"/>
      <c r="O490" s="893"/>
      <c r="P490" s="893"/>
      <c r="Q490" s="893"/>
      <c r="R490" s="893"/>
      <c r="S490" s="893"/>
      <c r="T490" s="893"/>
      <c r="U490" s="825"/>
      <c r="V490" s="1628"/>
      <c r="W490" s="826">
        <v>250.84899999999999</v>
      </c>
      <c r="X490" s="911"/>
      <c r="Y490" s="825">
        <v>538777.82799999998</v>
      </c>
      <c r="Z490" s="825">
        <v>3507225.7340000002</v>
      </c>
      <c r="AA490" s="826"/>
    </row>
    <row r="491" spans="1:27" s="886" customFormat="1">
      <c r="A491" s="893"/>
      <c r="B491" s="880"/>
      <c r="C491" s="876"/>
      <c r="D491" s="880">
        <v>385.64</v>
      </c>
      <c r="E491" s="1626"/>
      <c r="F491" s="833"/>
      <c r="G491" s="876"/>
      <c r="H491" s="876"/>
      <c r="I491" s="915"/>
      <c r="J491" s="893"/>
      <c r="K491" s="880"/>
      <c r="L491" s="876"/>
      <c r="M491" s="893"/>
      <c r="N491" s="893"/>
      <c r="O491" s="893"/>
      <c r="P491" s="893"/>
      <c r="Q491" s="893"/>
      <c r="R491" s="893"/>
      <c r="S491" s="893"/>
      <c r="T491" s="893"/>
      <c r="U491" s="897">
        <v>385.64</v>
      </c>
      <c r="V491" s="1628"/>
      <c r="W491" s="877"/>
      <c r="X491" s="911"/>
      <c r="Y491" s="876"/>
      <c r="Z491" s="876"/>
      <c r="AA491" s="877" t="s">
        <v>2474</v>
      </c>
    </row>
    <row r="492" spans="1:27" s="886" customFormat="1">
      <c r="A492" s="914">
        <f>A490+1</f>
        <v>244</v>
      </c>
      <c r="B492" s="822" t="s">
        <v>2505</v>
      </c>
      <c r="C492" s="822" t="s">
        <v>76</v>
      </c>
      <c r="D492" s="825"/>
      <c r="E492" s="1626"/>
      <c r="F492" s="833"/>
      <c r="G492" s="826">
        <v>538890.69299999997</v>
      </c>
      <c r="H492" s="826">
        <v>3506856.98</v>
      </c>
      <c r="I492" s="831"/>
      <c r="J492" s="914">
        <f>J490+1</f>
        <v>244</v>
      </c>
      <c r="K492" s="822" t="s">
        <v>2505</v>
      </c>
      <c r="L492" s="822" t="s">
        <v>76</v>
      </c>
      <c r="M492" s="893"/>
      <c r="N492" s="893"/>
      <c r="O492" s="893"/>
      <c r="P492" s="893"/>
      <c r="Q492" s="893"/>
      <c r="R492" s="893"/>
      <c r="S492" s="893"/>
      <c r="T492" s="893"/>
      <c r="U492" s="825"/>
      <c r="V492" s="1628"/>
      <c r="W492" s="826">
        <v>249.36</v>
      </c>
      <c r="X492" s="911"/>
      <c r="Y492" s="826">
        <v>538890.69299999997</v>
      </c>
      <c r="Z492" s="826">
        <v>3506856.98</v>
      </c>
      <c r="AA492" s="826"/>
    </row>
    <row r="493" spans="1:27" s="886" customFormat="1">
      <c r="A493" s="893"/>
      <c r="B493" s="880"/>
      <c r="C493" s="876"/>
      <c r="D493" s="880">
        <v>372.69900000000001</v>
      </c>
      <c r="E493" s="1626"/>
      <c r="F493" s="833"/>
      <c r="G493" s="876"/>
      <c r="H493" s="876"/>
      <c r="I493" s="915"/>
      <c r="J493" s="893"/>
      <c r="K493" s="880"/>
      <c r="L493" s="876"/>
      <c r="M493" s="893"/>
      <c r="N493" s="893"/>
      <c r="O493" s="893"/>
      <c r="P493" s="893"/>
      <c r="Q493" s="893"/>
      <c r="R493" s="893"/>
      <c r="S493" s="893"/>
      <c r="T493" s="893"/>
      <c r="U493" s="897">
        <v>372.69900000000001</v>
      </c>
      <c r="V493" s="1628"/>
      <c r="W493" s="877"/>
      <c r="X493" s="911"/>
      <c r="Y493" s="876"/>
      <c r="Z493" s="876"/>
      <c r="AA493" s="877" t="s">
        <v>2470</v>
      </c>
    </row>
    <row r="494" spans="1:27" s="886" customFormat="1" ht="45">
      <c r="A494" s="914">
        <f>A492+1</f>
        <v>245</v>
      </c>
      <c r="B494" s="55" t="s">
        <v>2506</v>
      </c>
      <c r="C494" s="822" t="s">
        <v>2583</v>
      </c>
      <c r="D494" s="828"/>
      <c r="E494" s="916"/>
      <c r="F494" s="834" t="s">
        <v>2507</v>
      </c>
      <c r="G494" s="825">
        <v>538999.77</v>
      </c>
      <c r="H494" s="825">
        <v>3506500.6</v>
      </c>
      <c r="I494" s="917"/>
      <c r="J494" s="914">
        <f>J492+1</f>
        <v>245</v>
      </c>
      <c r="K494" s="55" t="s">
        <v>2506</v>
      </c>
      <c r="L494" s="55" t="s">
        <v>1402</v>
      </c>
      <c r="M494" s="914">
        <v>1.5</v>
      </c>
      <c r="N494" s="914">
        <v>1.5</v>
      </c>
      <c r="O494" s="914">
        <v>1.5</v>
      </c>
      <c r="P494" s="914">
        <v>1.5</v>
      </c>
      <c r="Q494" s="893"/>
      <c r="R494" s="893"/>
      <c r="S494" s="893"/>
      <c r="T494" s="893"/>
      <c r="U494" s="825"/>
      <c r="V494" s="827"/>
      <c r="W494" s="825">
        <v>250.43</v>
      </c>
      <c r="X494" s="818" t="s">
        <v>2507</v>
      </c>
      <c r="Y494" s="825">
        <v>538999.77</v>
      </c>
      <c r="Z494" s="825">
        <v>3506500.6</v>
      </c>
      <c r="AA494" s="825"/>
    </row>
    <row r="495" spans="1:27" s="886" customFormat="1">
      <c r="A495" s="893"/>
      <c r="B495" s="880"/>
      <c r="C495" s="876"/>
      <c r="D495" s="880">
        <v>407.91199999999998</v>
      </c>
      <c r="E495" s="1626">
        <v>816.077</v>
      </c>
      <c r="F495" s="834"/>
      <c r="G495" s="876"/>
      <c r="H495" s="876"/>
      <c r="I495" s="917"/>
      <c r="J495" s="893"/>
      <c r="K495" s="880"/>
      <c r="L495" s="876"/>
      <c r="M495" s="893"/>
      <c r="N495" s="893"/>
      <c r="O495" s="893"/>
      <c r="P495" s="893"/>
      <c r="Q495" s="893"/>
      <c r="R495" s="893"/>
      <c r="S495" s="893"/>
      <c r="T495" s="893"/>
      <c r="U495" s="897">
        <v>407.91199999999998</v>
      </c>
      <c r="V495" s="1628">
        <v>816.077</v>
      </c>
      <c r="W495" s="877"/>
      <c r="X495" s="911"/>
      <c r="Y495" s="876"/>
      <c r="Z495" s="876"/>
      <c r="AA495" s="877" t="s">
        <v>2539</v>
      </c>
    </row>
    <row r="496" spans="1:27" s="886" customFormat="1">
      <c r="A496" s="914">
        <f>A494+1</f>
        <v>246</v>
      </c>
      <c r="B496" s="822" t="s">
        <v>2508</v>
      </c>
      <c r="C496" s="822" t="s">
        <v>62</v>
      </c>
      <c r="D496" s="826"/>
      <c r="E496" s="1626"/>
      <c r="F496" s="834"/>
      <c r="G496" s="825">
        <v>538919.42500000005</v>
      </c>
      <c r="H496" s="825">
        <v>3506100.679</v>
      </c>
      <c r="I496" s="917"/>
      <c r="J496" s="914">
        <f>J494+1</f>
        <v>246</v>
      </c>
      <c r="K496" s="822" t="s">
        <v>2508</v>
      </c>
      <c r="L496" s="822" t="s">
        <v>62</v>
      </c>
      <c r="M496" s="893"/>
      <c r="N496" s="893"/>
      <c r="O496" s="893"/>
      <c r="P496" s="893"/>
      <c r="Q496" s="893"/>
      <c r="R496" s="893"/>
      <c r="S496" s="893"/>
      <c r="T496" s="893"/>
      <c r="U496" s="826"/>
      <c r="V496" s="1628"/>
      <c r="W496" s="825">
        <v>250.22</v>
      </c>
      <c r="X496" s="818"/>
      <c r="Y496" s="825">
        <v>538919.42500000005</v>
      </c>
      <c r="Z496" s="825">
        <v>3506100.679</v>
      </c>
      <c r="AA496" s="825"/>
    </row>
    <row r="497" spans="1:27" s="886" customFormat="1">
      <c r="A497" s="893"/>
      <c r="B497" s="880"/>
      <c r="C497" s="876"/>
      <c r="D497" s="880">
        <v>408.16500000000002</v>
      </c>
      <c r="E497" s="1626"/>
      <c r="F497" s="834"/>
      <c r="G497" s="876"/>
      <c r="H497" s="876"/>
      <c r="I497" s="917"/>
      <c r="J497" s="893"/>
      <c r="K497" s="880"/>
      <c r="L497" s="876"/>
      <c r="M497" s="893"/>
      <c r="N497" s="893"/>
      <c r="O497" s="893"/>
      <c r="P497" s="893"/>
      <c r="Q497" s="893"/>
      <c r="R497" s="893"/>
      <c r="S497" s="893"/>
      <c r="T497" s="893"/>
      <c r="U497" s="897">
        <v>408.16500000000002</v>
      </c>
      <c r="V497" s="1628"/>
      <c r="W497" s="877"/>
      <c r="X497" s="911"/>
      <c r="Y497" s="876"/>
      <c r="Z497" s="876"/>
      <c r="AA497" s="877" t="s">
        <v>2540</v>
      </c>
    </row>
    <row r="498" spans="1:27" s="886" customFormat="1">
      <c r="A498" s="914">
        <f>A496+1</f>
        <v>247</v>
      </c>
      <c r="B498" s="55" t="s">
        <v>2509</v>
      </c>
      <c r="C498" s="55" t="s">
        <v>1402</v>
      </c>
      <c r="D498" s="825"/>
      <c r="E498" s="1626">
        <f>D499</f>
        <v>227.36600000000001</v>
      </c>
      <c r="F498" s="818" t="s">
        <v>2510</v>
      </c>
      <c r="G498" s="825">
        <v>538839.02899999998</v>
      </c>
      <c r="H498" s="825">
        <v>3505700.51</v>
      </c>
      <c r="I498" s="917"/>
      <c r="J498" s="914">
        <f>J496+1</f>
        <v>247</v>
      </c>
      <c r="K498" s="55" t="s">
        <v>2509</v>
      </c>
      <c r="L498" s="55" t="s">
        <v>1935</v>
      </c>
      <c r="M498" s="893"/>
      <c r="N498" s="893"/>
      <c r="O498" s="893"/>
      <c r="P498" s="893"/>
      <c r="Q498" s="893"/>
      <c r="R498" s="893"/>
      <c r="S498" s="893"/>
      <c r="T498" s="893"/>
      <c r="U498" s="825"/>
      <c r="V498" s="1628"/>
      <c r="W498" s="825">
        <v>249.72</v>
      </c>
      <c r="X498" s="818" t="s">
        <v>2510</v>
      </c>
      <c r="Y498" s="825">
        <v>538839.02899999998</v>
      </c>
      <c r="Z498" s="825">
        <v>3505700.51</v>
      </c>
      <c r="AA498" s="825"/>
    </row>
    <row r="499" spans="1:27" s="886" customFormat="1">
      <c r="A499" s="893"/>
      <c r="B499" s="880"/>
      <c r="C499" s="876"/>
      <c r="D499" s="880">
        <v>227.36600000000001</v>
      </c>
      <c r="E499" s="1626"/>
      <c r="F499" s="911"/>
      <c r="G499" s="876"/>
      <c r="H499" s="876"/>
      <c r="I499" s="917"/>
      <c r="J499" s="893"/>
      <c r="K499" s="880"/>
      <c r="L499" s="876"/>
      <c r="M499" s="893"/>
      <c r="N499" s="893"/>
      <c r="O499" s="893"/>
      <c r="P499" s="893"/>
      <c r="Q499" s="893"/>
      <c r="R499" s="893"/>
      <c r="S499" s="893"/>
      <c r="T499" s="893"/>
      <c r="U499" s="897">
        <v>227.36600000000001</v>
      </c>
      <c r="V499" s="1628">
        <f>U499</f>
        <v>227.36600000000001</v>
      </c>
      <c r="W499" s="877"/>
      <c r="X499" s="911"/>
      <c r="Y499" s="876"/>
      <c r="Z499" s="876"/>
      <c r="AA499" s="877" t="s">
        <v>2541</v>
      </c>
    </row>
    <row r="500" spans="1:27" s="886" customFormat="1">
      <c r="A500" s="914">
        <f>A498+1</f>
        <v>248</v>
      </c>
      <c r="B500" s="822" t="s">
        <v>2511</v>
      </c>
      <c r="C500" s="822" t="s">
        <v>90</v>
      </c>
      <c r="D500" s="826"/>
      <c r="E500" s="1627">
        <f>D501</f>
        <v>401.36599999999999</v>
      </c>
      <c r="F500" s="761" t="s">
        <v>2512</v>
      </c>
      <c r="G500" s="826">
        <v>538867.96900000004</v>
      </c>
      <c r="H500" s="826">
        <v>3505474.9929999998</v>
      </c>
      <c r="I500" s="917"/>
      <c r="J500" s="914">
        <f>J498+1</f>
        <v>248</v>
      </c>
      <c r="K500" s="822" t="s">
        <v>2511</v>
      </c>
      <c r="L500" s="822" t="s">
        <v>1995</v>
      </c>
      <c r="M500" s="893"/>
      <c r="N500" s="893"/>
      <c r="O500" s="893"/>
      <c r="P500" s="893"/>
      <c r="Q500" s="893"/>
      <c r="R500" s="893"/>
      <c r="S500" s="893"/>
      <c r="T500" s="893"/>
      <c r="U500" s="826"/>
      <c r="V500" s="1628"/>
      <c r="W500" s="826">
        <v>248.90199999999999</v>
      </c>
      <c r="X500" s="761" t="s">
        <v>2512</v>
      </c>
      <c r="Y500" s="826">
        <v>538867.96900000004</v>
      </c>
      <c r="Z500" s="826">
        <v>3505474.9929999998</v>
      </c>
      <c r="AA500" s="826"/>
    </row>
    <row r="501" spans="1:27" s="886" customFormat="1">
      <c r="A501" s="893"/>
      <c r="B501" s="880"/>
      <c r="C501" s="876"/>
      <c r="D501" s="880">
        <v>401.36599999999999</v>
      </c>
      <c r="E501" s="1627"/>
      <c r="F501" s="911"/>
      <c r="G501" s="876"/>
      <c r="H501" s="876"/>
      <c r="I501" s="917"/>
      <c r="J501" s="893"/>
      <c r="K501" s="880"/>
      <c r="L501" s="876"/>
      <c r="M501" s="893"/>
      <c r="N501" s="893"/>
      <c r="O501" s="893"/>
      <c r="P501" s="893"/>
      <c r="Q501" s="893"/>
      <c r="R501" s="893"/>
      <c r="S501" s="893"/>
      <c r="T501" s="893"/>
      <c r="U501" s="897">
        <v>401.36599999999999</v>
      </c>
      <c r="V501" s="1628">
        <f>U501</f>
        <v>401.36599999999999</v>
      </c>
      <c r="W501" s="877"/>
      <c r="X501" s="911"/>
      <c r="Y501" s="876"/>
      <c r="Z501" s="876"/>
      <c r="AA501" s="877" t="s">
        <v>2542</v>
      </c>
    </row>
    <row r="502" spans="1:27" s="886" customFormat="1">
      <c r="A502" s="914">
        <f>A500+1</f>
        <v>249</v>
      </c>
      <c r="B502" s="55" t="s">
        <v>2513</v>
      </c>
      <c r="C502" s="55" t="s">
        <v>90</v>
      </c>
      <c r="D502" s="825"/>
      <c r="E502" s="1627">
        <f>D503+D505+D507</f>
        <v>1221.902</v>
      </c>
      <c r="F502" s="818" t="s">
        <v>2514</v>
      </c>
      <c r="G502" s="825">
        <v>538901.55599999998</v>
      </c>
      <c r="H502" s="825">
        <v>3505075.0350000001</v>
      </c>
      <c r="I502" s="917"/>
      <c r="J502" s="914">
        <f>J500+1</f>
        <v>249</v>
      </c>
      <c r="K502" s="55" t="s">
        <v>2513</v>
      </c>
      <c r="L502" s="55" t="s">
        <v>90</v>
      </c>
      <c r="M502" s="893"/>
      <c r="N502" s="893"/>
      <c r="O502" s="893"/>
      <c r="P502" s="893"/>
      <c r="Q502" s="893"/>
      <c r="R502" s="893"/>
      <c r="S502" s="893"/>
      <c r="T502" s="893"/>
      <c r="U502" s="825"/>
      <c r="V502" s="1628"/>
      <c r="W502" s="825">
        <v>249.03899999999999</v>
      </c>
      <c r="X502" s="818" t="s">
        <v>2514</v>
      </c>
      <c r="Y502" s="825">
        <v>538901.55599999998</v>
      </c>
      <c r="Z502" s="825">
        <v>3505075.0350000001</v>
      </c>
      <c r="AA502" s="825"/>
    </row>
    <row r="503" spans="1:27" s="886" customFormat="1">
      <c r="A503" s="893"/>
      <c r="B503" s="880"/>
      <c r="C503" s="876"/>
      <c r="D503" s="880">
        <v>403.06400000000002</v>
      </c>
      <c r="E503" s="1627"/>
      <c r="F503" s="911"/>
      <c r="G503" s="876"/>
      <c r="H503" s="876"/>
      <c r="I503" s="917"/>
      <c r="J503" s="893"/>
      <c r="K503" s="880"/>
      <c r="L503" s="876"/>
      <c r="M503" s="893"/>
      <c r="N503" s="893"/>
      <c r="O503" s="893"/>
      <c r="P503" s="893"/>
      <c r="Q503" s="893"/>
      <c r="R503" s="893"/>
      <c r="S503" s="893"/>
      <c r="T503" s="893"/>
      <c r="U503" s="897">
        <v>403.06400000000002</v>
      </c>
      <c r="V503" s="1628">
        <f>U503+U505+U507</f>
        <v>1221.902</v>
      </c>
      <c r="W503" s="877"/>
      <c r="X503" s="911"/>
      <c r="Y503" s="876"/>
      <c r="Z503" s="876"/>
      <c r="AA503" s="877" t="s">
        <v>2543</v>
      </c>
    </row>
    <row r="504" spans="1:27" s="886" customFormat="1">
      <c r="A504" s="914">
        <f>A502+1</f>
        <v>250</v>
      </c>
      <c r="B504" s="822" t="s">
        <v>2515</v>
      </c>
      <c r="C504" s="822" t="s">
        <v>53</v>
      </c>
      <c r="D504" s="825"/>
      <c r="E504" s="1627"/>
      <c r="F504" s="818"/>
      <c r="G504" s="825">
        <v>538846.11899999995</v>
      </c>
      <c r="H504" s="825">
        <v>3504675.8020000001</v>
      </c>
      <c r="I504" s="917"/>
      <c r="J504" s="914">
        <f>J502+1</f>
        <v>250</v>
      </c>
      <c r="K504" s="822" t="s">
        <v>2515</v>
      </c>
      <c r="L504" s="822" t="s">
        <v>53</v>
      </c>
      <c r="M504" s="893"/>
      <c r="N504" s="893"/>
      <c r="O504" s="893"/>
      <c r="P504" s="893"/>
      <c r="Q504" s="893"/>
      <c r="R504" s="893"/>
      <c r="S504" s="893"/>
      <c r="T504" s="893"/>
      <c r="U504" s="825"/>
      <c r="V504" s="1628"/>
      <c r="W504" s="825">
        <v>248.761</v>
      </c>
      <c r="X504" s="818"/>
      <c r="Y504" s="825">
        <v>538846.11899999995</v>
      </c>
      <c r="Z504" s="825">
        <v>3504675.8020000001</v>
      </c>
      <c r="AA504" s="825"/>
    </row>
    <row r="505" spans="1:27" s="886" customFormat="1">
      <c r="A505" s="893"/>
      <c r="B505" s="880"/>
      <c r="C505" s="876"/>
      <c r="D505" s="880">
        <v>398.93299999999999</v>
      </c>
      <c r="E505" s="1627"/>
      <c r="F505" s="821"/>
      <c r="G505" s="876"/>
      <c r="H505" s="876"/>
      <c r="I505" s="917"/>
      <c r="J505" s="893"/>
      <c r="K505" s="880"/>
      <c r="L505" s="876"/>
      <c r="M505" s="893"/>
      <c r="N505" s="893"/>
      <c r="O505" s="893"/>
      <c r="P505" s="893"/>
      <c r="Q505" s="893"/>
      <c r="R505" s="893"/>
      <c r="S505" s="893"/>
      <c r="T505" s="893"/>
      <c r="U505" s="897">
        <v>398.93299999999999</v>
      </c>
      <c r="V505" s="1628"/>
      <c r="W505" s="877"/>
      <c r="X505" s="821"/>
      <c r="Y505" s="876"/>
      <c r="Z505" s="876"/>
      <c r="AA505" s="877" t="s">
        <v>2544</v>
      </c>
    </row>
    <row r="506" spans="1:27" s="886" customFormat="1">
      <c r="A506" s="914">
        <f>A504+1</f>
        <v>251</v>
      </c>
      <c r="B506" s="822" t="s">
        <v>2516</v>
      </c>
      <c r="C506" s="822" t="s">
        <v>62</v>
      </c>
      <c r="D506" s="825"/>
      <c r="E506" s="1627"/>
      <c r="F506" s="821"/>
      <c r="G506" s="825">
        <v>538791.24899999995</v>
      </c>
      <c r="H506" s="825">
        <v>3504280.66</v>
      </c>
      <c r="I506" s="917"/>
      <c r="J506" s="914">
        <f>J504+1</f>
        <v>251</v>
      </c>
      <c r="K506" s="822" t="s">
        <v>2516</v>
      </c>
      <c r="L506" s="822" t="s">
        <v>62</v>
      </c>
      <c r="M506" s="893"/>
      <c r="N506" s="893"/>
      <c r="O506" s="893"/>
      <c r="P506" s="893"/>
      <c r="Q506" s="893"/>
      <c r="R506" s="893"/>
      <c r="S506" s="893"/>
      <c r="T506" s="893"/>
      <c r="U506" s="825"/>
      <c r="V506" s="1628"/>
      <c r="W506" s="826">
        <v>248.54300000000001</v>
      </c>
      <c r="X506" s="821"/>
      <c r="Y506" s="825">
        <v>538791.24899999995</v>
      </c>
      <c r="Z506" s="825">
        <v>3504280.66</v>
      </c>
      <c r="AA506" s="826"/>
    </row>
    <row r="507" spans="1:27" s="886" customFormat="1">
      <c r="A507" s="893"/>
      <c r="B507" s="880"/>
      <c r="C507" s="876"/>
      <c r="D507" s="880">
        <v>419.90499999999997</v>
      </c>
      <c r="E507" s="1627"/>
      <c r="F507" s="821"/>
      <c r="G507" s="876"/>
      <c r="H507" s="876"/>
      <c r="I507" s="917"/>
      <c r="J507" s="893"/>
      <c r="K507" s="880"/>
      <c r="L507" s="876"/>
      <c r="M507" s="893"/>
      <c r="N507" s="893"/>
      <c r="O507" s="893"/>
      <c r="P507" s="893"/>
      <c r="Q507" s="893"/>
      <c r="R507" s="893"/>
      <c r="S507" s="893"/>
      <c r="T507" s="893"/>
      <c r="U507" s="897">
        <v>419.90499999999997</v>
      </c>
      <c r="V507" s="1628"/>
      <c r="W507" s="877"/>
      <c r="X507" s="821"/>
      <c r="Y507" s="876"/>
      <c r="Z507" s="876"/>
      <c r="AA507" s="877" t="s">
        <v>2545</v>
      </c>
    </row>
    <row r="508" spans="1:27" s="886" customFormat="1">
      <c r="A508" s="914">
        <f>A506+1</f>
        <v>252</v>
      </c>
      <c r="B508" s="55" t="s">
        <v>2517</v>
      </c>
      <c r="C508" s="55" t="s">
        <v>1361</v>
      </c>
      <c r="D508" s="825"/>
      <c r="E508" s="1627"/>
      <c r="F508" s="818" t="s">
        <v>2518</v>
      </c>
      <c r="G508" s="825">
        <v>538733.495</v>
      </c>
      <c r="H508" s="825">
        <v>3503864.7459999998</v>
      </c>
      <c r="I508" s="917"/>
      <c r="J508" s="914">
        <f>J506+1</f>
        <v>252</v>
      </c>
      <c r="K508" s="55" t="s">
        <v>2517</v>
      </c>
      <c r="L508" s="55" t="s">
        <v>1361</v>
      </c>
      <c r="M508" s="893"/>
      <c r="N508" s="893"/>
      <c r="O508" s="893"/>
      <c r="P508" s="893"/>
      <c r="Q508" s="893"/>
      <c r="R508" s="893"/>
      <c r="S508" s="893"/>
      <c r="T508" s="893"/>
      <c r="U508" s="825"/>
      <c r="V508" s="1628"/>
      <c r="W508" s="825">
        <v>248.35400000000001</v>
      </c>
      <c r="X508" s="818" t="s">
        <v>2546</v>
      </c>
      <c r="Y508" s="825">
        <v>538733.495</v>
      </c>
      <c r="Z508" s="825">
        <v>3503864.7459999998</v>
      </c>
      <c r="AA508" s="825"/>
    </row>
    <row r="509" spans="1:27" s="886" customFormat="1">
      <c r="A509" s="893"/>
      <c r="B509" s="880"/>
      <c r="C509" s="876"/>
      <c r="D509" s="880">
        <v>373.38900000000001</v>
      </c>
      <c r="E509" s="1627">
        <v>2000.393</v>
      </c>
      <c r="F509" s="821"/>
      <c r="G509" s="876"/>
      <c r="H509" s="876"/>
      <c r="I509" s="917"/>
      <c r="J509" s="893"/>
      <c r="K509" s="880"/>
      <c r="L509" s="876"/>
      <c r="M509" s="893"/>
      <c r="N509" s="893"/>
      <c r="O509" s="893"/>
      <c r="P509" s="893"/>
      <c r="Q509" s="893"/>
      <c r="R509" s="893"/>
      <c r="S509" s="893"/>
      <c r="T509" s="893"/>
      <c r="U509" s="897">
        <v>373.38900000000001</v>
      </c>
      <c r="V509" s="1628">
        <f>U509+U511+U513+U515+U517</f>
        <v>2000.393</v>
      </c>
      <c r="W509" s="877"/>
      <c r="X509" s="821"/>
      <c r="Y509" s="876"/>
      <c r="Z509" s="876"/>
      <c r="AA509" s="877" t="s">
        <v>2547</v>
      </c>
    </row>
    <row r="510" spans="1:27" s="886" customFormat="1">
      <c r="A510" s="914">
        <f>A508+1</f>
        <v>253</v>
      </c>
      <c r="B510" s="822" t="s">
        <v>2519</v>
      </c>
      <c r="C510" s="822" t="s">
        <v>62</v>
      </c>
      <c r="D510" s="825"/>
      <c r="E510" s="1627"/>
      <c r="F510" s="818"/>
      <c r="G510" s="825">
        <v>538799.77500000002</v>
      </c>
      <c r="H510" s="825">
        <v>3503497.287</v>
      </c>
      <c r="I510" s="917"/>
      <c r="J510" s="914">
        <f>J508+1</f>
        <v>253</v>
      </c>
      <c r="K510" s="822" t="s">
        <v>2519</v>
      </c>
      <c r="L510" s="822" t="s">
        <v>62</v>
      </c>
      <c r="M510" s="893"/>
      <c r="N510" s="893"/>
      <c r="O510" s="893"/>
      <c r="P510" s="893"/>
      <c r="Q510" s="893"/>
      <c r="R510" s="893"/>
      <c r="S510" s="893"/>
      <c r="T510" s="893"/>
      <c r="U510" s="825"/>
      <c r="V510" s="1628"/>
      <c r="W510" s="825">
        <v>248.31100000000001</v>
      </c>
      <c r="X510" s="818"/>
      <c r="Y510" s="825">
        <v>538799.77500000002</v>
      </c>
      <c r="Z510" s="825">
        <v>3503497.287</v>
      </c>
      <c r="AA510" s="825"/>
    </row>
    <row r="511" spans="1:27" s="886" customFormat="1">
      <c r="A511" s="893"/>
      <c r="B511" s="880"/>
      <c r="C511" s="876"/>
      <c r="D511" s="880">
        <v>419.81299999999999</v>
      </c>
      <c r="E511" s="1627"/>
      <c r="F511" s="821"/>
      <c r="G511" s="876"/>
      <c r="H511" s="876"/>
      <c r="I511" s="917"/>
      <c r="J511" s="893"/>
      <c r="K511" s="880"/>
      <c r="L511" s="876"/>
      <c r="M511" s="893"/>
      <c r="N511" s="893"/>
      <c r="O511" s="893"/>
      <c r="P511" s="893"/>
      <c r="Q511" s="893"/>
      <c r="R511" s="893"/>
      <c r="S511" s="893"/>
      <c r="T511" s="893"/>
      <c r="U511" s="897">
        <v>419.81299999999999</v>
      </c>
      <c r="V511" s="1628"/>
      <c r="W511" s="877"/>
      <c r="X511" s="821"/>
      <c r="Y511" s="876"/>
      <c r="Z511" s="876"/>
      <c r="AA511" s="824" t="s">
        <v>2475</v>
      </c>
    </row>
    <row r="512" spans="1:27" s="886" customFormat="1">
      <c r="A512" s="914">
        <f>A510+1</f>
        <v>254</v>
      </c>
      <c r="B512" s="822" t="s">
        <v>2520</v>
      </c>
      <c r="C512" s="822" t="s">
        <v>62</v>
      </c>
      <c r="D512" s="825"/>
      <c r="E512" s="1627"/>
      <c r="F512" s="821"/>
      <c r="G512" s="825">
        <v>538874.29500000004</v>
      </c>
      <c r="H512" s="825">
        <v>3503084.14</v>
      </c>
      <c r="I512" s="917"/>
      <c r="J512" s="914">
        <f>J510+1</f>
        <v>254</v>
      </c>
      <c r="K512" s="822" t="s">
        <v>2520</v>
      </c>
      <c r="L512" s="822" t="s">
        <v>62</v>
      </c>
      <c r="M512" s="893"/>
      <c r="N512" s="893"/>
      <c r="O512" s="893"/>
      <c r="P512" s="893"/>
      <c r="Q512" s="893"/>
      <c r="R512" s="893"/>
      <c r="S512" s="893"/>
      <c r="T512" s="893"/>
      <c r="U512" s="825"/>
      <c r="V512" s="1628"/>
      <c r="W512" s="826">
        <v>248.22399999999999</v>
      </c>
      <c r="X512" s="821"/>
      <c r="Y512" s="825">
        <v>538874.29500000004</v>
      </c>
      <c r="Z512" s="825">
        <v>3503084.14</v>
      </c>
      <c r="AA512" s="824"/>
    </row>
    <row r="513" spans="1:27" s="886" customFormat="1">
      <c r="A513" s="893"/>
      <c r="B513" s="880"/>
      <c r="C513" s="876"/>
      <c r="D513" s="880">
        <v>410.04899999999998</v>
      </c>
      <c r="E513" s="1627"/>
      <c r="F513" s="821"/>
      <c r="G513" s="876"/>
      <c r="H513" s="876"/>
      <c r="I513" s="917"/>
      <c r="J513" s="893"/>
      <c r="K513" s="880"/>
      <c r="L513" s="876"/>
      <c r="M513" s="893"/>
      <c r="N513" s="893"/>
      <c r="O513" s="893"/>
      <c r="P513" s="893"/>
      <c r="Q513" s="893"/>
      <c r="R513" s="893"/>
      <c r="S513" s="893"/>
      <c r="T513" s="893"/>
      <c r="U513" s="897">
        <v>410.04899999999998</v>
      </c>
      <c r="V513" s="1628"/>
      <c r="W513" s="877"/>
      <c r="X513" s="821"/>
      <c r="Y513" s="876"/>
      <c r="Z513" s="876"/>
      <c r="AA513" s="824" t="s">
        <v>2475</v>
      </c>
    </row>
    <row r="514" spans="1:27" s="886" customFormat="1">
      <c r="A514" s="914">
        <f>A512+1</f>
        <v>255</v>
      </c>
      <c r="B514" s="822" t="s">
        <v>2521</v>
      </c>
      <c r="C514" s="822" t="s">
        <v>76</v>
      </c>
      <c r="D514" s="825"/>
      <c r="E514" s="1627"/>
      <c r="F514" s="821"/>
      <c r="G514" s="825">
        <v>538947.08100000001</v>
      </c>
      <c r="H514" s="825">
        <v>3502680.6030000001</v>
      </c>
      <c r="I514" s="917"/>
      <c r="J514" s="914">
        <f>J512+1</f>
        <v>255</v>
      </c>
      <c r="K514" s="822" t="s">
        <v>2521</v>
      </c>
      <c r="L514" s="822" t="s">
        <v>76</v>
      </c>
      <c r="M514" s="893"/>
      <c r="N514" s="893"/>
      <c r="O514" s="893"/>
      <c r="P514" s="893"/>
      <c r="Q514" s="893"/>
      <c r="R514" s="893"/>
      <c r="S514" s="893"/>
      <c r="T514" s="893"/>
      <c r="U514" s="825"/>
      <c r="V514" s="1628"/>
      <c r="W514" s="826">
        <v>248.36600000000001</v>
      </c>
      <c r="X514" s="821"/>
      <c r="Y514" s="825">
        <v>538947.08100000001</v>
      </c>
      <c r="Z514" s="825">
        <v>3502680.6030000001</v>
      </c>
      <c r="AA514" s="824"/>
    </row>
    <row r="515" spans="1:27" s="886" customFormat="1">
      <c r="A515" s="893"/>
      <c r="B515" s="880"/>
      <c r="C515" s="876"/>
      <c r="D515" s="880">
        <v>415.17099999999999</v>
      </c>
      <c r="E515" s="1627"/>
      <c r="F515" s="821"/>
      <c r="G515" s="876"/>
      <c r="H515" s="876"/>
      <c r="I515" s="917"/>
      <c r="J515" s="893"/>
      <c r="K515" s="880"/>
      <c r="L515" s="876"/>
      <c r="M515" s="893"/>
      <c r="N515" s="893"/>
      <c r="O515" s="893"/>
      <c r="P515" s="893"/>
      <c r="Q515" s="893"/>
      <c r="R515" s="893"/>
      <c r="S515" s="893"/>
      <c r="T515" s="893"/>
      <c r="U515" s="897">
        <v>415.17099999999999</v>
      </c>
      <c r="V515" s="1628"/>
      <c r="W515" s="877"/>
      <c r="X515" s="821"/>
      <c r="Y515" s="876"/>
      <c r="Z515" s="876"/>
      <c r="AA515" s="824" t="s">
        <v>2548</v>
      </c>
    </row>
    <row r="516" spans="1:27" s="886" customFormat="1">
      <c r="A516" s="914">
        <f>A514+1</f>
        <v>256</v>
      </c>
      <c r="B516" s="822" t="s">
        <v>2522</v>
      </c>
      <c r="C516" s="822" t="s">
        <v>62</v>
      </c>
      <c r="D516" s="825"/>
      <c r="E516" s="1627"/>
      <c r="F516" s="818"/>
      <c r="G516" s="825">
        <v>539020.777</v>
      </c>
      <c r="H516" s="825">
        <v>3502272.0249999999</v>
      </c>
      <c r="I516" s="917"/>
      <c r="J516" s="914">
        <f>J514+1</f>
        <v>256</v>
      </c>
      <c r="K516" s="822" t="s">
        <v>2522</v>
      </c>
      <c r="L516" s="822" t="s">
        <v>62</v>
      </c>
      <c r="M516" s="893"/>
      <c r="N516" s="893"/>
      <c r="O516" s="893"/>
      <c r="P516" s="893"/>
      <c r="Q516" s="893"/>
      <c r="R516" s="893"/>
      <c r="S516" s="893"/>
      <c r="T516" s="893"/>
      <c r="U516" s="825"/>
      <c r="V516" s="1628"/>
      <c r="W516" s="876">
        <v>248.90100000000001</v>
      </c>
      <c r="X516" s="818"/>
      <c r="Y516" s="825">
        <v>539020.777</v>
      </c>
      <c r="Z516" s="825">
        <v>3502272.0249999999</v>
      </c>
      <c r="AA516" s="824"/>
    </row>
    <row r="517" spans="1:27" s="886" customFormat="1">
      <c r="A517" s="893"/>
      <c r="B517" s="880"/>
      <c r="C517" s="876"/>
      <c r="D517" s="880">
        <v>381.971</v>
      </c>
      <c r="E517" s="1627"/>
      <c r="F517" s="821"/>
      <c r="G517" s="876"/>
      <c r="H517" s="876"/>
      <c r="I517" s="917"/>
      <c r="J517" s="893"/>
      <c r="K517" s="880"/>
      <c r="L517" s="876"/>
      <c r="M517" s="893"/>
      <c r="N517" s="893"/>
      <c r="O517" s="893"/>
      <c r="P517" s="893"/>
      <c r="Q517" s="893"/>
      <c r="R517" s="893"/>
      <c r="S517" s="893"/>
      <c r="T517" s="893"/>
      <c r="U517" s="897">
        <v>381.971</v>
      </c>
      <c r="V517" s="1628"/>
      <c r="W517" s="877"/>
      <c r="X517" s="821"/>
      <c r="Y517" s="876"/>
      <c r="Z517" s="876"/>
      <c r="AA517" s="824"/>
    </row>
    <row r="518" spans="1:27" s="886" customFormat="1">
      <c r="A518" s="914">
        <f>A516+1</f>
        <v>257</v>
      </c>
      <c r="B518" s="55" t="s">
        <v>2523</v>
      </c>
      <c r="C518" s="55" t="s">
        <v>1361</v>
      </c>
      <c r="D518" s="825"/>
      <c r="E518" s="1630">
        <f>D519+D521+D523</f>
        <v>1037.588</v>
      </c>
      <c r="F518" s="818" t="s">
        <v>2524</v>
      </c>
      <c r="G518" s="825">
        <v>539088.57999999996</v>
      </c>
      <c r="H518" s="825">
        <v>3501896.12</v>
      </c>
      <c r="I518" s="917"/>
      <c r="J518" s="914">
        <f>J516+1</f>
        <v>257</v>
      </c>
      <c r="K518" s="55" t="s">
        <v>2523</v>
      </c>
      <c r="L518" s="55" t="s">
        <v>1361</v>
      </c>
      <c r="M518" s="893"/>
      <c r="N518" s="893"/>
      <c r="O518" s="893"/>
      <c r="P518" s="893"/>
      <c r="Q518" s="893"/>
      <c r="R518" s="893"/>
      <c r="S518" s="893"/>
      <c r="T518" s="893"/>
      <c r="U518" s="825"/>
      <c r="V518" s="1628"/>
      <c r="W518" s="876">
        <v>248.51</v>
      </c>
      <c r="X518" s="818" t="s">
        <v>2549</v>
      </c>
      <c r="Y518" s="825">
        <v>539088.57999999996</v>
      </c>
      <c r="Z518" s="825">
        <v>3501896.12</v>
      </c>
      <c r="AA518" s="757"/>
    </row>
    <row r="519" spans="1:27" s="886" customFormat="1">
      <c r="A519" s="893"/>
      <c r="B519" s="880"/>
      <c r="C519" s="876"/>
      <c r="D519" s="880">
        <v>377.62299999999999</v>
      </c>
      <c r="E519" s="1630"/>
      <c r="F519" s="761"/>
      <c r="G519" s="876"/>
      <c r="H519" s="876"/>
      <c r="I519" s="917"/>
      <c r="J519" s="893"/>
      <c r="K519" s="880"/>
      <c r="L519" s="876"/>
      <c r="M519" s="893"/>
      <c r="N519" s="893"/>
      <c r="O519" s="893"/>
      <c r="P519" s="893"/>
      <c r="Q519" s="893"/>
      <c r="R519" s="893"/>
      <c r="S519" s="893"/>
      <c r="T519" s="893"/>
      <c r="U519" s="897">
        <v>377.62299999999999</v>
      </c>
      <c r="V519" s="1629">
        <f>U519+U521+U523</f>
        <v>1037.587</v>
      </c>
      <c r="W519" s="826"/>
      <c r="X519" s="761"/>
      <c r="Y519" s="876"/>
      <c r="Z519" s="876"/>
      <c r="AA519" s="824" t="s">
        <v>2529</v>
      </c>
    </row>
    <row r="520" spans="1:27" s="886" customFormat="1">
      <c r="A520" s="914">
        <f>A518+1</f>
        <v>258</v>
      </c>
      <c r="B520" s="822" t="s">
        <v>2525</v>
      </c>
      <c r="C520" s="822" t="s">
        <v>76</v>
      </c>
      <c r="D520" s="825"/>
      <c r="E520" s="1630"/>
      <c r="F520" s="818"/>
      <c r="G520" s="825">
        <v>538967.61899999995</v>
      </c>
      <c r="H520" s="825">
        <v>3501538.395</v>
      </c>
      <c r="I520" s="917"/>
      <c r="J520" s="914">
        <f>J518+1</f>
        <v>258</v>
      </c>
      <c r="K520" s="822" t="s">
        <v>2525</v>
      </c>
      <c r="L520" s="822" t="s">
        <v>76</v>
      </c>
      <c r="M520" s="893"/>
      <c r="N520" s="893"/>
      <c r="O520" s="893"/>
      <c r="P520" s="893"/>
      <c r="Q520" s="893"/>
      <c r="R520" s="893"/>
      <c r="S520" s="893"/>
      <c r="T520" s="893"/>
      <c r="U520" s="825"/>
      <c r="V520" s="1629"/>
      <c r="W520" s="822">
        <v>248.489</v>
      </c>
      <c r="X520" s="818"/>
      <c r="Y520" s="825">
        <v>538967.61899999995</v>
      </c>
      <c r="Z520" s="825">
        <v>3501538.395</v>
      </c>
      <c r="AA520" s="824"/>
    </row>
    <row r="521" spans="1:27" s="886" customFormat="1">
      <c r="A521" s="893"/>
      <c r="B521" s="880"/>
      <c r="C521" s="876"/>
      <c r="D521" s="880">
        <v>354.13799999999998</v>
      </c>
      <c r="E521" s="1630"/>
      <c r="F521" s="876"/>
      <c r="G521" s="876"/>
      <c r="H521" s="876"/>
      <c r="I521" s="917"/>
      <c r="J521" s="893"/>
      <c r="K521" s="880"/>
      <c r="L521" s="876"/>
      <c r="M521" s="893"/>
      <c r="N521" s="893"/>
      <c r="O521" s="893"/>
      <c r="P521" s="893"/>
      <c r="Q521" s="893"/>
      <c r="R521" s="893"/>
      <c r="S521" s="893"/>
      <c r="T521" s="893"/>
      <c r="U521" s="897">
        <v>354.13799999999998</v>
      </c>
      <c r="V521" s="1629"/>
      <c r="W521" s="876"/>
      <c r="X521" s="876"/>
      <c r="Y521" s="876"/>
      <c r="Z521" s="876"/>
      <c r="AA521" s="876" t="s">
        <v>2540</v>
      </c>
    </row>
    <row r="522" spans="1:27" s="886" customFormat="1">
      <c r="A522" s="914">
        <f>A520+1</f>
        <v>259</v>
      </c>
      <c r="B522" s="822" t="s">
        <v>2526</v>
      </c>
      <c r="C522" s="822" t="s">
        <v>76</v>
      </c>
      <c r="D522" s="825"/>
      <c r="E522" s="1630"/>
      <c r="F522" s="877"/>
      <c r="G522" s="825">
        <v>538854.18000000005</v>
      </c>
      <c r="H522" s="825">
        <v>3501202.9169999999</v>
      </c>
      <c r="I522" s="917"/>
      <c r="J522" s="914">
        <f>J520+1</f>
        <v>259</v>
      </c>
      <c r="K522" s="822" t="s">
        <v>2526</v>
      </c>
      <c r="L522" s="822" t="s">
        <v>76</v>
      </c>
      <c r="M522" s="893"/>
      <c r="N522" s="893"/>
      <c r="O522" s="893"/>
      <c r="P522" s="893"/>
      <c r="Q522" s="893"/>
      <c r="R522" s="893"/>
      <c r="S522" s="893"/>
      <c r="T522" s="893"/>
      <c r="U522" s="825"/>
      <c r="V522" s="1629"/>
      <c r="W522" s="877">
        <v>248.27799999999999</v>
      </c>
      <c r="X522" s="877"/>
      <c r="Y522" s="825">
        <v>538854.18000000005</v>
      </c>
      <c r="Z522" s="825">
        <v>3501202.9169999999</v>
      </c>
      <c r="AA522" s="877"/>
    </row>
    <row r="523" spans="1:27" s="886" customFormat="1">
      <c r="A523" s="893"/>
      <c r="B523" s="880"/>
      <c r="C523" s="876"/>
      <c r="D523" s="880">
        <v>305.827</v>
      </c>
      <c r="E523" s="1630"/>
      <c r="F523" s="877"/>
      <c r="G523" s="876"/>
      <c r="H523" s="876"/>
      <c r="I523" s="917"/>
      <c r="J523" s="893"/>
      <c r="K523" s="880"/>
      <c r="L523" s="876"/>
      <c r="M523" s="893"/>
      <c r="N523" s="893"/>
      <c r="O523" s="893"/>
      <c r="P523" s="893"/>
      <c r="Q523" s="893"/>
      <c r="R523" s="893"/>
      <c r="S523" s="893"/>
      <c r="T523" s="893"/>
      <c r="U523" s="897">
        <v>305.82600000000002</v>
      </c>
      <c r="V523" s="1629"/>
      <c r="W523" s="877"/>
      <c r="X523" s="877"/>
      <c r="Y523" s="876"/>
      <c r="Z523" s="876"/>
      <c r="AA523" s="877" t="s">
        <v>2550</v>
      </c>
    </row>
    <row r="524" spans="1:27" s="886" customFormat="1">
      <c r="A524" s="914">
        <f>A522+1</f>
        <v>260</v>
      </c>
      <c r="B524" s="55" t="s">
        <v>2530</v>
      </c>
      <c r="C524" s="55" t="s">
        <v>1319</v>
      </c>
      <c r="D524" s="825"/>
      <c r="E524" s="1627">
        <f>D525+D527+D529</f>
        <v>944.97399999999993</v>
      </c>
      <c r="F524" s="818" t="s">
        <v>2536</v>
      </c>
      <c r="G524" s="825">
        <v>538756.21600000001</v>
      </c>
      <c r="H524" s="825">
        <v>3500913.2050000001</v>
      </c>
      <c r="I524" s="917"/>
      <c r="J524" s="914">
        <f>J522+1</f>
        <v>260</v>
      </c>
      <c r="K524" s="55" t="s">
        <v>2530</v>
      </c>
      <c r="L524" s="55" t="s">
        <v>1319</v>
      </c>
      <c r="M524" s="893"/>
      <c r="N524" s="893"/>
      <c r="O524" s="893"/>
      <c r="P524" s="893"/>
      <c r="Q524" s="893"/>
      <c r="R524" s="893"/>
      <c r="S524" s="893"/>
      <c r="T524" s="893"/>
      <c r="U524" s="825"/>
      <c r="V524" s="1627">
        <f>U525+U527+U529</f>
        <v>944.97399999999993</v>
      </c>
      <c r="W524" s="876">
        <v>248.041</v>
      </c>
      <c r="X524" s="818" t="s">
        <v>2536</v>
      </c>
      <c r="Y524" s="825">
        <v>538756.21600000001</v>
      </c>
      <c r="Z524" s="825">
        <v>3500913.2050000001</v>
      </c>
      <c r="AA524" s="876"/>
    </row>
    <row r="525" spans="1:27" s="886" customFormat="1">
      <c r="A525" s="893"/>
      <c r="B525" s="880"/>
      <c r="C525" s="876"/>
      <c r="D525" s="880">
        <v>320.98599999999999</v>
      </c>
      <c r="E525" s="1627"/>
      <c r="F525" s="876"/>
      <c r="G525" s="876"/>
      <c r="H525" s="876"/>
      <c r="I525" s="917"/>
      <c r="J525" s="893"/>
      <c r="K525" s="880"/>
      <c r="L525" s="876"/>
      <c r="M525" s="893"/>
      <c r="N525" s="893"/>
      <c r="O525" s="893"/>
      <c r="P525" s="893"/>
      <c r="Q525" s="893"/>
      <c r="R525" s="893"/>
      <c r="S525" s="893"/>
      <c r="T525" s="893"/>
      <c r="U525" s="897">
        <v>320.98700000000002</v>
      </c>
      <c r="V525" s="1627"/>
      <c r="W525" s="876"/>
      <c r="X525" s="876"/>
      <c r="Y525" s="876"/>
      <c r="Z525" s="876"/>
      <c r="AA525" s="876" t="s">
        <v>2479</v>
      </c>
    </row>
    <row r="526" spans="1:27" s="886" customFormat="1">
      <c r="A526" s="914">
        <f>A524+1</f>
        <v>261</v>
      </c>
      <c r="B526" s="822" t="s">
        <v>2531</v>
      </c>
      <c r="C526" s="822" t="s">
        <v>76</v>
      </c>
      <c r="D526" s="825"/>
      <c r="E526" s="1627"/>
      <c r="F526" s="877"/>
      <c r="G526" s="825">
        <v>538828.86499999999</v>
      </c>
      <c r="H526" s="825">
        <v>3500600.548</v>
      </c>
      <c r="I526" s="917"/>
      <c r="J526" s="914">
        <f>J524+1</f>
        <v>261</v>
      </c>
      <c r="K526" s="822" t="s">
        <v>2531</v>
      </c>
      <c r="L526" s="822" t="s">
        <v>76</v>
      </c>
      <c r="M526" s="893"/>
      <c r="N526" s="893"/>
      <c r="O526" s="893"/>
      <c r="P526" s="893"/>
      <c r="Q526" s="893"/>
      <c r="R526" s="893"/>
      <c r="S526" s="893"/>
      <c r="T526" s="893"/>
      <c r="U526" s="825"/>
      <c r="V526" s="1627"/>
      <c r="W526" s="877">
        <v>248.30699999999999</v>
      </c>
      <c r="X526" s="877"/>
      <c r="Y526" s="825">
        <v>538828.86499999999</v>
      </c>
      <c r="Z526" s="825">
        <v>3500600.548</v>
      </c>
      <c r="AA526" s="877"/>
    </row>
    <row r="527" spans="1:27" s="886" customFormat="1">
      <c r="A527" s="893"/>
      <c r="B527" s="880"/>
      <c r="C527" s="876"/>
      <c r="D527" s="880">
        <v>329.94600000000003</v>
      </c>
      <c r="E527" s="1627"/>
      <c r="F527" s="877"/>
      <c r="G527" s="876"/>
      <c r="H527" s="876"/>
      <c r="I527" s="917"/>
      <c r="J527" s="893"/>
      <c r="K527" s="880"/>
      <c r="L527" s="876"/>
      <c r="M527" s="893"/>
      <c r="N527" s="893"/>
      <c r="O527" s="893"/>
      <c r="P527" s="893"/>
      <c r="Q527" s="893"/>
      <c r="R527" s="893"/>
      <c r="S527" s="893"/>
      <c r="T527" s="893"/>
      <c r="U527" s="897">
        <v>329.94600000000003</v>
      </c>
      <c r="V527" s="1627"/>
      <c r="W527" s="877"/>
      <c r="X527" s="877"/>
      <c r="Y527" s="876"/>
      <c r="Z527" s="876"/>
      <c r="AA527" s="877" t="s">
        <v>2551</v>
      </c>
    </row>
    <row r="528" spans="1:27" s="886" customFormat="1">
      <c r="A528" s="914">
        <f>A526+1</f>
        <v>262</v>
      </c>
      <c r="B528" s="822" t="s">
        <v>2532</v>
      </c>
      <c r="C528" s="822" t="s">
        <v>76</v>
      </c>
      <c r="D528" s="825"/>
      <c r="E528" s="1627"/>
      <c r="F528" s="877"/>
      <c r="G528" s="825">
        <v>538903.54099999997</v>
      </c>
      <c r="H528" s="825">
        <v>3500279.1639999999</v>
      </c>
      <c r="I528" s="917"/>
      <c r="J528" s="914">
        <f>J526+1</f>
        <v>262</v>
      </c>
      <c r="K528" s="822" t="s">
        <v>2532</v>
      </c>
      <c r="L528" s="822" t="s">
        <v>76</v>
      </c>
      <c r="M528" s="893"/>
      <c r="N528" s="893"/>
      <c r="O528" s="893"/>
      <c r="P528" s="893"/>
      <c r="Q528" s="893"/>
      <c r="R528" s="893"/>
      <c r="S528" s="893"/>
      <c r="T528" s="893"/>
      <c r="U528" s="825"/>
      <c r="V528" s="1627"/>
      <c r="W528" s="877">
        <v>248.35900000000001</v>
      </c>
      <c r="X528" s="877"/>
      <c r="Y528" s="825">
        <v>538903.54099999997</v>
      </c>
      <c r="Z528" s="825">
        <v>3500279.1639999999</v>
      </c>
      <c r="AA528" s="877"/>
    </row>
    <row r="529" spans="1:27" s="886" customFormat="1" ht="30">
      <c r="A529" s="893"/>
      <c r="B529" s="880"/>
      <c r="C529" s="876"/>
      <c r="D529" s="880">
        <v>294.04199999999997</v>
      </c>
      <c r="E529" s="1627"/>
      <c r="F529" s="876"/>
      <c r="G529" s="876"/>
      <c r="H529" s="876"/>
      <c r="I529" s="917"/>
      <c r="J529" s="893"/>
      <c r="K529" s="880"/>
      <c r="L529" s="876"/>
      <c r="M529" s="893"/>
      <c r="N529" s="893"/>
      <c r="O529" s="893"/>
      <c r="P529" s="893"/>
      <c r="Q529" s="893"/>
      <c r="R529" s="893"/>
      <c r="S529" s="893"/>
      <c r="T529" s="893"/>
      <c r="U529" s="897">
        <v>294.041</v>
      </c>
      <c r="V529" s="1627"/>
      <c r="W529" s="876"/>
      <c r="X529" s="876"/>
      <c r="Y529" s="876"/>
      <c r="Z529" s="876"/>
      <c r="AA529" s="877" t="s">
        <v>2552</v>
      </c>
    </row>
    <row r="530" spans="1:27" s="886" customFormat="1">
      <c r="A530" s="914">
        <f>A528+1</f>
        <v>263</v>
      </c>
      <c r="B530" s="822" t="s">
        <v>2533</v>
      </c>
      <c r="C530" s="822" t="s">
        <v>1269</v>
      </c>
      <c r="D530" s="825"/>
      <c r="E530" s="1627">
        <f>D531+D533</f>
        <v>809.12200000000007</v>
      </c>
      <c r="F530" s="761" t="s">
        <v>2537</v>
      </c>
      <c r="G530" s="825">
        <v>538970.09199999995</v>
      </c>
      <c r="H530" s="825">
        <v>3499992.7519999999</v>
      </c>
      <c r="I530" s="917"/>
      <c r="J530" s="914">
        <f>J528+1</f>
        <v>263</v>
      </c>
      <c r="K530" s="822" t="s">
        <v>2533</v>
      </c>
      <c r="L530" s="822" t="s">
        <v>1269</v>
      </c>
      <c r="M530" s="893"/>
      <c r="N530" s="893"/>
      <c r="O530" s="893"/>
      <c r="P530" s="893"/>
      <c r="Q530" s="893"/>
      <c r="R530" s="893"/>
      <c r="S530" s="893"/>
      <c r="T530" s="893"/>
      <c r="U530" s="825"/>
      <c r="V530" s="1627">
        <f>U533+U531</f>
        <v>809.12199999999996</v>
      </c>
      <c r="W530" s="877">
        <v>246.90299999999999</v>
      </c>
      <c r="X530" s="761" t="s">
        <v>2553</v>
      </c>
      <c r="Y530" s="825">
        <v>538970.09199999995</v>
      </c>
      <c r="Z530" s="825">
        <v>3499992.7519999999</v>
      </c>
      <c r="AA530" s="877"/>
    </row>
    <row r="531" spans="1:27" s="886" customFormat="1">
      <c r="A531" s="893"/>
      <c r="B531" s="880"/>
      <c r="C531" s="876"/>
      <c r="D531" s="880">
        <v>381.66800000000001</v>
      </c>
      <c r="E531" s="1627"/>
      <c r="F531" s="877"/>
      <c r="G531" s="876"/>
      <c r="H531" s="876"/>
      <c r="I531" s="917"/>
      <c r="J531" s="893"/>
      <c r="K531" s="880"/>
      <c r="L531" s="876"/>
      <c r="M531" s="893"/>
      <c r="N531" s="893"/>
      <c r="O531" s="893"/>
      <c r="P531" s="893"/>
      <c r="Q531" s="893"/>
      <c r="R531" s="893"/>
      <c r="S531" s="893"/>
      <c r="T531" s="893"/>
      <c r="U531" s="897">
        <v>381.66899999999998</v>
      </c>
      <c r="V531" s="1627"/>
      <c r="W531" s="877"/>
      <c r="X531" s="877"/>
      <c r="Y531" s="876"/>
      <c r="Z531" s="876"/>
      <c r="AA531" s="877" t="s">
        <v>2554</v>
      </c>
    </row>
    <row r="532" spans="1:27" s="886" customFormat="1">
      <c r="A532" s="914">
        <f>A530+1</f>
        <v>264</v>
      </c>
      <c r="B532" s="822" t="s">
        <v>2534</v>
      </c>
      <c r="C532" s="822" t="s">
        <v>62</v>
      </c>
      <c r="D532" s="825"/>
      <c r="E532" s="1627"/>
      <c r="F532" s="877"/>
      <c r="G532" s="825">
        <v>539094.39</v>
      </c>
      <c r="H532" s="825">
        <v>3499631.8909999998</v>
      </c>
      <c r="I532" s="917"/>
      <c r="J532" s="914">
        <f>J530+1</f>
        <v>264</v>
      </c>
      <c r="K532" s="822" t="s">
        <v>2534</v>
      </c>
      <c r="L532" s="822" t="s">
        <v>62</v>
      </c>
      <c r="M532" s="893"/>
      <c r="N532" s="893"/>
      <c r="O532" s="893"/>
      <c r="P532" s="893"/>
      <c r="Q532" s="893"/>
      <c r="R532" s="893"/>
      <c r="S532" s="893"/>
      <c r="T532" s="893"/>
      <c r="U532" s="825"/>
      <c r="V532" s="1627"/>
      <c r="W532" s="877">
        <v>239.42400000000001</v>
      </c>
      <c r="X532" s="877"/>
      <c r="Y532" s="825">
        <v>539094.39</v>
      </c>
      <c r="Z532" s="825">
        <v>3499631.8909999998</v>
      </c>
      <c r="AA532" s="877"/>
    </row>
    <row r="533" spans="1:27" s="886" customFormat="1">
      <c r="A533" s="893"/>
      <c r="B533" s="880"/>
      <c r="C533" s="876"/>
      <c r="D533" s="880">
        <v>427.45400000000001</v>
      </c>
      <c r="E533" s="1627"/>
      <c r="F533" s="877"/>
      <c r="G533" s="876"/>
      <c r="H533" s="876"/>
      <c r="I533" s="917"/>
      <c r="J533" s="893"/>
      <c r="K533" s="880"/>
      <c r="L533" s="876"/>
      <c r="M533" s="893"/>
      <c r="N533" s="893"/>
      <c r="O533" s="893"/>
      <c r="P533" s="893"/>
      <c r="Q533" s="893"/>
      <c r="R533" s="893"/>
      <c r="S533" s="893"/>
      <c r="T533" s="893"/>
      <c r="U533" s="897">
        <v>427.45299999999997</v>
      </c>
      <c r="V533" s="1627"/>
      <c r="W533" s="877"/>
      <c r="X533" s="877"/>
      <c r="Y533" s="876"/>
      <c r="Z533" s="876"/>
      <c r="AA533" s="877" t="s">
        <v>2555</v>
      </c>
    </row>
    <row r="534" spans="1:27" s="886" customFormat="1" ht="30">
      <c r="A534" s="914">
        <f>A532+1</f>
        <v>265</v>
      </c>
      <c r="B534" s="822" t="s">
        <v>2535</v>
      </c>
      <c r="C534" s="822" t="s">
        <v>2197</v>
      </c>
      <c r="D534" s="825"/>
      <c r="E534" s="1627"/>
      <c r="F534" s="761" t="s">
        <v>2538</v>
      </c>
      <c r="G534" s="825">
        <v>539233.6</v>
      </c>
      <c r="H534" s="825">
        <v>3499227.7409999999</v>
      </c>
      <c r="I534" s="917"/>
      <c r="J534" s="914">
        <f>J532+1</f>
        <v>265</v>
      </c>
      <c r="K534" s="822" t="s">
        <v>2535</v>
      </c>
      <c r="L534" s="822" t="s">
        <v>2197</v>
      </c>
      <c r="M534" s="893"/>
      <c r="N534" s="893"/>
      <c r="O534" s="893"/>
      <c r="P534" s="893"/>
      <c r="Q534" s="893"/>
      <c r="R534" s="893"/>
      <c r="S534" s="893"/>
      <c r="T534" s="893"/>
      <c r="U534" s="912"/>
      <c r="V534" s="1627"/>
      <c r="W534" s="877">
        <v>235.97300000000001</v>
      </c>
      <c r="X534" s="761" t="s">
        <v>2538</v>
      </c>
      <c r="Y534" s="825">
        <v>539233.6</v>
      </c>
      <c r="Z534" s="825">
        <v>3499227.7409999999</v>
      </c>
      <c r="AA534" s="877"/>
    </row>
    <row r="535" spans="1:27" ht="8.4499999999999993" customHeight="1">
      <c r="A535" s="907"/>
      <c r="B535" s="907"/>
      <c r="C535" s="908"/>
      <c r="D535" s="908"/>
      <c r="E535" s="907"/>
      <c r="F535" s="907"/>
      <c r="G535" s="907"/>
      <c r="H535" s="907"/>
      <c r="I535" s="907"/>
      <c r="J535" s="907"/>
      <c r="K535" s="907"/>
      <c r="L535" s="907"/>
      <c r="M535" s="907"/>
      <c r="N535" s="907"/>
      <c r="O535" s="907"/>
      <c r="P535" s="907"/>
      <c r="Q535" s="907"/>
      <c r="R535" s="907"/>
      <c r="S535" s="907"/>
      <c r="T535" s="907"/>
      <c r="U535" s="909"/>
      <c r="V535" s="907"/>
      <c r="W535" s="907"/>
      <c r="X535" s="907"/>
      <c r="Y535" s="907"/>
      <c r="Z535" s="907"/>
      <c r="AA535" s="910"/>
    </row>
    <row r="536" spans="1:27">
      <c r="A536" s="914">
        <f>A534+1</f>
        <v>266</v>
      </c>
      <c r="B536" s="822" t="s">
        <v>2556</v>
      </c>
      <c r="C536" s="822" t="s">
        <v>1269</v>
      </c>
      <c r="D536" s="826"/>
      <c r="E536" s="1626">
        <f>D537+D539+D541</f>
        <v>1066.883</v>
      </c>
      <c r="F536" s="761" t="s">
        <v>2557</v>
      </c>
      <c r="G536" s="826">
        <v>539550.52</v>
      </c>
      <c r="H536" s="826">
        <v>3494836.47</v>
      </c>
      <c r="I536" s="888"/>
      <c r="J536" s="914">
        <f>J534+1</f>
        <v>266</v>
      </c>
      <c r="K536" s="822" t="s">
        <v>2556</v>
      </c>
      <c r="L536" s="898" t="s">
        <v>1269</v>
      </c>
      <c r="M536" s="891"/>
      <c r="N536" s="891"/>
      <c r="O536" s="891"/>
      <c r="P536" s="891"/>
      <c r="Q536" s="891"/>
      <c r="R536" s="891"/>
      <c r="S536" s="891"/>
      <c r="T536" s="891"/>
      <c r="U536" s="826"/>
      <c r="V536" s="1626">
        <f>U537+U539+U541</f>
        <v>1066.883</v>
      </c>
      <c r="W536" s="899">
        <v>232.37299999999999</v>
      </c>
      <c r="X536" s="761" t="s">
        <v>2557</v>
      </c>
      <c r="Y536" s="826">
        <v>539550.52</v>
      </c>
      <c r="Z536" s="826">
        <v>3494836.47</v>
      </c>
      <c r="AA536" s="826"/>
    </row>
    <row r="537" spans="1:27">
      <c r="A537" s="891"/>
      <c r="B537" s="876"/>
      <c r="C537" s="876"/>
      <c r="D537" s="876">
        <v>330.49200000000002</v>
      </c>
      <c r="E537" s="1626"/>
      <c r="F537" s="761"/>
      <c r="G537" s="876"/>
      <c r="H537" s="876"/>
      <c r="I537" s="888"/>
      <c r="J537" s="891"/>
      <c r="K537" s="876"/>
      <c r="L537" s="898"/>
      <c r="M537" s="891"/>
      <c r="N537" s="891"/>
      <c r="O537" s="891"/>
      <c r="P537" s="891"/>
      <c r="Q537" s="891"/>
      <c r="R537" s="891"/>
      <c r="S537" s="891"/>
      <c r="T537" s="891"/>
      <c r="U537" s="899">
        <v>330.49200000000002</v>
      </c>
      <c r="V537" s="1626"/>
      <c r="W537" s="899"/>
      <c r="X537" s="761"/>
      <c r="Y537" s="876"/>
      <c r="Z537" s="876"/>
      <c r="AA537" s="822" t="s">
        <v>2584</v>
      </c>
    </row>
    <row r="538" spans="1:27">
      <c r="A538" s="914">
        <f>A536+1</f>
        <v>267</v>
      </c>
      <c r="B538" s="822" t="s">
        <v>2558</v>
      </c>
      <c r="C538" s="822" t="s">
        <v>76</v>
      </c>
      <c r="D538" s="828"/>
      <c r="E538" s="1626"/>
      <c r="F538" s="761"/>
      <c r="G538" s="825">
        <v>539481.19900000002</v>
      </c>
      <c r="H538" s="825">
        <v>3494513.33</v>
      </c>
      <c r="I538" s="888"/>
      <c r="J538" s="914">
        <f>J536+1</f>
        <v>267</v>
      </c>
      <c r="K538" s="822" t="s">
        <v>2558</v>
      </c>
      <c r="L538" s="898" t="s">
        <v>76</v>
      </c>
      <c r="M538" s="891"/>
      <c r="N538" s="891"/>
      <c r="O538" s="891"/>
      <c r="P538" s="891"/>
      <c r="Q538" s="891"/>
      <c r="R538" s="891"/>
      <c r="S538" s="891"/>
      <c r="T538" s="891"/>
      <c r="U538" s="830"/>
      <c r="V538" s="1626"/>
      <c r="W538" s="899">
        <v>232.053</v>
      </c>
      <c r="X538" s="761"/>
      <c r="Y538" s="825">
        <v>539481.19900000002</v>
      </c>
      <c r="Z538" s="825">
        <v>3494513.33</v>
      </c>
      <c r="AA538" s="826"/>
    </row>
    <row r="539" spans="1:27">
      <c r="A539" s="891"/>
      <c r="B539" s="876"/>
      <c r="C539" s="876"/>
      <c r="D539" s="876">
        <v>342.10599999999999</v>
      </c>
      <c r="E539" s="1626"/>
      <c r="F539" s="761"/>
      <c r="G539" s="876"/>
      <c r="H539" s="876"/>
      <c r="I539" s="888"/>
      <c r="J539" s="891"/>
      <c r="K539" s="876"/>
      <c r="L539" s="898"/>
      <c r="M539" s="891"/>
      <c r="N539" s="891"/>
      <c r="O539" s="891"/>
      <c r="P539" s="891"/>
      <c r="Q539" s="891"/>
      <c r="R539" s="891"/>
      <c r="S539" s="891"/>
      <c r="T539" s="891"/>
      <c r="U539" s="899">
        <v>342.10599999999999</v>
      </c>
      <c r="V539" s="1626"/>
      <c r="W539" s="899"/>
      <c r="X539" s="761"/>
      <c r="Y539" s="876"/>
      <c r="Z539" s="876"/>
      <c r="AA539" s="877" t="s">
        <v>2585</v>
      </c>
    </row>
    <row r="540" spans="1:27">
      <c r="A540" s="914">
        <f>A538+1</f>
        <v>268</v>
      </c>
      <c r="B540" s="822" t="s">
        <v>2559</v>
      </c>
      <c r="C540" s="822" t="s">
        <v>62</v>
      </c>
      <c r="D540" s="825"/>
      <c r="E540" s="1626"/>
      <c r="F540" s="761"/>
      <c r="G540" s="825">
        <v>539409.44200000004</v>
      </c>
      <c r="H540" s="825">
        <v>3494178.8339999998</v>
      </c>
      <c r="I540" s="888"/>
      <c r="J540" s="914">
        <f>J538+1</f>
        <v>268</v>
      </c>
      <c r="K540" s="822" t="s">
        <v>2559</v>
      </c>
      <c r="L540" s="898" t="s">
        <v>62</v>
      </c>
      <c r="M540" s="891"/>
      <c r="N540" s="891"/>
      <c r="O540" s="891"/>
      <c r="P540" s="891"/>
      <c r="Q540" s="891"/>
      <c r="R540" s="891"/>
      <c r="S540" s="891"/>
      <c r="T540" s="891"/>
      <c r="U540" s="830"/>
      <c r="V540" s="1626"/>
      <c r="W540" s="899">
        <v>232.07400000000001</v>
      </c>
      <c r="X540" s="761"/>
      <c r="Y540" s="825">
        <v>539409.44200000004</v>
      </c>
      <c r="Z540" s="825">
        <v>3494178.8339999998</v>
      </c>
      <c r="AA540" s="825"/>
    </row>
    <row r="541" spans="1:27">
      <c r="A541" s="891"/>
      <c r="B541" s="876"/>
      <c r="C541" s="876"/>
      <c r="D541" s="876">
        <v>394.28500000000003</v>
      </c>
      <c r="E541" s="1626"/>
      <c r="F541" s="761"/>
      <c r="G541" s="876"/>
      <c r="H541" s="876"/>
      <c r="I541" s="888"/>
      <c r="J541" s="891"/>
      <c r="K541" s="876"/>
      <c r="L541" s="898"/>
      <c r="M541" s="891"/>
      <c r="N541" s="891"/>
      <c r="O541" s="891"/>
      <c r="P541" s="891"/>
      <c r="Q541" s="891"/>
      <c r="R541" s="891"/>
      <c r="S541" s="891"/>
      <c r="T541" s="891"/>
      <c r="U541" s="899">
        <v>394.28500000000003</v>
      </c>
      <c r="V541" s="1626"/>
      <c r="W541" s="899"/>
      <c r="X541" s="761"/>
      <c r="Y541" s="876"/>
      <c r="Z541" s="876"/>
      <c r="AA541" s="877" t="s">
        <v>2586</v>
      </c>
    </row>
    <row r="542" spans="1:27">
      <c r="A542" s="914">
        <f>A540+1</f>
        <v>269</v>
      </c>
      <c r="B542" s="822" t="s">
        <v>2560</v>
      </c>
      <c r="C542" s="822" t="s">
        <v>1277</v>
      </c>
      <c r="D542" s="825"/>
      <c r="E542" s="1626"/>
      <c r="F542" s="761" t="s">
        <v>2561</v>
      </c>
      <c r="G542" s="825">
        <v>539326.74</v>
      </c>
      <c r="H542" s="825">
        <v>3493793.32</v>
      </c>
      <c r="I542" s="888"/>
      <c r="J542" s="914">
        <f>J540+1</f>
        <v>269</v>
      </c>
      <c r="K542" s="822" t="s">
        <v>2560</v>
      </c>
      <c r="L542" s="898" t="s">
        <v>1277</v>
      </c>
      <c r="M542" s="891"/>
      <c r="N542" s="891"/>
      <c r="O542" s="891"/>
      <c r="P542" s="891"/>
      <c r="Q542" s="891"/>
      <c r="R542" s="891"/>
      <c r="S542" s="891"/>
      <c r="T542" s="891"/>
      <c r="U542" s="830"/>
      <c r="V542" s="1626"/>
      <c r="W542" s="899">
        <v>232.34700000000001</v>
      </c>
      <c r="X542" s="761" t="s">
        <v>2561</v>
      </c>
      <c r="Y542" s="825">
        <v>539326.74</v>
      </c>
      <c r="Z542" s="825">
        <v>3493793.32</v>
      </c>
      <c r="AA542" s="826"/>
    </row>
    <row r="543" spans="1:27">
      <c r="A543" s="891"/>
      <c r="B543" s="876"/>
      <c r="C543" s="876"/>
      <c r="D543" s="876">
        <v>245.679</v>
      </c>
      <c r="E543" s="1626">
        <f>D543</f>
        <v>245.679</v>
      </c>
      <c r="F543" s="761"/>
      <c r="G543" s="876"/>
      <c r="H543" s="876"/>
      <c r="I543" s="888"/>
      <c r="J543" s="891"/>
      <c r="K543" s="876"/>
      <c r="L543" s="898"/>
      <c r="M543" s="891"/>
      <c r="N543" s="891"/>
      <c r="O543" s="891"/>
      <c r="P543" s="891"/>
      <c r="Q543" s="891"/>
      <c r="R543" s="891"/>
      <c r="S543" s="891"/>
      <c r="T543" s="891"/>
      <c r="U543" s="899">
        <v>245.679</v>
      </c>
      <c r="V543" s="1626">
        <f>U543</f>
        <v>245.679</v>
      </c>
      <c r="W543" s="899"/>
      <c r="X543" s="761"/>
      <c r="Y543" s="876"/>
      <c r="Z543" s="876"/>
      <c r="AA543" s="877"/>
    </row>
    <row r="544" spans="1:27">
      <c r="A544" s="914">
        <f>A542+1</f>
        <v>270</v>
      </c>
      <c r="B544" s="822" t="s">
        <v>2562</v>
      </c>
      <c r="C544" s="822" t="s">
        <v>1269</v>
      </c>
      <c r="D544" s="825"/>
      <c r="E544" s="1626"/>
      <c r="F544" s="761"/>
      <c r="G544" s="825">
        <v>539401.05200000003</v>
      </c>
      <c r="H544" s="825">
        <v>3493559.1490000002</v>
      </c>
      <c r="I544" s="888"/>
      <c r="J544" s="914">
        <f>J542+1</f>
        <v>270</v>
      </c>
      <c r="K544" s="822" t="s">
        <v>2562</v>
      </c>
      <c r="L544" s="898" t="s">
        <v>1269</v>
      </c>
      <c r="M544" s="891"/>
      <c r="N544" s="891"/>
      <c r="O544" s="891"/>
      <c r="P544" s="891"/>
      <c r="Q544" s="891"/>
      <c r="R544" s="891"/>
      <c r="S544" s="891"/>
      <c r="T544" s="891"/>
      <c r="U544" s="830"/>
      <c r="V544" s="1626"/>
      <c r="W544" s="899">
        <v>231.946</v>
      </c>
      <c r="X544" s="761"/>
      <c r="Y544" s="825">
        <v>539401.05200000003</v>
      </c>
      <c r="Z544" s="825">
        <v>3493559.1490000002</v>
      </c>
      <c r="AA544" s="825"/>
    </row>
    <row r="545" spans="1:27">
      <c r="A545" s="891"/>
      <c r="B545" s="876"/>
      <c r="C545" s="876"/>
      <c r="D545" s="897">
        <v>352.93</v>
      </c>
      <c r="E545" s="1626">
        <f>D545</f>
        <v>352.93</v>
      </c>
      <c r="F545" s="761"/>
      <c r="G545" s="876"/>
      <c r="H545" s="876"/>
      <c r="I545" s="888"/>
      <c r="J545" s="891"/>
      <c r="K545" s="876"/>
      <c r="L545" s="898"/>
      <c r="M545" s="891"/>
      <c r="N545" s="891"/>
      <c r="O545" s="891"/>
      <c r="P545" s="891"/>
      <c r="Q545" s="891"/>
      <c r="R545" s="891"/>
      <c r="S545" s="891"/>
      <c r="T545" s="891"/>
      <c r="U545" s="899">
        <v>352.93</v>
      </c>
      <c r="V545" s="1626">
        <f>U545</f>
        <v>352.93</v>
      </c>
      <c r="W545" s="899"/>
      <c r="X545" s="761"/>
      <c r="Y545" s="876"/>
      <c r="Z545" s="876"/>
      <c r="AA545" s="877" t="s">
        <v>2587</v>
      </c>
    </row>
    <row r="546" spans="1:27" ht="30">
      <c r="A546" s="914">
        <f>A544+1</f>
        <v>271</v>
      </c>
      <c r="B546" s="822" t="s">
        <v>2563</v>
      </c>
      <c r="C546" s="822" t="s">
        <v>1988</v>
      </c>
      <c r="D546" s="825"/>
      <c r="E546" s="1626"/>
      <c r="F546" s="761" t="s">
        <v>2564</v>
      </c>
      <c r="G546" s="825">
        <v>539507.80500000005</v>
      </c>
      <c r="H546" s="825">
        <v>3493222.7510000002</v>
      </c>
      <c r="I546" s="888"/>
      <c r="J546" s="914">
        <f>J544+1</f>
        <v>271</v>
      </c>
      <c r="K546" s="822" t="s">
        <v>2563</v>
      </c>
      <c r="L546" s="898" t="s">
        <v>1988</v>
      </c>
      <c r="M546" s="891"/>
      <c r="N546" s="891"/>
      <c r="O546" s="891"/>
      <c r="P546" s="891"/>
      <c r="Q546" s="891"/>
      <c r="R546" s="891"/>
      <c r="S546" s="891"/>
      <c r="T546" s="891"/>
      <c r="U546" s="830"/>
      <c r="V546" s="1626"/>
      <c r="W546" s="899">
        <v>232.34399999999999</v>
      </c>
      <c r="X546" s="761" t="s">
        <v>2564</v>
      </c>
      <c r="Y546" s="825">
        <v>539507.80500000005</v>
      </c>
      <c r="Z546" s="825">
        <v>3493222.7510000002</v>
      </c>
      <c r="AA546" s="826"/>
    </row>
    <row r="547" spans="1:27">
      <c r="A547" s="891"/>
      <c r="B547" s="876"/>
      <c r="C547" s="876"/>
      <c r="D547" s="876">
        <v>232.30099999999999</v>
      </c>
      <c r="E547" s="1626">
        <f>D547</f>
        <v>232.30099999999999</v>
      </c>
      <c r="F547" s="761"/>
      <c r="G547" s="876"/>
      <c r="H547" s="876"/>
      <c r="I547" s="888"/>
      <c r="J547" s="891"/>
      <c r="K547" s="876"/>
      <c r="L547" s="898"/>
      <c r="M547" s="891"/>
      <c r="N547" s="891"/>
      <c r="O547" s="891"/>
      <c r="P547" s="891"/>
      <c r="Q547" s="891"/>
      <c r="R547" s="891"/>
      <c r="S547" s="891"/>
      <c r="T547" s="891"/>
      <c r="U547" s="899">
        <v>232.30099999999999</v>
      </c>
      <c r="V547" s="1626">
        <f>U547</f>
        <v>232.30099999999999</v>
      </c>
      <c r="W547" s="899"/>
      <c r="X547" s="761"/>
      <c r="Y547" s="876"/>
      <c r="Z547" s="876"/>
      <c r="AA547" s="877" t="s">
        <v>2588</v>
      </c>
    </row>
    <row r="548" spans="1:27" ht="30">
      <c r="A548" s="914">
        <f>A546+1</f>
        <v>272</v>
      </c>
      <c r="B548" s="822" t="s">
        <v>2565</v>
      </c>
      <c r="C548" s="822" t="s">
        <v>1988</v>
      </c>
      <c r="D548" s="825"/>
      <c r="E548" s="1626"/>
      <c r="F548" s="761" t="s">
        <v>2566</v>
      </c>
      <c r="G548" s="826">
        <v>539379.397</v>
      </c>
      <c r="H548" s="826">
        <v>3493029.1660000002</v>
      </c>
      <c r="I548" s="888"/>
      <c r="J548" s="914">
        <f>J546+1</f>
        <v>272</v>
      </c>
      <c r="K548" s="822" t="s">
        <v>2565</v>
      </c>
      <c r="L548" s="898" t="s">
        <v>1988</v>
      </c>
      <c r="M548" s="891"/>
      <c r="N548" s="891"/>
      <c r="O548" s="891"/>
      <c r="P548" s="891"/>
      <c r="Q548" s="891"/>
      <c r="R548" s="891"/>
      <c r="S548" s="891"/>
      <c r="T548" s="891"/>
      <c r="U548" s="830"/>
      <c r="V548" s="1626"/>
      <c r="W548" s="899">
        <v>232.15799999999999</v>
      </c>
      <c r="X548" s="761" t="s">
        <v>2566</v>
      </c>
      <c r="Y548" s="826">
        <v>539379.397</v>
      </c>
      <c r="Z548" s="826">
        <v>3493029.1660000002</v>
      </c>
      <c r="AA548" s="826"/>
    </row>
    <row r="549" spans="1:27">
      <c r="A549" s="891"/>
      <c r="B549" s="876"/>
      <c r="C549" s="876"/>
      <c r="D549" s="876">
        <v>474.983</v>
      </c>
      <c r="E549" s="1626">
        <f>D549</f>
        <v>474.983</v>
      </c>
      <c r="F549" s="761"/>
      <c r="G549" s="876"/>
      <c r="H549" s="876"/>
      <c r="I549" s="888"/>
      <c r="J549" s="891"/>
      <c r="K549" s="876"/>
      <c r="L549" s="898"/>
      <c r="M549" s="891"/>
      <c r="N549" s="891"/>
      <c r="O549" s="891"/>
      <c r="P549" s="891"/>
      <c r="Q549" s="891"/>
      <c r="R549" s="891"/>
      <c r="S549" s="891"/>
      <c r="T549" s="891"/>
      <c r="U549" s="899">
        <v>474.983</v>
      </c>
      <c r="V549" s="1626">
        <f>U549</f>
        <v>474.983</v>
      </c>
      <c r="W549" s="899"/>
      <c r="X549" s="761"/>
      <c r="Y549" s="876"/>
      <c r="Z549" s="876"/>
      <c r="AA549" s="877" t="s">
        <v>2589</v>
      </c>
    </row>
    <row r="550" spans="1:27">
      <c r="A550" s="914">
        <f>A548+1</f>
        <v>273</v>
      </c>
      <c r="B550" s="55" t="s">
        <v>2567</v>
      </c>
      <c r="C550" s="55" t="s">
        <v>1277</v>
      </c>
      <c r="D550" s="828"/>
      <c r="E550" s="1626"/>
      <c r="F550" s="818" t="s">
        <v>2568</v>
      </c>
      <c r="G550" s="825">
        <v>539289.54</v>
      </c>
      <c r="H550" s="825">
        <v>3492562.76</v>
      </c>
      <c r="I550" s="888"/>
      <c r="J550" s="914">
        <f>J548+1</f>
        <v>273</v>
      </c>
      <c r="K550" s="55" t="s">
        <v>2567</v>
      </c>
      <c r="L550" s="898" t="s">
        <v>1277</v>
      </c>
      <c r="M550" s="891"/>
      <c r="N550" s="891"/>
      <c r="O550" s="891"/>
      <c r="P550" s="891"/>
      <c r="Q550" s="891"/>
      <c r="R550" s="891"/>
      <c r="S550" s="891"/>
      <c r="T550" s="891"/>
      <c r="U550" s="830"/>
      <c r="V550" s="1626"/>
      <c r="W550" s="899">
        <v>232.18700000000001</v>
      </c>
      <c r="X550" s="818" t="s">
        <v>2568</v>
      </c>
      <c r="Y550" s="825">
        <v>539289.54</v>
      </c>
      <c r="Z550" s="825">
        <v>3492562.76</v>
      </c>
      <c r="AA550" s="825"/>
    </row>
    <row r="551" spans="1:27">
      <c r="A551" s="891"/>
      <c r="B551" s="876"/>
      <c r="C551" s="876"/>
      <c r="D551" s="897">
        <v>322.58800000000002</v>
      </c>
      <c r="E551" s="1626">
        <f>D551+D553+D555</f>
        <v>938.20699999999999</v>
      </c>
      <c r="F551" s="818"/>
      <c r="G551" s="876"/>
      <c r="H551" s="876"/>
      <c r="I551" s="888"/>
      <c r="J551" s="891"/>
      <c r="K551" s="876"/>
      <c r="L551" s="898"/>
      <c r="M551" s="891"/>
      <c r="N551" s="891"/>
      <c r="O551" s="891"/>
      <c r="P551" s="891"/>
      <c r="Q551" s="891"/>
      <c r="R551" s="891"/>
      <c r="S551" s="891"/>
      <c r="T551" s="891"/>
      <c r="U551" s="899">
        <v>322.58800000000002</v>
      </c>
      <c r="V551" s="1626">
        <f>U551+U553+U555</f>
        <v>938.20699999999999</v>
      </c>
      <c r="W551" s="899"/>
      <c r="X551" s="818"/>
      <c r="Y551" s="876"/>
      <c r="Z551" s="876"/>
      <c r="AA551" s="877" t="s">
        <v>2590</v>
      </c>
    </row>
    <row r="552" spans="1:27">
      <c r="A552" s="914">
        <f>A550+1</f>
        <v>274</v>
      </c>
      <c r="B552" s="822" t="s">
        <v>2569</v>
      </c>
      <c r="C552" s="822" t="s">
        <v>76</v>
      </c>
      <c r="D552" s="826"/>
      <c r="E552" s="1626"/>
      <c r="F552" s="818"/>
      <c r="G552" s="825">
        <v>539364.16200000001</v>
      </c>
      <c r="H552" s="825">
        <v>3492248.9219999998</v>
      </c>
      <c r="I552" s="888"/>
      <c r="J552" s="914">
        <f>J550+1</f>
        <v>274</v>
      </c>
      <c r="K552" s="822" t="s">
        <v>2569</v>
      </c>
      <c r="L552" s="898" t="s">
        <v>76</v>
      </c>
      <c r="M552" s="891"/>
      <c r="N552" s="891"/>
      <c r="O552" s="891"/>
      <c r="P552" s="891"/>
      <c r="Q552" s="891"/>
      <c r="R552" s="891"/>
      <c r="S552" s="891"/>
      <c r="T552" s="891"/>
      <c r="U552" s="829"/>
      <c r="V552" s="1626"/>
      <c r="W552" s="899">
        <v>231.72900000000001</v>
      </c>
      <c r="X552" s="818"/>
      <c r="Y552" s="825">
        <v>539364.16200000001</v>
      </c>
      <c r="Z552" s="825">
        <v>3492248.9219999998</v>
      </c>
      <c r="AA552" s="825"/>
    </row>
    <row r="553" spans="1:27">
      <c r="A553" s="891"/>
      <c r="B553" s="876"/>
      <c r="C553" s="876"/>
      <c r="D553" s="876">
        <v>317.88400000000001</v>
      </c>
      <c r="E553" s="1626"/>
      <c r="F553" s="818"/>
      <c r="G553" s="876"/>
      <c r="H553" s="876"/>
      <c r="I553" s="888"/>
      <c r="J553" s="891"/>
      <c r="K553" s="876"/>
      <c r="L553" s="898"/>
      <c r="M553" s="891"/>
      <c r="N553" s="891"/>
      <c r="O553" s="891"/>
      <c r="P553" s="891"/>
      <c r="Q553" s="891"/>
      <c r="R553" s="891"/>
      <c r="S553" s="891"/>
      <c r="T553" s="891"/>
      <c r="U553" s="899">
        <v>317.88400000000001</v>
      </c>
      <c r="V553" s="1626"/>
      <c r="W553" s="899"/>
      <c r="X553" s="818"/>
      <c r="Y553" s="876"/>
      <c r="Z553" s="876"/>
      <c r="AA553" s="877"/>
    </row>
    <row r="554" spans="1:27">
      <c r="A554" s="914">
        <f>A552+1</f>
        <v>275</v>
      </c>
      <c r="B554" s="55" t="s">
        <v>2570</v>
      </c>
      <c r="C554" s="55" t="s">
        <v>76</v>
      </c>
      <c r="D554" s="825"/>
      <c r="E554" s="1626"/>
      <c r="F554" s="818"/>
      <c r="G554" s="825">
        <v>539437.69700000004</v>
      </c>
      <c r="H554" s="825">
        <v>3491939.66</v>
      </c>
      <c r="I554" s="888"/>
      <c r="J554" s="914">
        <f>J552+1</f>
        <v>275</v>
      </c>
      <c r="K554" s="55" t="s">
        <v>2570</v>
      </c>
      <c r="L554" s="898" t="s">
        <v>76</v>
      </c>
      <c r="M554" s="891"/>
      <c r="N554" s="891"/>
      <c r="O554" s="891"/>
      <c r="P554" s="891"/>
      <c r="Q554" s="891"/>
      <c r="R554" s="891"/>
      <c r="S554" s="891"/>
      <c r="T554" s="891"/>
      <c r="U554" s="830"/>
      <c r="V554" s="1626"/>
      <c r="W554" s="899">
        <v>232.06700000000001</v>
      </c>
      <c r="X554" s="818"/>
      <c r="Y554" s="825">
        <v>539437.69700000004</v>
      </c>
      <c r="Z554" s="825">
        <v>3491939.66</v>
      </c>
      <c r="AA554" s="825"/>
    </row>
    <row r="555" spans="1:27">
      <c r="A555" s="891"/>
      <c r="B555" s="876"/>
      <c r="C555" s="876"/>
      <c r="D555" s="876">
        <v>297.73500000000001</v>
      </c>
      <c r="E555" s="1626"/>
      <c r="F555" s="911"/>
      <c r="G555" s="876"/>
      <c r="H555" s="876"/>
      <c r="I555" s="888"/>
      <c r="J555" s="891"/>
      <c r="K555" s="876"/>
      <c r="L555" s="898"/>
      <c r="M555" s="891"/>
      <c r="N555" s="891"/>
      <c r="O555" s="891"/>
      <c r="P555" s="891"/>
      <c r="Q555" s="891"/>
      <c r="R555" s="891"/>
      <c r="S555" s="891"/>
      <c r="T555" s="891"/>
      <c r="U555" s="899">
        <v>297.73500000000001</v>
      </c>
      <c r="V555" s="1626"/>
      <c r="W555" s="899"/>
      <c r="X555" s="911"/>
      <c r="Y555" s="876"/>
      <c r="Z555" s="876"/>
      <c r="AA555" s="877"/>
    </row>
    <row r="556" spans="1:27">
      <c r="A556" s="914">
        <f>A554+1</f>
        <v>276</v>
      </c>
      <c r="B556" s="822" t="s">
        <v>2571</v>
      </c>
      <c r="C556" s="822" t="s">
        <v>1277</v>
      </c>
      <c r="D556" s="826"/>
      <c r="E556" s="1626"/>
      <c r="F556" s="761" t="s">
        <v>2572</v>
      </c>
      <c r="G556" s="826">
        <v>539506.56999999995</v>
      </c>
      <c r="H556" s="826">
        <v>3491650</v>
      </c>
      <c r="I556" s="888"/>
      <c r="J556" s="914">
        <f>J554+1</f>
        <v>276</v>
      </c>
      <c r="K556" s="822" t="s">
        <v>2571</v>
      </c>
      <c r="L556" s="898" t="s">
        <v>1277</v>
      </c>
      <c r="M556" s="891"/>
      <c r="N556" s="891"/>
      <c r="O556" s="891"/>
      <c r="P556" s="891"/>
      <c r="Q556" s="891"/>
      <c r="R556" s="891"/>
      <c r="S556" s="891"/>
      <c r="T556" s="891"/>
      <c r="U556" s="829"/>
      <c r="V556" s="1626"/>
      <c r="W556" s="899">
        <v>231.965</v>
      </c>
      <c r="X556" s="761" t="s">
        <v>2572</v>
      </c>
      <c r="Y556" s="826">
        <v>539506.56999999995</v>
      </c>
      <c r="Z556" s="826">
        <v>3491650</v>
      </c>
      <c r="AA556" s="826"/>
    </row>
    <row r="557" spans="1:27">
      <c r="A557" s="891"/>
      <c r="B557" s="876"/>
      <c r="C557" s="876"/>
      <c r="D557" s="876">
        <v>357.24900000000002</v>
      </c>
      <c r="E557" s="1627">
        <f>D557+D559+D561</f>
        <v>1117.048</v>
      </c>
      <c r="F557" s="911"/>
      <c r="G557" s="876"/>
      <c r="H557" s="876"/>
      <c r="I557" s="888"/>
      <c r="J557" s="891"/>
      <c r="K557" s="876"/>
      <c r="L557" s="898"/>
      <c r="M557" s="891"/>
      <c r="N557" s="891"/>
      <c r="O557" s="891"/>
      <c r="P557" s="891"/>
      <c r="Q557" s="891"/>
      <c r="R557" s="891"/>
      <c r="S557" s="891"/>
      <c r="T557" s="891"/>
      <c r="U557" s="899">
        <v>357.24900000000002</v>
      </c>
      <c r="V557" s="1627">
        <f>U557+U559+U561</f>
        <v>1117.048</v>
      </c>
      <c r="W557" s="899"/>
      <c r="X557" s="911"/>
      <c r="Y557" s="876"/>
      <c r="Z557" s="876"/>
      <c r="AA557" s="877"/>
    </row>
    <row r="558" spans="1:27">
      <c r="A558" s="914">
        <f>A556+1</f>
        <v>277</v>
      </c>
      <c r="B558" s="55" t="s">
        <v>2573</v>
      </c>
      <c r="C558" s="55" t="s">
        <v>76</v>
      </c>
      <c r="D558" s="825"/>
      <c r="E558" s="1627"/>
      <c r="F558" s="818"/>
      <c r="G558" s="825">
        <v>539434.77899999998</v>
      </c>
      <c r="H558" s="825">
        <v>3491300.0389999999</v>
      </c>
      <c r="I558" s="888"/>
      <c r="J558" s="914">
        <f>J556+1</f>
        <v>277</v>
      </c>
      <c r="K558" s="55" t="s">
        <v>2573</v>
      </c>
      <c r="L558" s="898" t="s">
        <v>76</v>
      </c>
      <c r="M558" s="891"/>
      <c r="N558" s="891"/>
      <c r="O558" s="891"/>
      <c r="P558" s="891"/>
      <c r="Q558" s="891"/>
      <c r="R558" s="891"/>
      <c r="S558" s="891"/>
      <c r="T558" s="891"/>
      <c r="U558" s="830"/>
      <c r="V558" s="1627"/>
      <c r="W558" s="899">
        <v>231.64500000000001</v>
      </c>
      <c r="X558" s="818"/>
      <c r="Y558" s="825">
        <v>539434.77899999998</v>
      </c>
      <c r="Z558" s="825">
        <v>3491300.0389999999</v>
      </c>
      <c r="AA558" s="825"/>
    </row>
    <row r="559" spans="1:27">
      <c r="A559" s="891"/>
      <c r="B559" s="876"/>
      <c r="C559" s="876"/>
      <c r="D559" s="876">
        <v>353.03199999999998</v>
      </c>
      <c r="E559" s="1627"/>
      <c r="F559" s="911"/>
      <c r="G559" s="876"/>
      <c r="H559" s="876"/>
      <c r="I559" s="888"/>
      <c r="J559" s="891"/>
      <c r="K559" s="876"/>
      <c r="L559" s="898"/>
      <c r="M559" s="891"/>
      <c r="N559" s="891"/>
      <c r="O559" s="891"/>
      <c r="P559" s="891"/>
      <c r="Q559" s="891"/>
      <c r="R559" s="891"/>
      <c r="S559" s="891"/>
      <c r="T559" s="891"/>
      <c r="U559" s="899">
        <v>353.03199999999998</v>
      </c>
      <c r="V559" s="1627"/>
      <c r="W559" s="899"/>
      <c r="X559" s="911"/>
      <c r="Y559" s="876"/>
      <c r="Z559" s="876"/>
      <c r="AA559" s="877" t="s">
        <v>2591</v>
      </c>
    </row>
    <row r="560" spans="1:27">
      <c r="A560" s="914">
        <f>A558+1</f>
        <v>278</v>
      </c>
      <c r="B560" s="822" t="s">
        <v>2574</v>
      </c>
      <c r="C560" s="822" t="s">
        <v>62</v>
      </c>
      <c r="D560" s="825"/>
      <c r="E560" s="1627"/>
      <c r="F560" s="818"/>
      <c r="G560" s="825">
        <v>539363.83499999996</v>
      </c>
      <c r="H560" s="825">
        <v>3490954.2089999998</v>
      </c>
      <c r="I560" s="888"/>
      <c r="J560" s="914">
        <f>J558+1</f>
        <v>278</v>
      </c>
      <c r="K560" s="822" t="s">
        <v>2574</v>
      </c>
      <c r="L560" s="898" t="s">
        <v>62</v>
      </c>
      <c r="M560" s="891"/>
      <c r="N560" s="891"/>
      <c r="O560" s="891"/>
      <c r="P560" s="891"/>
      <c r="Q560" s="891"/>
      <c r="R560" s="891"/>
      <c r="S560" s="891"/>
      <c r="T560" s="891"/>
      <c r="U560" s="830"/>
      <c r="V560" s="1627"/>
      <c r="W560" s="899">
        <v>231.55600000000001</v>
      </c>
      <c r="X560" s="818"/>
      <c r="Y560" s="825">
        <v>539363.83499999996</v>
      </c>
      <c r="Z560" s="825">
        <v>3490954.2089999998</v>
      </c>
      <c r="AA560" s="825"/>
    </row>
    <row r="561" spans="1:27">
      <c r="A561" s="891"/>
      <c r="B561" s="876"/>
      <c r="C561" s="876"/>
      <c r="D561" s="876">
        <v>406.767</v>
      </c>
      <c r="E561" s="1627"/>
      <c r="F561" s="821"/>
      <c r="G561" s="876"/>
      <c r="H561" s="876"/>
      <c r="I561" s="888"/>
      <c r="J561" s="891"/>
      <c r="K561" s="876"/>
      <c r="L561" s="898"/>
      <c r="M561" s="891"/>
      <c r="N561" s="891"/>
      <c r="O561" s="891"/>
      <c r="P561" s="891"/>
      <c r="Q561" s="891"/>
      <c r="R561" s="891"/>
      <c r="S561" s="891"/>
      <c r="T561" s="891"/>
      <c r="U561" s="899">
        <v>406.767</v>
      </c>
      <c r="V561" s="1627"/>
      <c r="W561" s="899"/>
      <c r="X561" s="821"/>
      <c r="Y561" s="876"/>
      <c r="Z561" s="876"/>
      <c r="AA561" s="877" t="s">
        <v>2542</v>
      </c>
    </row>
    <row r="562" spans="1:27">
      <c r="A562" s="914">
        <f>A560+1</f>
        <v>279</v>
      </c>
      <c r="B562" s="822" t="s">
        <v>2575</v>
      </c>
      <c r="C562" s="822" t="s">
        <v>1319</v>
      </c>
      <c r="D562" s="825"/>
      <c r="E562" s="1627"/>
      <c r="F562" s="821" t="s">
        <v>2576</v>
      </c>
      <c r="G562" s="825">
        <v>539282.09199999995</v>
      </c>
      <c r="H562" s="825">
        <v>3490555.74</v>
      </c>
      <c r="I562" s="888"/>
      <c r="J562" s="914">
        <f>J560+1</f>
        <v>279</v>
      </c>
      <c r="K562" s="822" t="s">
        <v>2575</v>
      </c>
      <c r="L562" s="898" t="s">
        <v>1319</v>
      </c>
      <c r="M562" s="891"/>
      <c r="N562" s="891"/>
      <c r="O562" s="891"/>
      <c r="P562" s="891"/>
      <c r="Q562" s="891"/>
      <c r="R562" s="891"/>
      <c r="S562" s="891"/>
      <c r="T562" s="891"/>
      <c r="U562" s="830"/>
      <c r="V562" s="1627"/>
      <c r="W562" s="899">
        <v>231.49100000000001</v>
      </c>
      <c r="X562" s="821" t="s">
        <v>2592</v>
      </c>
      <c r="Y562" s="825">
        <v>539282.09199999995</v>
      </c>
      <c r="Z562" s="825">
        <v>3490555.74</v>
      </c>
      <c r="AA562" s="826"/>
    </row>
    <row r="563" spans="1:27">
      <c r="A563" s="891"/>
      <c r="B563" s="876"/>
      <c r="C563" s="876"/>
      <c r="D563" s="876">
        <v>392.39400000000001</v>
      </c>
      <c r="E563" s="1627">
        <f>D563+D565+D567+D569+D571</f>
        <v>1861.6020000000001</v>
      </c>
      <c r="F563" s="821"/>
      <c r="G563" s="876"/>
      <c r="H563" s="876"/>
      <c r="I563" s="888"/>
      <c r="J563" s="891"/>
      <c r="K563" s="876"/>
      <c r="L563" s="898"/>
      <c r="M563" s="891"/>
      <c r="N563" s="891"/>
      <c r="O563" s="891"/>
      <c r="P563" s="891"/>
      <c r="Q563" s="891"/>
      <c r="R563" s="891"/>
      <c r="S563" s="891"/>
      <c r="T563" s="891"/>
      <c r="U563" s="899">
        <v>392.39400000000001</v>
      </c>
      <c r="V563" s="1627">
        <f>U563+U565+U567+U569+U571</f>
        <v>1861.6020000000001</v>
      </c>
      <c r="W563" s="899"/>
      <c r="X563" s="821"/>
      <c r="Y563" s="876"/>
      <c r="Z563" s="876"/>
      <c r="AA563" s="877" t="s">
        <v>2593</v>
      </c>
    </row>
    <row r="564" spans="1:27">
      <c r="A564" s="914">
        <f>A562+1</f>
        <v>280</v>
      </c>
      <c r="B564" s="55" t="s">
        <v>2577</v>
      </c>
      <c r="C564" s="55" t="s">
        <v>62</v>
      </c>
      <c r="D564" s="825"/>
      <c r="E564" s="1627"/>
      <c r="F564" s="818"/>
      <c r="G564" s="825">
        <v>539466.61699999997</v>
      </c>
      <c r="H564" s="825">
        <v>3490209.44</v>
      </c>
      <c r="I564" s="888"/>
      <c r="J564" s="914">
        <f>J562+1</f>
        <v>280</v>
      </c>
      <c r="K564" s="55" t="s">
        <v>2577</v>
      </c>
      <c r="L564" s="898" t="s">
        <v>62</v>
      </c>
      <c r="M564" s="891"/>
      <c r="N564" s="891"/>
      <c r="O564" s="891"/>
      <c r="P564" s="891"/>
      <c r="Q564" s="891"/>
      <c r="R564" s="891"/>
      <c r="S564" s="891"/>
      <c r="T564" s="891"/>
      <c r="U564" s="830"/>
      <c r="V564" s="1627"/>
      <c r="W564" s="899">
        <v>231.32400000000001</v>
      </c>
      <c r="X564" s="818"/>
      <c r="Y564" s="825">
        <v>539466.61699999997</v>
      </c>
      <c r="Z564" s="825">
        <v>3490209.44</v>
      </c>
      <c r="AA564" s="825"/>
    </row>
    <row r="565" spans="1:27">
      <c r="A565" s="891"/>
      <c r="B565" s="876"/>
      <c r="C565" s="876"/>
      <c r="D565" s="876">
        <v>408.83499999999998</v>
      </c>
      <c r="E565" s="1627"/>
      <c r="F565" s="821"/>
      <c r="G565" s="876"/>
      <c r="H565" s="876"/>
      <c r="I565" s="888"/>
      <c r="J565" s="891"/>
      <c r="K565" s="876"/>
      <c r="L565" s="898"/>
      <c r="M565" s="891"/>
      <c r="N565" s="891"/>
      <c r="O565" s="891"/>
      <c r="P565" s="891"/>
      <c r="Q565" s="891"/>
      <c r="R565" s="891"/>
      <c r="S565" s="891"/>
      <c r="T565" s="891"/>
      <c r="U565" s="899">
        <v>408.83499999999998</v>
      </c>
      <c r="V565" s="1627"/>
      <c r="W565" s="899"/>
      <c r="X565" s="821"/>
      <c r="Y565" s="876"/>
      <c r="Z565" s="876"/>
      <c r="AA565" s="877" t="s">
        <v>2475</v>
      </c>
    </row>
    <row r="566" spans="1:27">
      <c r="A566" s="914">
        <f>A564+1</f>
        <v>281</v>
      </c>
      <c r="B566" s="822" t="s">
        <v>2578</v>
      </c>
      <c r="C566" s="822" t="s">
        <v>76</v>
      </c>
      <c r="D566" s="825"/>
      <c r="E566" s="1627"/>
      <c r="F566" s="818"/>
      <c r="G566" s="825">
        <v>538658.87399999995</v>
      </c>
      <c r="H566" s="825">
        <v>3489848.6310000001</v>
      </c>
      <c r="I566" s="888"/>
      <c r="J566" s="914">
        <f>J564+1</f>
        <v>281</v>
      </c>
      <c r="K566" s="822" t="s">
        <v>2578</v>
      </c>
      <c r="L566" s="898" t="s">
        <v>76</v>
      </c>
      <c r="M566" s="891"/>
      <c r="N566" s="891"/>
      <c r="O566" s="891"/>
      <c r="P566" s="891"/>
      <c r="Q566" s="891"/>
      <c r="R566" s="891"/>
      <c r="S566" s="891"/>
      <c r="T566" s="891"/>
      <c r="U566" s="830"/>
      <c r="V566" s="1627"/>
      <c r="W566" s="899">
        <v>230.851</v>
      </c>
      <c r="X566" s="818"/>
      <c r="Y566" s="825">
        <v>538658.87399999995</v>
      </c>
      <c r="Z566" s="825">
        <v>3489848.6310000001</v>
      </c>
      <c r="AA566" s="825"/>
    </row>
    <row r="567" spans="1:27">
      <c r="A567" s="891"/>
      <c r="B567" s="876"/>
      <c r="C567" s="876"/>
      <c r="D567" s="876">
        <v>343.09100000000001</v>
      </c>
      <c r="E567" s="1627"/>
      <c r="F567" s="821"/>
      <c r="G567" s="876"/>
      <c r="H567" s="876"/>
      <c r="I567" s="888"/>
      <c r="J567" s="891"/>
      <c r="K567" s="876"/>
      <c r="L567" s="898"/>
      <c r="M567" s="891"/>
      <c r="N567" s="891"/>
      <c r="O567" s="891"/>
      <c r="P567" s="891"/>
      <c r="Q567" s="891"/>
      <c r="R567" s="891"/>
      <c r="S567" s="891"/>
      <c r="T567" s="891"/>
      <c r="U567" s="899">
        <v>333.09100000000001</v>
      </c>
      <c r="V567" s="1627"/>
      <c r="W567" s="899"/>
      <c r="X567" s="821"/>
      <c r="Y567" s="876"/>
      <c r="Z567" s="876"/>
      <c r="AA567" s="824" t="s">
        <v>2594</v>
      </c>
    </row>
    <row r="568" spans="1:27" ht="30">
      <c r="A568" s="914">
        <f>A566+1</f>
        <v>282</v>
      </c>
      <c r="B568" s="822" t="s">
        <v>2579</v>
      </c>
      <c r="C568" s="822" t="s">
        <v>76</v>
      </c>
      <c r="D568" s="825"/>
      <c r="E568" s="1627"/>
      <c r="F568" s="821"/>
      <c r="G568" s="825">
        <v>539820.245</v>
      </c>
      <c r="H568" s="825">
        <v>3489545.8429999999</v>
      </c>
      <c r="I568" s="888"/>
      <c r="J568" s="914">
        <f>J566+1</f>
        <v>282</v>
      </c>
      <c r="K568" s="822" t="s">
        <v>2579</v>
      </c>
      <c r="L568" s="876" t="s">
        <v>76</v>
      </c>
      <c r="M568" s="891">
        <v>1</v>
      </c>
      <c r="N568" s="891">
        <v>1</v>
      </c>
      <c r="O568" s="891">
        <v>1</v>
      </c>
      <c r="P568" s="891">
        <v>1</v>
      </c>
      <c r="Q568" s="891"/>
      <c r="R568" s="891"/>
      <c r="S568" s="891"/>
      <c r="T568" s="891"/>
      <c r="U568" s="830"/>
      <c r="V568" s="1627"/>
      <c r="W568" s="899">
        <v>230.40700000000001</v>
      </c>
      <c r="X568" s="821"/>
      <c r="Y568" s="918">
        <v>539815.51199999999</v>
      </c>
      <c r="Z568" s="918">
        <v>3489554.6680000001</v>
      </c>
      <c r="AA568" s="835" t="s">
        <v>2595</v>
      </c>
    </row>
    <row r="569" spans="1:27">
      <c r="A569" s="891"/>
      <c r="B569" s="876"/>
      <c r="C569" s="876"/>
      <c r="D569" s="876">
        <v>333.68299999999999</v>
      </c>
      <c r="E569" s="1627"/>
      <c r="F569" s="821"/>
      <c r="G569" s="876"/>
      <c r="H569" s="876"/>
      <c r="I569" s="888"/>
      <c r="J569" s="891"/>
      <c r="K569" s="876"/>
      <c r="L569" s="898"/>
      <c r="M569" s="891"/>
      <c r="N569" s="891"/>
      <c r="O569" s="891"/>
      <c r="P569" s="891"/>
      <c r="Q569" s="891"/>
      <c r="R569" s="891"/>
      <c r="S569" s="891"/>
      <c r="T569" s="891"/>
      <c r="U569" s="899">
        <v>343.68299999999999</v>
      </c>
      <c r="V569" s="1627"/>
      <c r="W569" s="899"/>
      <c r="X569" s="821"/>
      <c r="Y569" s="876"/>
      <c r="Z569" s="876"/>
      <c r="AA569" s="824" t="s">
        <v>2596</v>
      </c>
    </row>
    <row r="570" spans="1:27">
      <c r="A570" s="914">
        <f>A568+1</f>
        <v>283</v>
      </c>
      <c r="B570" s="822" t="s">
        <v>2580</v>
      </c>
      <c r="C570" s="822" t="s">
        <v>76</v>
      </c>
      <c r="D570" s="825"/>
      <c r="E570" s="1627"/>
      <c r="F570" s="821"/>
      <c r="G570" s="825">
        <v>539977.13100000005</v>
      </c>
      <c r="H570" s="825">
        <v>3489251.3569999998</v>
      </c>
      <c r="I570" s="888"/>
      <c r="J570" s="914">
        <f>J568+1</f>
        <v>283</v>
      </c>
      <c r="K570" s="822" t="s">
        <v>2580</v>
      </c>
      <c r="L570" s="898" t="s">
        <v>76</v>
      </c>
      <c r="M570" s="891"/>
      <c r="N570" s="891"/>
      <c r="O570" s="891"/>
      <c r="P570" s="891"/>
      <c r="Q570" s="891"/>
      <c r="R570" s="891"/>
      <c r="S570" s="891"/>
      <c r="T570" s="891"/>
      <c r="U570" s="830"/>
      <c r="V570" s="1627"/>
      <c r="W570" s="899">
        <v>230.11500000000001</v>
      </c>
      <c r="X570" s="821"/>
      <c r="Y570" s="825">
        <v>539977.13100000005</v>
      </c>
      <c r="Z570" s="825">
        <v>3489251.3569999998</v>
      </c>
      <c r="AA570" s="824"/>
    </row>
    <row r="571" spans="1:27">
      <c r="A571" s="891"/>
      <c r="B571" s="876"/>
      <c r="C571" s="876"/>
      <c r="D571" s="876">
        <v>383.59899999999999</v>
      </c>
      <c r="E571" s="1627"/>
      <c r="F571" s="821"/>
      <c r="G571" s="876"/>
      <c r="H571" s="876"/>
      <c r="I571" s="888"/>
      <c r="J571" s="891"/>
      <c r="K571" s="876"/>
      <c r="L571" s="898"/>
      <c r="M571" s="891"/>
      <c r="N571" s="891"/>
      <c r="O571" s="891"/>
      <c r="P571" s="891"/>
      <c r="Q571" s="891"/>
      <c r="R571" s="891"/>
      <c r="S571" s="891"/>
      <c r="T571" s="891"/>
      <c r="U571" s="899">
        <v>383.59899999999999</v>
      </c>
      <c r="V571" s="1627"/>
      <c r="W571" s="899"/>
      <c r="X571" s="821"/>
      <c r="Y571" s="876"/>
      <c r="Z571" s="876"/>
      <c r="AA571" s="824"/>
    </row>
    <row r="572" spans="1:27">
      <c r="A572" s="914">
        <f>A570+1</f>
        <v>284</v>
      </c>
      <c r="B572" s="822" t="s">
        <v>2581</v>
      </c>
      <c r="C572" s="822" t="s">
        <v>1277</v>
      </c>
      <c r="D572" s="825"/>
      <c r="E572" s="1627"/>
      <c r="F572" s="818" t="s">
        <v>2582</v>
      </c>
      <c r="G572" s="825">
        <v>540157.52</v>
      </c>
      <c r="H572" s="825">
        <v>3488912.82</v>
      </c>
      <c r="I572" s="888"/>
      <c r="J572" s="914">
        <f>J570+1</f>
        <v>284</v>
      </c>
      <c r="K572" s="822" t="s">
        <v>2581</v>
      </c>
      <c r="L572" s="898" t="s">
        <v>1277</v>
      </c>
      <c r="M572" s="891"/>
      <c r="N572" s="891"/>
      <c r="O572" s="891"/>
      <c r="P572" s="891"/>
      <c r="Q572" s="891"/>
      <c r="R572" s="891"/>
      <c r="S572" s="891"/>
      <c r="T572" s="891"/>
      <c r="U572" s="825"/>
      <c r="V572" s="1627"/>
      <c r="W572" s="899">
        <v>230.15</v>
      </c>
      <c r="X572" s="818" t="s">
        <v>2582</v>
      </c>
      <c r="Y572" s="825">
        <v>540157.52</v>
      </c>
      <c r="Z572" s="825">
        <v>3488912.82</v>
      </c>
      <c r="AA572" s="824"/>
    </row>
    <row r="576" spans="1:27">
      <c r="Z576" s="885">
        <f>101-20</f>
        <v>81</v>
      </c>
    </row>
    <row r="577" spans="26:26">
      <c r="Z577" s="885">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ColWidth="8.7109375" defaultRowHeight="15"/>
  <cols>
    <col min="1" max="1" width="5.42578125" style="885" bestFit="1" customWidth="1"/>
    <col min="2" max="2" width="10.42578125" style="885" customWidth="1"/>
    <col min="3" max="3" width="9.28515625" style="886" customWidth="1"/>
    <col min="4" max="4" width="9.85546875" style="886" customWidth="1"/>
    <col min="5" max="5" width="14.28515625" style="885" bestFit="1" customWidth="1"/>
    <col min="6" max="6" width="13.5703125" style="885" bestFit="1" customWidth="1"/>
    <col min="7" max="7" width="15" style="885" bestFit="1" customWidth="1"/>
    <col min="8" max="8" width="16.42578125" style="885" bestFit="1" customWidth="1"/>
    <col min="9" max="9" width="1.140625" style="885" customWidth="1"/>
    <col min="10" max="10" width="5.140625" style="885" customWidth="1"/>
    <col min="11" max="11" width="9.28515625" style="885" customWidth="1"/>
    <col min="12" max="12" width="11" style="885" customWidth="1"/>
    <col min="13" max="13" width="4.85546875" style="885" customWidth="1"/>
    <col min="14" max="14" width="5.140625" style="885" customWidth="1"/>
    <col min="15" max="15" width="4.85546875" style="885" customWidth="1"/>
    <col min="16" max="16" width="5.140625" style="885" customWidth="1"/>
    <col min="17" max="17" width="4.5703125" style="885" customWidth="1"/>
    <col min="18" max="18" width="5.7109375" style="885" customWidth="1"/>
    <col min="19" max="19" width="4.7109375" style="885" customWidth="1"/>
    <col min="20" max="20" width="6.140625" style="885" bestFit="1" customWidth="1"/>
    <col min="21" max="21" width="12.42578125" style="885" bestFit="1" customWidth="1"/>
    <col min="22" max="22" width="14.140625" style="885" bestFit="1" customWidth="1"/>
    <col min="23" max="23" width="12.5703125" style="885" bestFit="1" customWidth="1"/>
    <col min="24" max="24" width="16.140625" style="885" bestFit="1" customWidth="1"/>
    <col min="25" max="25" width="14.85546875" style="885" bestFit="1" customWidth="1"/>
    <col min="26" max="26" width="16.42578125" style="885" bestFit="1" customWidth="1"/>
    <col min="27" max="27" width="39.7109375" style="887" bestFit="1" customWidth="1"/>
    <col min="28" max="16384" width="8.7109375" style="885"/>
  </cols>
  <sheetData>
    <row r="1" spans="1:27">
      <c r="A1" s="778" t="s">
        <v>2630</v>
      </c>
    </row>
    <row r="2" spans="1:27">
      <c r="A2" s="778" t="s">
        <v>2384</v>
      </c>
    </row>
    <row r="3" spans="1:27" s="781" customFormat="1" ht="27.75" customHeight="1">
      <c r="A3" s="1638" t="s">
        <v>1916</v>
      </c>
      <c r="B3" s="1638"/>
      <c r="C3" s="1638"/>
      <c r="D3" s="1638"/>
      <c r="E3" s="1638"/>
      <c r="F3" s="1638"/>
      <c r="G3" s="1638"/>
      <c r="H3" s="1638"/>
      <c r="I3" s="888"/>
      <c r="J3" s="1638" t="s">
        <v>1917</v>
      </c>
      <c r="K3" s="1638"/>
      <c r="L3" s="1638"/>
      <c r="M3" s="1638"/>
      <c r="N3" s="1638"/>
      <c r="O3" s="1638"/>
      <c r="P3" s="1638"/>
      <c r="Q3" s="1638"/>
      <c r="R3" s="1638"/>
      <c r="S3" s="1638"/>
      <c r="T3" s="1638"/>
      <c r="U3" s="1638"/>
      <c r="V3" s="1638"/>
      <c r="W3" s="1638"/>
      <c r="X3" s="1638"/>
      <c r="Y3" s="1638"/>
      <c r="Z3" s="1638"/>
      <c r="AA3" s="1638"/>
    </row>
    <row r="4" spans="1:27" s="783" customFormat="1" ht="20.100000000000001" customHeight="1">
      <c r="A4" s="1636" t="s">
        <v>1918</v>
      </c>
      <c r="B4" s="1636" t="s">
        <v>1919</v>
      </c>
      <c r="C4" s="1636" t="s">
        <v>1920</v>
      </c>
      <c r="D4" s="1636" t="s">
        <v>1921</v>
      </c>
      <c r="E4" s="1636" t="s">
        <v>1922</v>
      </c>
      <c r="F4" s="1636" t="s">
        <v>1923</v>
      </c>
      <c r="G4" s="1636" t="s">
        <v>1924</v>
      </c>
      <c r="H4" s="1636"/>
      <c r="I4" s="888"/>
      <c r="J4" s="1636" t="s">
        <v>1918</v>
      </c>
      <c r="K4" s="1636" t="s">
        <v>1919</v>
      </c>
      <c r="L4" s="1636" t="s">
        <v>1920</v>
      </c>
      <c r="M4" s="1636" t="s">
        <v>1000</v>
      </c>
      <c r="N4" s="1636"/>
      <c r="O4" s="1636"/>
      <c r="P4" s="1636"/>
      <c r="Q4" s="1636" t="s">
        <v>1925</v>
      </c>
      <c r="R4" s="1636"/>
      <c r="S4" s="1636"/>
      <c r="T4" s="1636"/>
      <c r="U4" s="1637" t="s">
        <v>1921</v>
      </c>
      <c r="V4" s="1637" t="s">
        <v>1922</v>
      </c>
      <c r="W4" s="1639" t="s">
        <v>1926</v>
      </c>
      <c r="X4" s="1636" t="s">
        <v>1923</v>
      </c>
      <c r="Y4" s="1636" t="s">
        <v>1924</v>
      </c>
      <c r="Z4" s="1636"/>
      <c r="AA4" s="1636" t="s">
        <v>1927</v>
      </c>
    </row>
    <row r="5" spans="1:27" s="783" customFormat="1" ht="12" customHeight="1">
      <c r="A5" s="1636"/>
      <c r="B5" s="1636"/>
      <c r="C5" s="1636"/>
      <c r="D5" s="1636"/>
      <c r="E5" s="1636"/>
      <c r="F5" s="1636"/>
      <c r="G5" s="784" t="s">
        <v>1928</v>
      </c>
      <c r="H5" s="784" t="s">
        <v>1929</v>
      </c>
      <c r="I5" s="888"/>
      <c r="J5" s="1636"/>
      <c r="K5" s="1636"/>
      <c r="L5" s="1636"/>
      <c r="M5" s="782" t="s">
        <v>1930</v>
      </c>
      <c r="N5" s="782" t="s">
        <v>1931</v>
      </c>
      <c r="O5" s="782" t="s">
        <v>1932</v>
      </c>
      <c r="P5" s="782" t="s">
        <v>1933</v>
      </c>
      <c r="Q5" s="782" t="s">
        <v>1930</v>
      </c>
      <c r="R5" s="782" t="s">
        <v>1931</v>
      </c>
      <c r="S5" s="782" t="s">
        <v>1932</v>
      </c>
      <c r="T5" s="782" t="s">
        <v>1933</v>
      </c>
      <c r="U5" s="1637"/>
      <c r="V5" s="1637"/>
      <c r="W5" s="1639"/>
      <c r="X5" s="1636"/>
      <c r="Y5" s="784" t="s">
        <v>1928</v>
      </c>
      <c r="Z5" s="784" t="s">
        <v>1929</v>
      </c>
      <c r="AA5" s="1636"/>
    </row>
    <row r="6" spans="1:27" s="783" customFormat="1" ht="12" customHeight="1">
      <c r="A6" s="889">
        <v>1</v>
      </c>
      <c r="B6" s="55" t="s">
        <v>2790</v>
      </c>
      <c r="C6" s="55" t="s">
        <v>1953</v>
      </c>
      <c r="D6" s="55"/>
      <c r="E6" s="55">
        <v>0</v>
      </c>
      <c r="F6" s="55" t="s">
        <v>2791</v>
      </c>
      <c r="G6" s="55">
        <v>515334.46600000001</v>
      </c>
      <c r="H6" s="55">
        <v>3621567.1529999999</v>
      </c>
      <c r="I6" s="888"/>
      <c r="J6" s="889">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38"/>
    </row>
    <row r="7" spans="1:27" s="783" customFormat="1" ht="12" customHeight="1">
      <c r="A7" s="889"/>
      <c r="B7" s="55"/>
      <c r="C7" s="55"/>
      <c r="D7" s="55">
        <v>361.04399999999998</v>
      </c>
      <c r="E7" s="55"/>
      <c r="F7" s="55"/>
      <c r="G7" s="55"/>
      <c r="H7" s="55"/>
      <c r="I7" s="888"/>
      <c r="J7" s="889"/>
      <c r="K7" s="55"/>
      <c r="L7" s="55"/>
      <c r="M7" s="55"/>
      <c r="N7" s="55"/>
      <c r="O7" s="55"/>
      <c r="P7" s="55"/>
      <c r="Q7" s="55"/>
      <c r="R7" s="55"/>
      <c r="S7" s="55"/>
      <c r="T7" s="55"/>
      <c r="U7" s="55">
        <v>340.27699999999999</v>
      </c>
      <c r="V7" s="55"/>
      <c r="W7" s="55"/>
      <c r="X7" s="55"/>
      <c r="Y7" s="55"/>
      <c r="Z7" s="55"/>
      <c r="AA7" s="838"/>
    </row>
    <row r="8" spans="1:27" s="783" customFormat="1" ht="12" customHeight="1">
      <c r="A8" s="889">
        <v>2</v>
      </c>
      <c r="B8" s="55" t="s">
        <v>2792</v>
      </c>
      <c r="C8" s="55" t="s">
        <v>2212</v>
      </c>
      <c r="D8" s="55"/>
      <c r="E8" s="55">
        <f t="shared" ref="E8" si="0">E6+D7</f>
        <v>361.04399999999998</v>
      </c>
      <c r="F8" s="55" t="s">
        <v>2793</v>
      </c>
      <c r="G8" s="55">
        <v>515034.27100000001</v>
      </c>
      <c r="H8" s="55">
        <v>3621767.7420000001</v>
      </c>
      <c r="I8" s="888"/>
      <c r="J8" s="889">
        <v>2</v>
      </c>
      <c r="K8" s="55" t="s">
        <v>2792</v>
      </c>
      <c r="L8" s="55" t="s">
        <v>2212</v>
      </c>
      <c r="M8" s="55">
        <v>0</v>
      </c>
      <c r="N8" s="55">
        <v>0</v>
      </c>
      <c r="O8" s="55">
        <v>0</v>
      </c>
      <c r="P8" s="55">
        <v>0</v>
      </c>
      <c r="Q8" s="754">
        <v>0</v>
      </c>
      <c r="R8" s="754">
        <v>1</v>
      </c>
      <c r="S8" s="754">
        <v>0</v>
      </c>
      <c r="T8" s="754">
        <v>0</v>
      </c>
      <c r="U8" s="55"/>
      <c r="V8" s="755">
        <f t="shared" ref="V8" si="1">V6+U7</f>
        <v>340.27699999999999</v>
      </c>
      <c r="W8" s="55">
        <v>524.98199999999997</v>
      </c>
      <c r="X8" s="55" t="s">
        <v>2809</v>
      </c>
      <c r="Y8" s="55">
        <v>515048.27299999999</v>
      </c>
      <c r="Z8" s="55">
        <v>3621751.2140000002</v>
      </c>
      <c r="AA8" s="838" t="s">
        <v>2810</v>
      </c>
    </row>
    <row r="9" spans="1:27" s="783" customFormat="1" ht="12" customHeight="1">
      <c r="A9" s="889"/>
      <c r="B9" s="55"/>
      <c r="C9" s="55"/>
      <c r="D9" s="55">
        <v>374.11399999999998</v>
      </c>
      <c r="E9" s="55"/>
      <c r="F9" s="55"/>
      <c r="G9" s="55"/>
      <c r="H9" s="55"/>
      <c r="I9" s="888"/>
      <c r="J9" s="889"/>
      <c r="K9" s="55"/>
      <c r="L9" s="55"/>
      <c r="M9" s="55"/>
      <c r="N9" s="55"/>
      <c r="O9" s="55"/>
      <c r="P9" s="55"/>
      <c r="Q9" s="55"/>
      <c r="R9" s="55"/>
      <c r="S9" s="55"/>
      <c r="T9" s="55"/>
      <c r="U9" s="55">
        <v>392.25099999999998</v>
      </c>
      <c r="V9" s="55"/>
      <c r="W9" s="55"/>
      <c r="X9" s="55"/>
      <c r="Y9" s="55"/>
      <c r="Z9" s="55"/>
      <c r="AA9" s="838" t="s">
        <v>2811</v>
      </c>
    </row>
    <row r="10" spans="1:27" s="783" customFormat="1" ht="12" customHeight="1">
      <c r="A10" s="889">
        <v>3</v>
      </c>
      <c r="B10" s="55" t="s">
        <v>2794</v>
      </c>
      <c r="C10" s="55" t="s">
        <v>1995</v>
      </c>
      <c r="D10" s="55"/>
      <c r="E10" s="55">
        <f t="shared" ref="E10" si="2">E8+D9</f>
        <v>735.1579999999999</v>
      </c>
      <c r="F10" s="55" t="s">
        <v>2795</v>
      </c>
      <c r="G10" s="55">
        <v>514878.54399999999</v>
      </c>
      <c r="H10" s="55">
        <v>3622107.9040000001</v>
      </c>
      <c r="I10" s="888"/>
      <c r="J10" s="889">
        <v>3</v>
      </c>
      <c r="K10" s="55" t="s">
        <v>2794</v>
      </c>
      <c r="L10" s="55" t="s">
        <v>1995</v>
      </c>
      <c r="M10" s="55">
        <v>0</v>
      </c>
      <c r="N10" s="55">
        <v>-1.5</v>
      </c>
      <c r="O10" s="55">
        <v>0</v>
      </c>
      <c r="P10" s="55">
        <v>0</v>
      </c>
      <c r="Q10" s="754">
        <v>0</v>
      </c>
      <c r="R10" s="754">
        <v>0</v>
      </c>
      <c r="S10" s="754">
        <v>0</v>
      </c>
      <c r="T10" s="754">
        <v>1</v>
      </c>
      <c r="U10" s="55"/>
      <c r="V10" s="55">
        <f t="shared" ref="V10" si="3">V8+U9</f>
        <v>732.52800000000002</v>
      </c>
      <c r="W10" s="55">
        <v>532.68799999999999</v>
      </c>
      <c r="X10" s="55" t="s">
        <v>2812</v>
      </c>
      <c r="Y10" s="55">
        <v>514869.848</v>
      </c>
      <c r="Z10" s="55">
        <v>3622100.5350000001</v>
      </c>
      <c r="AA10" s="838"/>
    </row>
    <row r="11" spans="1:27" s="783" customFormat="1" ht="12" customHeight="1">
      <c r="A11" s="889"/>
      <c r="B11" s="55"/>
      <c r="C11" s="55"/>
      <c r="D11" s="55">
        <v>148.51</v>
      </c>
      <c r="E11" s="55"/>
      <c r="F11" s="55"/>
      <c r="G11" s="55"/>
      <c r="H11" s="55"/>
      <c r="I11" s="888"/>
      <c r="J11" s="889"/>
      <c r="K11" s="55"/>
      <c r="L11" s="55"/>
      <c r="M11" s="55"/>
      <c r="N11" s="55"/>
      <c r="O11" s="55"/>
      <c r="P11" s="55"/>
      <c r="Q11" s="55"/>
      <c r="R11" s="55"/>
      <c r="S11" s="55"/>
      <c r="T11" s="55"/>
      <c r="U11" s="55">
        <v>144.77000000000001</v>
      </c>
      <c r="V11" s="55"/>
      <c r="W11" s="55"/>
      <c r="X11" s="55"/>
      <c r="Y11" s="55"/>
      <c r="Z11" s="55"/>
      <c r="AA11" s="838"/>
    </row>
    <row r="12" spans="1:27" s="783" customFormat="1" ht="12" customHeight="1">
      <c r="A12" s="889">
        <v>4</v>
      </c>
      <c r="B12" s="55" t="s">
        <v>2796</v>
      </c>
      <c r="C12" s="55" t="s">
        <v>2197</v>
      </c>
      <c r="D12" s="55"/>
      <c r="E12" s="55">
        <f t="shared" ref="E12" si="4">E10+D11</f>
        <v>883.66799999999989</v>
      </c>
      <c r="F12" s="55" t="s">
        <v>2797</v>
      </c>
      <c r="G12" s="55">
        <v>514747.98300000001</v>
      </c>
      <c r="H12" s="55">
        <v>3622178.679</v>
      </c>
      <c r="I12" s="888"/>
      <c r="J12" s="889">
        <v>4</v>
      </c>
      <c r="K12" s="55" t="s">
        <v>2796</v>
      </c>
      <c r="L12" s="55" t="s">
        <v>2197</v>
      </c>
      <c r="M12" s="55">
        <v>0</v>
      </c>
      <c r="N12" s="55">
        <v>0</v>
      </c>
      <c r="O12" s="55">
        <v>0</v>
      </c>
      <c r="P12" s="55">
        <v>0</v>
      </c>
      <c r="Q12" s="754">
        <v>0</v>
      </c>
      <c r="R12" s="754">
        <v>0</v>
      </c>
      <c r="S12" s="754">
        <v>0</v>
      </c>
      <c r="T12" s="754">
        <v>2</v>
      </c>
      <c r="U12" s="55"/>
      <c r="V12" s="55">
        <f t="shared" ref="V12" si="5">V10+U11</f>
        <v>877.298</v>
      </c>
      <c r="W12" s="55">
        <v>535.86</v>
      </c>
      <c r="X12" s="55" t="s">
        <v>2813</v>
      </c>
      <c r="Y12" s="55">
        <v>514747.98</v>
      </c>
      <c r="Z12" s="55">
        <v>3622178.68</v>
      </c>
      <c r="AA12" s="838"/>
    </row>
    <row r="13" spans="1:27" s="783" customFormat="1" ht="12" customHeight="1">
      <c r="A13" s="889"/>
      <c r="B13" s="55"/>
      <c r="C13" s="55"/>
      <c r="D13" s="55">
        <v>195.92599999999999</v>
      </c>
      <c r="E13" s="55"/>
      <c r="F13" s="55"/>
      <c r="G13" s="55"/>
      <c r="H13" s="55"/>
      <c r="I13" s="888"/>
      <c r="J13" s="889"/>
      <c r="K13" s="55"/>
      <c r="L13" s="55"/>
      <c r="M13" s="55"/>
      <c r="N13" s="55"/>
      <c r="O13" s="55"/>
      <c r="P13" s="55"/>
      <c r="Q13" s="55"/>
      <c r="R13" s="55"/>
      <c r="S13" s="55"/>
      <c r="T13" s="55"/>
      <c r="U13" s="55">
        <v>195.92599999999999</v>
      </c>
      <c r="V13" s="55"/>
      <c r="W13" s="55"/>
      <c r="X13" s="55"/>
      <c r="Y13" s="55"/>
      <c r="Z13" s="55"/>
      <c r="AA13" s="838" t="s">
        <v>2814</v>
      </c>
    </row>
    <row r="14" spans="1:27" s="783" customFormat="1" ht="12" customHeight="1">
      <c r="A14" s="889">
        <v>5</v>
      </c>
      <c r="B14" s="55" t="s">
        <v>2798</v>
      </c>
      <c r="C14" s="55" t="s">
        <v>2197</v>
      </c>
      <c r="D14" s="55"/>
      <c r="E14" s="55">
        <f t="shared" ref="E14" si="6">E12+D13</f>
        <v>1079.5939999999998</v>
      </c>
      <c r="F14" s="55" t="s">
        <v>2799</v>
      </c>
      <c r="G14" s="55">
        <v>514564.89199999999</v>
      </c>
      <c r="H14" s="55">
        <v>3622108.932</v>
      </c>
      <c r="I14" s="888"/>
      <c r="J14" s="889">
        <v>5</v>
      </c>
      <c r="K14" s="55" t="s">
        <v>2798</v>
      </c>
      <c r="L14" s="55" t="s">
        <v>2197</v>
      </c>
      <c r="M14" s="55">
        <v>0</v>
      </c>
      <c r="N14" s="55">
        <v>0</v>
      </c>
      <c r="O14" s="55">
        <v>0</v>
      </c>
      <c r="P14" s="55">
        <v>0</v>
      </c>
      <c r="Q14" s="754">
        <v>1</v>
      </c>
      <c r="R14" s="754">
        <v>3</v>
      </c>
      <c r="S14" s="754">
        <v>4</v>
      </c>
      <c r="T14" s="754">
        <v>4</v>
      </c>
      <c r="U14" s="55"/>
      <c r="V14" s="55">
        <f t="shared" ref="V14" si="7">V12+U13</f>
        <v>1073.2239999999999</v>
      </c>
      <c r="W14" s="55">
        <v>532.66</v>
      </c>
      <c r="X14" s="55" t="s">
        <v>2815</v>
      </c>
      <c r="Y14" s="55">
        <v>514564.89</v>
      </c>
      <c r="Z14" s="55">
        <v>3622108.93</v>
      </c>
      <c r="AA14" s="838"/>
    </row>
    <row r="15" spans="1:27" s="783" customFormat="1" ht="12" customHeight="1">
      <c r="A15" s="889"/>
      <c r="B15" s="55"/>
      <c r="C15" s="55"/>
      <c r="D15" s="55">
        <v>194.62700000000001</v>
      </c>
      <c r="E15" s="55"/>
      <c r="F15" s="55"/>
      <c r="G15" s="55"/>
      <c r="H15" s="55"/>
      <c r="I15" s="888"/>
      <c r="J15" s="889"/>
      <c r="K15" s="55"/>
      <c r="L15" s="55"/>
      <c r="M15" s="55"/>
      <c r="N15" s="55"/>
      <c r="O15" s="55"/>
      <c r="P15" s="55"/>
      <c r="Q15" s="55"/>
      <c r="R15" s="55"/>
      <c r="S15" s="55"/>
      <c r="T15" s="55"/>
      <c r="U15" s="55">
        <v>194.62299999999999</v>
      </c>
      <c r="V15" s="55"/>
      <c r="W15" s="55"/>
      <c r="X15" s="55"/>
      <c r="Y15" s="55"/>
      <c r="Z15" s="55"/>
      <c r="AA15" s="838" t="s">
        <v>2816</v>
      </c>
    </row>
    <row r="16" spans="1:27" s="783" customFormat="1" ht="12" customHeight="1">
      <c r="A16" s="889">
        <v>6</v>
      </c>
      <c r="B16" s="55" t="s">
        <v>2800</v>
      </c>
      <c r="C16" s="55" t="s">
        <v>1988</v>
      </c>
      <c r="D16" s="55"/>
      <c r="E16" s="55">
        <f t="shared" ref="E16" si="8">E14+D15</f>
        <v>1274.2209999999998</v>
      </c>
      <c r="F16" s="55" t="s">
        <v>2801</v>
      </c>
      <c r="G16" s="55">
        <v>514377.08899999998</v>
      </c>
      <c r="H16" s="55">
        <v>3622057.8459999999</v>
      </c>
      <c r="I16" s="888"/>
      <c r="J16" s="889">
        <v>6</v>
      </c>
      <c r="K16" s="55" t="s">
        <v>2800</v>
      </c>
      <c r="L16" s="55" t="s">
        <v>1988</v>
      </c>
      <c r="M16" s="55">
        <v>0</v>
      </c>
      <c r="N16" s="55">
        <v>0</v>
      </c>
      <c r="O16" s="55">
        <v>0</v>
      </c>
      <c r="P16" s="55">
        <v>0</v>
      </c>
      <c r="Q16" s="754">
        <v>0</v>
      </c>
      <c r="R16" s="754">
        <v>0</v>
      </c>
      <c r="S16" s="754">
        <v>3</v>
      </c>
      <c r="T16" s="754">
        <v>0</v>
      </c>
      <c r="U16" s="55"/>
      <c r="V16" s="55">
        <f t="shared" ref="V16" si="9">V14+U15</f>
        <v>1267.847</v>
      </c>
      <c r="W16" s="55">
        <v>522.13</v>
      </c>
      <c r="X16" s="55" t="s">
        <v>2817</v>
      </c>
      <c r="Y16" s="55">
        <v>514377.09</v>
      </c>
      <c r="Z16" s="55">
        <v>3622057.85</v>
      </c>
      <c r="AA16" s="838"/>
    </row>
    <row r="17" spans="1:27" s="783" customFormat="1" ht="12" customHeight="1">
      <c r="A17" s="889"/>
      <c r="B17" s="55"/>
      <c r="C17" s="55"/>
      <c r="D17" s="55">
        <v>123.47799999999999</v>
      </c>
      <c r="E17" s="55"/>
      <c r="F17" s="55"/>
      <c r="G17" s="55"/>
      <c r="H17" s="55"/>
      <c r="I17" s="888"/>
      <c r="J17" s="889"/>
      <c r="K17" s="55"/>
      <c r="L17" s="55"/>
      <c r="M17" s="55"/>
      <c r="N17" s="55"/>
      <c r="O17" s="55"/>
      <c r="P17" s="55"/>
      <c r="Q17" s="55"/>
      <c r="R17" s="55"/>
      <c r="S17" s="55"/>
      <c r="T17" s="55"/>
      <c r="U17" s="55">
        <v>123.47799999999999</v>
      </c>
      <c r="V17" s="55"/>
      <c r="W17" s="55"/>
      <c r="X17" s="55"/>
      <c r="Y17" s="55"/>
      <c r="Z17" s="55"/>
      <c r="AA17" s="838"/>
    </row>
    <row r="18" spans="1:27" s="783" customFormat="1" ht="12" customHeight="1">
      <c r="A18" s="889">
        <v>7</v>
      </c>
      <c r="B18" s="55" t="s">
        <v>2802</v>
      </c>
      <c r="C18" s="55" t="s">
        <v>1953</v>
      </c>
      <c r="D18" s="55"/>
      <c r="E18" s="55">
        <f t="shared" ref="E18" si="10">E16+D17</f>
        <v>1397.6989999999998</v>
      </c>
      <c r="F18" s="55" t="s">
        <v>2803</v>
      </c>
      <c r="G18" s="55">
        <v>514271.75900000002</v>
      </c>
      <c r="H18" s="55">
        <v>3622122.2850000001</v>
      </c>
      <c r="I18" s="888"/>
      <c r="J18" s="889">
        <v>7</v>
      </c>
      <c r="K18" s="55" t="s">
        <v>2802</v>
      </c>
      <c r="L18" s="55" t="s">
        <v>1953</v>
      </c>
      <c r="M18" s="55">
        <v>0</v>
      </c>
      <c r="N18" s="55">
        <v>0</v>
      </c>
      <c r="O18" s="55">
        <v>0</v>
      </c>
      <c r="P18" s="55">
        <v>0</v>
      </c>
      <c r="Q18" s="754">
        <v>3</v>
      </c>
      <c r="R18" s="754">
        <v>3</v>
      </c>
      <c r="S18" s="754">
        <v>3</v>
      </c>
      <c r="T18" s="754">
        <v>3</v>
      </c>
      <c r="U18" s="55"/>
      <c r="V18" s="755">
        <f t="shared" ref="V18" si="11">V16+U17</f>
        <v>1391.325</v>
      </c>
      <c r="W18" s="55">
        <v>525.46</v>
      </c>
      <c r="X18" s="55" t="s">
        <v>2803</v>
      </c>
      <c r="Y18" s="55">
        <v>514271.76</v>
      </c>
      <c r="Z18" s="55">
        <v>3622122.29</v>
      </c>
      <c r="AA18" s="838" t="s">
        <v>2818</v>
      </c>
    </row>
    <row r="19" spans="1:27" s="783" customFormat="1" ht="12" customHeight="1">
      <c r="A19" s="889"/>
      <c r="B19" s="55"/>
      <c r="C19" s="55"/>
      <c r="D19" s="55">
        <v>358.13799999999998</v>
      </c>
      <c r="E19" s="55"/>
      <c r="F19" s="55"/>
      <c r="G19" s="55"/>
      <c r="H19" s="55"/>
      <c r="I19" s="888"/>
      <c r="J19" s="889"/>
      <c r="K19" s="55"/>
      <c r="L19" s="55"/>
      <c r="M19" s="55"/>
      <c r="N19" s="55"/>
      <c r="O19" s="55"/>
      <c r="P19" s="55"/>
      <c r="Q19" s="55"/>
      <c r="R19" s="55"/>
      <c r="S19" s="55"/>
      <c r="T19" s="55"/>
      <c r="U19" s="55">
        <v>358.13400000000001</v>
      </c>
      <c r="V19" s="55"/>
      <c r="W19" s="55"/>
      <c r="X19" s="55"/>
      <c r="Y19" s="55"/>
      <c r="Z19" s="55"/>
      <c r="AA19" s="838"/>
    </row>
    <row r="20" spans="1:27" s="783" customFormat="1" ht="12" customHeight="1">
      <c r="A20" s="889">
        <v>8</v>
      </c>
      <c r="B20" s="55" t="s">
        <v>2804</v>
      </c>
      <c r="C20" s="55" t="s">
        <v>1277</v>
      </c>
      <c r="D20" s="55"/>
      <c r="E20" s="55">
        <f t="shared" ref="E20" si="12">E18+D19</f>
        <v>1755.8369999999998</v>
      </c>
      <c r="F20" s="55" t="s">
        <v>2805</v>
      </c>
      <c r="G20" s="55">
        <v>514083.57699999999</v>
      </c>
      <c r="H20" s="55">
        <v>3622426.9989999998</v>
      </c>
      <c r="I20" s="888"/>
      <c r="J20" s="889">
        <v>8</v>
      </c>
      <c r="K20" s="55" t="s">
        <v>2804</v>
      </c>
      <c r="L20" s="55" t="s">
        <v>1277</v>
      </c>
      <c r="M20" s="55">
        <v>0</v>
      </c>
      <c r="N20" s="55">
        <v>-1.5</v>
      </c>
      <c r="O20" s="55">
        <v>0</v>
      </c>
      <c r="P20" s="55">
        <v>1</v>
      </c>
      <c r="Q20" s="754">
        <v>0</v>
      </c>
      <c r="R20" s="754">
        <v>0</v>
      </c>
      <c r="S20" s="754">
        <v>0</v>
      </c>
      <c r="T20" s="754">
        <v>0</v>
      </c>
      <c r="U20" s="55"/>
      <c r="V20" s="55">
        <f t="shared" ref="V20" si="13">V18+U19</f>
        <v>1749.4590000000001</v>
      </c>
      <c r="W20" s="55">
        <v>513.5</v>
      </c>
      <c r="X20" s="55" t="s">
        <v>2819</v>
      </c>
      <c r="Y20" s="55">
        <v>514083.58</v>
      </c>
      <c r="Z20" s="55">
        <v>3622427</v>
      </c>
      <c r="AA20" s="838"/>
    </row>
    <row r="21" spans="1:27" s="783" customFormat="1" ht="12" customHeight="1">
      <c r="A21" s="889"/>
      <c r="B21" s="55"/>
      <c r="C21" s="55"/>
      <c r="D21" s="55">
        <v>195.995</v>
      </c>
      <c r="E21" s="55"/>
      <c r="F21" s="55"/>
      <c r="G21" s="55"/>
      <c r="H21" s="55"/>
      <c r="I21" s="888"/>
      <c r="J21" s="889"/>
      <c r="K21" s="55"/>
      <c r="L21" s="55"/>
      <c r="M21" s="55"/>
      <c r="N21" s="55"/>
      <c r="O21" s="55"/>
      <c r="P21" s="55"/>
      <c r="Q21" s="55"/>
      <c r="R21" s="55"/>
      <c r="S21" s="55"/>
      <c r="T21" s="55"/>
      <c r="U21" s="55">
        <v>195.99</v>
      </c>
      <c r="V21" s="55"/>
      <c r="W21" s="55"/>
      <c r="X21" s="55"/>
      <c r="Y21" s="55"/>
      <c r="Z21" s="55"/>
      <c r="AA21" s="838" t="s">
        <v>2820</v>
      </c>
    </row>
    <row r="22" spans="1:27" s="783" customFormat="1" ht="12" customHeight="1">
      <c r="A22" s="889">
        <v>9</v>
      </c>
      <c r="B22" s="55" t="s">
        <v>2806</v>
      </c>
      <c r="C22" s="55" t="s">
        <v>1319</v>
      </c>
      <c r="D22" s="55"/>
      <c r="E22" s="55">
        <f t="shared" ref="E22" si="14">E20+D21</f>
        <v>1951.8319999999999</v>
      </c>
      <c r="F22" s="55" t="s">
        <v>2807</v>
      </c>
      <c r="G22" s="55">
        <v>514039.03</v>
      </c>
      <c r="H22" s="55">
        <v>3622617.8640000001</v>
      </c>
      <c r="I22" s="888"/>
      <c r="J22" s="889">
        <v>9</v>
      </c>
      <c r="K22" s="55" t="s">
        <v>2806</v>
      </c>
      <c r="L22" s="55" t="s">
        <v>1319</v>
      </c>
      <c r="M22" s="55">
        <v>0</v>
      </c>
      <c r="N22" s="55">
        <v>0</v>
      </c>
      <c r="O22" s="55">
        <v>1.5</v>
      </c>
      <c r="P22" s="55">
        <v>0</v>
      </c>
      <c r="Q22" s="754">
        <v>0</v>
      </c>
      <c r="R22" s="754">
        <v>0</v>
      </c>
      <c r="S22" s="754">
        <v>0</v>
      </c>
      <c r="T22" s="754">
        <v>0</v>
      </c>
      <c r="U22" s="55"/>
      <c r="V22" s="55">
        <f t="shared" ref="V22" si="15">V20+U21</f>
        <v>1945.4490000000001</v>
      </c>
      <c r="W22" s="55">
        <v>519.04999999999995</v>
      </c>
      <c r="X22" s="55"/>
      <c r="Y22" s="55">
        <v>514039.03</v>
      </c>
      <c r="Z22" s="55">
        <v>3622617.86</v>
      </c>
      <c r="AA22" s="838"/>
    </row>
    <row r="23" spans="1:27" s="783" customFormat="1" ht="12" customHeight="1">
      <c r="A23" s="889"/>
      <c r="B23" s="782"/>
      <c r="C23" s="782"/>
      <c r="D23" s="782"/>
      <c r="E23" s="782"/>
      <c r="F23" s="782"/>
      <c r="G23" s="784"/>
      <c r="H23" s="784"/>
      <c r="I23" s="888"/>
      <c r="J23" s="889"/>
      <c r="K23" s="782"/>
      <c r="L23" s="782"/>
      <c r="M23" s="754"/>
      <c r="N23" s="754"/>
      <c r="O23" s="754"/>
      <c r="P23" s="754"/>
      <c r="Q23" s="754"/>
      <c r="R23" s="754"/>
      <c r="S23" s="754"/>
      <c r="T23" s="754"/>
      <c r="U23" s="754">
        <v>402.93799999999999</v>
      </c>
      <c r="V23" s="754"/>
      <c r="W23" s="754"/>
      <c r="X23" s="754"/>
      <c r="Y23" s="754"/>
      <c r="Z23" s="754"/>
      <c r="AA23" s="813" t="s">
        <v>2787</v>
      </c>
    </row>
    <row r="24" spans="1:27" s="783" customFormat="1" ht="12" customHeight="1">
      <c r="A24" s="889"/>
      <c r="B24" s="782"/>
      <c r="C24" s="782"/>
      <c r="D24" s="782"/>
      <c r="E24" s="782"/>
      <c r="F24" s="782"/>
      <c r="G24" s="784"/>
      <c r="H24" s="784"/>
      <c r="I24" s="888"/>
      <c r="J24" s="889"/>
      <c r="K24" s="782"/>
      <c r="L24" s="782"/>
      <c r="M24" s="782"/>
      <c r="N24" s="782"/>
      <c r="O24" s="782"/>
      <c r="P24" s="782"/>
      <c r="Q24" s="782"/>
      <c r="R24" s="782"/>
      <c r="S24" s="782"/>
      <c r="T24" s="782"/>
      <c r="U24" s="869"/>
      <c r="V24" s="869"/>
      <c r="W24" s="870"/>
      <c r="X24" s="782"/>
      <c r="Y24" s="784"/>
      <c r="Z24" s="784"/>
      <c r="AA24" s="883"/>
    </row>
    <row r="25" spans="1:27" s="783" customFormat="1" ht="12" customHeight="1">
      <c r="A25" s="889">
        <f>A22+1</f>
        <v>10</v>
      </c>
      <c r="B25" s="55" t="s">
        <v>2631</v>
      </c>
      <c r="C25" s="55" t="s">
        <v>1319</v>
      </c>
      <c r="D25" s="55"/>
      <c r="E25" s="55">
        <v>0</v>
      </c>
      <c r="F25" s="55" t="s">
        <v>2632</v>
      </c>
      <c r="G25" s="55">
        <v>511950.66600000003</v>
      </c>
      <c r="H25" s="55">
        <v>3623917.5189999999</v>
      </c>
      <c r="I25" s="888"/>
      <c r="J25" s="889">
        <f>J22+1</f>
        <v>10</v>
      </c>
      <c r="K25" s="55" t="s">
        <v>2631</v>
      </c>
      <c r="L25" s="55" t="s">
        <v>1319</v>
      </c>
      <c r="M25" s="55">
        <v>0</v>
      </c>
      <c r="N25" s="55">
        <v>-1.5</v>
      </c>
      <c r="O25" s="55">
        <v>0</v>
      </c>
      <c r="P25" s="55">
        <v>1.5</v>
      </c>
      <c r="Q25" s="754">
        <v>0</v>
      </c>
      <c r="R25" s="754">
        <v>0</v>
      </c>
      <c r="S25" s="754">
        <v>0</v>
      </c>
      <c r="T25" s="754">
        <v>0</v>
      </c>
      <c r="U25" s="55"/>
      <c r="V25" s="755">
        <v>0</v>
      </c>
      <c r="W25" s="55">
        <v>483.84800000000001</v>
      </c>
      <c r="X25" s="55" t="s">
        <v>2660</v>
      </c>
      <c r="Y25" s="55">
        <v>511953.99</v>
      </c>
      <c r="Z25" s="55">
        <v>3623920.0150000001</v>
      </c>
      <c r="AA25" s="838"/>
    </row>
    <row r="26" spans="1:27" s="783" customFormat="1" ht="12" customHeight="1">
      <c r="A26" s="816"/>
      <c r="B26" s="55"/>
      <c r="C26" s="55"/>
      <c r="D26" s="55">
        <v>216.941</v>
      </c>
      <c r="E26" s="55"/>
      <c r="F26" s="55"/>
      <c r="G26" s="55"/>
      <c r="H26" s="55"/>
      <c r="I26" s="888"/>
      <c r="J26" s="816"/>
      <c r="K26" s="55"/>
      <c r="L26" s="55"/>
      <c r="M26" s="55"/>
      <c r="N26" s="55"/>
      <c r="O26" s="55"/>
      <c r="P26" s="55"/>
      <c r="Q26" s="55"/>
      <c r="R26" s="55"/>
      <c r="S26" s="55"/>
      <c r="T26" s="55"/>
      <c r="U26" s="55">
        <v>215.857</v>
      </c>
      <c r="V26" s="55"/>
      <c r="W26" s="55"/>
      <c r="X26" s="55"/>
      <c r="Y26" s="55"/>
      <c r="Z26" s="55"/>
      <c r="AA26" s="838" t="s">
        <v>2661</v>
      </c>
    </row>
    <row r="27" spans="1:27" s="783" customFormat="1" ht="12" customHeight="1">
      <c r="A27" s="884">
        <f>A25+1</f>
        <v>11</v>
      </c>
      <c r="B27" s="55" t="s">
        <v>2633</v>
      </c>
      <c r="C27" s="55" t="s">
        <v>1277</v>
      </c>
      <c r="D27" s="55"/>
      <c r="E27" s="55">
        <f>E25+D26</f>
        <v>216.941</v>
      </c>
      <c r="F27" s="55" t="s">
        <v>2634</v>
      </c>
      <c r="G27" s="55">
        <v>511872.02100000001</v>
      </c>
      <c r="H27" s="55">
        <v>3624119.7030000002</v>
      </c>
      <c r="I27" s="888"/>
      <c r="J27" s="884">
        <f>J25+1</f>
        <v>11</v>
      </c>
      <c r="K27" s="55" t="s">
        <v>2633</v>
      </c>
      <c r="L27" s="55" t="s">
        <v>2662</v>
      </c>
      <c r="M27" s="55">
        <v>0</v>
      </c>
      <c r="N27" s="55">
        <v>0</v>
      </c>
      <c r="O27" s="55">
        <v>0</v>
      </c>
      <c r="P27" s="55">
        <v>3</v>
      </c>
      <c r="Q27" s="754">
        <v>0</v>
      </c>
      <c r="R27" s="754">
        <v>0</v>
      </c>
      <c r="S27" s="754">
        <v>1</v>
      </c>
      <c r="T27" s="754">
        <v>0</v>
      </c>
      <c r="U27" s="55"/>
      <c r="V27" s="55">
        <f>V25+U26</f>
        <v>215.857</v>
      </c>
      <c r="W27" s="55">
        <v>480.27699999999999</v>
      </c>
      <c r="X27" s="55" t="s">
        <v>2663</v>
      </c>
      <c r="Y27" s="55">
        <v>511872.02100000001</v>
      </c>
      <c r="Z27" s="55">
        <v>3624119.7030000002</v>
      </c>
      <c r="AA27" s="838"/>
    </row>
    <row r="28" spans="1:27" s="783" customFormat="1" ht="12" customHeight="1">
      <c r="A28" s="816"/>
      <c r="B28" s="55"/>
      <c r="C28" s="55"/>
      <c r="D28" s="55">
        <v>166.00899999999999</v>
      </c>
      <c r="E28" s="55"/>
      <c r="F28" s="55"/>
      <c r="G28" s="55"/>
      <c r="H28" s="55"/>
      <c r="I28" s="888"/>
      <c r="J28" s="816"/>
      <c r="K28" s="55"/>
      <c r="L28" s="55"/>
      <c r="M28" s="55"/>
      <c r="N28" s="55"/>
      <c r="O28" s="55"/>
      <c r="P28" s="55"/>
      <c r="Q28" s="55"/>
      <c r="R28" s="55"/>
      <c r="S28" s="55"/>
      <c r="T28" s="55"/>
      <c r="U28" s="55">
        <v>166.00899999999999</v>
      </c>
      <c r="V28" s="55"/>
      <c r="W28" s="55"/>
      <c r="X28" s="55"/>
      <c r="Y28" s="55"/>
      <c r="Z28" s="55"/>
      <c r="AA28" s="838" t="s">
        <v>2122</v>
      </c>
    </row>
    <row r="29" spans="1:27" s="783" customFormat="1" ht="12" customHeight="1">
      <c r="A29" s="884">
        <f>A27+1</f>
        <v>12</v>
      </c>
      <c r="B29" s="55" t="s">
        <v>2635</v>
      </c>
      <c r="C29" s="55" t="s">
        <v>1277</v>
      </c>
      <c r="D29" s="55"/>
      <c r="E29" s="55">
        <f>E27+D28</f>
        <v>382.95</v>
      </c>
      <c r="F29" s="55" t="s">
        <v>2636</v>
      </c>
      <c r="G29" s="55">
        <v>511877.62</v>
      </c>
      <c r="H29" s="55">
        <v>3624285.6179999998</v>
      </c>
      <c r="I29" s="888"/>
      <c r="J29" s="884">
        <f>J27+1</f>
        <v>12</v>
      </c>
      <c r="K29" s="55" t="s">
        <v>2635</v>
      </c>
      <c r="L29" s="55" t="s">
        <v>2662</v>
      </c>
      <c r="M29" s="55">
        <v>0</v>
      </c>
      <c r="N29" s="55">
        <v>0</v>
      </c>
      <c r="O29" s="55">
        <v>0</v>
      </c>
      <c r="P29" s="55">
        <v>0</v>
      </c>
      <c r="Q29" s="754">
        <v>0</v>
      </c>
      <c r="R29" s="754">
        <v>0</v>
      </c>
      <c r="S29" s="754">
        <v>0</v>
      </c>
      <c r="T29" s="754">
        <v>0</v>
      </c>
      <c r="U29" s="55"/>
      <c r="V29" s="55">
        <f>V27+U28</f>
        <v>381.86599999999999</v>
      </c>
      <c r="W29" s="55">
        <v>485.36700000000002</v>
      </c>
      <c r="X29" s="55" t="s">
        <v>2664</v>
      </c>
      <c r="Y29" s="55">
        <v>511877.62</v>
      </c>
      <c r="Z29" s="55">
        <v>3624285.6179999998</v>
      </c>
      <c r="AA29" s="838" t="s">
        <v>2665</v>
      </c>
    </row>
    <row r="30" spans="1:27" s="783" customFormat="1" ht="12" customHeight="1">
      <c r="A30" s="816"/>
      <c r="B30" s="55"/>
      <c r="C30" s="55"/>
      <c r="D30" s="55">
        <v>242.696</v>
      </c>
      <c r="E30" s="55"/>
      <c r="F30" s="55"/>
      <c r="G30" s="55"/>
      <c r="H30" s="55"/>
      <c r="I30" s="888"/>
      <c r="J30" s="816"/>
      <c r="K30" s="55"/>
      <c r="L30" s="55"/>
      <c r="M30" s="55"/>
      <c r="N30" s="55"/>
      <c r="O30" s="55"/>
      <c r="P30" s="55"/>
      <c r="Q30" s="55"/>
      <c r="R30" s="55"/>
      <c r="S30" s="55"/>
      <c r="T30" s="55"/>
      <c r="U30" s="55">
        <v>242.696</v>
      </c>
      <c r="V30" s="55"/>
      <c r="W30" s="55"/>
      <c r="X30" s="55"/>
      <c r="Y30" s="55"/>
      <c r="Z30" s="55"/>
      <c r="AA30" s="838" t="s">
        <v>2666</v>
      </c>
    </row>
    <row r="31" spans="1:27" s="783" customFormat="1" ht="12" customHeight="1">
      <c r="A31" s="884">
        <f>A29+1</f>
        <v>13</v>
      </c>
      <c r="B31" s="55" t="s">
        <v>2637</v>
      </c>
      <c r="C31" s="55" t="s">
        <v>2212</v>
      </c>
      <c r="D31" s="55"/>
      <c r="E31" s="55">
        <f t="shared" ref="E31" si="16">E29+D30</f>
        <v>625.64599999999996</v>
      </c>
      <c r="F31" s="55" t="s">
        <v>2638</v>
      </c>
      <c r="G31" s="55">
        <v>511782.16899999999</v>
      </c>
      <c r="H31" s="55">
        <v>3624508.7560000001</v>
      </c>
      <c r="I31" s="888"/>
      <c r="J31" s="884">
        <f>J29+1</f>
        <v>13</v>
      </c>
      <c r="K31" s="55" t="s">
        <v>2637</v>
      </c>
      <c r="L31" s="55" t="s">
        <v>2212</v>
      </c>
      <c r="M31" s="55">
        <v>0</v>
      </c>
      <c r="N31" s="55">
        <v>0</v>
      </c>
      <c r="O31" s="55">
        <v>0</v>
      </c>
      <c r="P31" s="55">
        <v>0</v>
      </c>
      <c r="Q31" s="754">
        <v>2</v>
      </c>
      <c r="R31" s="754">
        <v>2</v>
      </c>
      <c r="S31" s="754">
        <v>3</v>
      </c>
      <c r="T31" s="754">
        <v>2</v>
      </c>
      <c r="U31" s="55"/>
      <c r="V31" s="55">
        <f t="shared" ref="V31" si="17">V29+U30</f>
        <v>624.56200000000001</v>
      </c>
      <c r="W31" s="55">
        <v>486.733</v>
      </c>
      <c r="X31" s="55" t="s">
        <v>2667</v>
      </c>
      <c r="Y31" s="55">
        <v>511782.16899999999</v>
      </c>
      <c r="Z31" s="55">
        <v>3624508.7560000001</v>
      </c>
      <c r="AA31" s="838"/>
    </row>
    <row r="32" spans="1:27" s="783" customFormat="1" ht="12" customHeight="1">
      <c r="A32" s="816"/>
      <c r="B32" s="55"/>
      <c r="C32" s="55"/>
      <c r="D32" s="55">
        <v>202.99199999999999</v>
      </c>
      <c r="E32" s="55"/>
      <c r="F32" s="55"/>
      <c r="G32" s="55"/>
      <c r="H32" s="55"/>
      <c r="I32" s="888"/>
      <c r="J32" s="816"/>
      <c r="K32" s="55"/>
      <c r="L32" s="55"/>
      <c r="M32" s="55"/>
      <c r="N32" s="55"/>
      <c r="O32" s="55"/>
      <c r="P32" s="55"/>
      <c r="Q32" s="55"/>
      <c r="R32" s="55"/>
      <c r="S32" s="55"/>
      <c r="T32" s="55"/>
      <c r="U32" s="55">
        <v>202.99199999999999</v>
      </c>
      <c r="V32" s="55"/>
      <c r="W32" s="55"/>
      <c r="X32" s="55"/>
      <c r="Y32" s="55"/>
      <c r="Z32" s="55"/>
      <c r="AA32" s="838" t="s">
        <v>2668</v>
      </c>
    </row>
    <row r="33" spans="1:27" s="783" customFormat="1" ht="12" customHeight="1">
      <c r="A33" s="884">
        <f>A31+1</f>
        <v>14</v>
      </c>
      <c r="B33" s="55" t="s">
        <v>2639</v>
      </c>
      <c r="C33" s="55" t="s">
        <v>2197</v>
      </c>
      <c r="D33" s="55"/>
      <c r="E33" s="55">
        <f t="shared" ref="E33" si="18">E31+D32</f>
        <v>828.63799999999992</v>
      </c>
      <c r="F33" s="55" t="s">
        <v>2640</v>
      </c>
      <c r="G33" s="55">
        <v>511589.85700000002</v>
      </c>
      <c r="H33" s="55">
        <v>3624573.7319999998</v>
      </c>
      <c r="I33" s="888"/>
      <c r="J33" s="884">
        <f>J31+1</f>
        <v>14</v>
      </c>
      <c r="K33" s="55" t="s">
        <v>2639</v>
      </c>
      <c r="L33" s="55" t="s">
        <v>2197</v>
      </c>
      <c r="M33" s="55">
        <v>0</v>
      </c>
      <c r="N33" s="55">
        <v>0</v>
      </c>
      <c r="O33" s="55">
        <v>0</v>
      </c>
      <c r="P33" s="55">
        <v>0</v>
      </c>
      <c r="Q33" s="754">
        <v>0</v>
      </c>
      <c r="R33" s="754">
        <v>0</v>
      </c>
      <c r="S33" s="754">
        <v>0</v>
      </c>
      <c r="T33" s="754">
        <v>0</v>
      </c>
      <c r="U33" s="55"/>
      <c r="V33" s="755">
        <f t="shared" ref="V33" si="19">V31+U32</f>
        <v>827.55399999999997</v>
      </c>
      <c r="W33" s="55">
        <v>468.88200000000001</v>
      </c>
      <c r="X33" s="55" t="s">
        <v>2640</v>
      </c>
      <c r="Y33" s="55">
        <v>511589.85700000002</v>
      </c>
      <c r="Z33" s="55">
        <v>3624573.7319999998</v>
      </c>
      <c r="AA33" s="838" t="s">
        <v>2665</v>
      </c>
    </row>
    <row r="34" spans="1:27" s="783" customFormat="1" ht="12" customHeight="1">
      <c r="A34" s="816"/>
      <c r="B34" s="55"/>
      <c r="C34" s="55"/>
      <c r="D34" s="55">
        <v>155.69900000000001</v>
      </c>
      <c r="E34" s="55"/>
      <c r="F34" s="55"/>
      <c r="G34" s="55"/>
      <c r="H34" s="55"/>
      <c r="I34" s="888"/>
      <c r="J34" s="816"/>
      <c r="K34" s="55"/>
      <c r="L34" s="55"/>
      <c r="M34" s="55"/>
      <c r="N34" s="55"/>
      <c r="O34" s="55"/>
      <c r="P34" s="55"/>
      <c r="Q34" s="55"/>
      <c r="R34" s="55"/>
      <c r="S34" s="55"/>
      <c r="T34" s="55"/>
      <c r="U34" s="55">
        <v>155.69900000000001</v>
      </c>
      <c r="V34" s="55"/>
      <c r="W34" s="55"/>
      <c r="X34" s="55"/>
      <c r="Y34" s="55"/>
      <c r="Z34" s="55"/>
      <c r="AA34" s="838"/>
    </row>
    <row r="35" spans="1:27" s="783" customFormat="1" ht="12" customHeight="1">
      <c r="A35" s="884">
        <f>A33+1</f>
        <v>15</v>
      </c>
      <c r="B35" s="55" t="s">
        <v>2641</v>
      </c>
      <c r="C35" s="55" t="s">
        <v>2212</v>
      </c>
      <c r="D35" s="55"/>
      <c r="E35" s="55">
        <f t="shared" ref="E35" si="20">E33+D34</f>
        <v>984.33699999999999</v>
      </c>
      <c r="F35" s="55" t="s">
        <v>2642</v>
      </c>
      <c r="G35" s="55">
        <v>511554.995</v>
      </c>
      <c r="H35" s="55">
        <v>3624725.4780000001</v>
      </c>
      <c r="I35" s="888"/>
      <c r="J35" s="884">
        <f>J33+1</f>
        <v>15</v>
      </c>
      <c r="K35" s="55" t="s">
        <v>2641</v>
      </c>
      <c r="L35" s="55" t="s">
        <v>2212</v>
      </c>
      <c r="M35" s="55">
        <v>0</v>
      </c>
      <c r="N35" s="55">
        <v>0</v>
      </c>
      <c r="O35" s="55">
        <v>0</v>
      </c>
      <c r="P35" s="55">
        <v>0</v>
      </c>
      <c r="Q35" s="754">
        <v>0</v>
      </c>
      <c r="R35" s="754">
        <v>0</v>
      </c>
      <c r="S35" s="754">
        <v>0</v>
      </c>
      <c r="T35" s="754">
        <v>0</v>
      </c>
      <c r="U35" s="55"/>
      <c r="V35" s="55">
        <f t="shared" ref="V35" si="21">V33+U34</f>
        <v>983.25299999999993</v>
      </c>
      <c r="W35" s="55">
        <v>468.11599999999999</v>
      </c>
      <c r="X35" s="55" t="s">
        <v>2642</v>
      </c>
      <c r="Y35" s="55">
        <v>511554.995</v>
      </c>
      <c r="Z35" s="55">
        <v>3624725.4780000001</v>
      </c>
      <c r="AA35" s="838"/>
    </row>
    <row r="36" spans="1:27" s="783" customFormat="1" ht="12" customHeight="1">
      <c r="A36" s="816"/>
      <c r="B36" s="55"/>
      <c r="C36" s="55"/>
      <c r="D36" s="55">
        <v>491.50299999999999</v>
      </c>
      <c r="E36" s="55"/>
      <c r="F36" s="55"/>
      <c r="G36" s="55"/>
      <c r="H36" s="55"/>
      <c r="I36" s="888"/>
      <c r="J36" s="816"/>
      <c r="K36" s="55"/>
      <c r="L36" s="55"/>
      <c r="M36" s="55"/>
      <c r="N36" s="55"/>
      <c r="O36" s="55"/>
      <c r="P36" s="55"/>
      <c r="Q36" s="55"/>
      <c r="R36" s="55"/>
      <c r="S36" s="55"/>
      <c r="T36" s="55"/>
      <c r="U36" s="55">
        <v>491.50299999999999</v>
      </c>
      <c r="V36" s="55"/>
      <c r="W36" s="55"/>
      <c r="X36" s="55"/>
      <c r="Y36" s="55"/>
      <c r="Z36" s="55"/>
      <c r="AA36" s="838" t="s">
        <v>2666</v>
      </c>
    </row>
    <row r="37" spans="1:27" s="783" customFormat="1" ht="12" customHeight="1">
      <c r="A37" s="884">
        <f>A35+1</f>
        <v>16</v>
      </c>
      <c r="B37" s="55" t="s">
        <v>2643</v>
      </c>
      <c r="C37" s="55" t="s">
        <v>2212</v>
      </c>
      <c r="D37" s="55"/>
      <c r="E37" s="55">
        <f t="shared" ref="E37" si="22">E35+D36</f>
        <v>1475.84</v>
      </c>
      <c r="F37" s="55" t="s">
        <v>2644</v>
      </c>
      <c r="G37" s="55">
        <v>511816.34100000001</v>
      </c>
      <c r="H37" s="55">
        <v>3625141.7390000001</v>
      </c>
      <c r="I37" s="888"/>
      <c r="J37" s="884">
        <f>J35+1</f>
        <v>16</v>
      </c>
      <c r="K37" s="55" t="s">
        <v>2643</v>
      </c>
      <c r="L37" s="55" t="s">
        <v>2212</v>
      </c>
      <c r="M37" s="55">
        <v>0</v>
      </c>
      <c r="N37" s="55">
        <v>0</v>
      </c>
      <c r="O37" s="55">
        <v>0</v>
      </c>
      <c r="P37" s="55">
        <v>0</v>
      </c>
      <c r="Q37" s="754">
        <v>0</v>
      </c>
      <c r="R37" s="754">
        <v>0</v>
      </c>
      <c r="S37" s="754">
        <v>0</v>
      </c>
      <c r="T37" s="754">
        <v>0</v>
      </c>
      <c r="U37" s="55"/>
      <c r="V37" s="55">
        <f t="shared" ref="V37" si="23">V35+U36</f>
        <v>1474.7559999999999</v>
      </c>
      <c r="W37" s="55">
        <v>482.05200000000002</v>
      </c>
      <c r="X37" s="55" t="s">
        <v>2644</v>
      </c>
      <c r="Y37" s="55">
        <v>511816.34100000001</v>
      </c>
      <c r="Z37" s="55">
        <v>3625141.7390000001</v>
      </c>
      <c r="AA37" s="838" t="s">
        <v>2665</v>
      </c>
    </row>
    <row r="38" spans="1:27" s="783" customFormat="1" ht="12" customHeight="1">
      <c r="A38" s="816"/>
      <c r="B38" s="55"/>
      <c r="C38" s="55"/>
      <c r="D38" s="55">
        <v>136.501</v>
      </c>
      <c r="E38" s="55"/>
      <c r="F38" s="55"/>
      <c r="G38" s="55"/>
      <c r="H38" s="55"/>
      <c r="I38" s="888"/>
      <c r="J38" s="816"/>
      <c r="K38" s="55"/>
      <c r="L38" s="55"/>
      <c r="M38" s="55"/>
      <c r="N38" s="55"/>
      <c r="O38" s="55"/>
      <c r="P38" s="55"/>
      <c r="Q38" s="55"/>
      <c r="R38" s="55"/>
      <c r="S38" s="55"/>
      <c r="T38" s="55"/>
      <c r="U38" s="55">
        <v>136.501</v>
      </c>
      <c r="V38" s="55"/>
      <c r="W38" s="55"/>
      <c r="X38" s="55"/>
      <c r="Y38" s="55"/>
      <c r="Z38" s="55"/>
      <c r="AA38" s="838"/>
    </row>
    <row r="39" spans="1:27" s="783" customFormat="1" ht="12" customHeight="1">
      <c r="A39" s="884">
        <f>A37+1</f>
        <v>17</v>
      </c>
      <c r="B39" s="55" t="s">
        <v>2645</v>
      </c>
      <c r="C39" s="55" t="s">
        <v>1319</v>
      </c>
      <c r="D39" s="55"/>
      <c r="E39" s="55">
        <f t="shared" ref="E39" si="24">E37+D38</f>
        <v>1612.3409999999999</v>
      </c>
      <c r="F39" s="55" t="s">
        <v>2646</v>
      </c>
      <c r="G39" s="55">
        <v>511810.36900000001</v>
      </c>
      <c r="H39" s="55">
        <v>3625278.1090000002</v>
      </c>
      <c r="I39" s="888"/>
      <c r="J39" s="884">
        <f>J37+1</f>
        <v>17</v>
      </c>
      <c r="K39" s="55" t="s">
        <v>2645</v>
      </c>
      <c r="L39" s="55" t="s">
        <v>1319</v>
      </c>
      <c r="M39" s="55">
        <v>0</v>
      </c>
      <c r="N39" s="55">
        <v>0</v>
      </c>
      <c r="O39" s="55">
        <v>0</v>
      </c>
      <c r="P39" s="55">
        <v>0</v>
      </c>
      <c r="Q39" s="754">
        <v>0</v>
      </c>
      <c r="R39" s="754">
        <v>1</v>
      </c>
      <c r="S39" s="754">
        <v>0</v>
      </c>
      <c r="T39" s="754">
        <v>0</v>
      </c>
      <c r="U39" s="55"/>
      <c r="V39" s="55">
        <f t="shared" ref="V39" si="25">V37+U38</f>
        <v>1611.2569999999998</v>
      </c>
      <c r="W39" s="55">
        <v>479.21300000000002</v>
      </c>
      <c r="X39" s="55" t="s">
        <v>2646</v>
      </c>
      <c r="Y39" s="55">
        <v>511810.36900000001</v>
      </c>
      <c r="Z39" s="55">
        <v>3625278.1090000002</v>
      </c>
      <c r="AA39" s="838"/>
    </row>
    <row r="40" spans="1:27" s="783" customFormat="1" ht="12" customHeight="1">
      <c r="A40" s="816"/>
      <c r="B40" s="55"/>
      <c r="C40" s="55"/>
      <c r="D40" s="55">
        <v>122.19499999999999</v>
      </c>
      <c r="E40" s="55"/>
      <c r="F40" s="55"/>
      <c r="G40" s="55"/>
      <c r="H40" s="55"/>
      <c r="I40" s="888"/>
      <c r="J40" s="816"/>
      <c r="K40" s="55"/>
      <c r="L40" s="55"/>
      <c r="M40" s="55"/>
      <c r="N40" s="55"/>
      <c r="O40" s="55"/>
      <c r="P40" s="55"/>
      <c r="Q40" s="55"/>
      <c r="R40" s="55"/>
      <c r="S40" s="55"/>
      <c r="T40" s="55"/>
      <c r="U40" s="55">
        <v>122.19499999999999</v>
      </c>
      <c r="V40" s="55"/>
      <c r="W40" s="55"/>
      <c r="X40" s="55"/>
      <c r="Y40" s="55"/>
      <c r="Z40" s="55"/>
      <c r="AA40" s="838" t="s">
        <v>2116</v>
      </c>
    </row>
    <row r="41" spans="1:27" s="783" customFormat="1" ht="12" customHeight="1">
      <c r="A41" s="884">
        <f>A39+1</f>
        <v>18</v>
      </c>
      <c r="B41" s="55" t="s">
        <v>2647</v>
      </c>
      <c r="C41" s="55" t="s">
        <v>1935</v>
      </c>
      <c r="D41" s="55"/>
      <c r="E41" s="55">
        <f t="shared" ref="E41" si="26">E39+D40</f>
        <v>1734.5359999999998</v>
      </c>
      <c r="F41" s="55" t="s">
        <v>2648</v>
      </c>
      <c r="G41" s="55">
        <v>511713.53499999997</v>
      </c>
      <c r="H41" s="55">
        <v>3625352.639</v>
      </c>
      <c r="I41" s="888"/>
      <c r="J41" s="884">
        <f>J39+1</f>
        <v>18</v>
      </c>
      <c r="K41" s="55" t="s">
        <v>2647</v>
      </c>
      <c r="L41" s="55" t="s">
        <v>1935</v>
      </c>
      <c r="M41" s="55">
        <v>0</v>
      </c>
      <c r="N41" s="55">
        <v>0</v>
      </c>
      <c r="O41" s="55">
        <v>0</v>
      </c>
      <c r="P41" s="55">
        <v>0</v>
      </c>
      <c r="Q41" s="754">
        <v>1</v>
      </c>
      <c r="R41" s="754">
        <v>0</v>
      </c>
      <c r="S41" s="754">
        <v>0</v>
      </c>
      <c r="T41" s="754">
        <v>1</v>
      </c>
      <c r="U41" s="55"/>
      <c r="V41" s="55">
        <f t="shared" ref="V41" si="27">V39+U40</f>
        <v>1733.4519999999998</v>
      </c>
      <c r="W41" s="55">
        <v>476.5</v>
      </c>
      <c r="X41" s="55" t="s">
        <v>2648</v>
      </c>
      <c r="Y41" s="55">
        <v>511713.53499999997</v>
      </c>
      <c r="Z41" s="55">
        <v>3625352.639</v>
      </c>
      <c r="AA41" s="838"/>
    </row>
    <row r="42" spans="1:27" s="783" customFormat="1" ht="12" customHeight="1">
      <c r="A42" s="816"/>
      <c r="B42" s="55"/>
      <c r="C42" s="55"/>
      <c r="D42" s="55">
        <v>185.672</v>
      </c>
      <c r="E42" s="55"/>
      <c r="F42" s="55"/>
      <c r="G42" s="55"/>
      <c r="H42" s="55"/>
      <c r="I42" s="888"/>
      <c r="J42" s="816"/>
      <c r="K42" s="55"/>
      <c r="L42" s="55"/>
      <c r="M42" s="55"/>
      <c r="N42" s="55"/>
      <c r="O42" s="55"/>
      <c r="P42" s="55"/>
      <c r="Q42" s="55"/>
      <c r="R42" s="55"/>
      <c r="S42" s="55"/>
      <c r="T42" s="55"/>
      <c r="U42" s="55">
        <v>185.672</v>
      </c>
      <c r="V42" s="55"/>
      <c r="W42" s="55"/>
      <c r="X42" s="55"/>
      <c r="Y42" s="55"/>
      <c r="Z42" s="55"/>
      <c r="AA42" s="838" t="s">
        <v>2669</v>
      </c>
    </row>
    <row r="43" spans="1:27" s="783" customFormat="1" ht="12" customHeight="1">
      <c r="A43" s="884">
        <f>A41+1</f>
        <v>19</v>
      </c>
      <c r="B43" s="55" t="s">
        <v>2649</v>
      </c>
      <c r="C43" s="55" t="s">
        <v>2212</v>
      </c>
      <c r="D43" s="55"/>
      <c r="E43" s="55">
        <f t="shared" ref="E43" si="28">E41+D42</f>
        <v>1920.2079999999999</v>
      </c>
      <c r="F43" s="55" t="s">
        <v>2650</v>
      </c>
      <c r="G43" s="55">
        <v>511664.337</v>
      </c>
      <c r="H43" s="55">
        <v>3625531.6740000001</v>
      </c>
      <c r="I43" s="888"/>
      <c r="J43" s="884">
        <f>J41+1</f>
        <v>19</v>
      </c>
      <c r="K43" s="55" t="s">
        <v>2649</v>
      </c>
      <c r="L43" s="55" t="s">
        <v>2212</v>
      </c>
      <c r="M43" s="55">
        <v>0</v>
      </c>
      <c r="N43" s="55">
        <v>0</v>
      </c>
      <c r="O43" s="55">
        <v>0</v>
      </c>
      <c r="P43" s="55">
        <v>0</v>
      </c>
      <c r="Q43" s="754">
        <v>0</v>
      </c>
      <c r="R43" s="754">
        <v>0</v>
      </c>
      <c r="S43" s="754">
        <v>0</v>
      </c>
      <c r="T43" s="754">
        <v>0</v>
      </c>
      <c r="U43" s="55"/>
      <c r="V43" s="755">
        <f t="shared" ref="V43" si="29">V41+U42</f>
        <v>1919.1239999999998</v>
      </c>
      <c r="W43" s="55">
        <v>475.57499999999999</v>
      </c>
      <c r="X43" s="55" t="s">
        <v>2650</v>
      </c>
      <c r="Y43" s="55">
        <v>511664.337</v>
      </c>
      <c r="Z43" s="55">
        <v>3625531.6740000001</v>
      </c>
      <c r="AA43" s="838" t="s">
        <v>2665</v>
      </c>
    </row>
    <row r="44" spans="1:27" s="783" customFormat="1" ht="12" customHeight="1">
      <c r="A44" s="816"/>
      <c r="B44" s="55"/>
      <c r="C44" s="55"/>
      <c r="D44" s="55">
        <v>303.56200000000001</v>
      </c>
      <c r="E44" s="55"/>
      <c r="F44" s="55"/>
      <c r="G44" s="55"/>
      <c r="H44" s="55"/>
      <c r="I44" s="888"/>
      <c r="J44" s="816"/>
      <c r="K44" s="55"/>
      <c r="L44" s="55"/>
      <c r="M44" s="55"/>
      <c r="N44" s="55"/>
      <c r="O44" s="55"/>
      <c r="P44" s="55"/>
      <c r="Q44" s="55"/>
      <c r="R44" s="55"/>
      <c r="S44" s="55"/>
      <c r="T44" s="55"/>
      <c r="U44" s="55">
        <v>303.56200000000001</v>
      </c>
      <c r="V44" s="55"/>
      <c r="W44" s="55"/>
      <c r="X44" s="55"/>
      <c r="Y44" s="55"/>
      <c r="Z44" s="55"/>
      <c r="AA44" s="838"/>
    </row>
    <row r="45" spans="1:27" s="783" customFormat="1" ht="12" customHeight="1">
      <c r="A45" s="884">
        <f>A43+1</f>
        <v>20</v>
      </c>
      <c r="B45" s="55" t="s">
        <v>2651</v>
      </c>
      <c r="C45" s="55" t="s">
        <v>1319</v>
      </c>
      <c r="D45" s="55"/>
      <c r="E45" s="55">
        <f t="shared" ref="E45" si="30">E43+D44</f>
        <v>2223.77</v>
      </c>
      <c r="F45" s="55" t="s">
        <v>2652</v>
      </c>
      <c r="G45" s="55">
        <v>511469.58500000002</v>
      </c>
      <c r="H45" s="55">
        <v>3625764.5290000001</v>
      </c>
      <c r="I45" s="888"/>
      <c r="J45" s="884">
        <f>J43+1</f>
        <v>20</v>
      </c>
      <c r="K45" s="55" t="s">
        <v>2651</v>
      </c>
      <c r="L45" s="55" t="s">
        <v>1319</v>
      </c>
      <c r="M45" s="55">
        <v>0</v>
      </c>
      <c r="N45" s="55">
        <v>0</v>
      </c>
      <c r="O45" s="55">
        <v>0</v>
      </c>
      <c r="P45" s="55">
        <v>0</v>
      </c>
      <c r="Q45" s="754">
        <v>0</v>
      </c>
      <c r="R45" s="754">
        <v>0</v>
      </c>
      <c r="S45" s="754">
        <v>1</v>
      </c>
      <c r="T45" s="754">
        <v>0</v>
      </c>
      <c r="U45" s="55"/>
      <c r="V45" s="55">
        <f t="shared" ref="V45" si="31">V43+U44</f>
        <v>2222.6859999999997</v>
      </c>
      <c r="W45" s="55">
        <v>475.00700000000001</v>
      </c>
      <c r="X45" s="55" t="s">
        <v>2652</v>
      </c>
      <c r="Y45" s="55">
        <v>511469.58500000002</v>
      </c>
      <c r="Z45" s="55">
        <v>3625764.5290000001</v>
      </c>
      <c r="AA45" s="838"/>
    </row>
    <row r="46" spans="1:27" s="783" customFormat="1" ht="12" customHeight="1">
      <c r="A46" s="816"/>
      <c r="B46" s="55"/>
      <c r="C46" s="55"/>
      <c r="D46" s="55">
        <v>287.71600000000001</v>
      </c>
      <c r="E46" s="55"/>
      <c r="F46" s="55"/>
      <c r="G46" s="55"/>
      <c r="H46" s="55"/>
      <c r="I46" s="888"/>
      <c r="J46" s="816"/>
      <c r="K46" s="55"/>
      <c r="L46" s="55"/>
      <c r="M46" s="55"/>
      <c r="N46" s="55"/>
      <c r="O46" s="55"/>
      <c r="P46" s="55"/>
      <c r="Q46" s="55"/>
      <c r="R46" s="55"/>
      <c r="S46" s="55"/>
      <c r="T46" s="55"/>
      <c r="U46" s="55">
        <v>287.71600000000001</v>
      </c>
      <c r="V46" s="55"/>
      <c r="W46" s="55"/>
      <c r="X46" s="55"/>
      <c r="Y46" s="55"/>
      <c r="Z46" s="55"/>
      <c r="AA46" s="838" t="s">
        <v>2165</v>
      </c>
    </row>
    <row r="47" spans="1:27" s="783" customFormat="1" ht="12" customHeight="1">
      <c r="A47" s="884">
        <f>A45+1</f>
        <v>21</v>
      </c>
      <c r="B47" s="55" t="s">
        <v>2653</v>
      </c>
      <c r="C47" s="55" t="s">
        <v>1269</v>
      </c>
      <c r="D47" s="55"/>
      <c r="E47" s="55">
        <f t="shared" ref="E47" si="32">E45+D46</f>
        <v>2511.4859999999999</v>
      </c>
      <c r="F47" s="55" t="s">
        <v>2654</v>
      </c>
      <c r="G47" s="55">
        <v>511546.81400000001</v>
      </c>
      <c r="H47" s="55">
        <v>3626041.6860000002</v>
      </c>
      <c r="I47" s="888"/>
      <c r="J47" s="884">
        <f>J45+1</f>
        <v>21</v>
      </c>
      <c r="K47" s="55" t="s">
        <v>2653</v>
      </c>
      <c r="L47" s="55" t="s">
        <v>1269</v>
      </c>
      <c r="M47" s="55">
        <v>0</v>
      </c>
      <c r="N47" s="55">
        <v>0</v>
      </c>
      <c r="O47" s="55">
        <v>0</v>
      </c>
      <c r="P47" s="55">
        <v>0</v>
      </c>
      <c r="Q47" s="754">
        <v>0</v>
      </c>
      <c r="R47" s="754">
        <v>0</v>
      </c>
      <c r="S47" s="754">
        <v>0</v>
      </c>
      <c r="T47" s="754">
        <v>0</v>
      </c>
      <c r="U47" s="55"/>
      <c r="V47" s="55">
        <f t="shared" ref="V47" si="33">V45+U46</f>
        <v>2510.4019999999996</v>
      </c>
      <c r="W47" s="55">
        <v>469.17500000000001</v>
      </c>
      <c r="X47" s="55" t="s">
        <v>2654</v>
      </c>
      <c r="Y47" s="55">
        <v>511546.81400000001</v>
      </c>
      <c r="Z47" s="55">
        <v>3626041.6860000002</v>
      </c>
      <c r="AA47" s="838" t="s">
        <v>2665</v>
      </c>
    </row>
    <row r="48" spans="1:27" s="783" customFormat="1" ht="12" customHeight="1">
      <c r="A48" s="816"/>
      <c r="B48" s="55"/>
      <c r="C48" s="55"/>
      <c r="D48" s="55">
        <v>425.99099999999999</v>
      </c>
      <c r="E48" s="55"/>
      <c r="F48" s="55"/>
      <c r="G48" s="55"/>
      <c r="H48" s="55"/>
      <c r="I48" s="888"/>
      <c r="J48" s="816"/>
      <c r="K48" s="55"/>
      <c r="L48" s="55"/>
      <c r="M48" s="55"/>
      <c r="N48" s="55"/>
      <c r="O48" s="55"/>
      <c r="P48" s="55"/>
      <c r="Q48" s="55"/>
      <c r="R48" s="55"/>
      <c r="S48" s="55"/>
      <c r="T48" s="55"/>
      <c r="U48" s="55">
        <v>425.99099999999999</v>
      </c>
      <c r="V48" s="55"/>
      <c r="W48" s="55"/>
      <c r="X48" s="55"/>
      <c r="Y48" s="55"/>
      <c r="Z48" s="55"/>
      <c r="AA48" s="838"/>
    </row>
    <row r="49" spans="1:27">
      <c r="A49" s="884">
        <f>A47+1</f>
        <v>22</v>
      </c>
      <c r="B49" s="55" t="s">
        <v>2655</v>
      </c>
      <c r="C49" s="55" t="s">
        <v>1277</v>
      </c>
      <c r="D49" s="55"/>
      <c r="E49" s="55">
        <f t="shared" ref="E49" si="34">E47+D48</f>
        <v>2937.4769999999999</v>
      </c>
      <c r="F49" s="55" t="s">
        <v>2656</v>
      </c>
      <c r="G49" s="55">
        <v>511754.875</v>
      </c>
      <c r="H49" s="55">
        <v>3626413.41</v>
      </c>
      <c r="I49" s="888"/>
      <c r="J49" s="884">
        <f>J47+1</f>
        <v>22</v>
      </c>
      <c r="K49" s="55" t="s">
        <v>2655</v>
      </c>
      <c r="L49" s="55" t="s">
        <v>1277</v>
      </c>
      <c r="M49" s="55">
        <v>-1.5</v>
      </c>
      <c r="N49" s="55">
        <v>-1.5</v>
      </c>
      <c r="O49" s="55">
        <v>0</v>
      </c>
      <c r="P49" s="55">
        <v>0</v>
      </c>
      <c r="Q49" s="754">
        <v>0</v>
      </c>
      <c r="R49" s="754">
        <v>0</v>
      </c>
      <c r="S49" s="754">
        <v>0</v>
      </c>
      <c r="T49" s="754">
        <v>0</v>
      </c>
      <c r="U49" s="55"/>
      <c r="V49" s="55">
        <f t="shared" ref="V49" si="35">V47+U48</f>
        <v>2936.3929999999996</v>
      </c>
      <c r="W49" s="55">
        <v>457.97699999999998</v>
      </c>
      <c r="X49" s="55" t="s">
        <v>2656</v>
      </c>
      <c r="Y49" s="55">
        <v>511754.875</v>
      </c>
      <c r="Z49" s="55">
        <v>3626413.41</v>
      </c>
      <c r="AA49" s="838" t="s">
        <v>2670</v>
      </c>
    </row>
    <row r="50" spans="1:27">
      <c r="A50" s="889"/>
      <c r="B50" s="55"/>
      <c r="C50" s="55"/>
      <c r="D50" s="55">
        <v>141.744</v>
      </c>
      <c r="E50" s="55"/>
      <c r="F50" s="55"/>
      <c r="G50" s="55"/>
      <c r="H50" s="55" t="s">
        <v>2848</v>
      </c>
      <c r="I50" s="888"/>
      <c r="J50" s="890"/>
      <c r="K50" s="55"/>
      <c r="L50" s="55"/>
      <c r="M50" s="55"/>
      <c r="N50" s="55"/>
      <c r="O50" s="55"/>
      <c r="P50" s="55"/>
      <c r="Q50" s="55"/>
      <c r="R50" s="55"/>
      <c r="S50" s="55"/>
      <c r="T50" s="55"/>
      <c r="U50" s="55">
        <v>141.744</v>
      </c>
      <c r="V50" s="55"/>
      <c r="W50" s="55"/>
      <c r="X50" s="55"/>
      <c r="Y50" s="55"/>
      <c r="Z50" s="55"/>
      <c r="AA50" s="838"/>
    </row>
    <row r="51" spans="1:27">
      <c r="A51" s="889">
        <f>A49+1</f>
        <v>23</v>
      </c>
      <c r="B51" s="55" t="s">
        <v>2657</v>
      </c>
      <c r="C51" s="55" t="s">
        <v>1277</v>
      </c>
      <c r="D51" s="55"/>
      <c r="E51" s="55">
        <f t="shared" ref="E51" si="36">E49+D50</f>
        <v>3079.221</v>
      </c>
      <c r="F51" s="55" t="s">
        <v>2658</v>
      </c>
      <c r="G51" s="55">
        <v>511873.60200000001</v>
      </c>
      <c r="H51" s="55">
        <v>3626490.8390000002</v>
      </c>
      <c r="I51" s="888"/>
      <c r="J51" s="889">
        <f>J49+1</f>
        <v>23</v>
      </c>
      <c r="K51" s="55" t="s">
        <v>2657</v>
      </c>
      <c r="L51" s="55" t="s">
        <v>1277</v>
      </c>
      <c r="M51" s="55">
        <v>0</v>
      </c>
      <c r="N51" s="55">
        <v>0</v>
      </c>
      <c r="O51" s="55">
        <v>0</v>
      </c>
      <c r="P51" s="55">
        <v>0</v>
      </c>
      <c r="Q51" s="754">
        <v>0</v>
      </c>
      <c r="R51" s="754">
        <v>0</v>
      </c>
      <c r="S51" s="754">
        <v>0</v>
      </c>
      <c r="T51" s="754">
        <v>0</v>
      </c>
      <c r="U51" s="55"/>
      <c r="V51" s="755">
        <f t="shared" ref="V51" si="37">V49+U50</f>
        <v>3078.1369999999997</v>
      </c>
      <c r="W51" s="55">
        <v>458.78399999999999</v>
      </c>
      <c r="X51" s="55" t="s">
        <v>2658</v>
      </c>
      <c r="Y51" s="55">
        <v>511873.60200000001</v>
      </c>
      <c r="Z51" s="55">
        <v>3626490.8390000002</v>
      </c>
      <c r="AA51" s="838" t="s">
        <v>2665</v>
      </c>
    </row>
    <row r="52" spans="1:27">
      <c r="A52" s="889"/>
      <c r="B52" s="55"/>
      <c r="C52" s="55"/>
      <c r="D52" s="55">
        <v>52.345999999999997</v>
      </c>
      <c r="E52" s="55"/>
      <c r="F52" s="55"/>
      <c r="G52" s="55"/>
      <c r="H52" s="55"/>
      <c r="I52" s="888"/>
      <c r="J52" s="891"/>
      <c r="K52" s="55"/>
      <c r="L52" s="55"/>
      <c r="M52" s="55"/>
      <c r="N52" s="55"/>
      <c r="O52" s="55"/>
      <c r="P52" s="55"/>
      <c r="Q52" s="55"/>
      <c r="R52" s="55"/>
      <c r="S52" s="55"/>
      <c r="T52" s="55"/>
      <c r="U52" s="55">
        <v>52.345999999999997</v>
      </c>
      <c r="V52" s="55"/>
      <c r="W52" s="55"/>
      <c r="X52" s="55"/>
      <c r="Y52" s="55"/>
      <c r="Z52" s="55"/>
      <c r="AA52" s="838"/>
    </row>
    <row r="53" spans="1:27">
      <c r="A53" s="889">
        <f>A51+1</f>
        <v>24</v>
      </c>
      <c r="B53" s="55" t="s">
        <v>2659</v>
      </c>
      <c r="C53" s="55" t="s">
        <v>1319</v>
      </c>
      <c r="D53" s="55"/>
      <c r="E53" s="55">
        <f t="shared" ref="E53" si="38">E51+D52</f>
        <v>3131.567</v>
      </c>
      <c r="F53" s="55"/>
      <c r="G53" s="55">
        <v>511907.19400000002</v>
      </c>
      <c r="H53" s="55">
        <v>3626530.9840000002</v>
      </c>
      <c r="I53" s="888"/>
      <c r="J53" s="889">
        <f>J51+1</f>
        <v>24</v>
      </c>
      <c r="K53" s="55" t="s">
        <v>2659</v>
      </c>
      <c r="L53" s="55" t="s">
        <v>1319</v>
      </c>
      <c r="M53" s="55">
        <v>0</v>
      </c>
      <c r="N53" s="55">
        <v>0</v>
      </c>
      <c r="O53" s="55">
        <v>0</v>
      </c>
      <c r="P53" s="55">
        <v>0</v>
      </c>
      <c r="Q53" s="754">
        <v>0</v>
      </c>
      <c r="R53" s="754">
        <v>0</v>
      </c>
      <c r="S53" s="754">
        <v>0</v>
      </c>
      <c r="T53" s="754">
        <v>0</v>
      </c>
      <c r="U53" s="755"/>
      <c r="V53" s="55">
        <f t="shared" ref="V53" si="39">V51+U52</f>
        <v>3130.4829999999997</v>
      </c>
      <c r="W53" s="55">
        <v>458.57799999999997</v>
      </c>
      <c r="X53" s="55"/>
      <c r="Y53" s="55">
        <v>511907.19400000002</v>
      </c>
      <c r="Z53" s="55">
        <v>3626530.9840000002</v>
      </c>
      <c r="AA53" s="838" t="s">
        <v>2665</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4" tint="0.39997558519241921"/>
  </sheetPr>
  <dimension ref="A1:Q127"/>
  <sheetViews>
    <sheetView zoomScale="90" zoomScaleNormal="90" workbookViewId="0">
      <pane ySplit="6" topLeftCell="A111" activePane="bottomLeft" state="frozen"/>
      <selection activeCell="I102" sqref="I102"/>
      <selection pane="bottomLeft" activeCell="M7" sqref="M7:M123"/>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9.42578125" style="648" bestFit="1" customWidth="1"/>
    <col min="7" max="7" width="10.140625" style="648" bestFit="1" customWidth="1"/>
    <col min="8" max="8" width="11.140625" style="648" bestFit="1" customWidth="1"/>
    <col min="9" max="9" width="9.42578125" style="648" bestFit="1" customWidth="1"/>
    <col min="10" max="10" width="12.5703125" style="648" bestFit="1" customWidth="1"/>
    <col min="11" max="11" width="9.42578125" style="648" bestFit="1" customWidth="1"/>
    <col min="12" max="13" width="15.7109375" style="649" customWidth="1"/>
    <col min="14" max="14" width="24.5703125" style="648" customWidth="1"/>
    <col min="15" max="15" width="19.140625" style="650" bestFit="1" customWidth="1"/>
    <col min="16" max="16" width="12.5703125" style="650" bestFit="1" customWidth="1"/>
    <col min="17" max="17" width="33.42578125" style="648" customWidth="1"/>
    <col min="18" max="18" width="7.85546875" style="648" customWidth="1"/>
    <col min="19" max="19" width="12.42578125" style="648" customWidth="1"/>
    <col min="20" max="16384" width="7.85546875" style="648"/>
  </cols>
  <sheetData>
    <row r="1" spans="1:17" ht="12.75">
      <c r="A1" s="645" t="s">
        <v>37</v>
      </c>
      <c r="B1" s="646"/>
      <c r="C1" s="647"/>
      <c r="D1" s="647"/>
      <c r="E1" s="647"/>
      <c r="F1" s="647"/>
      <c r="G1" s="647"/>
      <c r="H1" s="647"/>
      <c r="I1" s="647"/>
      <c r="J1" s="647"/>
      <c r="K1" s="647"/>
      <c r="N1" s="647"/>
      <c r="O1" s="695" t="s">
        <v>38</v>
      </c>
      <c r="P1" s="696">
        <f>'TB-605'!E1</f>
        <v>46246</v>
      </c>
    </row>
    <row r="2" spans="1:17" ht="12.75">
      <c r="A2" s="651" t="s">
        <v>2739</v>
      </c>
      <c r="B2" s="652"/>
      <c r="C2" s="653"/>
      <c r="D2" s="653"/>
      <c r="E2" s="653"/>
      <c r="F2" s="653"/>
      <c r="G2" s="653"/>
      <c r="H2" s="653"/>
      <c r="I2" s="653"/>
      <c r="J2" s="653"/>
      <c r="K2" s="653"/>
      <c r="N2" s="653"/>
    </row>
    <row r="3" spans="1:17" ht="12.75">
      <c r="A3" s="651" t="s">
        <v>642</v>
      </c>
      <c r="B3" s="651"/>
      <c r="C3" s="654"/>
      <c r="D3" s="654"/>
      <c r="E3" s="654"/>
      <c r="F3" s="654"/>
      <c r="G3" s="654"/>
      <c r="H3" s="654"/>
      <c r="I3" s="654"/>
      <c r="J3" s="654"/>
      <c r="K3" s="654"/>
      <c r="N3" s="654"/>
    </row>
    <row r="5" spans="1:17" s="658" customFormat="1" ht="17.45" customHeight="1">
      <c r="A5" s="1645" t="s">
        <v>1782</v>
      </c>
      <c r="B5" s="1645" t="s">
        <v>998</v>
      </c>
      <c r="C5" s="1645" t="s">
        <v>44</v>
      </c>
      <c r="D5" s="1645" t="s">
        <v>45</v>
      </c>
      <c r="E5" s="1645" t="s">
        <v>1761</v>
      </c>
      <c r="F5" s="1645" t="s">
        <v>1441</v>
      </c>
      <c r="G5" s="1647" t="s">
        <v>28</v>
      </c>
      <c r="H5" s="1648"/>
      <c r="I5" s="1648"/>
      <c r="J5" s="1648"/>
      <c r="K5" s="1648"/>
      <c r="L5" s="1649"/>
      <c r="M5" s="1645" t="s">
        <v>609</v>
      </c>
      <c r="N5" s="656" t="s">
        <v>3237</v>
      </c>
      <c r="O5" s="656" t="s">
        <v>1762</v>
      </c>
      <c r="P5" s="657" t="s">
        <v>1763</v>
      </c>
      <c r="Q5" s="657" t="s">
        <v>1764</v>
      </c>
    </row>
    <row r="6" spans="1:17" s="658" customFormat="1" ht="17.45" customHeight="1">
      <c r="A6" s="1646"/>
      <c r="B6" s="1646"/>
      <c r="C6" s="1646"/>
      <c r="D6" s="1646"/>
      <c r="E6" s="1646"/>
      <c r="F6" s="1646"/>
      <c r="G6" s="656" t="s">
        <v>1416</v>
      </c>
      <c r="H6" s="656" t="s">
        <v>2394</v>
      </c>
      <c r="I6" s="656" t="s">
        <v>2368</v>
      </c>
      <c r="J6" s="656" t="s">
        <v>2395</v>
      </c>
      <c r="K6" s="656" t="s">
        <v>2386</v>
      </c>
      <c r="L6" s="941" t="s">
        <v>2396</v>
      </c>
      <c r="M6" s="1646"/>
      <c r="N6" s="656"/>
      <c r="O6" s="656"/>
      <c r="P6" s="657"/>
      <c r="Q6" s="657"/>
    </row>
    <row r="7" spans="1:17" s="655" customFormat="1" ht="30.95" customHeight="1">
      <c r="A7" s="747">
        <v>1</v>
      </c>
      <c r="B7" s="748" t="s">
        <v>1656</v>
      </c>
      <c r="C7" s="747" t="s">
        <v>76</v>
      </c>
      <c r="D7" s="747" t="s">
        <v>1765</v>
      </c>
      <c r="E7" s="779">
        <v>34.389000000000003</v>
      </c>
      <c r="F7" s="749">
        <v>45866</v>
      </c>
      <c r="G7" s="749">
        <v>45876</v>
      </c>
      <c r="H7" s="749">
        <v>45879</v>
      </c>
      <c r="I7" s="749">
        <v>45879</v>
      </c>
      <c r="J7" s="749">
        <v>45879</v>
      </c>
      <c r="K7" s="749">
        <v>45880</v>
      </c>
      <c r="L7" s="749">
        <v>45880</v>
      </c>
      <c r="M7" s="749">
        <v>45994</v>
      </c>
      <c r="N7" s="747" t="s">
        <v>631</v>
      </c>
      <c r="O7" s="747" t="s">
        <v>1783</v>
      </c>
      <c r="P7" s="747">
        <v>8</v>
      </c>
      <c r="Q7" s="750"/>
    </row>
    <row r="8" spans="1:17" s="655" customFormat="1" ht="30.95" customHeight="1">
      <c r="A8" s="747">
        <f t="shared" ref="A8:A16" si="0">A7+1</f>
        <v>2</v>
      </c>
      <c r="B8" s="748" t="s">
        <v>1655</v>
      </c>
      <c r="C8" s="747" t="s">
        <v>76</v>
      </c>
      <c r="D8" s="747" t="s">
        <v>54</v>
      </c>
      <c r="E8" s="779">
        <v>21.318000000000001</v>
      </c>
      <c r="F8" s="749">
        <v>45880</v>
      </c>
      <c r="G8" s="749">
        <v>45890</v>
      </c>
      <c r="H8" s="749">
        <v>45890</v>
      </c>
      <c r="I8" s="749">
        <v>45891</v>
      </c>
      <c r="J8" s="749">
        <v>45891</v>
      </c>
      <c r="K8" s="749">
        <v>45906</v>
      </c>
      <c r="L8" s="749">
        <v>45906</v>
      </c>
      <c r="M8" s="749">
        <v>45994</v>
      </c>
      <c r="N8" s="747" t="s">
        <v>631</v>
      </c>
      <c r="O8" s="747" t="s">
        <v>1783</v>
      </c>
      <c r="P8" s="747">
        <v>5</v>
      </c>
      <c r="Q8" s="750"/>
    </row>
    <row r="9" spans="1:17" s="655" customFormat="1" ht="30.95" hidden="1" customHeight="1">
      <c r="A9" s="747">
        <f t="shared" si="0"/>
        <v>3</v>
      </c>
      <c r="B9" s="748" t="s">
        <v>1654</v>
      </c>
      <c r="C9" s="747" t="s">
        <v>76</v>
      </c>
      <c r="D9" s="747" t="s">
        <v>54</v>
      </c>
      <c r="E9" s="779">
        <v>21.318000000000001</v>
      </c>
      <c r="F9" s="749">
        <v>45900</v>
      </c>
      <c r="G9" s="749">
        <v>45921</v>
      </c>
      <c r="H9" s="749">
        <v>45921</v>
      </c>
      <c r="I9" s="749">
        <v>45922</v>
      </c>
      <c r="J9" s="749">
        <v>45922</v>
      </c>
      <c r="K9" s="749">
        <v>45924</v>
      </c>
      <c r="L9" s="749">
        <v>45924</v>
      </c>
      <c r="M9" s="749"/>
      <c r="N9" s="747" t="s">
        <v>631</v>
      </c>
      <c r="O9" s="747" t="s">
        <v>2186</v>
      </c>
      <c r="P9" s="747">
        <v>12</v>
      </c>
      <c r="Q9" s="856" t="s">
        <v>2723</v>
      </c>
    </row>
    <row r="10" spans="1:17" s="655" customFormat="1" ht="27.6" customHeight="1">
      <c r="A10" s="747">
        <f t="shared" si="0"/>
        <v>4</v>
      </c>
      <c r="B10" s="748" t="s">
        <v>1138</v>
      </c>
      <c r="C10" s="747" t="s">
        <v>1269</v>
      </c>
      <c r="D10" s="747" t="s">
        <v>1765</v>
      </c>
      <c r="E10" s="779">
        <f>65.112+6.59</f>
        <v>71.701999999999998</v>
      </c>
      <c r="F10" s="749">
        <v>45907</v>
      </c>
      <c r="G10" s="749">
        <v>45916</v>
      </c>
      <c r="H10" s="749">
        <v>45918</v>
      </c>
      <c r="I10" s="749">
        <v>45918</v>
      </c>
      <c r="J10" s="749">
        <v>45919</v>
      </c>
      <c r="K10" s="749">
        <v>45920</v>
      </c>
      <c r="L10" s="749">
        <v>45920</v>
      </c>
      <c r="M10" s="749">
        <v>46032</v>
      </c>
      <c r="N10" s="747" t="s">
        <v>631</v>
      </c>
      <c r="O10" s="747" t="s">
        <v>2186</v>
      </c>
      <c r="P10" s="747">
        <v>12</v>
      </c>
      <c r="Q10" s="854"/>
    </row>
    <row r="11" spans="1:17" s="655" customFormat="1" ht="63.75">
      <c r="A11" s="747">
        <f t="shared" si="0"/>
        <v>5</v>
      </c>
      <c r="B11" s="748" t="s">
        <v>1633</v>
      </c>
      <c r="C11" s="747" t="s">
        <v>1361</v>
      </c>
      <c r="D11" s="747" t="s">
        <v>897</v>
      </c>
      <c r="E11" s="779">
        <v>142.44999999999999</v>
      </c>
      <c r="F11" s="749">
        <v>45910</v>
      </c>
      <c r="G11" s="749">
        <v>45982</v>
      </c>
      <c r="H11" s="749">
        <v>45983</v>
      </c>
      <c r="I11" s="749">
        <v>45983</v>
      </c>
      <c r="J11" s="749">
        <v>45983</v>
      </c>
      <c r="K11" s="749">
        <v>45984</v>
      </c>
      <c r="L11" s="749">
        <v>45984</v>
      </c>
      <c r="M11" s="749">
        <v>45998</v>
      </c>
      <c r="N11" s="747" t="s">
        <v>631</v>
      </c>
      <c r="O11" s="747" t="s">
        <v>3074</v>
      </c>
      <c r="P11" s="747">
        <v>12</v>
      </c>
      <c r="Q11" s="854" t="s">
        <v>3111</v>
      </c>
    </row>
    <row r="12" spans="1:17" s="655" customFormat="1" ht="30.6" customHeight="1">
      <c r="A12" s="747">
        <f t="shared" si="0"/>
        <v>6</v>
      </c>
      <c r="B12" s="748" t="s">
        <v>1634</v>
      </c>
      <c r="C12" s="747" t="s">
        <v>1277</v>
      </c>
      <c r="D12" s="747" t="s">
        <v>897</v>
      </c>
      <c r="E12" s="779">
        <f>122.268+12.044</f>
        <v>134.31200000000001</v>
      </c>
      <c r="F12" s="749">
        <v>45911</v>
      </c>
      <c r="G12" s="749">
        <v>45944</v>
      </c>
      <c r="H12" s="749">
        <v>45944</v>
      </c>
      <c r="I12" s="749">
        <v>45944</v>
      </c>
      <c r="J12" s="749">
        <v>45944</v>
      </c>
      <c r="K12" s="749">
        <v>45946</v>
      </c>
      <c r="L12" s="749">
        <v>45946</v>
      </c>
      <c r="M12" s="749">
        <v>45948</v>
      </c>
      <c r="N12" s="937" t="s">
        <v>631</v>
      </c>
      <c r="O12" s="747" t="s">
        <v>2427</v>
      </c>
      <c r="P12" s="747">
        <v>20</v>
      </c>
      <c r="Q12" s="854"/>
    </row>
    <row r="13" spans="1:17" s="655" customFormat="1" ht="76.5">
      <c r="A13" s="747">
        <f t="shared" si="0"/>
        <v>7</v>
      </c>
      <c r="B13" s="748" t="s">
        <v>1657</v>
      </c>
      <c r="C13" s="747" t="s">
        <v>62</v>
      </c>
      <c r="D13" s="747" t="s">
        <v>1765</v>
      </c>
      <c r="E13" s="779"/>
      <c r="F13" s="749">
        <v>45940</v>
      </c>
      <c r="G13" s="749">
        <v>45944</v>
      </c>
      <c r="H13" s="749">
        <v>45944</v>
      </c>
      <c r="I13" s="749">
        <v>45945</v>
      </c>
      <c r="J13" s="749">
        <v>45945</v>
      </c>
      <c r="K13" s="749">
        <v>45946</v>
      </c>
      <c r="L13" s="749">
        <v>45946</v>
      </c>
      <c r="M13" s="749">
        <v>45948</v>
      </c>
      <c r="N13" s="937" t="s">
        <v>631</v>
      </c>
      <c r="O13" s="747" t="s">
        <v>2186</v>
      </c>
      <c r="P13" s="747">
        <v>12</v>
      </c>
      <c r="Q13" s="854" t="s">
        <v>2841</v>
      </c>
    </row>
    <row r="14" spans="1:17" s="655" customFormat="1" ht="39.6" customHeight="1">
      <c r="A14" s="747">
        <f t="shared" si="0"/>
        <v>8</v>
      </c>
      <c r="B14" s="748" t="s">
        <v>1660</v>
      </c>
      <c r="C14" s="747" t="s">
        <v>53</v>
      </c>
      <c r="D14" s="747" t="s">
        <v>2736</v>
      </c>
      <c r="E14" s="779"/>
      <c r="F14" s="749">
        <v>45960</v>
      </c>
      <c r="G14" s="749">
        <v>45983</v>
      </c>
      <c r="H14" s="749">
        <v>45984</v>
      </c>
      <c r="I14" s="749">
        <v>45984</v>
      </c>
      <c r="J14" s="749">
        <v>45985</v>
      </c>
      <c r="K14" s="749">
        <v>45985</v>
      </c>
      <c r="L14" s="749">
        <v>45985</v>
      </c>
      <c r="M14" s="749">
        <v>45987</v>
      </c>
      <c r="N14" s="937" t="s">
        <v>631</v>
      </c>
      <c r="O14" s="747" t="s">
        <v>2862</v>
      </c>
      <c r="P14" s="747">
        <v>9</v>
      </c>
      <c r="Q14" s="854"/>
    </row>
    <row r="15" spans="1:17" s="655" customFormat="1" ht="39.6" customHeight="1">
      <c r="A15" s="747">
        <f t="shared" si="0"/>
        <v>9</v>
      </c>
      <c r="B15" s="748" t="s">
        <v>1116</v>
      </c>
      <c r="C15" s="747" t="s">
        <v>53</v>
      </c>
      <c r="D15" s="747" t="s">
        <v>1765</v>
      </c>
      <c r="E15" s="779"/>
      <c r="F15" s="749">
        <v>45925</v>
      </c>
      <c r="G15" s="749">
        <v>45965</v>
      </c>
      <c r="H15" s="749">
        <v>45968</v>
      </c>
      <c r="I15" s="749">
        <v>45968</v>
      </c>
      <c r="J15" s="749">
        <v>45969</v>
      </c>
      <c r="K15" s="749">
        <v>45971</v>
      </c>
      <c r="L15" s="749">
        <v>45971</v>
      </c>
      <c r="M15" s="749">
        <v>45997</v>
      </c>
      <c r="N15" s="937" t="s">
        <v>631</v>
      </c>
      <c r="O15" s="747" t="s">
        <v>2738</v>
      </c>
      <c r="P15" s="747">
        <v>8</v>
      </c>
      <c r="Q15" s="854"/>
    </row>
    <row r="16" spans="1:17" s="655" customFormat="1" ht="35.450000000000003" customHeight="1">
      <c r="A16" s="747">
        <f t="shared" si="0"/>
        <v>10</v>
      </c>
      <c r="B16" s="748" t="s">
        <v>1652</v>
      </c>
      <c r="C16" s="747" t="s">
        <v>76</v>
      </c>
      <c r="D16" s="747" t="s">
        <v>1765</v>
      </c>
      <c r="E16" s="779"/>
      <c r="F16" s="749">
        <v>45933</v>
      </c>
      <c r="G16" s="749">
        <v>45937</v>
      </c>
      <c r="H16" s="749">
        <v>45939</v>
      </c>
      <c r="I16" s="749">
        <v>45939</v>
      </c>
      <c r="J16" s="749">
        <v>45939</v>
      </c>
      <c r="K16" s="749">
        <v>45940</v>
      </c>
      <c r="L16" s="749">
        <v>45940</v>
      </c>
      <c r="M16" s="749">
        <v>45959</v>
      </c>
      <c r="N16" s="747" t="s">
        <v>631</v>
      </c>
      <c r="O16" s="747" t="s">
        <v>2186</v>
      </c>
      <c r="P16" s="747">
        <v>12</v>
      </c>
      <c r="Q16" s="854" t="s">
        <v>3294</v>
      </c>
    </row>
    <row r="17" spans="1:17" s="655" customFormat="1" ht="39.6" customHeight="1">
      <c r="A17" s="747">
        <v>11</v>
      </c>
      <c r="B17" s="748" t="s">
        <v>1643</v>
      </c>
      <c r="C17" s="747" t="s">
        <v>62</v>
      </c>
      <c r="D17" s="747" t="s">
        <v>1765</v>
      </c>
      <c r="E17" s="779"/>
      <c r="F17" s="749">
        <v>45940</v>
      </c>
      <c r="G17" s="749">
        <v>45957</v>
      </c>
      <c r="H17" s="749">
        <v>45957</v>
      </c>
      <c r="I17" s="749">
        <v>45957</v>
      </c>
      <c r="J17" s="749">
        <v>45957</v>
      </c>
      <c r="K17" s="749">
        <v>45958</v>
      </c>
      <c r="L17" s="749">
        <v>45958</v>
      </c>
      <c r="M17" s="749">
        <v>45981</v>
      </c>
      <c r="N17" s="747" t="s">
        <v>631</v>
      </c>
      <c r="O17" s="747" t="s">
        <v>3210</v>
      </c>
      <c r="P17" s="747">
        <v>5</v>
      </c>
      <c r="Q17" s="854"/>
    </row>
    <row r="18" spans="1:17" s="655" customFormat="1" ht="39.6" customHeight="1">
      <c r="A18" s="747">
        <v>12</v>
      </c>
      <c r="B18" s="748" t="s">
        <v>1631</v>
      </c>
      <c r="C18" s="747" t="s">
        <v>76</v>
      </c>
      <c r="D18" s="747" t="s">
        <v>897</v>
      </c>
      <c r="E18" s="779"/>
      <c r="F18" s="749">
        <v>45948</v>
      </c>
      <c r="G18" s="749">
        <v>45970</v>
      </c>
      <c r="H18" s="749">
        <v>45979</v>
      </c>
      <c r="I18" s="749">
        <v>45980</v>
      </c>
      <c r="J18" s="749">
        <v>45980</v>
      </c>
      <c r="K18" s="749">
        <v>45980</v>
      </c>
      <c r="L18" s="749">
        <v>45980</v>
      </c>
      <c r="M18" s="749">
        <v>45998</v>
      </c>
      <c r="N18" s="747" t="s">
        <v>631</v>
      </c>
      <c r="O18" s="747" t="s">
        <v>2838</v>
      </c>
      <c r="P18" s="747">
        <v>21</v>
      </c>
      <c r="Q18" s="854"/>
    </row>
    <row r="19" spans="1:17" s="655" customFormat="1" ht="38.1" customHeight="1">
      <c r="A19" s="747">
        <v>13</v>
      </c>
      <c r="B19" s="748" t="s">
        <v>1661</v>
      </c>
      <c r="C19" s="747" t="s">
        <v>62</v>
      </c>
      <c r="D19" s="747" t="s">
        <v>2736</v>
      </c>
      <c r="E19" s="779"/>
      <c r="F19" s="749">
        <v>45947</v>
      </c>
      <c r="G19" s="749">
        <v>45957</v>
      </c>
      <c r="H19" s="749">
        <v>45958</v>
      </c>
      <c r="I19" s="749">
        <v>45958</v>
      </c>
      <c r="J19" s="749">
        <v>45959</v>
      </c>
      <c r="K19" s="749">
        <v>45960</v>
      </c>
      <c r="L19" s="749">
        <v>45960</v>
      </c>
      <c r="M19" s="749">
        <v>45981</v>
      </c>
      <c r="N19" s="937" t="s">
        <v>631</v>
      </c>
      <c r="O19" s="747" t="s">
        <v>2427</v>
      </c>
      <c r="P19" s="747">
        <v>24</v>
      </c>
      <c r="Q19" s="854"/>
    </row>
    <row r="20" spans="1:17" s="655" customFormat="1" ht="57" customHeight="1">
      <c r="A20" s="747">
        <v>14</v>
      </c>
      <c r="B20" s="748" t="s">
        <v>1642</v>
      </c>
      <c r="C20" s="747" t="s">
        <v>1361</v>
      </c>
      <c r="D20" s="747" t="s">
        <v>1765</v>
      </c>
      <c r="E20" s="943"/>
      <c r="F20" s="749">
        <v>45948</v>
      </c>
      <c r="G20" s="749">
        <v>45960</v>
      </c>
      <c r="H20" s="749">
        <v>45961</v>
      </c>
      <c r="I20" s="749">
        <v>45961</v>
      </c>
      <c r="J20" s="749">
        <v>45961</v>
      </c>
      <c r="K20" s="749">
        <v>45961</v>
      </c>
      <c r="L20" s="749">
        <v>45961</v>
      </c>
      <c r="M20" s="749">
        <v>45980</v>
      </c>
      <c r="N20" s="937" t="s">
        <v>631</v>
      </c>
      <c r="O20" s="747" t="s">
        <v>3209</v>
      </c>
      <c r="P20" s="747">
        <v>10</v>
      </c>
      <c r="Q20" s="854"/>
    </row>
    <row r="21" spans="1:17" s="655" customFormat="1" ht="38.1" customHeight="1">
      <c r="A21" s="747">
        <v>15</v>
      </c>
      <c r="B21" s="748" t="s">
        <v>1641</v>
      </c>
      <c r="C21" s="747" t="s">
        <v>76</v>
      </c>
      <c r="D21" s="747" t="s">
        <v>1765</v>
      </c>
      <c r="E21" s="943"/>
      <c r="F21" s="749">
        <v>45958</v>
      </c>
      <c r="G21" s="749">
        <v>45960</v>
      </c>
      <c r="H21" s="749">
        <v>45961</v>
      </c>
      <c r="I21" s="749">
        <v>45961</v>
      </c>
      <c r="J21" s="749">
        <v>45961</v>
      </c>
      <c r="K21" s="749">
        <v>45961</v>
      </c>
      <c r="L21" s="749">
        <v>45961</v>
      </c>
      <c r="M21" s="749">
        <v>45970</v>
      </c>
      <c r="N21" s="937" t="s">
        <v>631</v>
      </c>
      <c r="O21" s="747" t="s">
        <v>3209</v>
      </c>
      <c r="P21" s="747">
        <v>19</v>
      </c>
      <c r="Q21" s="854"/>
    </row>
    <row r="22" spans="1:17" s="655" customFormat="1" ht="38.1" customHeight="1">
      <c r="A22" s="747">
        <f t="shared" ref="A22:A32" si="1">A21+1</f>
        <v>16</v>
      </c>
      <c r="B22" s="748" t="s">
        <v>668</v>
      </c>
      <c r="C22" s="747" t="s">
        <v>76</v>
      </c>
      <c r="D22" s="747" t="s">
        <v>2736</v>
      </c>
      <c r="E22" s="779"/>
      <c r="F22" s="749">
        <v>45960</v>
      </c>
      <c r="G22" s="749">
        <v>45968</v>
      </c>
      <c r="H22" s="749">
        <v>45970</v>
      </c>
      <c r="I22" s="749">
        <v>45970</v>
      </c>
      <c r="J22" s="749">
        <v>45971</v>
      </c>
      <c r="K22" s="749">
        <v>45972</v>
      </c>
      <c r="L22" s="749">
        <v>45972</v>
      </c>
      <c r="M22" s="749">
        <v>45972</v>
      </c>
      <c r="N22" s="937" t="s">
        <v>631</v>
      </c>
      <c r="O22" s="747" t="s">
        <v>2427</v>
      </c>
      <c r="P22" s="747">
        <v>12</v>
      </c>
      <c r="Q22" s="854"/>
    </row>
    <row r="23" spans="1:17" s="655" customFormat="1" ht="38.1" customHeight="1">
      <c r="A23" s="747">
        <f t="shared" si="1"/>
        <v>17</v>
      </c>
      <c r="B23" s="748" t="s">
        <v>1644</v>
      </c>
      <c r="C23" s="747" t="s">
        <v>62</v>
      </c>
      <c r="D23" s="747" t="s">
        <v>1765</v>
      </c>
      <c r="E23" s="779"/>
      <c r="F23" s="749">
        <v>45959</v>
      </c>
      <c r="G23" s="749">
        <v>45971</v>
      </c>
      <c r="H23" s="749">
        <v>45973</v>
      </c>
      <c r="I23" s="749">
        <v>45973</v>
      </c>
      <c r="J23" s="749">
        <v>45973</v>
      </c>
      <c r="K23" s="749">
        <v>45974</v>
      </c>
      <c r="L23" s="749">
        <v>45974</v>
      </c>
      <c r="M23" s="749">
        <v>45981</v>
      </c>
      <c r="N23" s="937" t="s">
        <v>631</v>
      </c>
      <c r="O23" s="747" t="s">
        <v>3210</v>
      </c>
      <c r="P23" s="747">
        <v>8</v>
      </c>
      <c r="Q23" s="854"/>
    </row>
    <row r="24" spans="1:17" s="655" customFormat="1" ht="38.1" customHeight="1">
      <c r="A24" s="747">
        <f t="shared" si="1"/>
        <v>18</v>
      </c>
      <c r="B24" s="748" t="s">
        <v>1630</v>
      </c>
      <c r="C24" s="747" t="s">
        <v>76</v>
      </c>
      <c r="D24" s="747" t="s">
        <v>2736</v>
      </c>
      <c r="E24" s="779"/>
      <c r="F24" s="749">
        <v>45967</v>
      </c>
      <c r="G24" s="749">
        <v>45974</v>
      </c>
      <c r="H24" s="749">
        <v>45978</v>
      </c>
      <c r="I24" s="749">
        <v>45978</v>
      </c>
      <c r="J24" s="749">
        <v>45978</v>
      </c>
      <c r="K24" s="749">
        <v>45978</v>
      </c>
      <c r="L24" s="749">
        <v>45978</v>
      </c>
      <c r="M24" s="749">
        <v>45993</v>
      </c>
      <c r="N24" s="937" t="s">
        <v>631</v>
      </c>
      <c r="O24" s="747" t="s">
        <v>2838</v>
      </c>
      <c r="P24" s="747">
        <v>21</v>
      </c>
      <c r="Q24" s="854"/>
    </row>
    <row r="25" spans="1:17" s="655" customFormat="1" ht="38.1" customHeight="1">
      <c r="A25" s="747">
        <f t="shared" si="1"/>
        <v>19</v>
      </c>
      <c r="B25" s="748" t="s">
        <v>963</v>
      </c>
      <c r="C25" s="747" t="s">
        <v>1361</v>
      </c>
      <c r="D25" s="747" t="s">
        <v>2736</v>
      </c>
      <c r="E25" s="779"/>
      <c r="F25" s="749">
        <v>45970</v>
      </c>
      <c r="G25" s="749">
        <v>45991</v>
      </c>
      <c r="H25" s="749">
        <v>45993</v>
      </c>
      <c r="I25" s="749">
        <v>45993</v>
      </c>
      <c r="J25" s="749">
        <v>45994</v>
      </c>
      <c r="K25" s="749">
        <v>45994</v>
      </c>
      <c r="L25" s="749">
        <v>45994</v>
      </c>
      <c r="M25" s="749">
        <v>46006</v>
      </c>
      <c r="N25" s="937" t="s">
        <v>631</v>
      </c>
      <c r="O25" s="747" t="s">
        <v>3095</v>
      </c>
      <c r="P25" s="747">
        <v>15</v>
      </c>
      <c r="Q25" s="854"/>
    </row>
    <row r="26" spans="1:17" s="655" customFormat="1" ht="38.1" customHeight="1">
      <c r="A26" s="747">
        <f t="shared" si="1"/>
        <v>20</v>
      </c>
      <c r="B26" s="748" t="s">
        <v>1639</v>
      </c>
      <c r="C26" s="747" t="s">
        <v>1934</v>
      </c>
      <c r="D26" s="747" t="s">
        <v>1765</v>
      </c>
      <c r="E26" s="779"/>
      <c r="F26" s="749">
        <v>45973</v>
      </c>
      <c r="G26" s="749">
        <v>45986</v>
      </c>
      <c r="H26" s="749">
        <v>45989</v>
      </c>
      <c r="I26" s="749">
        <v>45989</v>
      </c>
      <c r="J26" s="749">
        <v>45990</v>
      </c>
      <c r="K26" s="749">
        <v>45991</v>
      </c>
      <c r="L26" s="749">
        <v>45991</v>
      </c>
      <c r="M26" s="749">
        <v>45995</v>
      </c>
      <c r="N26" s="937" t="s">
        <v>631</v>
      </c>
      <c r="O26" s="747" t="s">
        <v>3209</v>
      </c>
      <c r="P26" s="747">
        <v>8</v>
      </c>
      <c r="Q26" s="854"/>
    </row>
    <row r="27" spans="1:17" s="655" customFormat="1" ht="38.1" customHeight="1">
      <c r="A27" s="747">
        <f t="shared" si="1"/>
        <v>21</v>
      </c>
      <c r="B27" s="748" t="s">
        <v>1140</v>
      </c>
      <c r="C27" s="747" t="s">
        <v>62</v>
      </c>
      <c r="D27" s="747" t="s">
        <v>1765</v>
      </c>
      <c r="E27" s="779"/>
      <c r="F27" s="749">
        <v>45975</v>
      </c>
      <c r="G27" s="749">
        <v>45978</v>
      </c>
      <c r="H27" s="749">
        <v>45983</v>
      </c>
      <c r="I27" s="749">
        <v>45983</v>
      </c>
      <c r="J27" s="749">
        <v>45984</v>
      </c>
      <c r="K27" s="749">
        <v>45984</v>
      </c>
      <c r="L27" s="749">
        <v>45984</v>
      </c>
      <c r="M27" s="749">
        <v>45998</v>
      </c>
      <c r="N27" s="937" t="s">
        <v>631</v>
      </c>
      <c r="O27" s="1041" t="s">
        <v>3096</v>
      </c>
      <c r="P27" s="1643">
        <v>40</v>
      </c>
      <c r="Q27" s="854" t="s">
        <v>3112</v>
      </c>
    </row>
    <row r="28" spans="1:17" s="655" customFormat="1" ht="38.1" customHeight="1">
      <c r="A28" s="747">
        <f t="shared" si="1"/>
        <v>22</v>
      </c>
      <c r="B28" s="748" t="s">
        <v>3052</v>
      </c>
      <c r="C28" s="747" t="s">
        <v>1269</v>
      </c>
      <c r="D28" s="747" t="s">
        <v>897</v>
      </c>
      <c r="E28" s="779"/>
      <c r="F28" s="749">
        <v>45973</v>
      </c>
      <c r="G28" s="749">
        <v>45982</v>
      </c>
      <c r="H28" s="749">
        <v>45983</v>
      </c>
      <c r="I28" s="749">
        <v>45984</v>
      </c>
      <c r="J28" s="749">
        <v>45984</v>
      </c>
      <c r="K28" s="749">
        <v>45987</v>
      </c>
      <c r="L28" s="749">
        <v>45987</v>
      </c>
      <c r="M28" s="749">
        <v>45993</v>
      </c>
      <c r="N28" s="937" t="s">
        <v>631</v>
      </c>
      <c r="O28" s="1041" t="s">
        <v>3096</v>
      </c>
      <c r="P28" s="1644"/>
      <c r="Q28" s="854"/>
    </row>
    <row r="29" spans="1:17" s="655" customFormat="1" ht="38.1" customHeight="1">
      <c r="A29" s="747">
        <f t="shared" si="1"/>
        <v>23</v>
      </c>
      <c r="B29" s="748" t="s">
        <v>1115</v>
      </c>
      <c r="C29" s="747" t="s">
        <v>1269</v>
      </c>
      <c r="D29" s="747" t="s">
        <v>897</v>
      </c>
      <c r="E29" s="779"/>
      <c r="F29" s="749">
        <v>45976</v>
      </c>
      <c r="G29" s="749">
        <v>45997</v>
      </c>
      <c r="H29" s="749">
        <v>45998</v>
      </c>
      <c r="I29" s="749">
        <v>45998</v>
      </c>
      <c r="J29" s="749">
        <v>45999</v>
      </c>
      <c r="K29" s="749">
        <v>111743</v>
      </c>
      <c r="L29" s="749">
        <v>46000</v>
      </c>
      <c r="M29" s="749">
        <v>46002</v>
      </c>
      <c r="N29" s="937" t="s">
        <v>631</v>
      </c>
      <c r="O29" s="747" t="s">
        <v>3210</v>
      </c>
      <c r="P29" s="1025">
        <v>9</v>
      </c>
      <c r="Q29" s="854"/>
    </row>
    <row r="30" spans="1:17" s="655" customFormat="1" ht="38.1" customHeight="1">
      <c r="A30" s="747">
        <f t="shared" si="1"/>
        <v>24</v>
      </c>
      <c r="B30" s="748" t="s">
        <v>1960</v>
      </c>
      <c r="C30" s="747" t="s">
        <v>249</v>
      </c>
      <c r="D30" s="747" t="s">
        <v>2736</v>
      </c>
      <c r="E30" s="779"/>
      <c r="F30" s="749">
        <v>45977</v>
      </c>
      <c r="G30" s="749">
        <v>45989</v>
      </c>
      <c r="H30" s="749">
        <v>45990</v>
      </c>
      <c r="I30" s="749">
        <v>45990</v>
      </c>
      <c r="J30" s="749">
        <v>45990</v>
      </c>
      <c r="K30" s="749">
        <v>45990</v>
      </c>
      <c r="L30" s="749">
        <v>45990</v>
      </c>
      <c r="M30" s="749">
        <v>45996</v>
      </c>
      <c r="N30" s="937" t="s">
        <v>631</v>
      </c>
      <c r="O30" s="1025" t="s">
        <v>3104</v>
      </c>
      <c r="P30" s="1025">
        <v>15</v>
      </c>
      <c r="Q30" s="854"/>
    </row>
    <row r="31" spans="1:17" s="655" customFormat="1" ht="38.1" customHeight="1">
      <c r="A31" s="747">
        <f t="shared" si="1"/>
        <v>25</v>
      </c>
      <c r="B31" s="748" t="s">
        <v>964</v>
      </c>
      <c r="C31" s="747" t="s">
        <v>62</v>
      </c>
      <c r="D31" s="747" t="s">
        <v>1765</v>
      </c>
      <c r="E31" s="779"/>
      <c r="F31" s="749">
        <v>45977</v>
      </c>
      <c r="G31" s="749">
        <v>45990</v>
      </c>
      <c r="H31" s="749">
        <v>45991</v>
      </c>
      <c r="I31" s="749">
        <v>45991</v>
      </c>
      <c r="J31" s="749">
        <v>45991</v>
      </c>
      <c r="K31" s="749">
        <v>45991</v>
      </c>
      <c r="L31" s="749">
        <v>45991</v>
      </c>
      <c r="M31" s="749">
        <v>45997</v>
      </c>
      <c r="N31" s="937" t="s">
        <v>631</v>
      </c>
      <c r="O31" s="1025" t="s">
        <v>3105</v>
      </c>
      <c r="P31" s="1025">
        <v>7</v>
      </c>
      <c r="Q31" s="854"/>
    </row>
    <row r="32" spans="1:17" s="655" customFormat="1" ht="38.1" customHeight="1">
      <c r="A32" s="747">
        <f t="shared" si="1"/>
        <v>26</v>
      </c>
      <c r="B32" s="748" t="s">
        <v>1638</v>
      </c>
      <c r="C32" s="747" t="s">
        <v>76</v>
      </c>
      <c r="D32" s="747" t="s">
        <v>897</v>
      </c>
      <c r="E32" s="779"/>
      <c r="F32" s="749">
        <v>45984</v>
      </c>
      <c r="G32" s="749">
        <v>46002</v>
      </c>
      <c r="H32" s="749">
        <v>46002</v>
      </c>
      <c r="I32" s="749">
        <v>46004</v>
      </c>
      <c r="J32" s="749">
        <v>46004</v>
      </c>
      <c r="K32" s="749">
        <v>46004</v>
      </c>
      <c r="L32" s="749">
        <v>46004</v>
      </c>
      <c r="M32" s="749">
        <v>46007</v>
      </c>
      <c r="N32" s="937" t="s">
        <v>631</v>
      </c>
      <c r="O32" s="1025" t="s">
        <v>2838</v>
      </c>
      <c r="P32" s="1025">
        <v>9</v>
      </c>
      <c r="Q32" s="854"/>
    </row>
    <row r="33" spans="1:17" s="655" customFormat="1" ht="38.1" customHeight="1">
      <c r="A33" s="747">
        <f t="shared" ref="A33:A53" si="2">A32+1</f>
        <v>27</v>
      </c>
      <c r="B33" s="748" t="s">
        <v>1635</v>
      </c>
      <c r="C33" s="747" t="s">
        <v>76</v>
      </c>
      <c r="D33" s="747" t="s">
        <v>2736</v>
      </c>
      <c r="E33" s="779"/>
      <c r="F33" s="749">
        <v>45986</v>
      </c>
      <c r="G33" s="749">
        <v>45996</v>
      </c>
      <c r="H33" s="749">
        <v>45997</v>
      </c>
      <c r="I33" s="749">
        <v>45997</v>
      </c>
      <c r="J33" s="749">
        <v>45997</v>
      </c>
      <c r="K33" s="749">
        <v>45997</v>
      </c>
      <c r="L33" s="749">
        <v>45997</v>
      </c>
      <c r="M33" s="749">
        <v>45998</v>
      </c>
      <c r="N33" s="937" t="s">
        <v>631</v>
      </c>
      <c r="O33" s="1025" t="s">
        <v>3074</v>
      </c>
      <c r="P33" s="1025">
        <v>12</v>
      </c>
      <c r="Q33" s="854"/>
    </row>
    <row r="34" spans="1:17" s="655" customFormat="1" ht="35.450000000000003" customHeight="1">
      <c r="A34" s="747">
        <f t="shared" si="2"/>
        <v>28</v>
      </c>
      <c r="B34" s="748" t="s">
        <v>3048</v>
      </c>
      <c r="C34" s="747" t="s">
        <v>1402</v>
      </c>
      <c r="D34" s="747" t="s">
        <v>1765</v>
      </c>
      <c r="E34" s="779"/>
      <c r="F34" s="749">
        <v>45988</v>
      </c>
      <c r="G34" s="749">
        <v>45989</v>
      </c>
      <c r="H34" s="749">
        <v>45992</v>
      </c>
      <c r="I34" s="749">
        <v>45992</v>
      </c>
      <c r="J34" s="749">
        <v>45992</v>
      </c>
      <c r="K34" s="749">
        <v>45995</v>
      </c>
      <c r="L34" s="749">
        <v>45995</v>
      </c>
      <c r="M34" s="749">
        <v>45994</v>
      </c>
      <c r="N34" s="937" t="s">
        <v>631</v>
      </c>
      <c r="O34" s="747" t="s">
        <v>2427</v>
      </c>
      <c r="P34" s="1025">
        <v>35</v>
      </c>
      <c r="Q34" s="854"/>
    </row>
    <row r="35" spans="1:17" s="655" customFormat="1" ht="38.1" customHeight="1">
      <c r="A35" s="747">
        <f t="shared" si="2"/>
        <v>29</v>
      </c>
      <c r="B35" s="748" t="s">
        <v>658</v>
      </c>
      <c r="C35" s="747" t="s">
        <v>76</v>
      </c>
      <c r="D35" s="747" t="s">
        <v>2736</v>
      </c>
      <c r="E35" s="779"/>
      <c r="F35" s="749">
        <v>45988</v>
      </c>
      <c r="G35" s="749">
        <v>46000</v>
      </c>
      <c r="H35" s="749">
        <v>46001</v>
      </c>
      <c r="I35" s="749">
        <v>46001</v>
      </c>
      <c r="J35" s="749">
        <v>46001</v>
      </c>
      <c r="K35" s="749">
        <v>46003</v>
      </c>
      <c r="L35" s="749">
        <v>46003</v>
      </c>
      <c r="M35" s="749">
        <v>46007</v>
      </c>
      <c r="N35" s="937" t="s">
        <v>631</v>
      </c>
      <c r="O35" s="1025" t="s">
        <v>2862</v>
      </c>
      <c r="P35" s="1025">
        <v>8</v>
      </c>
      <c r="Q35" s="854"/>
    </row>
    <row r="36" spans="1:17" s="655" customFormat="1" ht="38.1" customHeight="1">
      <c r="A36" s="747">
        <f t="shared" si="2"/>
        <v>30</v>
      </c>
      <c r="B36" s="748" t="s">
        <v>1646</v>
      </c>
      <c r="C36" s="747" t="s">
        <v>62</v>
      </c>
      <c r="D36" s="747" t="s">
        <v>897</v>
      </c>
      <c r="E36" s="779"/>
      <c r="F36" s="749">
        <v>45991</v>
      </c>
      <c r="G36" s="749">
        <v>46019</v>
      </c>
      <c r="H36" s="749">
        <v>46021</v>
      </c>
      <c r="I36" s="749">
        <v>46022</v>
      </c>
      <c r="J36" s="749">
        <v>46022</v>
      </c>
      <c r="K36" s="749">
        <v>46022</v>
      </c>
      <c r="L36" s="749">
        <v>46022</v>
      </c>
      <c r="M36" s="749">
        <v>46029</v>
      </c>
      <c r="N36" s="937" t="s">
        <v>631</v>
      </c>
      <c r="O36" s="1025" t="s">
        <v>3133</v>
      </c>
      <c r="P36" s="1025">
        <v>7</v>
      </c>
      <c r="Q36" s="854" t="s">
        <v>3242</v>
      </c>
    </row>
    <row r="37" spans="1:17" s="655" customFormat="1" ht="42.95" customHeight="1">
      <c r="A37" s="747">
        <f t="shared" si="2"/>
        <v>31</v>
      </c>
      <c r="B37" s="748" t="s">
        <v>1651</v>
      </c>
      <c r="C37" s="747" t="s">
        <v>1953</v>
      </c>
      <c r="D37" s="747" t="s">
        <v>1765</v>
      </c>
      <c r="E37" s="779"/>
      <c r="F37" s="749">
        <v>45994</v>
      </c>
      <c r="G37" s="749">
        <v>45997</v>
      </c>
      <c r="H37" s="749">
        <v>45998</v>
      </c>
      <c r="I37" s="749">
        <v>45999</v>
      </c>
      <c r="J37" s="749">
        <v>46000</v>
      </c>
      <c r="K37" s="749">
        <v>46001</v>
      </c>
      <c r="L37" s="749">
        <v>46001</v>
      </c>
      <c r="M37" s="749">
        <v>46003</v>
      </c>
      <c r="N37" s="937" t="s">
        <v>631</v>
      </c>
      <c r="O37" s="747" t="s">
        <v>2427</v>
      </c>
      <c r="P37" s="1025">
        <v>28</v>
      </c>
      <c r="Q37" s="854"/>
    </row>
    <row r="38" spans="1:17" s="655" customFormat="1" ht="38.1" customHeight="1">
      <c r="A38" s="747">
        <f t="shared" si="2"/>
        <v>32</v>
      </c>
      <c r="B38" s="748" t="s">
        <v>1647</v>
      </c>
      <c r="C38" s="747" t="s">
        <v>62</v>
      </c>
      <c r="D38" s="747" t="s">
        <v>897</v>
      </c>
      <c r="E38" s="780"/>
      <c r="F38" s="749">
        <v>45994</v>
      </c>
      <c r="G38" s="749">
        <v>46011</v>
      </c>
      <c r="H38" s="749">
        <v>46012</v>
      </c>
      <c r="I38" s="749">
        <v>46012</v>
      </c>
      <c r="J38" s="749">
        <v>46012</v>
      </c>
      <c r="K38" s="749">
        <v>46012</v>
      </c>
      <c r="L38" s="749">
        <v>46012</v>
      </c>
      <c r="M38" s="749">
        <v>46105</v>
      </c>
      <c r="N38" s="937" t="s">
        <v>631</v>
      </c>
      <c r="O38" s="1025" t="s">
        <v>2838</v>
      </c>
      <c r="P38" s="1025">
        <v>20</v>
      </c>
      <c r="Q38" s="854"/>
    </row>
    <row r="39" spans="1:17" s="655" customFormat="1" ht="38.1" customHeight="1">
      <c r="A39" s="747">
        <f t="shared" si="2"/>
        <v>33</v>
      </c>
      <c r="B39" s="748" t="s">
        <v>965</v>
      </c>
      <c r="C39" s="747" t="s">
        <v>76</v>
      </c>
      <c r="D39" s="747" t="s">
        <v>897</v>
      </c>
      <c r="E39" s="779"/>
      <c r="F39" s="749">
        <v>45996</v>
      </c>
      <c r="G39" s="749">
        <v>46003</v>
      </c>
      <c r="H39" s="749">
        <v>46003</v>
      </c>
      <c r="I39" s="749">
        <v>46004</v>
      </c>
      <c r="J39" s="749">
        <v>46004</v>
      </c>
      <c r="K39" s="749">
        <v>46004</v>
      </c>
      <c r="L39" s="749">
        <v>46004</v>
      </c>
      <c r="M39" s="749">
        <v>46006</v>
      </c>
      <c r="N39" s="937" t="s">
        <v>631</v>
      </c>
      <c r="O39" s="1025" t="s">
        <v>3095</v>
      </c>
      <c r="P39" s="1025">
        <v>17</v>
      </c>
      <c r="Q39" s="854"/>
    </row>
    <row r="40" spans="1:17" s="655" customFormat="1" ht="38.1" customHeight="1">
      <c r="A40" s="747">
        <f t="shared" si="2"/>
        <v>34</v>
      </c>
      <c r="B40" s="748" t="s">
        <v>1959</v>
      </c>
      <c r="C40" s="747" t="s">
        <v>76</v>
      </c>
      <c r="D40" s="747" t="s">
        <v>897</v>
      </c>
      <c r="E40" s="779"/>
      <c r="F40" s="749">
        <v>45996</v>
      </c>
      <c r="G40" s="749">
        <v>46009</v>
      </c>
      <c r="H40" s="749">
        <v>46010</v>
      </c>
      <c r="I40" s="749">
        <v>46010</v>
      </c>
      <c r="J40" s="749">
        <v>46010</v>
      </c>
      <c r="K40" s="749">
        <v>46010</v>
      </c>
      <c r="L40" s="749">
        <v>46010</v>
      </c>
      <c r="M40" s="749">
        <v>46014</v>
      </c>
      <c r="N40" s="937" t="s">
        <v>631</v>
      </c>
      <c r="O40" s="1025" t="s">
        <v>3104</v>
      </c>
      <c r="P40" s="1025">
        <v>15</v>
      </c>
      <c r="Q40" s="854"/>
    </row>
    <row r="41" spans="1:17" s="655" customFormat="1" ht="38.1" customHeight="1">
      <c r="A41" s="747">
        <f t="shared" si="2"/>
        <v>35</v>
      </c>
      <c r="B41" s="748" t="s">
        <v>3053</v>
      </c>
      <c r="C41" s="747" t="s">
        <v>1277</v>
      </c>
      <c r="D41" s="747" t="s">
        <v>897</v>
      </c>
      <c r="E41" s="779"/>
      <c r="F41" s="749">
        <v>46000</v>
      </c>
      <c r="G41" s="749">
        <v>46019</v>
      </c>
      <c r="H41" s="749">
        <v>46022</v>
      </c>
      <c r="I41" s="749">
        <v>46022</v>
      </c>
      <c r="J41" s="749">
        <v>46022</v>
      </c>
      <c r="K41" s="749">
        <v>46022</v>
      </c>
      <c r="L41" s="749">
        <v>46022</v>
      </c>
      <c r="M41" s="749">
        <v>46007</v>
      </c>
      <c r="N41" s="937" t="s">
        <v>631</v>
      </c>
      <c r="O41" s="1025" t="s">
        <v>2186</v>
      </c>
      <c r="P41" s="1025">
        <v>8</v>
      </c>
      <c r="Q41" s="854" t="s">
        <v>3240</v>
      </c>
    </row>
    <row r="42" spans="1:17" s="655" customFormat="1" ht="38.1" customHeight="1">
      <c r="A42" s="1042">
        <f t="shared" si="2"/>
        <v>36</v>
      </c>
      <c r="B42" s="1043" t="s">
        <v>3039</v>
      </c>
      <c r="C42" s="1042" t="s">
        <v>1277</v>
      </c>
      <c r="D42" s="1042" t="s">
        <v>897</v>
      </c>
      <c r="E42" s="943"/>
      <c r="F42" s="1044">
        <v>46001</v>
      </c>
      <c r="G42" s="1044">
        <v>46013</v>
      </c>
      <c r="H42" s="1044">
        <v>46014</v>
      </c>
      <c r="I42" s="1044">
        <v>46014</v>
      </c>
      <c r="J42" s="1044">
        <v>46014</v>
      </c>
      <c r="K42" s="1044">
        <v>46015</v>
      </c>
      <c r="L42" s="1044">
        <v>46015</v>
      </c>
      <c r="M42" s="1044">
        <v>46012</v>
      </c>
      <c r="N42" s="1045" t="s">
        <v>631</v>
      </c>
      <c r="O42" s="1055" t="s">
        <v>3074</v>
      </c>
      <c r="P42" s="1055">
        <v>12</v>
      </c>
      <c r="Q42" s="1046"/>
    </row>
    <row r="43" spans="1:17" s="655" customFormat="1" ht="38.1" customHeight="1">
      <c r="A43" s="1042">
        <f t="shared" si="2"/>
        <v>37</v>
      </c>
      <c r="B43" s="1043" t="s">
        <v>3063</v>
      </c>
      <c r="C43" s="1042" t="s">
        <v>1995</v>
      </c>
      <c r="D43" s="1042" t="s">
        <v>1765</v>
      </c>
      <c r="E43" s="943"/>
      <c r="F43" s="1044">
        <v>46002</v>
      </c>
      <c r="G43" s="1044">
        <v>46011</v>
      </c>
      <c r="H43" s="1044">
        <v>46012</v>
      </c>
      <c r="I43" s="1044">
        <v>46014</v>
      </c>
      <c r="J43" s="1044">
        <v>46014</v>
      </c>
      <c r="K43" s="1044">
        <v>46016</v>
      </c>
      <c r="L43" s="1044">
        <v>46016</v>
      </c>
      <c r="M43" s="1044">
        <v>46025</v>
      </c>
      <c r="N43" s="1045" t="s">
        <v>631</v>
      </c>
      <c r="O43" s="1055" t="s">
        <v>3105</v>
      </c>
      <c r="P43" s="1055">
        <v>16</v>
      </c>
      <c r="Q43" s="1046"/>
    </row>
    <row r="44" spans="1:17" s="655" customFormat="1" ht="38.1" customHeight="1">
      <c r="A44" s="1042">
        <f t="shared" si="2"/>
        <v>38</v>
      </c>
      <c r="B44" s="1043" t="s">
        <v>3065</v>
      </c>
      <c r="C44" s="1042" t="s">
        <v>1269</v>
      </c>
      <c r="D44" s="1042" t="s">
        <v>1765</v>
      </c>
      <c r="E44" s="943"/>
      <c r="F44" s="1044">
        <v>46003</v>
      </c>
      <c r="G44" s="1044">
        <v>46011</v>
      </c>
      <c r="H44" s="1044">
        <v>46013</v>
      </c>
      <c r="I44" s="1044">
        <v>46013</v>
      </c>
      <c r="J44" s="1044">
        <v>46014</v>
      </c>
      <c r="K44" s="1044">
        <v>46014</v>
      </c>
      <c r="L44" s="1044">
        <v>46014</v>
      </c>
      <c r="M44" s="1044">
        <v>46016</v>
      </c>
      <c r="N44" s="1045" t="s">
        <v>631</v>
      </c>
      <c r="O44" s="1055" t="s">
        <v>2427</v>
      </c>
      <c r="P44" s="1055">
        <v>28</v>
      </c>
      <c r="Q44" s="1046"/>
    </row>
    <row r="45" spans="1:17" s="655" customFormat="1" ht="38.1" customHeight="1">
      <c r="A45" s="747">
        <f t="shared" si="2"/>
        <v>39</v>
      </c>
      <c r="B45" s="748" t="s">
        <v>1662</v>
      </c>
      <c r="C45" s="747" t="s">
        <v>76</v>
      </c>
      <c r="D45" s="747" t="s">
        <v>897</v>
      </c>
      <c r="E45" s="779"/>
      <c r="F45" s="749">
        <v>46007</v>
      </c>
      <c r="G45" s="749">
        <v>46015</v>
      </c>
      <c r="H45" s="749">
        <v>46016</v>
      </c>
      <c r="I45" s="749">
        <v>46016</v>
      </c>
      <c r="J45" s="749">
        <v>46018</v>
      </c>
      <c r="K45" s="749">
        <v>46018</v>
      </c>
      <c r="L45" s="749">
        <v>46018</v>
      </c>
      <c r="M45" s="749">
        <v>46041</v>
      </c>
      <c r="N45" s="937" t="s">
        <v>631</v>
      </c>
      <c r="O45" s="1025" t="s">
        <v>3211</v>
      </c>
      <c r="P45" s="1025">
        <v>12</v>
      </c>
      <c r="Q45" s="854"/>
    </row>
    <row r="46" spans="1:17" s="655" customFormat="1" ht="38.1" customHeight="1">
      <c r="A46" s="1042">
        <f t="shared" si="2"/>
        <v>40</v>
      </c>
      <c r="B46" s="1043" t="s">
        <v>985</v>
      </c>
      <c r="C46" s="1042" t="s">
        <v>76</v>
      </c>
      <c r="D46" s="1042" t="s">
        <v>2736</v>
      </c>
      <c r="E46" s="943"/>
      <c r="F46" s="1044">
        <v>46008</v>
      </c>
      <c r="G46" s="1044">
        <v>46015</v>
      </c>
      <c r="H46" s="1044">
        <v>46015</v>
      </c>
      <c r="I46" s="1044">
        <v>46016</v>
      </c>
      <c r="J46" s="1044">
        <v>46016</v>
      </c>
      <c r="K46" s="1044">
        <v>46016</v>
      </c>
      <c r="L46" s="1044">
        <v>46016</v>
      </c>
      <c r="M46" s="1044">
        <v>46024</v>
      </c>
      <c r="N46" s="1045" t="s">
        <v>631</v>
      </c>
      <c r="O46" s="1055" t="s">
        <v>3095</v>
      </c>
      <c r="P46" s="1055">
        <v>17</v>
      </c>
      <c r="Q46" s="1046"/>
    </row>
    <row r="47" spans="1:17" s="655" customFormat="1" ht="38.1" customHeight="1">
      <c r="A47" s="747">
        <f t="shared" si="2"/>
        <v>41</v>
      </c>
      <c r="B47" s="748" t="s">
        <v>3051</v>
      </c>
      <c r="C47" s="747" t="s">
        <v>1269</v>
      </c>
      <c r="D47" s="747" t="s">
        <v>897</v>
      </c>
      <c r="E47" s="779"/>
      <c r="F47" s="749">
        <v>46010</v>
      </c>
      <c r="G47" s="749">
        <v>46033</v>
      </c>
      <c r="H47" s="749">
        <v>46038</v>
      </c>
      <c r="I47" s="749">
        <v>46038</v>
      </c>
      <c r="J47" s="749">
        <v>46038</v>
      </c>
      <c r="K47" s="749">
        <v>46040</v>
      </c>
      <c r="L47" s="749">
        <v>46040</v>
      </c>
      <c r="M47" s="749">
        <v>46024</v>
      </c>
      <c r="N47" s="937" t="s">
        <v>631</v>
      </c>
      <c r="O47" s="1025" t="s">
        <v>3104</v>
      </c>
      <c r="P47" s="1025">
        <v>15</v>
      </c>
      <c r="Q47" s="854"/>
    </row>
    <row r="48" spans="1:17" s="655" customFormat="1" ht="38.1" hidden="1" customHeight="1">
      <c r="A48" s="747">
        <f t="shared" si="2"/>
        <v>42</v>
      </c>
      <c r="B48" s="748" t="s">
        <v>3037</v>
      </c>
      <c r="C48" s="747" t="s">
        <v>1277</v>
      </c>
      <c r="D48" s="747" t="s">
        <v>897</v>
      </c>
      <c r="E48" s="779"/>
      <c r="F48" s="749">
        <v>46026</v>
      </c>
      <c r="G48" s="749">
        <v>46043</v>
      </c>
      <c r="H48" s="749">
        <v>46046</v>
      </c>
      <c r="I48" s="749">
        <v>46046</v>
      </c>
      <c r="J48" s="749">
        <v>46047</v>
      </c>
      <c r="K48" s="749">
        <v>46047</v>
      </c>
      <c r="L48" s="749">
        <v>46047</v>
      </c>
      <c r="M48" s="749"/>
      <c r="N48" s="937" t="s">
        <v>631</v>
      </c>
      <c r="O48" s="1025" t="s">
        <v>2838</v>
      </c>
      <c r="P48" s="1025">
        <v>20</v>
      </c>
      <c r="Q48" s="854" t="s">
        <v>3254</v>
      </c>
    </row>
    <row r="49" spans="1:17" s="655" customFormat="1" ht="38.1" customHeight="1">
      <c r="A49" s="747">
        <f t="shared" si="2"/>
        <v>43</v>
      </c>
      <c r="B49" s="748" t="s">
        <v>1636</v>
      </c>
      <c r="C49" s="747" t="s">
        <v>53</v>
      </c>
      <c r="D49" s="747" t="s">
        <v>897</v>
      </c>
      <c r="E49" s="780"/>
      <c r="F49" s="749">
        <v>46016</v>
      </c>
      <c r="G49" s="749">
        <v>46028</v>
      </c>
      <c r="H49" s="749">
        <v>46029</v>
      </c>
      <c r="I49" s="749">
        <v>46029</v>
      </c>
      <c r="J49" s="749">
        <v>46029</v>
      </c>
      <c r="K49" s="749">
        <v>46030</v>
      </c>
      <c r="L49" s="749">
        <v>46030</v>
      </c>
      <c r="M49" s="749">
        <v>46044</v>
      </c>
      <c r="N49" s="937" t="s">
        <v>631</v>
      </c>
      <c r="O49" s="1025" t="s">
        <v>3074</v>
      </c>
      <c r="P49" s="1025">
        <v>12</v>
      </c>
      <c r="Q49" s="854"/>
    </row>
    <row r="50" spans="1:17" s="655" customFormat="1" ht="38.1" customHeight="1">
      <c r="A50" s="747">
        <f t="shared" si="2"/>
        <v>44</v>
      </c>
      <c r="B50" s="748" t="s">
        <v>3047</v>
      </c>
      <c r="C50" s="747" t="s">
        <v>1319</v>
      </c>
      <c r="D50" s="747" t="s">
        <v>897</v>
      </c>
      <c r="E50" s="780"/>
      <c r="F50" s="749">
        <v>46015</v>
      </c>
      <c r="G50" s="749">
        <v>46026</v>
      </c>
      <c r="H50" s="749">
        <v>46027</v>
      </c>
      <c r="I50" s="749">
        <v>46029</v>
      </c>
      <c r="J50" s="749">
        <v>46029</v>
      </c>
      <c r="K50" s="749">
        <v>46030</v>
      </c>
      <c r="L50" s="749">
        <v>46030</v>
      </c>
      <c r="M50" s="749">
        <v>46099</v>
      </c>
      <c r="N50" s="937" t="s">
        <v>631</v>
      </c>
      <c r="O50" s="1025" t="s">
        <v>2838</v>
      </c>
      <c r="P50" s="1025">
        <v>20</v>
      </c>
      <c r="Q50" s="854"/>
    </row>
    <row r="51" spans="1:17" s="655" customFormat="1" ht="38.1" customHeight="1">
      <c r="A51" s="747">
        <f t="shared" si="2"/>
        <v>45</v>
      </c>
      <c r="B51" s="748" t="s">
        <v>765</v>
      </c>
      <c r="C51" s="747" t="s">
        <v>53</v>
      </c>
      <c r="D51" s="747" t="s">
        <v>897</v>
      </c>
      <c r="E51" s="779"/>
      <c r="F51" s="749">
        <v>46018</v>
      </c>
      <c r="G51" s="749">
        <v>46024</v>
      </c>
      <c r="H51" s="749">
        <v>46024</v>
      </c>
      <c r="I51" s="749">
        <v>46024</v>
      </c>
      <c r="J51" s="749">
        <v>46025</v>
      </c>
      <c r="K51" s="749">
        <v>46026</v>
      </c>
      <c r="L51" s="749">
        <v>46026</v>
      </c>
      <c r="M51" s="749">
        <v>46044</v>
      </c>
      <c r="N51" s="937" t="s">
        <v>631</v>
      </c>
      <c r="O51" s="1025" t="s">
        <v>3105</v>
      </c>
      <c r="P51" s="1025">
        <v>16</v>
      </c>
      <c r="Q51" s="854"/>
    </row>
    <row r="52" spans="1:17" s="655" customFormat="1" ht="38.1" customHeight="1">
      <c r="A52" s="747">
        <f t="shared" si="2"/>
        <v>46</v>
      </c>
      <c r="B52" s="748" t="s">
        <v>1663</v>
      </c>
      <c r="C52" s="747" t="s">
        <v>62</v>
      </c>
      <c r="D52" s="747" t="s">
        <v>897</v>
      </c>
      <c r="E52" s="779"/>
      <c r="F52" s="749">
        <v>46020</v>
      </c>
      <c r="G52" s="749">
        <v>46029</v>
      </c>
      <c r="H52" s="749">
        <v>46030</v>
      </c>
      <c r="I52" s="749">
        <v>46030</v>
      </c>
      <c r="J52" s="749">
        <v>46030</v>
      </c>
      <c r="K52" s="749">
        <v>46031</v>
      </c>
      <c r="L52" s="749">
        <v>46031</v>
      </c>
      <c r="M52" s="749">
        <v>46032</v>
      </c>
      <c r="N52" s="937" t="s">
        <v>631</v>
      </c>
      <c r="O52" s="1025" t="s">
        <v>3211</v>
      </c>
      <c r="P52" s="1025">
        <v>12</v>
      </c>
      <c r="Q52" s="854"/>
    </row>
    <row r="53" spans="1:17" s="655" customFormat="1" ht="38.1" customHeight="1">
      <c r="A53" s="747">
        <f t="shared" si="2"/>
        <v>47</v>
      </c>
      <c r="B53" s="748" t="s">
        <v>786</v>
      </c>
      <c r="C53" s="747" t="s">
        <v>76</v>
      </c>
      <c r="D53" s="747" t="s">
        <v>897</v>
      </c>
      <c r="E53" s="779"/>
      <c r="F53" s="749">
        <v>46020</v>
      </c>
      <c r="G53" s="749">
        <v>46029</v>
      </c>
      <c r="H53" s="749">
        <v>46031</v>
      </c>
      <c r="I53" s="749">
        <v>46031</v>
      </c>
      <c r="J53" s="749">
        <v>46031</v>
      </c>
      <c r="K53" s="749">
        <v>46031</v>
      </c>
      <c r="L53" s="749">
        <v>46031</v>
      </c>
      <c r="M53" s="749">
        <v>46032</v>
      </c>
      <c r="N53" s="937" t="s">
        <v>631</v>
      </c>
      <c r="O53" s="1025" t="s">
        <v>3095</v>
      </c>
      <c r="P53" s="1025">
        <v>17</v>
      </c>
      <c r="Q53" s="854"/>
    </row>
    <row r="54" spans="1:17" ht="36" customHeight="1">
      <c r="A54" s="747">
        <f t="shared" ref="A54:A63" si="3">A53+1</f>
        <v>48</v>
      </c>
      <c r="B54" s="748" t="s">
        <v>3050</v>
      </c>
      <c r="C54" s="747" t="s">
        <v>1269</v>
      </c>
      <c r="D54" s="747" t="s">
        <v>897</v>
      </c>
      <c r="E54" s="749"/>
      <c r="F54" s="749">
        <v>46026</v>
      </c>
      <c r="G54" s="749">
        <v>46043</v>
      </c>
      <c r="H54" s="749">
        <v>46051</v>
      </c>
      <c r="I54" s="749">
        <v>46051</v>
      </c>
      <c r="J54" s="749">
        <v>46051</v>
      </c>
      <c r="K54" s="749">
        <v>46053</v>
      </c>
      <c r="L54" s="749">
        <v>46053</v>
      </c>
      <c r="M54" s="749">
        <v>46111</v>
      </c>
      <c r="N54" s="937" t="s">
        <v>631</v>
      </c>
      <c r="O54" s="1025" t="s">
        <v>3104</v>
      </c>
      <c r="P54" s="937">
        <v>18</v>
      </c>
      <c r="Q54" s="1072"/>
    </row>
    <row r="55" spans="1:17" ht="36" customHeight="1">
      <c r="A55" s="747">
        <f t="shared" si="3"/>
        <v>49</v>
      </c>
      <c r="B55" s="748" t="s">
        <v>801</v>
      </c>
      <c r="C55" s="747" t="s">
        <v>76</v>
      </c>
      <c r="D55" s="747" t="s">
        <v>897</v>
      </c>
      <c r="E55" s="749"/>
      <c r="F55" s="749">
        <v>46029</v>
      </c>
      <c r="G55" s="749">
        <v>46033</v>
      </c>
      <c r="H55" s="749">
        <v>46034</v>
      </c>
      <c r="I55" s="749">
        <v>46034</v>
      </c>
      <c r="J55" s="749">
        <v>46034</v>
      </c>
      <c r="K55" s="749">
        <v>46034</v>
      </c>
      <c r="L55" s="749">
        <v>46034</v>
      </c>
      <c r="M55" s="999">
        <v>46043</v>
      </c>
      <c r="N55" s="937" t="s">
        <v>631</v>
      </c>
      <c r="O55" s="1025" t="s">
        <v>3105</v>
      </c>
      <c r="P55" s="937">
        <v>16</v>
      </c>
      <c r="Q55" s="1072"/>
    </row>
    <row r="56" spans="1:17" ht="36" customHeight="1">
      <c r="A56" s="747">
        <f t="shared" si="3"/>
        <v>50</v>
      </c>
      <c r="B56" s="748" t="s">
        <v>654</v>
      </c>
      <c r="C56" s="747" t="s">
        <v>53</v>
      </c>
      <c r="D56" s="747" t="s">
        <v>897</v>
      </c>
      <c r="E56" s="749"/>
      <c r="F56" s="749">
        <v>46030</v>
      </c>
      <c r="G56" s="749">
        <v>46051</v>
      </c>
      <c r="H56" s="749">
        <v>46052</v>
      </c>
      <c r="I56" s="749">
        <v>46052</v>
      </c>
      <c r="J56" s="749">
        <v>46052</v>
      </c>
      <c r="K56" s="749">
        <v>46052</v>
      </c>
      <c r="L56" s="749">
        <v>46052</v>
      </c>
      <c r="M56" s="749">
        <v>46055</v>
      </c>
      <c r="N56" s="937" t="s">
        <v>631</v>
      </c>
      <c r="O56" s="1025" t="s">
        <v>3133</v>
      </c>
      <c r="P56" s="937">
        <v>7</v>
      </c>
      <c r="Q56" s="1072"/>
    </row>
    <row r="57" spans="1:17" ht="36" customHeight="1">
      <c r="A57" s="747">
        <f t="shared" si="3"/>
        <v>51</v>
      </c>
      <c r="B57" s="748" t="s">
        <v>770</v>
      </c>
      <c r="C57" s="747" t="s">
        <v>76</v>
      </c>
      <c r="D57" s="747" t="s">
        <v>3550</v>
      </c>
      <c r="E57" s="749"/>
      <c r="F57" s="749">
        <v>46031</v>
      </c>
      <c r="G57" s="749">
        <v>46148</v>
      </c>
      <c r="H57" s="749">
        <v>46149</v>
      </c>
      <c r="I57" s="749">
        <v>46149</v>
      </c>
      <c r="J57" s="749">
        <v>46149</v>
      </c>
      <c r="K57" s="749">
        <v>46149</v>
      </c>
      <c r="L57" s="749">
        <v>46149</v>
      </c>
      <c r="M57" s="999">
        <v>46151</v>
      </c>
      <c r="N57" s="937" t="s">
        <v>631</v>
      </c>
      <c r="O57" s="1253" t="s">
        <v>3547</v>
      </c>
      <c r="P57" s="937">
        <v>10</v>
      </c>
      <c r="Q57" s="1072"/>
    </row>
    <row r="58" spans="1:17" ht="36" customHeight="1">
      <c r="A58" s="747">
        <f t="shared" si="3"/>
        <v>52</v>
      </c>
      <c r="B58" s="748" t="s">
        <v>1125</v>
      </c>
      <c r="C58" s="747" t="s">
        <v>76</v>
      </c>
      <c r="D58" s="747" t="s">
        <v>897</v>
      </c>
      <c r="E58" s="749"/>
      <c r="F58" s="749">
        <v>46033</v>
      </c>
      <c r="G58" s="749">
        <v>46042</v>
      </c>
      <c r="H58" s="749">
        <v>46043</v>
      </c>
      <c r="I58" s="749">
        <v>46043</v>
      </c>
      <c r="J58" s="749">
        <v>46043</v>
      </c>
      <c r="K58" s="749">
        <v>46043</v>
      </c>
      <c r="L58" s="749">
        <v>46043</v>
      </c>
      <c r="M58" s="999">
        <v>46054</v>
      </c>
      <c r="N58" s="937" t="s">
        <v>631</v>
      </c>
      <c r="O58" s="1025" t="s">
        <v>2838</v>
      </c>
      <c r="P58" s="937">
        <v>20</v>
      </c>
      <c r="Q58" s="1072"/>
    </row>
    <row r="59" spans="1:17" ht="36" customHeight="1">
      <c r="A59" s="747">
        <f t="shared" si="3"/>
        <v>53</v>
      </c>
      <c r="B59" s="748" t="s">
        <v>2004</v>
      </c>
      <c r="C59" s="747" t="s">
        <v>76</v>
      </c>
      <c r="D59" s="747" t="s">
        <v>2736</v>
      </c>
      <c r="E59" s="749"/>
      <c r="F59" s="749">
        <v>46034</v>
      </c>
      <c r="G59" s="749">
        <v>46042</v>
      </c>
      <c r="H59" s="749">
        <v>46043</v>
      </c>
      <c r="I59" s="749">
        <v>46043</v>
      </c>
      <c r="J59" s="749">
        <v>46043</v>
      </c>
      <c r="K59" s="749">
        <v>46043</v>
      </c>
      <c r="L59" s="749">
        <v>46043</v>
      </c>
      <c r="M59" s="999">
        <v>46061</v>
      </c>
      <c r="N59" s="937" t="s">
        <v>631</v>
      </c>
      <c r="O59" s="1025" t="s">
        <v>3095</v>
      </c>
      <c r="P59" s="937">
        <v>12</v>
      </c>
      <c r="Q59" s="1072"/>
    </row>
    <row r="60" spans="1:17" ht="36" customHeight="1">
      <c r="A60" s="747">
        <f t="shared" si="3"/>
        <v>54</v>
      </c>
      <c r="B60" s="748" t="s">
        <v>1637</v>
      </c>
      <c r="C60" s="747" t="s">
        <v>76</v>
      </c>
      <c r="D60" s="747" t="s">
        <v>897</v>
      </c>
      <c r="E60" s="749"/>
      <c r="F60" s="749">
        <v>46034</v>
      </c>
      <c r="G60" s="749">
        <v>46041</v>
      </c>
      <c r="H60" s="749">
        <v>46042</v>
      </c>
      <c r="I60" s="749">
        <v>46042</v>
      </c>
      <c r="J60" s="749">
        <v>46042</v>
      </c>
      <c r="K60" s="749">
        <v>46042</v>
      </c>
      <c r="L60" s="749">
        <v>46042</v>
      </c>
      <c r="M60" s="999">
        <v>46044</v>
      </c>
      <c r="N60" s="937" t="s">
        <v>631</v>
      </c>
      <c r="O60" s="1025" t="s">
        <v>3074</v>
      </c>
      <c r="P60" s="937">
        <v>10</v>
      </c>
      <c r="Q60" s="1072"/>
    </row>
    <row r="61" spans="1:17" ht="36" customHeight="1">
      <c r="A61" s="747">
        <f t="shared" si="3"/>
        <v>55</v>
      </c>
      <c r="B61" s="748" t="s">
        <v>1963</v>
      </c>
      <c r="C61" s="747" t="s">
        <v>62</v>
      </c>
      <c r="D61" s="747" t="s">
        <v>897</v>
      </c>
      <c r="E61" s="749"/>
      <c r="F61" s="749">
        <v>46036</v>
      </c>
      <c r="G61" s="749">
        <v>46044</v>
      </c>
      <c r="H61" s="749">
        <v>46044</v>
      </c>
      <c r="I61" s="749">
        <v>46044</v>
      </c>
      <c r="J61" s="749">
        <v>46044</v>
      </c>
      <c r="K61" s="749">
        <v>46044</v>
      </c>
      <c r="L61" s="749">
        <v>46044</v>
      </c>
      <c r="M61" s="999">
        <v>46044</v>
      </c>
      <c r="N61" s="937" t="s">
        <v>631</v>
      </c>
      <c r="O61" s="1025" t="s">
        <v>3211</v>
      </c>
      <c r="P61" s="937">
        <v>10</v>
      </c>
      <c r="Q61" s="856"/>
    </row>
    <row r="62" spans="1:17" ht="36" customHeight="1">
      <c r="A62" s="1042">
        <f t="shared" si="3"/>
        <v>56</v>
      </c>
      <c r="B62" s="1043" t="s">
        <v>2038</v>
      </c>
      <c r="C62" s="1042" t="s">
        <v>53</v>
      </c>
      <c r="D62" s="1042" t="s">
        <v>2736</v>
      </c>
      <c r="E62" s="1044"/>
      <c r="F62" s="1044">
        <v>46053</v>
      </c>
      <c r="G62" s="1044">
        <v>46066</v>
      </c>
      <c r="H62" s="1044">
        <v>46066</v>
      </c>
      <c r="I62" s="1044">
        <v>46066</v>
      </c>
      <c r="J62" s="1044">
        <v>46066</v>
      </c>
      <c r="K62" s="1044">
        <v>46067</v>
      </c>
      <c r="L62" s="1044">
        <v>46067</v>
      </c>
      <c r="M62" s="1058">
        <v>46076</v>
      </c>
      <c r="N62" s="1045"/>
      <c r="O62" s="1055" t="s">
        <v>3255</v>
      </c>
      <c r="P62" s="1045">
        <v>8</v>
      </c>
      <c r="Q62" s="1117"/>
    </row>
    <row r="63" spans="1:17" ht="36" customHeight="1">
      <c r="A63" s="747">
        <f t="shared" si="3"/>
        <v>57</v>
      </c>
      <c r="B63" s="748" t="s">
        <v>555</v>
      </c>
      <c r="C63" s="747" t="s">
        <v>76</v>
      </c>
      <c r="D63" s="747" t="s">
        <v>897</v>
      </c>
      <c r="E63" s="749"/>
      <c r="F63" s="749">
        <v>46038</v>
      </c>
      <c r="G63" s="749">
        <v>46042</v>
      </c>
      <c r="H63" s="749">
        <v>46043</v>
      </c>
      <c r="I63" s="749">
        <v>46043</v>
      </c>
      <c r="J63" s="749">
        <v>46043</v>
      </c>
      <c r="K63" s="749">
        <v>46043</v>
      </c>
      <c r="L63" s="749">
        <v>46043</v>
      </c>
      <c r="M63" s="999">
        <v>46077</v>
      </c>
      <c r="N63" s="937" t="s">
        <v>631</v>
      </c>
      <c r="O63" s="1025" t="s">
        <v>3105</v>
      </c>
      <c r="P63" s="937">
        <v>16</v>
      </c>
      <c r="Q63" s="1072"/>
    </row>
    <row r="64" spans="1:17" ht="36" customHeight="1">
      <c r="A64" s="747">
        <f t="shared" ref="A64:A127" si="4">A63+1</f>
        <v>58</v>
      </c>
      <c r="B64" s="748" t="s">
        <v>503</v>
      </c>
      <c r="C64" s="747" t="s">
        <v>76</v>
      </c>
      <c r="D64" s="747" t="s">
        <v>897</v>
      </c>
      <c r="E64" s="749"/>
      <c r="F64" s="749">
        <v>46051</v>
      </c>
      <c r="G64" s="749">
        <v>46059</v>
      </c>
      <c r="H64" s="749">
        <v>46059</v>
      </c>
      <c r="I64" s="749">
        <v>46059</v>
      </c>
      <c r="J64" s="749">
        <v>46060</v>
      </c>
      <c r="K64" s="749">
        <v>46060</v>
      </c>
      <c r="L64" s="749">
        <v>46060</v>
      </c>
      <c r="M64" s="999">
        <v>46078</v>
      </c>
      <c r="N64" s="937" t="s">
        <v>631</v>
      </c>
      <c r="O64" s="1025" t="s">
        <v>3105</v>
      </c>
      <c r="P64" s="937">
        <v>16</v>
      </c>
      <c r="Q64" s="1072"/>
    </row>
    <row r="65" spans="1:17" ht="36" hidden="1" customHeight="1">
      <c r="A65" s="747">
        <f t="shared" si="4"/>
        <v>59</v>
      </c>
      <c r="B65" s="748" t="s">
        <v>3042</v>
      </c>
      <c r="C65" s="747" t="s">
        <v>1935</v>
      </c>
      <c r="D65" s="747" t="s">
        <v>1765</v>
      </c>
      <c r="E65" s="749"/>
      <c r="F65" s="749">
        <v>46051</v>
      </c>
      <c r="G65" s="749">
        <v>46079</v>
      </c>
      <c r="H65" s="749">
        <v>46080</v>
      </c>
      <c r="I65" s="749">
        <v>46080</v>
      </c>
      <c r="J65" s="749">
        <v>46080</v>
      </c>
      <c r="K65" s="749">
        <v>46080</v>
      </c>
      <c r="L65" s="749">
        <v>46080</v>
      </c>
      <c r="M65" s="937"/>
      <c r="N65" s="937" t="s">
        <v>631</v>
      </c>
      <c r="O65" s="1025" t="s">
        <v>3104</v>
      </c>
      <c r="P65" s="937">
        <v>18</v>
      </c>
      <c r="Q65" s="1072"/>
    </row>
    <row r="66" spans="1:17" ht="36" customHeight="1">
      <c r="A66" s="747">
        <f t="shared" si="4"/>
        <v>60</v>
      </c>
      <c r="B66" s="748" t="s">
        <v>564</v>
      </c>
      <c r="C66" s="747" t="s">
        <v>62</v>
      </c>
      <c r="D66" s="747" t="s">
        <v>2736</v>
      </c>
      <c r="E66" s="749"/>
      <c r="F66" s="749">
        <v>46051</v>
      </c>
      <c r="G66" s="749">
        <v>46057</v>
      </c>
      <c r="H66" s="749">
        <v>46058</v>
      </c>
      <c r="I66" s="749">
        <v>46058</v>
      </c>
      <c r="J66" s="749">
        <v>46058</v>
      </c>
      <c r="K66" s="749">
        <v>46058</v>
      </c>
      <c r="L66" s="749">
        <v>46058</v>
      </c>
      <c r="M66" s="999">
        <v>46078</v>
      </c>
      <c r="N66" s="937" t="s">
        <v>631</v>
      </c>
      <c r="O66" s="1025" t="s">
        <v>3095</v>
      </c>
      <c r="P66" s="937">
        <v>12</v>
      </c>
      <c r="Q66" s="1072"/>
    </row>
    <row r="67" spans="1:17" ht="36" customHeight="1">
      <c r="A67" s="747">
        <f t="shared" si="4"/>
        <v>61</v>
      </c>
      <c r="B67" s="748" t="s">
        <v>3036</v>
      </c>
      <c r="C67" s="747" t="s">
        <v>2197</v>
      </c>
      <c r="D67" s="747" t="s">
        <v>1765</v>
      </c>
      <c r="E67" s="749"/>
      <c r="F67" s="749">
        <v>46053</v>
      </c>
      <c r="G67" s="749">
        <v>46059</v>
      </c>
      <c r="H67" s="749">
        <v>46059</v>
      </c>
      <c r="I67" s="749">
        <v>46059</v>
      </c>
      <c r="J67" s="749">
        <v>46059</v>
      </c>
      <c r="K67" s="749">
        <v>46061</v>
      </c>
      <c r="L67" s="749">
        <v>46061</v>
      </c>
      <c r="M67" s="999">
        <v>46106</v>
      </c>
      <c r="N67" s="937" t="s">
        <v>631</v>
      </c>
      <c r="O67" s="1025" t="s">
        <v>2838</v>
      </c>
      <c r="P67" s="937">
        <v>20</v>
      </c>
      <c r="Q67" s="1072"/>
    </row>
    <row r="68" spans="1:17" ht="36" hidden="1" customHeight="1">
      <c r="A68" s="747">
        <f t="shared" si="4"/>
        <v>62</v>
      </c>
      <c r="B68" s="748" t="s">
        <v>3031</v>
      </c>
      <c r="C68" s="747" t="s">
        <v>2023</v>
      </c>
      <c r="D68" s="747" t="s">
        <v>3301</v>
      </c>
      <c r="E68" s="749"/>
      <c r="F68" s="749">
        <v>46056</v>
      </c>
      <c r="G68" s="749">
        <v>46070</v>
      </c>
      <c r="H68" s="749">
        <v>46071</v>
      </c>
      <c r="I68" s="749">
        <v>46071</v>
      </c>
      <c r="J68" s="749">
        <v>46071</v>
      </c>
      <c r="K68" s="749">
        <v>46073</v>
      </c>
      <c r="L68" s="749">
        <v>46073</v>
      </c>
      <c r="M68" s="937"/>
      <c r="N68" s="937" t="s">
        <v>631</v>
      </c>
      <c r="O68" s="1025" t="s">
        <v>3211</v>
      </c>
      <c r="P68" s="937">
        <v>10</v>
      </c>
      <c r="Q68" s="1072"/>
    </row>
    <row r="69" spans="1:17" ht="36" customHeight="1">
      <c r="A69" s="747">
        <f t="shared" si="4"/>
        <v>63</v>
      </c>
      <c r="B69" s="748" t="s">
        <v>1648</v>
      </c>
      <c r="C69" s="747" t="s">
        <v>76</v>
      </c>
      <c r="D69" s="747" t="s">
        <v>897</v>
      </c>
      <c r="E69" s="749"/>
      <c r="F69" s="749">
        <v>46058</v>
      </c>
      <c r="G69" s="749">
        <v>46065</v>
      </c>
      <c r="H69" s="749">
        <v>46065</v>
      </c>
      <c r="I69" s="749">
        <v>46065</v>
      </c>
      <c r="J69" s="749">
        <v>46065</v>
      </c>
      <c r="K69" s="749">
        <v>46066</v>
      </c>
      <c r="L69" s="749">
        <v>46066</v>
      </c>
      <c r="M69" s="999">
        <v>46079</v>
      </c>
      <c r="N69" s="937" t="s">
        <v>631</v>
      </c>
      <c r="O69" s="1025" t="s">
        <v>2838</v>
      </c>
      <c r="P69" s="937">
        <v>20</v>
      </c>
      <c r="Q69" s="1072"/>
    </row>
    <row r="70" spans="1:17" ht="36" customHeight="1">
      <c r="A70" s="747">
        <f t="shared" si="4"/>
        <v>64</v>
      </c>
      <c r="B70" s="748" t="s">
        <v>3055</v>
      </c>
      <c r="C70" s="747" t="s">
        <v>1319</v>
      </c>
      <c r="D70" s="747" t="s">
        <v>897</v>
      </c>
      <c r="E70" s="749"/>
      <c r="F70" s="749">
        <v>46058</v>
      </c>
      <c r="G70" s="749">
        <v>46153</v>
      </c>
      <c r="H70" s="749">
        <v>46163</v>
      </c>
      <c r="I70" s="749">
        <v>46163</v>
      </c>
      <c r="J70" s="749">
        <v>46174</v>
      </c>
      <c r="K70" s="749">
        <v>46176</v>
      </c>
      <c r="L70" s="749">
        <v>46176</v>
      </c>
      <c r="M70" s="999">
        <v>46176</v>
      </c>
      <c r="N70" s="937" t="s">
        <v>631</v>
      </c>
      <c r="O70" s="1025" t="s">
        <v>2186</v>
      </c>
      <c r="P70" s="937">
        <v>5</v>
      </c>
      <c r="Q70" s="1072"/>
    </row>
    <row r="71" spans="1:17" ht="36" customHeight="1">
      <c r="A71" s="747">
        <f t="shared" si="4"/>
        <v>65</v>
      </c>
      <c r="B71" s="748" t="s">
        <v>3066</v>
      </c>
      <c r="C71" s="747" t="s">
        <v>1269</v>
      </c>
      <c r="D71" s="747" t="s">
        <v>897</v>
      </c>
      <c r="E71" s="749"/>
      <c r="F71" s="749">
        <v>46063</v>
      </c>
      <c r="G71" s="749">
        <v>46073</v>
      </c>
      <c r="H71" s="749">
        <v>46073</v>
      </c>
      <c r="I71" s="749">
        <v>46073</v>
      </c>
      <c r="J71" s="749">
        <v>46073</v>
      </c>
      <c r="K71" s="749">
        <v>46073</v>
      </c>
      <c r="L71" s="749">
        <v>46073</v>
      </c>
      <c r="M71" s="999">
        <v>46147</v>
      </c>
      <c r="N71" s="937" t="s">
        <v>631</v>
      </c>
      <c r="O71" s="1025" t="s">
        <v>3095</v>
      </c>
      <c r="P71" s="937">
        <v>12</v>
      </c>
      <c r="Q71" s="1072"/>
    </row>
    <row r="72" spans="1:17" ht="36" customHeight="1">
      <c r="A72" s="747">
        <f t="shared" si="4"/>
        <v>66</v>
      </c>
      <c r="B72" s="748" t="s">
        <v>3064</v>
      </c>
      <c r="C72" s="747" t="s">
        <v>1269</v>
      </c>
      <c r="D72" s="747" t="s">
        <v>2736</v>
      </c>
      <c r="E72" s="749"/>
      <c r="F72" s="749">
        <v>46064</v>
      </c>
      <c r="G72" s="749">
        <v>46073</v>
      </c>
      <c r="H72" s="749">
        <v>46073</v>
      </c>
      <c r="I72" s="749">
        <v>46073</v>
      </c>
      <c r="J72" s="749">
        <v>46073</v>
      </c>
      <c r="K72" s="749">
        <v>46073</v>
      </c>
      <c r="L72" s="749">
        <v>46073</v>
      </c>
      <c r="M72" s="999">
        <v>46098</v>
      </c>
      <c r="N72" s="937" t="s">
        <v>631</v>
      </c>
      <c r="O72" s="1025" t="s">
        <v>3105</v>
      </c>
      <c r="P72" s="937">
        <v>16</v>
      </c>
      <c r="Q72" s="1072"/>
    </row>
    <row r="73" spans="1:17" ht="36" customHeight="1">
      <c r="A73" s="747">
        <f t="shared" si="4"/>
        <v>67</v>
      </c>
      <c r="B73" s="748" t="s">
        <v>3046</v>
      </c>
      <c r="C73" s="747" t="s">
        <v>1319</v>
      </c>
      <c r="D73" s="747" t="s">
        <v>897</v>
      </c>
      <c r="E73" s="749"/>
      <c r="F73" s="749">
        <v>46068</v>
      </c>
      <c r="G73" s="749">
        <v>46078</v>
      </c>
      <c r="H73" s="749">
        <v>46078</v>
      </c>
      <c r="I73" s="749">
        <v>46078</v>
      </c>
      <c r="J73" s="749">
        <v>46078</v>
      </c>
      <c r="K73" s="749">
        <v>46078</v>
      </c>
      <c r="L73" s="749">
        <v>46078</v>
      </c>
      <c r="M73" s="749">
        <v>46099</v>
      </c>
      <c r="N73" s="937" t="s">
        <v>631</v>
      </c>
      <c r="O73" s="1025" t="s">
        <v>2838</v>
      </c>
      <c r="P73" s="937">
        <v>20</v>
      </c>
      <c r="Q73" s="1072"/>
    </row>
    <row r="74" spans="1:17" ht="36" customHeight="1">
      <c r="A74" s="1042">
        <f t="shared" si="4"/>
        <v>68</v>
      </c>
      <c r="B74" s="1043" t="s">
        <v>1653</v>
      </c>
      <c r="C74" s="1042" t="s">
        <v>62</v>
      </c>
      <c r="D74" s="1042" t="s">
        <v>3286</v>
      </c>
      <c r="E74" s="1044"/>
      <c r="F74" s="1044">
        <v>46066</v>
      </c>
      <c r="G74" s="1044">
        <v>46086</v>
      </c>
      <c r="H74" s="1044">
        <v>46088</v>
      </c>
      <c r="I74" s="1044">
        <v>46088</v>
      </c>
      <c r="J74" s="1044">
        <v>46088</v>
      </c>
      <c r="K74" s="1044">
        <v>46088</v>
      </c>
      <c r="L74" s="1044">
        <v>46088</v>
      </c>
      <c r="M74" s="1058">
        <v>46094</v>
      </c>
      <c r="N74" s="1045" t="s">
        <v>631</v>
      </c>
      <c r="O74" s="1055" t="s">
        <v>3133</v>
      </c>
      <c r="P74" s="1045">
        <v>8</v>
      </c>
      <c r="Q74" s="1117"/>
    </row>
    <row r="75" spans="1:17" ht="36" customHeight="1">
      <c r="A75" s="747">
        <f t="shared" si="4"/>
        <v>69</v>
      </c>
      <c r="B75" s="748" t="s">
        <v>2040</v>
      </c>
      <c r="C75" s="747" t="s">
        <v>76</v>
      </c>
      <c r="D75" s="747" t="s">
        <v>2736</v>
      </c>
      <c r="E75" s="749"/>
      <c r="F75" s="749">
        <v>46070</v>
      </c>
      <c r="G75" s="749">
        <v>46078</v>
      </c>
      <c r="H75" s="749">
        <v>46078</v>
      </c>
      <c r="I75" s="749">
        <v>46078</v>
      </c>
      <c r="J75" s="749">
        <v>46078</v>
      </c>
      <c r="K75" s="749">
        <v>46078</v>
      </c>
      <c r="L75" s="749">
        <v>46078</v>
      </c>
      <c r="M75" s="999">
        <v>46094</v>
      </c>
      <c r="N75" s="937" t="s">
        <v>631</v>
      </c>
      <c r="O75" s="1025" t="s">
        <v>3255</v>
      </c>
      <c r="P75" s="937">
        <v>8</v>
      </c>
      <c r="Q75" s="856"/>
    </row>
    <row r="76" spans="1:17" ht="36" customHeight="1">
      <c r="A76" s="747">
        <f t="shared" si="4"/>
        <v>70</v>
      </c>
      <c r="B76" s="748" t="s">
        <v>502</v>
      </c>
      <c r="C76" s="747" t="s">
        <v>76</v>
      </c>
      <c r="D76" s="747" t="s">
        <v>2736</v>
      </c>
      <c r="E76" s="749"/>
      <c r="F76" s="749">
        <v>46076</v>
      </c>
      <c r="G76" s="749">
        <v>46079</v>
      </c>
      <c r="H76" s="749">
        <v>46080</v>
      </c>
      <c r="I76" s="749">
        <v>46080</v>
      </c>
      <c r="J76" s="749">
        <v>46080</v>
      </c>
      <c r="K76" s="749">
        <v>46080</v>
      </c>
      <c r="L76" s="749">
        <v>46080</v>
      </c>
      <c r="M76" s="999">
        <v>46082</v>
      </c>
      <c r="N76" s="937" t="s">
        <v>631</v>
      </c>
      <c r="O76" s="1025" t="s">
        <v>3105</v>
      </c>
      <c r="P76" s="937">
        <v>16</v>
      </c>
      <c r="Q76" s="856"/>
    </row>
    <row r="77" spans="1:17" ht="36" hidden="1" customHeight="1">
      <c r="A77" s="1042">
        <f t="shared" si="4"/>
        <v>71</v>
      </c>
      <c r="B77" s="1043" t="s">
        <v>984</v>
      </c>
      <c r="C77" s="1042" t="s">
        <v>76</v>
      </c>
      <c r="D77" s="1042" t="s">
        <v>2736</v>
      </c>
      <c r="E77" s="1044"/>
      <c r="F77" s="1044">
        <v>46076</v>
      </c>
      <c r="G77" s="1044">
        <v>46089</v>
      </c>
      <c r="H77" s="1044">
        <v>46090</v>
      </c>
      <c r="I77" s="1044">
        <v>46090</v>
      </c>
      <c r="J77" s="1044">
        <v>46090</v>
      </c>
      <c r="K77" s="1044">
        <v>46090</v>
      </c>
      <c r="L77" s="1044">
        <v>46090</v>
      </c>
      <c r="M77" s="1045"/>
      <c r="N77" s="1045" t="s">
        <v>631</v>
      </c>
      <c r="O77" s="1055" t="s">
        <v>3211</v>
      </c>
      <c r="P77" s="1045">
        <v>10</v>
      </c>
      <c r="Q77" s="1117"/>
    </row>
    <row r="78" spans="1:17" ht="36" customHeight="1">
      <c r="A78" s="1042">
        <f t="shared" si="4"/>
        <v>72</v>
      </c>
      <c r="B78" s="1043" t="s">
        <v>2009</v>
      </c>
      <c r="C78" s="1042" t="s">
        <v>53</v>
      </c>
      <c r="D78" s="1042" t="s">
        <v>897</v>
      </c>
      <c r="E78" s="1044"/>
      <c r="F78" s="1044">
        <v>46076</v>
      </c>
      <c r="G78" s="1044">
        <v>46086</v>
      </c>
      <c r="H78" s="1044">
        <v>46086</v>
      </c>
      <c r="I78" s="1044">
        <v>46086</v>
      </c>
      <c r="J78" s="1044">
        <v>46086</v>
      </c>
      <c r="K78" s="1044">
        <v>46086</v>
      </c>
      <c r="L78" s="1044">
        <v>46086</v>
      </c>
      <c r="M78" s="1058">
        <v>46099</v>
      </c>
      <c r="N78" s="1045" t="s">
        <v>631</v>
      </c>
      <c r="O78" s="1055" t="s">
        <v>3095</v>
      </c>
      <c r="P78" s="1045">
        <v>12</v>
      </c>
      <c r="Q78" s="1117"/>
    </row>
    <row r="79" spans="1:17" ht="36" customHeight="1">
      <c r="A79" s="1042">
        <f t="shared" si="4"/>
        <v>73</v>
      </c>
      <c r="B79" s="1043" t="s">
        <v>2031</v>
      </c>
      <c r="C79" s="1042" t="s">
        <v>62</v>
      </c>
      <c r="D79" s="1042" t="s">
        <v>3286</v>
      </c>
      <c r="E79" s="1044"/>
      <c r="F79" s="1044">
        <v>46082</v>
      </c>
      <c r="G79" s="1044">
        <v>46086</v>
      </c>
      <c r="H79" s="1044">
        <v>46087</v>
      </c>
      <c r="I79" s="1044">
        <v>46087</v>
      </c>
      <c r="J79" s="1044">
        <v>46087</v>
      </c>
      <c r="K79" s="1044">
        <v>46087</v>
      </c>
      <c r="L79" s="1044">
        <v>46087</v>
      </c>
      <c r="M79" s="1058">
        <v>46099</v>
      </c>
      <c r="N79" s="1045" t="s">
        <v>631</v>
      </c>
      <c r="O79" s="1055" t="s">
        <v>3255</v>
      </c>
      <c r="P79" s="1045">
        <v>8</v>
      </c>
      <c r="Q79" s="1117"/>
    </row>
    <row r="80" spans="1:17" ht="36" customHeight="1">
      <c r="A80" s="747">
        <f t="shared" si="4"/>
        <v>74</v>
      </c>
      <c r="B80" s="748" t="s">
        <v>3034</v>
      </c>
      <c r="C80" s="747" t="s">
        <v>1977</v>
      </c>
      <c r="D80" s="747" t="s">
        <v>92</v>
      </c>
      <c r="E80" s="749"/>
      <c r="F80" s="749">
        <v>46082</v>
      </c>
      <c r="G80" s="749">
        <v>46086</v>
      </c>
      <c r="H80" s="749">
        <v>46089</v>
      </c>
      <c r="I80" s="749">
        <v>46089</v>
      </c>
      <c r="J80" s="749">
        <v>46089</v>
      </c>
      <c r="K80" s="749">
        <v>46089</v>
      </c>
      <c r="L80" s="749">
        <v>46089</v>
      </c>
      <c r="M80" s="999">
        <v>46105</v>
      </c>
      <c r="N80" s="937" t="s">
        <v>631</v>
      </c>
      <c r="O80" s="1025" t="s">
        <v>2838</v>
      </c>
      <c r="P80" s="937">
        <v>20</v>
      </c>
      <c r="Q80" s="1072"/>
    </row>
    <row r="81" spans="1:17" ht="36" customHeight="1">
      <c r="A81" s="747">
        <f t="shared" si="4"/>
        <v>75</v>
      </c>
      <c r="B81" s="748" t="s">
        <v>3045</v>
      </c>
      <c r="C81" s="747" t="s">
        <v>1361</v>
      </c>
      <c r="D81" s="747" t="s">
        <v>2736</v>
      </c>
      <c r="E81" s="749"/>
      <c r="F81" s="749">
        <v>46082</v>
      </c>
      <c r="G81" s="749">
        <v>46095</v>
      </c>
      <c r="H81" s="749">
        <v>46095</v>
      </c>
      <c r="I81" s="749">
        <v>46095</v>
      </c>
      <c r="J81" s="749">
        <v>46095</v>
      </c>
      <c r="K81" s="749">
        <v>46096</v>
      </c>
      <c r="L81" s="749">
        <v>46096</v>
      </c>
      <c r="M81" s="999">
        <v>46105</v>
      </c>
      <c r="N81" s="937" t="s">
        <v>631</v>
      </c>
      <c r="O81" s="1025" t="s">
        <v>2838</v>
      </c>
      <c r="P81" s="937">
        <v>20</v>
      </c>
      <c r="Q81" s="1072"/>
    </row>
    <row r="82" spans="1:17" ht="36" customHeight="1">
      <c r="A82" s="747">
        <f>A81+1</f>
        <v>76</v>
      </c>
      <c r="B82" s="748" t="s">
        <v>806</v>
      </c>
      <c r="C82" s="747" t="s">
        <v>62</v>
      </c>
      <c r="D82" s="747" t="s">
        <v>2736</v>
      </c>
      <c r="E82" s="749"/>
      <c r="F82" s="749">
        <v>46086</v>
      </c>
      <c r="G82" s="749">
        <v>46088</v>
      </c>
      <c r="H82" s="749">
        <v>46089</v>
      </c>
      <c r="I82" s="749">
        <v>46089</v>
      </c>
      <c r="J82" s="749">
        <v>46089</v>
      </c>
      <c r="K82" s="749">
        <v>46089</v>
      </c>
      <c r="L82" s="749">
        <v>46089</v>
      </c>
      <c r="M82" s="999">
        <v>46100</v>
      </c>
      <c r="N82" s="937" t="s">
        <v>631</v>
      </c>
      <c r="O82" s="1025" t="s">
        <v>3105</v>
      </c>
      <c r="P82" s="937">
        <v>16</v>
      </c>
      <c r="Q82" s="1072"/>
    </row>
    <row r="83" spans="1:17" ht="36" customHeight="1">
      <c r="A83" s="747">
        <f t="shared" si="4"/>
        <v>77</v>
      </c>
      <c r="B83" s="748" t="s">
        <v>719</v>
      </c>
      <c r="C83" s="747" t="s">
        <v>76</v>
      </c>
      <c r="D83" s="747" t="s">
        <v>3287</v>
      </c>
      <c r="E83" s="749"/>
      <c r="F83" s="749">
        <v>46089</v>
      </c>
      <c r="G83" s="749">
        <v>46101</v>
      </c>
      <c r="H83" s="749">
        <v>46102</v>
      </c>
      <c r="I83" s="749">
        <v>46102</v>
      </c>
      <c r="J83" s="749">
        <v>46102</v>
      </c>
      <c r="K83" s="749">
        <v>46102</v>
      </c>
      <c r="L83" s="749">
        <v>46102</v>
      </c>
      <c r="M83" s="999">
        <v>46104</v>
      </c>
      <c r="N83" s="937" t="s">
        <v>631</v>
      </c>
      <c r="O83" s="1025" t="s">
        <v>3105</v>
      </c>
      <c r="P83" s="937">
        <v>16</v>
      </c>
      <c r="Q83" s="1072"/>
    </row>
    <row r="84" spans="1:17" ht="36" customHeight="1">
      <c r="A84" s="747">
        <f t="shared" si="4"/>
        <v>78</v>
      </c>
      <c r="B84" s="748" t="s">
        <v>800</v>
      </c>
      <c r="C84" s="747" t="s">
        <v>76</v>
      </c>
      <c r="D84" s="747" t="s">
        <v>897</v>
      </c>
      <c r="E84" s="749"/>
      <c r="F84" s="749">
        <v>46089</v>
      </c>
      <c r="G84" s="749">
        <v>46092</v>
      </c>
      <c r="H84" s="749">
        <v>46092</v>
      </c>
      <c r="I84" s="749">
        <v>46092</v>
      </c>
      <c r="J84" s="749">
        <v>46092</v>
      </c>
      <c r="K84" s="749">
        <v>46092</v>
      </c>
      <c r="L84" s="749">
        <v>46092</v>
      </c>
      <c r="M84" s="999">
        <v>46100</v>
      </c>
      <c r="N84" s="937" t="s">
        <v>631</v>
      </c>
      <c r="O84" s="1025" t="s">
        <v>3095</v>
      </c>
      <c r="P84" s="937">
        <v>12</v>
      </c>
      <c r="Q84" s="1072"/>
    </row>
    <row r="85" spans="1:17" ht="36" customHeight="1">
      <c r="A85" s="747">
        <f t="shared" si="4"/>
        <v>79</v>
      </c>
      <c r="B85" s="748" t="s">
        <v>3054</v>
      </c>
      <c r="C85" s="747" t="s">
        <v>1269</v>
      </c>
      <c r="D85" s="747" t="s">
        <v>897</v>
      </c>
      <c r="E85" s="749"/>
      <c r="F85" s="749">
        <v>46111</v>
      </c>
      <c r="G85" s="749">
        <v>46134</v>
      </c>
      <c r="H85" s="749">
        <v>46136</v>
      </c>
      <c r="I85" s="749">
        <v>46137</v>
      </c>
      <c r="J85" s="749">
        <v>46137</v>
      </c>
      <c r="K85" s="749">
        <v>46137</v>
      </c>
      <c r="L85" s="749">
        <v>46137</v>
      </c>
      <c r="M85" s="999">
        <v>46143</v>
      </c>
      <c r="N85" s="937" t="s">
        <v>631</v>
      </c>
      <c r="O85" s="1025" t="s">
        <v>3211</v>
      </c>
      <c r="P85" s="937">
        <v>10</v>
      </c>
      <c r="Q85" s="1072"/>
    </row>
    <row r="86" spans="1:17" ht="36" customHeight="1">
      <c r="A86" s="747">
        <f t="shared" si="4"/>
        <v>80</v>
      </c>
      <c r="B86" s="748" t="s">
        <v>777</v>
      </c>
      <c r="C86" s="747" t="s">
        <v>76</v>
      </c>
      <c r="D86" s="747" t="s">
        <v>3287</v>
      </c>
      <c r="E86" s="749"/>
      <c r="F86" s="749">
        <v>46094</v>
      </c>
      <c r="G86" s="749">
        <v>46108</v>
      </c>
      <c r="H86" s="749">
        <v>46109</v>
      </c>
      <c r="I86" s="749">
        <v>46109</v>
      </c>
      <c r="J86" s="749">
        <v>46109</v>
      </c>
      <c r="K86" s="749">
        <v>46109</v>
      </c>
      <c r="L86" s="749">
        <v>46109</v>
      </c>
      <c r="M86" s="999">
        <v>46111</v>
      </c>
      <c r="N86" s="937" t="s">
        <v>631</v>
      </c>
      <c r="O86" s="1025" t="s">
        <v>3095</v>
      </c>
      <c r="P86" s="937">
        <v>12</v>
      </c>
      <c r="Q86" s="1072"/>
    </row>
    <row r="87" spans="1:17" ht="36" customHeight="1">
      <c r="A87" s="747">
        <f t="shared" si="4"/>
        <v>81</v>
      </c>
      <c r="B87" s="748" t="s">
        <v>1632</v>
      </c>
      <c r="C87" s="747" t="s">
        <v>249</v>
      </c>
      <c r="D87" s="747" t="s">
        <v>897</v>
      </c>
      <c r="E87" s="749"/>
      <c r="F87" s="749">
        <v>46094</v>
      </c>
      <c r="G87" s="749">
        <v>46110</v>
      </c>
      <c r="H87" s="749">
        <v>46111</v>
      </c>
      <c r="I87" s="749">
        <v>46111</v>
      </c>
      <c r="J87" s="749">
        <v>46111</v>
      </c>
      <c r="K87" s="749">
        <v>46111</v>
      </c>
      <c r="L87" s="749">
        <v>46111</v>
      </c>
      <c r="M87" s="999">
        <v>46144</v>
      </c>
      <c r="N87" s="937" t="s">
        <v>631</v>
      </c>
      <c r="O87" s="1025" t="s">
        <v>3133</v>
      </c>
      <c r="P87" s="937">
        <v>10</v>
      </c>
      <c r="Q87" s="1072"/>
    </row>
    <row r="88" spans="1:17" ht="36" customHeight="1">
      <c r="A88" s="747">
        <f t="shared" si="4"/>
        <v>82</v>
      </c>
      <c r="B88" s="748" t="s">
        <v>825</v>
      </c>
      <c r="C88" s="747" t="s">
        <v>62</v>
      </c>
      <c r="D88" s="747" t="s">
        <v>897</v>
      </c>
      <c r="E88" s="749"/>
      <c r="F88" s="749">
        <v>46103</v>
      </c>
      <c r="G88" s="749">
        <v>46110</v>
      </c>
      <c r="H88" s="749">
        <v>46111</v>
      </c>
      <c r="I88" s="749">
        <v>46111</v>
      </c>
      <c r="J88" s="749">
        <v>46111</v>
      </c>
      <c r="K88" s="749">
        <v>46111</v>
      </c>
      <c r="L88" s="749">
        <v>46111</v>
      </c>
      <c r="M88" s="999">
        <v>46120</v>
      </c>
      <c r="N88" s="937" t="s">
        <v>631</v>
      </c>
      <c r="O88" s="1025" t="s">
        <v>3345</v>
      </c>
      <c r="P88" s="937">
        <v>8</v>
      </c>
      <c r="Q88" s="1072"/>
    </row>
    <row r="89" spans="1:17" ht="36" customHeight="1">
      <c r="A89" s="747">
        <f t="shared" si="4"/>
        <v>83</v>
      </c>
      <c r="B89" s="748" t="s">
        <v>1017</v>
      </c>
      <c r="C89" s="747" t="s">
        <v>76</v>
      </c>
      <c r="D89" s="747" t="s">
        <v>2736</v>
      </c>
      <c r="E89" s="749"/>
      <c r="F89" s="749">
        <v>46106</v>
      </c>
      <c r="G89" s="749">
        <v>46111</v>
      </c>
      <c r="H89" s="749">
        <v>46112</v>
      </c>
      <c r="I89" s="749">
        <v>46112</v>
      </c>
      <c r="J89" s="749">
        <v>46112</v>
      </c>
      <c r="K89" s="749">
        <v>46112</v>
      </c>
      <c r="L89" s="749">
        <v>46112</v>
      </c>
      <c r="M89" s="999">
        <v>46120</v>
      </c>
      <c r="N89" s="937" t="s">
        <v>631</v>
      </c>
      <c r="O89" s="1025" t="s">
        <v>3105</v>
      </c>
      <c r="P89" s="937">
        <v>16</v>
      </c>
      <c r="Q89" s="1072"/>
    </row>
    <row r="90" spans="1:17" ht="36" customHeight="1">
      <c r="A90" s="747">
        <f t="shared" si="4"/>
        <v>84</v>
      </c>
      <c r="B90" s="748" t="s">
        <v>562</v>
      </c>
      <c r="C90" s="937" t="s">
        <v>3396</v>
      </c>
      <c r="D90" s="747" t="s">
        <v>2736</v>
      </c>
      <c r="E90" s="749"/>
      <c r="F90" s="749">
        <v>46107</v>
      </c>
      <c r="G90" s="749">
        <v>46116</v>
      </c>
      <c r="H90" s="749">
        <v>46117</v>
      </c>
      <c r="I90" s="749">
        <v>46117</v>
      </c>
      <c r="J90" s="749">
        <v>46117</v>
      </c>
      <c r="K90" s="749">
        <v>46117</v>
      </c>
      <c r="L90" s="749">
        <v>46117</v>
      </c>
      <c r="M90" s="999">
        <v>46144</v>
      </c>
      <c r="N90" s="937" t="s">
        <v>631</v>
      </c>
      <c r="O90" s="1025" t="s">
        <v>3252</v>
      </c>
      <c r="P90" s="937">
        <v>14</v>
      </c>
      <c r="Q90" s="1072"/>
    </row>
    <row r="91" spans="1:17" ht="36" customHeight="1">
      <c r="A91" s="747">
        <f t="shared" si="4"/>
        <v>85</v>
      </c>
      <c r="B91" s="748" t="s">
        <v>3067</v>
      </c>
      <c r="C91" s="937" t="s">
        <v>1269</v>
      </c>
      <c r="D91" s="747" t="s">
        <v>3286</v>
      </c>
      <c r="E91" s="749"/>
      <c r="F91" s="749">
        <v>46130</v>
      </c>
      <c r="G91" s="749">
        <v>46136</v>
      </c>
      <c r="H91" s="749">
        <v>46137</v>
      </c>
      <c r="I91" s="749">
        <v>46137</v>
      </c>
      <c r="J91" s="749">
        <v>46137</v>
      </c>
      <c r="K91" s="749">
        <v>46138</v>
      </c>
      <c r="L91" s="749">
        <v>46138</v>
      </c>
      <c r="M91" s="999">
        <v>46144</v>
      </c>
      <c r="N91" s="937" t="s">
        <v>631</v>
      </c>
      <c r="O91" s="1025" t="s">
        <v>3252</v>
      </c>
      <c r="P91" s="937">
        <v>12</v>
      </c>
      <c r="Q91" s="1072"/>
    </row>
    <row r="92" spans="1:17" ht="36" customHeight="1">
      <c r="A92" s="747">
        <f t="shared" si="4"/>
        <v>86</v>
      </c>
      <c r="B92" s="748" t="s">
        <v>834</v>
      </c>
      <c r="C92" s="937" t="s">
        <v>62</v>
      </c>
      <c r="D92" s="747" t="s">
        <v>2736</v>
      </c>
      <c r="E92" s="749"/>
      <c r="F92" s="749">
        <v>46112</v>
      </c>
      <c r="G92" s="749">
        <v>46124</v>
      </c>
      <c r="H92" s="749">
        <v>46125</v>
      </c>
      <c r="I92" s="749">
        <v>46125</v>
      </c>
      <c r="J92" s="749">
        <v>46125</v>
      </c>
      <c r="K92" s="749">
        <v>46125</v>
      </c>
      <c r="L92" s="749">
        <v>46125</v>
      </c>
      <c r="M92" s="999">
        <v>46147</v>
      </c>
      <c r="N92" s="937" t="s">
        <v>631</v>
      </c>
      <c r="O92" s="1025" t="s">
        <v>3408</v>
      </c>
      <c r="P92" s="937">
        <v>10</v>
      </c>
      <c r="Q92" s="1072"/>
    </row>
    <row r="93" spans="1:17" ht="36" hidden="1" customHeight="1">
      <c r="A93" s="747">
        <f t="shared" si="4"/>
        <v>87</v>
      </c>
      <c r="B93" s="748" t="s">
        <v>3025</v>
      </c>
      <c r="C93" s="937" t="s">
        <v>2023</v>
      </c>
      <c r="D93" s="747" t="s">
        <v>1765</v>
      </c>
      <c r="E93" s="749"/>
      <c r="F93" s="749">
        <v>46113</v>
      </c>
      <c r="G93" s="749">
        <v>46128</v>
      </c>
      <c r="H93" s="749">
        <v>46133</v>
      </c>
      <c r="I93" s="749">
        <v>46137</v>
      </c>
      <c r="J93" s="749">
        <v>46141</v>
      </c>
      <c r="K93" s="749">
        <v>46141</v>
      </c>
      <c r="L93" s="749">
        <v>46141</v>
      </c>
      <c r="M93" s="937"/>
      <c r="N93" s="937" t="s">
        <v>631</v>
      </c>
      <c r="O93" s="1025" t="s">
        <v>3133</v>
      </c>
      <c r="P93" s="937">
        <v>10</v>
      </c>
      <c r="Q93" s="1072"/>
    </row>
    <row r="94" spans="1:17" ht="36" customHeight="1">
      <c r="A94" s="747">
        <f t="shared" si="4"/>
        <v>88</v>
      </c>
      <c r="B94" s="748" t="s">
        <v>1016</v>
      </c>
      <c r="C94" s="937" t="s">
        <v>76</v>
      </c>
      <c r="D94" s="747" t="s">
        <v>897</v>
      </c>
      <c r="E94" s="749"/>
      <c r="F94" s="749">
        <v>46123</v>
      </c>
      <c r="G94" s="749">
        <v>46127</v>
      </c>
      <c r="H94" s="749">
        <v>46128</v>
      </c>
      <c r="I94" s="749">
        <v>46128</v>
      </c>
      <c r="J94" s="749">
        <v>46128</v>
      </c>
      <c r="K94" s="749">
        <v>46128</v>
      </c>
      <c r="L94" s="749">
        <v>46128</v>
      </c>
      <c r="M94" s="999">
        <v>46143</v>
      </c>
      <c r="N94" s="937" t="s">
        <v>631</v>
      </c>
      <c r="O94" s="1025" t="s">
        <v>3105</v>
      </c>
      <c r="P94" s="937">
        <v>14</v>
      </c>
      <c r="Q94" s="1072"/>
    </row>
    <row r="95" spans="1:17" ht="36" customHeight="1">
      <c r="A95" s="747">
        <f t="shared" si="4"/>
        <v>89</v>
      </c>
      <c r="B95" s="748" t="s">
        <v>3426</v>
      </c>
      <c r="C95" s="937" t="s">
        <v>1319</v>
      </c>
      <c r="D95" s="747" t="s">
        <v>92</v>
      </c>
      <c r="E95" s="749"/>
      <c r="F95" s="749">
        <v>46121</v>
      </c>
      <c r="G95" s="749">
        <v>46129</v>
      </c>
      <c r="H95" s="749">
        <v>46130</v>
      </c>
      <c r="I95" s="749">
        <v>46130</v>
      </c>
      <c r="J95" s="749">
        <v>46130</v>
      </c>
      <c r="K95" s="749">
        <v>46130</v>
      </c>
      <c r="L95" s="749">
        <v>46130</v>
      </c>
      <c r="M95" s="999">
        <v>46143</v>
      </c>
      <c r="N95" s="937" t="s">
        <v>631</v>
      </c>
      <c r="O95" s="1025" t="s">
        <v>3413</v>
      </c>
      <c r="P95" s="937">
        <v>12</v>
      </c>
      <c r="Q95" s="1072"/>
    </row>
    <row r="96" spans="1:17" ht="36" hidden="1" customHeight="1">
      <c r="A96" s="747">
        <f t="shared" si="4"/>
        <v>90</v>
      </c>
      <c r="B96" s="748" t="s">
        <v>3024</v>
      </c>
      <c r="C96" s="937" t="s">
        <v>2212</v>
      </c>
      <c r="D96" s="747" t="s">
        <v>1765</v>
      </c>
      <c r="E96" s="749"/>
      <c r="F96" s="749">
        <v>46123</v>
      </c>
      <c r="G96" s="749">
        <v>46141</v>
      </c>
      <c r="H96" s="749">
        <v>46142</v>
      </c>
      <c r="I96" s="749">
        <v>46142</v>
      </c>
      <c r="J96" s="749">
        <v>46142</v>
      </c>
      <c r="K96" s="749">
        <v>46142</v>
      </c>
      <c r="L96" s="749">
        <v>46142</v>
      </c>
      <c r="M96" s="937"/>
      <c r="N96" s="937" t="s">
        <v>631</v>
      </c>
      <c r="O96" s="1025" t="s">
        <v>2838</v>
      </c>
      <c r="P96" s="937">
        <v>10</v>
      </c>
      <c r="Q96" s="1072"/>
    </row>
    <row r="97" spans="1:17" ht="36" customHeight="1">
      <c r="A97" s="747">
        <f t="shared" si="4"/>
        <v>91</v>
      </c>
      <c r="B97" s="748" t="s">
        <v>3061</v>
      </c>
      <c r="C97" s="937" t="s">
        <v>2023</v>
      </c>
      <c r="D97" s="747" t="s">
        <v>2736</v>
      </c>
      <c r="E97" s="749"/>
      <c r="F97" s="749">
        <v>46130</v>
      </c>
      <c r="G97" s="749">
        <v>46141</v>
      </c>
      <c r="H97" s="749">
        <v>46142</v>
      </c>
      <c r="I97" s="749">
        <v>46142</v>
      </c>
      <c r="J97" s="749">
        <v>46142</v>
      </c>
      <c r="K97" s="749">
        <v>46142</v>
      </c>
      <c r="L97" s="749">
        <v>46142</v>
      </c>
      <c r="M97" s="999">
        <v>46148</v>
      </c>
      <c r="N97" s="937" t="s">
        <v>631</v>
      </c>
      <c r="O97" s="1025" t="s">
        <v>3408</v>
      </c>
      <c r="P97" s="937">
        <v>10</v>
      </c>
      <c r="Q97" s="1072"/>
    </row>
    <row r="98" spans="1:17" ht="36" customHeight="1">
      <c r="A98" s="747">
        <f t="shared" si="4"/>
        <v>92</v>
      </c>
      <c r="B98" s="748" t="s">
        <v>974</v>
      </c>
      <c r="C98" s="937" t="s">
        <v>62</v>
      </c>
      <c r="D98" s="747" t="s">
        <v>897</v>
      </c>
      <c r="E98" s="749"/>
      <c r="F98" s="749">
        <v>46136</v>
      </c>
      <c r="G98" s="749">
        <v>46140</v>
      </c>
      <c r="H98" s="749">
        <v>46141</v>
      </c>
      <c r="I98" s="749">
        <v>46141</v>
      </c>
      <c r="J98" s="749">
        <v>46141</v>
      </c>
      <c r="K98" s="749">
        <v>46141</v>
      </c>
      <c r="L98" s="749">
        <v>46141</v>
      </c>
      <c r="M98" s="999">
        <v>46145</v>
      </c>
      <c r="N98" s="937" t="s">
        <v>631</v>
      </c>
      <c r="O98" s="1025" t="s">
        <v>3413</v>
      </c>
      <c r="P98" s="937">
        <v>12</v>
      </c>
      <c r="Q98" s="1072"/>
    </row>
    <row r="99" spans="1:17" ht="36" customHeight="1">
      <c r="A99" s="747">
        <f>A98+1</f>
        <v>93</v>
      </c>
      <c r="B99" s="748" t="s">
        <v>3058</v>
      </c>
      <c r="C99" s="937" t="s">
        <v>1269</v>
      </c>
      <c r="D99" s="747" t="s">
        <v>2736</v>
      </c>
      <c r="E99" s="749"/>
      <c r="F99" s="749">
        <v>46145</v>
      </c>
      <c r="G99" s="749">
        <v>46155</v>
      </c>
      <c r="H99" s="749">
        <v>46156</v>
      </c>
      <c r="I99" s="749">
        <v>46156</v>
      </c>
      <c r="J99" s="749">
        <v>46156</v>
      </c>
      <c r="K99" s="749">
        <v>46156</v>
      </c>
      <c r="L99" s="749">
        <v>46156</v>
      </c>
      <c r="M99" s="999">
        <v>46158</v>
      </c>
      <c r="N99" s="937" t="s">
        <v>631</v>
      </c>
      <c r="O99" s="1025" t="s">
        <v>3413</v>
      </c>
      <c r="P99" s="937">
        <v>12</v>
      </c>
      <c r="Q99" s="1072"/>
    </row>
    <row r="100" spans="1:17" ht="36" customHeight="1">
      <c r="A100" s="747">
        <f t="shared" si="4"/>
        <v>94</v>
      </c>
      <c r="B100" s="748" t="s">
        <v>816</v>
      </c>
      <c r="C100" s="937" t="s">
        <v>90</v>
      </c>
      <c r="D100" s="747" t="s">
        <v>897</v>
      </c>
      <c r="E100" s="749"/>
      <c r="F100" s="749">
        <v>46147</v>
      </c>
      <c r="G100" s="749">
        <v>46157</v>
      </c>
      <c r="H100" s="749">
        <v>46158</v>
      </c>
      <c r="I100" s="749">
        <v>46158</v>
      </c>
      <c r="J100" s="749">
        <v>46158</v>
      </c>
      <c r="K100" s="749">
        <v>46158</v>
      </c>
      <c r="L100" s="749">
        <v>46158</v>
      </c>
      <c r="M100" s="999">
        <v>46160</v>
      </c>
      <c r="N100" s="937" t="s">
        <v>631</v>
      </c>
      <c r="O100" s="1025" t="s">
        <v>3408</v>
      </c>
      <c r="P100" s="937">
        <v>10</v>
      </c>
      <c r="Q100" s="1072"/>
    </row>
    <row r="101" spans="1:17" ht="36" hidden="1" customHeight="1">
      <c r="A101" s="747">
        <f t="shared" si="4"/>
        <v>95</v>
      </c>
      <c r="B101" s="748" t="s">
        <v>1645</v>
      </c>
      <c r="C101" s="937" t="s">
        <v>62</v>
      </c>
      <c r="D101" s="747" t="s">
        <v>3548</v>
      </c>
      <c r="E101" s="749"/>
      <c r="F101" s="749">
        <v>46147</v>
      </c>
      <c r="G101" s="749">
        <v>46159</v>
      </c>
      <c r="H101" s="749">
        <v>46160</v>
      </c>
      <c r="I101" s="749">
        <v>46160</v>
      </c>
      <c r="J101" s="749">
        <v>46160</v>
      </c>
      <c r="K101" s="749">
        <v>46161</v>
      </c>
      <c r="L101" s="749">
        <v>46161</v>
      </c>
      <c r="M101" s="937"/>
      <c r="N101" s="937" t="s">
        <v>631</v>
      </c>
      <c r="O101" s="1025" t="s">
        <v>2838</v>
      </c>
      <c r="P101" s="937">
        <v>10</v>
      </c>
      <c r="Q101" s="1072"/>
    </row>
    <row r="102" spans="1:17" ht="36" hidden="1" customHeight="1">
      <c r="A102" s="747">
        <f t="shared" si="4"/>
        <v>96</v>
      </c>
      <c r="B102" s="748" t="s">
        <v>2030</v>
      </c>
      <c r="C102" s="937" t="s">
        <v>62</v>
      </c>
      <c r="D102" s="747" t="s">
        <v>3287</v>
      </c>
      <c r="E102" s="749"/>
      <c r="F102" s="749">
        <v>46153</v>
      </c>
      <c r="G102" s="749">
        <v>46158</v>
      </c>
      <c r="H102" s="749">
        <v>46159</v>
      </c>
      <c r="I102" s="749">
        <v>46159</v>
      </c>
      <c r="J102" s="749">
        <v>46159</v>
      </c>
      <c r="K102" s="749">
        <v>46159</v>
      </c>
      <c r="L102" s="749">
        <v>46159</v>
      </c>
      <c r="M102" s="937"/>
      <c r="N102" s="937" t="s">
        <v>631</v>
      </c>
      <c r="O102" s="1025" t="s">
        <v>3507</v>
      </c>
      <c r="P102" s="937">
        <v>21</v>
      </c>
      <c r="Q102" s="1072"/>
    </row>
    <row r="103" spans="1:17" ht="36" hidden="1" customHeight="1">
      <c r="A103" s="747">
        <f t="shared" si="4"/>
        <v>97</v>
      </c>
      <c r="B103" s="748" t="s">
        <v>3062</v>
      </c>
      <c r="C103" s="937" t="s">
        <v>2023</v>
      </c>
      <c r="D103" s="747" t="s">
        <v>2736</v>
      </c>
      <c r="E103" s="749"/>
      <c r="F103" s="749">
        <v>46151</v>
      </c>
      <c r="G103" s="749">
        <v>46165</v>
      </c>
      <c r="H103" s="749">
        <v>46167</v>
      </c>
      <c r="I103" s="749">
        <v>46167</v>
      </c>
      <c r="J103" s="749">
        <v>46167</v>
      </c>
      <c r="K103" s="749">
        <v>46168</v>
      </c>
      <c r="L103" s="749">
        <v>46168</v>
      </c>
      <c r="M103" s="937"/>
      <c r="N103" s="937" t="s">
        <v>631</v>
      </c>
      <c r="O103" s="1025" t="s">
        <v>3105</v>
      </c>
      <c r="P103" s="937">
        <v>14</v>
      </c>
      <c r="Q103" s="1072"/>
    </row>
    <row r="104" spans="1:17" ht="36" customHeight="1">
      <c r="A104" s="747">
        <f t="shared" si="4"/>
        <v>98</v>
      </c>
      <c r="B104" s="748" t="s">
        <v>2032</v>
      </c>
      <c r="C104" s="937" t="s">
        <v>76</v>
      </c>
      <c r="D104" s="747" t="s">
        <v>897</v>
      </c>
      <c r="E104" s="749"/>
      <c r="F104" s="749">
        <v>46157</v>
      </c>
      <c r="G104" s="749">
        <v>46178</v>
      </c>
      <c r="H104" s="749">
        <v>46178</v>
      </c>
      <c r="I104" s="749">
        <v>46178</v>
      </c>
      <c r="J104" s="749">
        <v>46178</v>
      </c>
      <c r="K104" s="749">
        <v>46179</v>
      </c>
      <c r="L104" s="749">
        <v>46179</v>
      </c>
      <c r="M104" s="999">
        <v>46182</v>
      </c>
      <c r="N104" s="937" t="s">
        <v>631</v>
      </c>
      <c r="O104" s="1025" t="s">
        <v>3507</v>
      </c>
      <c r="P104" s="937">
        <v>16</v>
      </c>
      <c r="Q104" s="1072"/>
    </row>
    <row r="105" spans="1:17" ht="36" customHeight="1">
      <c r="A105" s="747">
        <f t="shared" si="4"/>
        <v>99</v>
      </c>
      <c r="B105" s="748" t="s">
        <v>829</v>
      </c>
      <c r="C105" s="937" t="s">
        <v>62</v>
      </c>
      <c r="D105" s="747" t="s">
        <v>3287</v>
      </c>
      <c r="E105" s="749"/>
      <c r="F105" s="749">
        <v>46158</v>
      </c>
      <c r="G105" s="749">
        <v>46166</v>
      </c>
      <c r="H105" s="749">
        <v>46167</v>
      </c>
      <c r="I105" s="749">
        <v>46167</v>
      </c>
      <c r="J105" s="749">
        <v>46167</v>
      </c>
      <c r="K105" s="749">
        <v>46167</v>
      </c>
      <c r="L105" s="749">
        <v>46167</v>
      </c>
      <c r="M105" s="999">
        <v>46168</v>
      </c>
      <c r="N105" s="937" t="s">
        <v>631</v>
      </c>
      <c r="O105" s="1025" t="s">
        <v>3413</v>
      </c>
      <c r="P105" s="937">
        <v>12</v>
      </c>
      <c r="Q105" s="1072"/>
    </row>
    <row r="106" spans="1:17" ht="36" customHeight="1">
      <c r="A106" s="747">
        <f t="shared" si="4"/>
        <v>100</v>
      </c>
      <c r="B106" s="748" t="s">
        <v>3059</v>
      </c>
      <c r="C106" s="937" t="s">
        <v>1269</v>
      </c>
      <c r="D106" s="747" t="s">
        <v>2736</v>
      </c>
      <c r="E106" s="749"/>
      <c r="F106" s="749">
        <v>46159</v>
      </c>
      <c r="G106" s="749">
        <v>46166</v>
      </c>
      <c r="H106" s="749">
        <v>46167</v>
      </c>
      <c r="I106" s="749">
        <v>46167</v>
      </c>
      <c r="J106" s="749">
        <v>46167</v>
      </c>
      <c r="K106" s="749">
        <v>46167</v>
      </c>
      <c r="L106" s="749">
        <v>46167</v>
      </c>
      <c r="M106" s="999">
        <v>46168</v>
      </c>
      <c r="N106" s="937" t="s">
        <v>631</v>
      </c>
      <c r="O106" s="1025" t="s">
        <v>3408</v>
      </c>
      <c r="P106" s="937">
        <v>10</v>
      </c>
      <c r="Q106" s="1072"/>
    </row>
    <row r="107" spans="1:17" ht="36" customHeight="1">
      <c r="A107" s="747">
        <f t="shared" si="4"/>
        <v>101</v>
      </c>
      <c r="B107" s="748" t="s">
        <v>2027</v>
      </c>
      <c r="C107" s="937" t="s">
        <v>62</v>
      </c>
      <c r="D107" s="747" t="s">
        <v>897</v>
      </c>
      <c r="E107" s="749"/>
      <c r="F107" s="749">
        <v>46160</v>
      </c>
      <c r="G107" s="749">
        <v>46164</v>
      </c>
      <c r="H107" s="749">
        <v>46164</v>
      </c>
      <c r="I107" s="749">
        <v>46164</v>
      </c>
      <c r="J107" s="749">
        <v>46165</v>
      </c>
      <c r="K107" s="749">
        <v>46165</v>
      </c>
      <c r="L107" s="749">
        <v>46165</v>
      </c>
      <c r="M107" s="999">
        <v>46166</v>
      </c>
      <c r="N107" s="937" t="s">
        <v>631</v>
      </c>
      <c r="O107" s="1025" t="s">
        <v>3507</v>
      </c>
      <c r="P107" s="937">
        <v>21</v>
      </c>
      <c r="Q107" s="1072"/>
    </row>
    <row r="108" spans="1:17" ht="36" hidden="1" customHeight="1">
      <c r="A108" s="747">
        <f t="shared" si="4"/>
        <v>102</v>
      </c>
      <c r="B108" s="748" t="s">
        <v>1117</v>
      </c>
      <c r="C108" s="937" t="s">
        <v>62</v>
      </c>
      <c r="D108" s="747" t="s">
        <v>3548</v>
      </c>
      <c r="E108" s="749"/>
      <c r="F108" s="749">
        <v>46161</v>
      </c>
      <c r="G108" s="749">
        <v>46179</v>
      </c>
      <c r="H108" s="749">
        <v>46180</v>
      </c>
      <c r="I108" s="749">
        <v>46180</v>
      </c>
      <c r="J108" s="749">
        <v>46180</v>
      </c>
      <c r="K108" s="749">
        <v>46182</v>
      </c>
      <c r="L108" s="749">
        <v>46182</v>
      </c>
      <c r="M108" s="937"/>
      <c r="N108" s="937" t="s">
        <v>631</v>
      </c>
      <c r="O108" s="1025" t="s">
        <v>2838</v>
      </c>
      <c r="P108" s="937">
        <v>10</v>
      </c>
      <c r="Q108" s="1072"/>
    </row>
    <row r="109" spans="1:17" ht="36" customHeight="1">
      <c r="A109" s="747">
        <f t="shared" si="4"/>
        <v>103</v>
      </c>
      <c r="B109" s="748" t="s">
        <v>962</v>
      </c>
      <c r="C109" s="937" t="s">
        <v>53</v>
      </c>
      <c r="D109" s="747" t="s">
        <v>3287</v>
      </c>
      <c r="E109" s="749"/>
      <c r="F109" s="749">
        <v>46161</v>
      </c>
      <c r="G109" s="749">
        <v>46169</v>
      </c>
      <c r="H109" s="749">
        <v>46170</v>
      </c>
      <c r="I109" s="749">
        <v>46170</v>
      </c>
      <c r="J109" s="749">
        <v>46170</v>
      </c>
      <c r="K109" s="749">
        <v>46170</v>
      </c>
      <c r="L109" s="749">
        <v>46170</v>
      </c>
      <c r="M109" s="999">
        <v>46172</v>
      </c>
      <c r="N109" s="937" t="s">
        <v>631</v>
      </c>
      <c r="O109" s="1025" t="s">
        <v>3105</v>
      </c>
      <c r="P109" s="937">
        <v>8</v>
      </c>
      <c r="Q109" s="1072"/>
    </row>
    <row r="110" spans="1:17" ht="36" customHeight="1">
      <c r="A110" s="747">
        <f t="shared" si="4"/>
        <v>104</v>
      </c>
      <c r="B110" s="748" t="s">
        <v>3056</v>
      </c>
      <c r="C110" s="937" t="s">
        <v>1277</v>
      </c>
      <c r="D110" s="747" t="s">
        <v>3287</v>
      </c>
      <c r="E110" s="749"/>
      <c r="F110" s="749">
        <v>46170</v>
      </c>
      <c r="G110" s="749">
        <v>46179</v>
      </c>
      <c r="H110" s="749">
        <v>46180</v>
      </c>
      <c r="I110" s="749">
        <v>46180</v>
      </c>
      <c r="J110" s="749">
        <v>46180</v>
      </c>
      <c r="K110" s="749">
        <v>46182</v>
      </c>
      <c r="L110" s="749">
        <v>46182</v>
      </c>
      <c r="M110" s="999">
        <v>46182</v>
      </c>
      <c r="N110" s="937" t="s">
        <v>631</v>
      </c>
      <c r="O110" s="1025" t="s">
        <v>3413</v>
      </c>
      <c r="P110" s="937">
        <v>12</v>
      </c>
      <c r="Q110" s="1072"/>
    </row>
    <row r="111" spans="1:17" ht="36" customHeight="1">
      <c r="A111" s="747">
        <f t="shared" si="4"/>
        <v>105</v>
      </c>
      <c r="B111" s="748" t="s">
        <v>894</v>
      </c>
      <c r="C111" s="937" t="s">
        <v>53</v>
      </c>
      <c r="D111" s="747" t="s">
        <v>3287</v>
      </c>
      <c r="E111" s="749"/>
      <c r="F111" s="749">
        <v>46170</v>
      </c>
      <c r="G111" s="749">
        <v>46174</v>
      </c>
      <c r="H111" s="749">
        <v>46175</v>
      </c>
      <c r="I111" s="749">
        <v>46175</v>
      </c>
      <c r="J111" s="749">
        <v>46175</v>
      </c>
      <c r="K111" s="749">
        <v>46176</v>
      </c>
      <c r="L111" s="749">
        <v>46176</v>
      </c>
      <c r="M111" s="999">
        <v>46178</v>
      </c>
      <c r="N111" s="937" t="s">
        <v>631</v>
      </c>
      <c r="O111" s="1025" t="s">
        <v>3408</v>
      </c>
      <c r="P111" s="937">
        <v>10</v>
      </c>
      <c r="Q111" s="1072"/>
    </row>
    <row r="112" spans="1:17" ht="36" customHeight="1">
      <c r="A112" s="747">
        <f t="shared" si="4"/>
        <v>106</v>
      </c>
      <c r="B112" s="748" t="s">
        <v>1015</v>
      </c>
      <c r="C112" s="937" t="s">
        <v>76</v>
      </c>
      <c r="D112" s="747" t="s">
        <v>2736</v>
      </c>
      <c r="E112" s="749"/>
      <c r="F112" s="749">
        <v>46175</v>
      </c>
      <c r="G112" s="749">
        <v>46181</v>
      </c>
      <c r="H112" s="749">
        <v>46182</v>
      </c>
      <c r="I112" s="749">
        <v>46182</v>
      </c>
      <c r="J112" s="749">
        <v>46182</v>
      </c>
      <c r="K112" s="749">
        <v>46182</v>
      </c>
      <c r="L112" s="749">
        <v>46182</v>
      </c>
      <c r="M112" s="999">
        <v>46182</v>
      </c>
      <c r="N112" s="937" t="s">
        <v>631</v>
      </c>
      <c r="O112" s="1025" t="s">
        <v>3105</v>
      </c>
      <c r="P112" s="937">
        <v>12</v>
      </c>
      <c r="Q112" s="1072"/>
    </row>
    <row r="113" spans="1:17" ht="39.6" hidden="1" customHeight="1">
      <c r="A113" s="747">
        <f t="shared" si="4"/>
        <v>107</v>
      </c>
      <c r="B113" s="748" t="s">
        <v>322</v>
      </c>
      <c r="C113" s="937" t="s">
        <v>76</v>
      </c>
      <c r="D113" s="747" t="s">
        <v>3287</v>
      </c>
      <c r="E113" s="749"/>
      <c r="F113" s="749">
        <v>46175</v>
      </c>
      <c r="G113" s="749">
        <v>46187</v>
      </c>
      <c r="H113" s="749">
        <v>46188</v>
      </c>
      <c r="I113" s="749">
        <v>46188</v>
      </c>
      <c r="J113" s="749">
        <v>46188</v>
      </c>
      <c r="K113" s="749">
        <v>46192</v>
      </c>
      <c r="L113" s="749">
        <v>46192</v>
      </c>
      <c r="M113" s="937"/>
      <c r="N113" s="937" t="s">
        <v>631</v>
      </c>
      <c r="O113" s="1025" t="s">
        <v>3586</v>
      </c>
      <c r="P113" s="937">
        <v>8</v>
      </c>
      <c r="Q113" s="1072"/>
    </row>
    <row r="114" spans="1:17" ht="36" hidden="1" customHeight="1">
      <c r="A114" s="747">
        <f t="shared" si="4"/>
        <v>108</v>
      </c>
      <c r="B114" s="748" t="s">
        <v>336</v>
      </c>
      <c r="C114" s="937" t="s">
        <v>76</v>
      </c>
      <c r="D114" s="747" t="s">
        <v>3287</v>
      </c>
      <c r="E114" s="749"/>
      <c r="F114" s="749">
        <v>46178</v>
      </c>
      <c r="G114" s="749">
        <v>46187</v>
      </c>
      <c r="H114" s="749">
        <v>46187</v>
      </c>
      <c r="I114" s="749">
        <v>46187</v>
      </c>
      <c r="J114" s="749">
        <v>46187</v>
      </c>
      <c r="K114" s="749">
        <v>46188</v>
      </c>
      <c r="L114" s="749">
        <v>46188</v>
      </c>
      <c r="M114" s="937"/>
      <c r="N114" s="937" t="s">
        <v>631</v>
      </c>
      <c r="O114" s="1025" t="s">
        <v>3105</v>
      </c>
      <c r="P114" s="937">
        <v>12</v>
      </c>
      <c r="Q114" s="1072"/>
    </row>
    <row r="115" spans="1:17" ht="36" customHeight="1">
      <c r="A115" s="747">
        <f t="shared" si="4"/>
        <v>109</v>
      </c>
      <c r="B115" s="748" t="s">
        <v>814</v>
      </c>
      <c r="C115" s="937" t="s">
        <v>62</v>
      </c>
      <c r="D115" s="747" t="s">
        <v>897</v>
      </c>
      <c r="E115" s="749"/>
      <c r="F115" s="749">
        <v>46180</v>
      </c>
      <c r="G115" s="749">
        <v>46185</v>
      </c>
      <c r="H115" s="749">
        <v>46186</v>
      </c>
      <c r="I115" s="749">
        <v>46186</v>
      </c>
      <c r="J115" s="749">
        <v>46186</v>
      </c>
      <c r="K115" s="749">
        <v>46187</v>
      </c>
      <c r="L115" s="749">
        <v>46187</v>
      </c>
      <c r="M115" s="999">
        <v>46188</v>
      </c>
      <c r="N115" s="937" t="s">
        <v>631</v>
      </c>
      <c r="O115" s="1025" t="s">
        <v>3608</v>
      </c>
      <c r="P115" s="937">
        <v>10</v>
      </c>
      <c r="Q115" s="1072"/>
    </row>
    <row r="116" spans="1:17" ht="36" customHeight="1">
      <c r="A116" s="747">
        <f t="shared" si="4"/>
        <v>110</v>
      </c>
      <c r="B116" s="748" t="s">
        <v>3071</v>
      </c>
      <c r="C116" s="937" t="s">
        <v>1277</v>
      </c>
      <c r="D116" s="747" t="s">
        <v>3287</v>
      </c>
      <c r="E116" s="749"/>
      <c r="F116" s="749">
        <v>46181</v>
      </c>
      <c r="G116" s="749">
        <v>46186</v>
      </c>
      <c r="H116" s="749">
        <v>46187</v>
      </c>
      <c r="I116" s="749">
        <v>46187</v>
      </c>
      <c r="J116" s="749">
        <v>46187</v>
      </c>
      <c r="K116" s="749">
        <v>46188</v>
      </c>
      <c r="L116" s="749">
        <v>46188</v>
      </c>
      <c r="M116" s="999">
        <v>46190</v>
      </c>
      <c r="N116" s="937" t="s">
        <v>631</v>
      </c>
      <c r="O116" s="1025" t="s">
        <v>3507</v>
      </c>
      <c r="P116" s="937">
        <v>16</v>
      </c>
      <c r="Q116" s="1072"/>
    </row>
    <row r="117" spans="1:17" ht="36" hidden="1" customHeight="1">
      <c r="A117" s="747">
        <f t="shared" si="4"/>
        <v>111</v>
      </c>
      <c r="B117" s="748" t="s">
        <v>2044</v>
      </c>
      <c r="C117" s="937" t="s">
        <v>1934</v>
      </c>
      <c r="D117" s="747" t="s">
        <v>897</v>
      </c>
      <c r="E117" s="749"/>
      <c r="F117" s="749">
        <v>46181</v>
      </c>
      <c r="G117" s="749">
        <v>46198</v>
      </c>
      <c r="H117" s="749">
        <v>46198</v>
      </c>
      <c r="I117" s="749">
        <v>46198</v>
      </c>
      <c r="J117" s="749">
        <v>46198</v>
      </c>
      <c r="K117" s="749">
        <v>46203</v>
      </c>
      <c r="L117" s="749">
        <v>46203</v>
      </c>
      <c r="M117" s="937"/>
      <c r="N117" s="937" t="s">
        <v>631</v>
      </c>
      <c r="O117" s="1025" t="s">
        <v>3597</v>
      </c>
      <c r="P117" s="937">
        <v>12</v>
      </c>
      <c r="Q117" s="1072"/>
    </row>
    <row r="118" spans="1:17" ht="36" customHeight="1">
      <c r="A118" s="747">
        <f t="shared" si="4"/>
        <v>112</v>
      </c>
      <c r="B118" s="748" t="s">
        <v>3068</v>
      </c>
      <c r="C118" s="937" t="s">
        <v>1269</v>
      </c>
      <c r="D118" s="747" t="s">
        <v>3287</v>
      </c>
      <c r="E118" s="749"/>
      <c r="F118" s="749">
        <v>46185</v>
      </c>
      <c r="G118" s="749">
        <v>46194</v>
      </c>
      <c r="H118" s="749">
        <v>46195</v>
      </c>
      <c r="I118" s="749">
        <v>46195</v>
      </c>
      <c r="J118" s="749">
        <v>46195</v>
      </c>
      <c r="K118" s="749">
        <v>46196</v>
      </c>
      <c r="L118" s="749">
        <v>46196</v>
      </c>
      <c r="M118" s="999">
        <v>46198</v>
      </c>
      <c r="N118" s="937" t="s">
        <v>631</v>
      </c>
      <c r="O118" s="1025" t="s">
        <v>3105</v>
      </c>
      <c r="P118" s="937">
        <v>12</v>
      </c>
      <c r="Q118" s="1072"/>
    </row>
    <row r="119" spans="1:17" ht="36" hidden="1" customHeight="1">
      <c r="A119" s="747">
        <f t="shared" si="4"/>
        <v>113</v>
      </c>
      <c r="B119" s="748" t="s">
        <v>3033</v>
      </c>
      <c r="C119" s="937" t="s">
        <v>1988</v>
      </c>
      <c r="D119" s="747" t="s">
        <v>1765</v>
      </c>
      <c r="E119" s="749"/>
      <c r="F119" s="749">
        <v>46185</v>
      </c>
      <c r="G119" s="749">
        <v>46203</v>
      </c>
      <c r="H119" s="749">
        <v>46204</v>
      </c>
      <c r="I119" s="749">
        <v>46204</v>
      </c>
      <c r="J119" s="749">
        <v>46216</v>
      </c>
      <c r="K119" s="749">
        <v>46217</v>
      </c>
      <c r="L119" s="749">
        <v>46217</v>
      </c>
      <c r="M119" s="937"/>
      <c r="N119" s="937" t="s">
        <v>631</v>
      </c>
      <c r="O119" s="1025" t="s">
        <v>2838</v>
      </c>
      <c r="P119" s="937">
        <v>10</v>
      </c>
      <c r="Q119" s="1072"/>
    </row>
    <row r="120" spans="1:17" ht="36" customHeight="1">
      <c r="A120" s="747">
        <f t="shared" si="4"/>
        <v>114</v>
      </c>
      <c r="B120" s="748" t="s">
        <v>2034</v>
      </c>
      <c r="C120" s="937" t="s">
        <v>76</v>
      </c>
      <c r="D120" s="747" t="s">
        <v>3287</v>
      </c>
      <c r="E120" s="749"/>
      <c r="F120" s="749">
        <v>46187</v>
      </c>
      <c r="G120" s="749">
        <v>46191</v>
      </c>
      <c r="H120" s="749">
        <v>46191</v>
      </c>
      <c r="I120" s="749">
        <v>46191</v>
      </c>
      <c r="J120" s="749">
        <v>46192</v>
      </c>
      <c r="K120" s="749">
        <v>46192</v>
      </c>
      <c r="L120" s="749">
        <v>46192</v>
      </c>
      <c r="M120" s="999">
        <v>46195</v>
      </c>
      <c r="N120" s="937" t="s">
        <v>631</v>
      </c>
      <c r="O120" s="1025" t="s">
        <v>3507</v>
      </c>
      <c r="P120" s="937">
        <v>12</v>
      </c>
      <c r="Q120" s="1072"/>
    </row>
    <row r="121" spans="1:17" ht="36" hidden="1" customHeight="1">
      <c r="A121" s="747">
        <f t="shared" si="4"/>
        <v>115</v>
      </c>
      <c r="B121" s="748" t="s">
        <v>2042</v>
      </c>
      <c r="C121" s="937" t="s">
        <v>76</v>
      </c>
      <c r="D121" s="747" t="s">
        <v>897</v>
      </c>
      <c r="E121" s="749"/>
      <c r="F121" s="749">
        <v>46190</v>
      </c>
      <c r="G121" s="749">
        <v>46196</v>
      </c>
      <c r="H121" s="749">
        <v>46196</v>
      </c>
      <c r="I121" s="749">
        <v>46198</v>
      </c>
      <c r="J121" s="749">
        <v>46198</v>
      </c>
      <c r="K121" s="749">
        <v>46198</v>
      </c>
      <c r="L121" s="749">
        <v>46198</v>
      </c>
      <c r="M121" s="937"/>
      <c r="N121" s="937" t="s">
        <v>631</v>
      </c>
      <c r="O121" s="1025" t="s">
        <v>3507</v>
      </c>
      <c r="P121" s="937">
        <v>18</v>
      </c>
      <c r="Q121" s="1072"/>
    </row>
    <row r="122" spans="1:17" ht="36" hidden="1" customHeight="1">
      <c r="A122" s="747">
        <f t="shared" si="4"/>
        <v>116</v>
      </c>
      <c r="B122" s="748" t="s">
        <v>3029</v>
      </c>
      <c r="C122" s="937" t="s">
        <v>2212</v>
      </c>
      <c r="D122" s="747" t="s">
        <v>2736</v>
      </c>
      <c r="E122" s="749"/>
      <c r="F122" s="749">
        <v>46194</v>
      </c>
      <c r="G122" s="749">
        <v>46202</v>
      </c>
      <c r="H122" s="749">
        <v>46202</v>
      </c>
      <c r="I122" s="749">
        <v>46202</v>
      </c>
      <c r="J122" s="749">
        <v>46202</v>
      </c>
      <c r="K122" s="749">
        <v>46203</v>
      </c>
      <c r="L122" s="749">
        <v>46203</v>
      </c>
      <c r="M122" s="937"/>
      <c r="N122" s="937" t="s">
        <v>631</v>
      </c>
      <c r="O122" s="1025" t="s">
        <v>3608</v>
      </c>
      <c r="P122" s="937">
        <v>18</v>
      </c>
      <c r="Q122" s="1072"/>
    </row>
    <row r="123" spans="1:17" ht="36" hidden="1" customHeight="1">
      <c r="A123" s="747">
        <f t="shared" si="4"/>
        <v>117</v>
      </c>
      <c r="B123" s="748" t="s">
        <v>3072</v>
      </c>
      <c r="C123" s="937" t="s">
        <v>3623</v>
      </c>
      <c r="D123" s="747" t="s">
        <v>897</v>
      </c>
      <c r="E123" s="749"/>
      <c r="F123" s="749">
        <v>46195</v>
      </c>
      <c r="G123" s="749">
        <v>46209</v>
      </c>
      <c r="H123" s="749">
        <v>46210</v>
      </c>
      <c r="I123" s="749">
        <v>46210</v>
      </c>
      <c r="J123" s="749">
        <v>46212</v>
      </c>
      <c r="K123" s="749">
        <v>46216</v>
      </c>
      <c r="L123" s="749">
        <v>46216</v>
      </c>
      <c r="M123" s="937"/>
      <c r="N123" s="937" t="s">
        <v>631</v>
      </c>
      <c r="O123" s="1025" t="s">
        <v>3507</v>
      </c>
      <c r="P123" s="937">
        <v>18</v>
      </c>
      <c r="Q123" s="1072"/>
    </row>
    <row r="124" spans="1:17" ht="36" hidden="1" customHeight="1">
      <c r="A124" s="747">
        <f t="shared" si="4"/>
        <v>118</v>
      </c>
      <c r="B124" s="748" t="s">
        <v>2392</v>
      </c>
      <c r="C124" s="937" t="s">
        <v>3633</v>
      </c>
      <c r="D124" s="747" t="s">
        <v>1765</v>
      </c>
      <c r="E124" s="749"/>
      <c r="F124" s="749">
        <v>46201</v>
      </c>
      <c r="G124" s="749">
        <v>46212</v>
      </c>
      <c r="H124" s="749">
        <v>46213</v>
      </c>
      <c r="I124" s="749">
        <v>46213</v>
      </c>
      <c r="J124" s="749">
        <v>46214</v>
      </c>
      <c r="K124" s="749">
        <v>46230</v>
      </c>
      <c r="L124" s="749">
        <v>46230</v>
      </c>
      <c r="M124" s="937"/>
      <c r="N124" s="937" t="s">
        <v>631</v>
      </c>
      <c r="O124" s="1025" t="s">
        <v>3105</v>
      </c>
      <c r="P124" s="937">
        <v>16</v>
      </c>
      <c r="Q124" s="1072"/>
    </row>
    <row r="125" spans="1:17" ht="36" hidden="1" customHeight="1">
      <c r="A125" s="747">
        <f t="shared" si="4"/>
        <v>119</v>
      </c>
      <c r="B125" s="748" t="s">
        <v>2036</v>
      </c>
      <c r="C125" s="937" t="s">
        <v>62</v>
      </c>
      <c r="D125" s="747" t="s">
        <v>897</v>
      </c>
      <c r="E125" s="749"/>
      <c r="F125" s="749">
        <v>46219</v>
      </c>
      <c r="G125" s="749">
        <v>46226</v>
      </c>
      <c r="H125" s="749">
        <v>46227</v>
      </c>
      <c r="I125" s="749">
        <v>46227</v>
      </c>
      <c r="J125" s="749">
        <v>46227</v>
      </c>
      <c r="K125" s="749">
        <v>46228</v>
      </c>
      <c r="L125" s="749">
        <v>46228</v>
      </c>
      <c r="M125" s="937"/>
      <c r="N125" s="937" t="s">
        <v>631</v>
      </c>
      <c r="O125" s="1025" t="s">
        <v>3507</v>
      </c>
      <c r="P125" s="937">
        <v>18</v>
      </c>
      <c r="Q125" s="1072"/>
    </row>
    <row r="126" spans="1:17" ht="36" hidden="1" customHeight="1">
      <c r="A126" s="1008">
        <f t="shared" si="4"/>
        <v>120</v>
      </c>
      <c r="B126" s="1009" t="s">
        <v>3030</v>
      </c>
      <c r="C126" s="807" t="s">
        <v>1988</v>
      </c>
      <c r="D126" s="1008" t="s">
        <v>1765</v>
      </c>
      <c r="E126" s="1011"/>
      <c r="F126" s="1011"/>
      <c r="G126" s="1011"/>
      <c r="H126" s="1011"/>
      <c r="I126" s="1011"/>
      <c r="J126" s="1011"/>
      <c r="K126" s="1011"/>
      <c r="L126" s="1011"/>
      <c r="M126" s="807"/>
      <c r="N126" s="925" t="s">
        <v>22</v>
      </c>
      <c r="O126" s="1345" t="s">
        <v>3105</v>
      </c>
      <c r="P126" s="807">
        <v>7</v>
      </c>
      <c r="Q126" s="1447" t="s">
        <v>3817</v>
      </c>
    </row>
    <row r="127" spans="1:17" ht="36" hidden="1" customHeight="1">
      <c r="A127" s="1008">
        <f t="shared" si="4"/>
        <v>121</v>
      </c>
      <c r="B127" s="1009" t="s">
        <v>3027</v>
      </c>
      <c r="C127" s="807" t="s">
        <v>2212</v>
      </c>
      <c r="D127" s="1008" t="s">
        <v>2736</v>
      </c>
      <c r="E127" s="1011"/>
      <c r="F127" s="1011">
        <v>46241</v>
      </c>
      <c r="G127" s="1011"/>
      <c r="H127" s="1011"/>
      <c r="I127" s="1011"/>
      <c r="J127" s="1011"/>
      <c r="K127" s="1011"/>
      <c r="L127" s="1011"/>
      <c r="M127" s="807"/>
      <c r="N127" s="925" t="s">
        <v>22</v>
      </c>
      <c r="O127" s="1345" t="s">
        <v>2838</v>
      </c>
      <c r="P127" s="807">
        <v>8</v>
      </c>
      <c r="Q127" s="1447" t="s">
        <v>3781</v>
      </c>
    </row>
  </sheetData>
  <autoFilter ref="A6:T127" xr:uid="{00000000-0001-0000-0100-000000000000}">
    <filterColumn colId="12">
      <customFilters>
        <customFilter operator="notEqual" val=" "/>
      </customFilters>
    </filterColumn>
  </autoFilter>
  <mergeCells count="9">
    <mergeCell ref="P27:P28"/>
    <mergeCell ref="M5:M6"/>
    <mergeCell ref="A5:A6"/>
    <mergeCell ref="B5:B6"/>
    <mergeCell ref="C5:C6"/>
    <mergeCell ref="D5:D6"/>
    <mergeCell ref="E5:E6"/>
    <mergeCell ref="F5:F6"/>
    <mergeCell ref="G5:L5"/>
  </mergeCells>
  <conditionalFormatting sqref="B1:B1048576">
    <cfRule type="duplicateValues" dxfId="3602"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theme="4" tint="0.39997558519241921"/>
  </sheetPr>
  <dimension ref="A1:L112"/>
  <sheetViews>
    <sheetView zoomScale="90" zoomScaleNormal="90" workbookViewId="0">
      <pane ySplit="6" topLeftCell="A106" activePane="bottomLeft" state="frozen"/>
      <selection activeCell="I87" sqref="I87"/>
      <selection pane="bottomLeft" activeCell="L113" sqref="L113"/>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9.85546875" style="648" bestFit="1" customWidth="1"/>
    <col min="9" max="9" width="19.140625" style="650" bestFit="1" customWidth="1"/>
    <col min="10" max="10" width="12.5703125" style="650" bestFit="1" customWidth="1"/>
    <col min="11" max="11" width="12.5703125" style="1295" hidden="1" customWidth="1"/>
    <col min="12" max="12" width="25.5703125" style="648" bestFit="1" customWidth="1"/>
    <col min="13" max="13" width="7.85546875" style="648" customWidth="1"/>
    <col min="14" max="14" width="12.42578125" style="648" customWidth="1"/>
    <col min="15" max="16384" width="7.85546875" style="648"/>
  </cols>
  <sheetData>
    <row r="1" spans="1:12" ht="12.75">
      <c r="A1" s="645" t="s">
        <v>37</v>
      </c>
      <c r="B1" s="646"/>
      <c r="C1" s="647"/>
      <c r="D1" s="647"/>
      <c r="E1" s="647"/>
      <c r="F1" s="647"/>
      <c r="H1" s="647"/>
      <c r="I1" s="695" t="s">
        <v>38</v>
      </c>
      <c r="J1" s="696">
        <f>'TB-605'!E1</f>
        <v>46246</v>
      </c>
      <c r="K1" s="696"/>
    </row>
    <row r="2" spans="1:12" ht="12.75">
      <c r="A2" s="651" t="s">
        <v>2739</v>
      </c>
      <c r="B2" s="652"/>
      <c r="C2" s="653"/>
      <c r="D2" s="653"/>
      <c r="E2" s="653"/>
      <c r="F2" s="653"/>
      <c r="H2" s="653"/>
      <c r="K2" s="650"/>
    </row>
    <row r="3" spans="1:12" ht="12.75">
      <c r="A3" s="651" t="s">
        <v>3200</v>
      </c>
      <c r="B3" s="651"/>
      <c r="C3" s="654"/>
      <c r="D3" s="654"/>
      <c r="E3" s="654"/>
      <c r="F3" s="654"/>
      <c r="H3" s="654"/>
      <c r="K3" s="650"/>
    </row>
    <row r="4" spans="1:12" ht="12.95" customHeight="1">
      <c r="K4" s="650"/>
    </row>
    <row r="5" spans="1:12" s="658" customFormat="1" ht="17.45" customHeight="1">
      <c r="A5" s="1645" t="s">
        <v>1782</v>
      </c>
      <c r="B5" s="1645" t="s">
        <v>998</v>
      </c>
      <c r="C5" s="1645" t="s">
        <v>44</v>
      </c>
      <c r="D5" s="1650" t="s">
        <v>3199</v>
      </c>
      <c r="E5" s="1645" t="s">
        <v>1761</v>
      </c>
      <c r="F5" s="1650" t="s">
        <v>3234</v>
      </c>
      <c r="G5" s="1650" t="s">
        <v>3201</v>
      </c>
      <c r="H5" s="1645" t="s">
        <v>627</v>
      </c>
      <c r="I5" s="1645" t="s">
        <v>1762</v>
      </c>
      <c r="J5" s="1650" t="s">
        <v>1763</v>
      </c>
      <c r="K5" s="1650" t="s">
        <v>3616</v>
      </c>
      <c r="L5" s="657" t="s">
        <v>1764</v>
      </c>
    </row>
    <row r="6" spans="1:12" s="658" customFormat="1" ht="17.45" customHeight="1">
      <c r="A6" s="1646"/>
      <c r="B6" s="1646"/>
      <c r="C6" s="1646"/>
      <c r="D6" s="1646"/>
      <c r="E6" s="1646"/>
      <c r="F6" s="1646"/>
      <c r="G6" s="1646"/>
      <c r="H6" s="1646"/>
      <c r="I6" s="1646"/>
      <c r="J6" s="1651"/>
      <c r="K6" s="1651"/>
      <c r="L6" s="657"/>
    </row>
    <row r="7" spans="1:12" s="1035" customFormat="1" ht="30.95" customHeight="1">
      <c r="A7" s="747">
        <v>1</v>
      </c>
      <c r="B7" s="748" t="s">
        <v>1656</v>
      </c>
      <c r="C7" s="747" t="s">
        <v>76</v>
      </c>
      <c r="D7" s="747">
        <v>18.338999999999999</v>
      </c>
      <c r="E7" s="779">
        <v>34.389000000000003</v>
      </c>
      <c r="F7" s="749">
        <v>45988</v>
      </c>
      <c r="G7" s="749">
        <v>45994</v>
      </c>
      <c r="H7" s="747" t="s">
        <v>631</v>
      </c>
      <c r="I7" s="747" t="s">
        <v>3202</v>
      </c>
      <c r="J7" s="747">
        <v>23</v>
      </c>
      <c r="K7" s="1008" t="s">
        <v>631</v>
      </c>
      <c r="L7" s="1088"/>
    </row>
    <row r="8" spans="1:12" s="1035" customFormat="1" ht="30.95" customHeight="1">
      <c r="A8" s="747">
        <f t="shared" ref="A8:A9" si="0">A7+1</f>
        <v>2</v>
      </c>
      <c r="B8" s="748" t="s">
        <v>1655</v>
      </c>
      <c r="C8" s="747" t="s">
        <v>76</v>
      </c>
      <c r="D8" s="747">
        <v>18.338999999999999</v>
      </c>
      <c r="E8" s="779">
        <v>21.318000000000001</v>
      </c>
      <c r="F8" s="749">
        <v>45996</v>
      </c>
      <c r="G8" s="749">
        <v>46001</v>
      </c>
      <c r="H8" s="747" t="s">
        <v>631</v>
      </c>
      <c r="I8" s="747" t="s">
        <v>3202</v>
      </c>
      <c r="J8" s="747">
        <v>23</v>
      </c>
      <c r="K8" s="1008" t="s">
        <v>631</v>
      </c>
      <c r="L8" s="1088"/>
    </row>
    <row r="9" spans="1:12" s="1035" customFormat="1" ht="30.95" customHeight="1">
      <c r="A9" s="747">
        <f t="shared" si="0"/>
        <v>3</v>
      </c>
      <c r="B9" s="748" t="s">
        <v>1138</v>
      </c>
      <c r="C9" s="747" t="s">
        <v>1269</v>
      </c>
      <c r="D9" s="747">
        <v>27.92</v>
      </c>
      <c r="E9" s="779">
        <v>21.318000000000001</v>
      </c>
      <c r="F9" s="749">
        <v>46002</v>
      </c>
      <c r="G9" s="749">
        <v>45982</v>
      </c>
      <c r="H9" s="747" t="s">
        <v>631</v>
      </c>
      <c r="I9" s="747" t="s">
        <v>3202</v>
      </c>
      <c r="J9" s="747">
        <v>23</v>
      </c>
      <c r="K9" s="1008" t="s">
        <v>631</v>
      </c>
      <c r="L9" s="1054"/>
    </row>
    <row r="10" spans="1:12" s="1035" customFormat="1" ht="30.95" customHeight="1">
      <c r="A10" s="747">
        <v>4</v>
      </c>
      <c r="B10" s="748" t="s">
        <v>1657</v>
      </c>
      <c r="C10" s="747" t="s">
        <v>62</v>
      </c>
      <c r="D10" s="747">
        <v>19.440000000000001</v>
      </c>
      <c r="E10" s="779"/>
      <c r="F10" s="749">
        <v>46013</v>
      </c>
      <c r="G10" s="749">
        <v>46020</v>
      </c>
      <c r="H10" s="747" t="s">
        <v>631</v>
      </c>
      <c r="I10" s="747" t="s">
        <v>3202</v>
      </c>
      <c r="J10" s="747">
        <v>20</v>
      </c>
      <c r="K10" s="1008" t="s">
        <v>631</v>
      </c>
      <c r="L10" s="1054"/>
    </row>
    <row r="11" spans="1:12" s="1035" customFormat="1" ht="30.95" customHeight="1">
      <c r="A11" s="747">
        <f t="shared" ref="A11:A17" si="1">A10+1</f>
        <v>5</v>
      </c>
      <c r="B11" s="748" t="s">
        <v>1630</v>
      </c>
      <c r="C11" s="747" t="s">
        <v>76</v>
      </c>
      <c r="D11" s="747">
        <v>18.338999999999999</v>
      </c>
      <c r="E11" s="779"/>
      <c r="F11" s="749">
        <v>46016</v>
      </c>
      <c r="G11" s="749">
        <v>46027</v>
      </c>
      <c r="H11" s="747" t="s">
        <v>631</v>
      </c>
      <c r="I11" s="747" t="s">
        <v>3238</v>
      </c>
      <c r="J11" s="747">
        <v>15</v>
      </c>
      <c r="K11" s="1008"/>
      <c r="L11" s="1054"/>
    </row>
    <row r="12" spans="1:12" s="1035" customFormat="1" ht="30.95" customHeight="1">
      <c r="A12" s="747">
        <f t="shared" si="1"/>
        <v>6</v>
      </c>
      <c r="B12" s="748" t="s">
        <v>1660</v>
      </c>
      <c r="C12" s="747" t="s">
        <v>53</v>
      </c>
      <c r="D12" s="747">
        <v>22.68</v>
      </c>
      <c r="E12" s="779"/>
      <c r="F12" s="749">
        <v>46020</v>
      </c>
      <c r="G12" s="749">
        <v>46030</v>
      </c>
      <c r="H12" s="747" t="s">
        <v>631</v>
      </c>
      <c r="I12" s="747" t="s">
        <v>3202</v>
      </c>
      <c r="J12" s="747">
        <v>20</v>
      </c>
      <c r="K12" s="1008"/>
      <c r="L12" s="1054"/>
    </row>
    <row r="13" spans="1:12" s="1035" customFormat="1" ht="30.95" customHeight="1">
      <c r="A13" s="747">
        <f t="shared" si="1"/>
        <v>7</v>
      </c>
      <c r="B13" s="748" t="s">
        <v>1631</v>
      </c>
      <c r="C13" s="747" t="s">
        <v>76</v>
      </c>
      <c r="D13" s="747">
        <v>18.338999999999999</v>
      </c>
      <c r="E13" s="779"/>
      <c r="F13" s="749">
        <v>46029</v>
      </c>
      <c r="G13" s="749">
        <v>46038</v>
      </c>
      <c r="H13" s="747" t="s">
        <v>631</v>
      </c>
      <c r="I13" s="747" t="s">
        <v>3238</v>
      </c>
      <c r="J13" s="747">
        <v>15</v>
      </c>
      <c r="K13" s="1008"/>
      <c r="L13" s="1054"/>
    </row>
    <row r="14" spans="1:12" s="1035" customFormat="1" ht="30.95" customHeight="1">
      <c r="A14" s="747">
        <f t="shared" si="1"/>
        <v>8</v>
      </c>
      <c r="B14" s="748" t="s">
        <v>1960</v>
      </c>
      <c r="C14" s="747" t="s">
        <v>249</v>
      </c>
      <c r="D14" s="747">
        <v>24.149000000000001</v>
      </c>
      <c r="E14" s="779"/>
      <c r="F14" s="749">
        <v>46031</v>
      </c>
      <c r="G14" s="749">
        <v>46040</v>
      </c>
      <c r="H14" s="747" t="s">
        <v>631</v>
      </c>
      <c r="I14" s="747" t="s">
        <v>3202</v>
      </c>
      <c r="J14" s="747">
        <v>20</v>
      </c>
      <c r="K14" s="1008"/>
      <c r="L14" s="1054"/>
    </row>
    <row r="15" spans="1:12" s="1035" customFormat="1" ht="30.95" customHeight="1">
      <c r="A15" s="747">
        <f t="shared" si="1"/>
        <v>9</v>
      </c>
      <c r="B15" s="748" t="s">
        <v>2374</v>
      </c>
      <c r="C15" s="747" t="s">
        <v>1277</v>
      </c>
      <c r="D15" s="747">
        <v>32.22</v>
      </c>
      <c r="E15" s="779"/>
      <c r="F15" s="749">
        <v>46040</v>
      </c>
      <c r="G15" s="749">
        <v>46053</v>
      </c>
      <c r="H15" s="747" t="s">
        <v>631</v>
      </c>
      <c r="I15" s="747" t="s">
        <v>3238</v>
      </c>
      <c r="J15" s="747">
        <v>21</v>
      </c>
      <c r="K15" s="1008" t="s">
        <v>631</v>
      </c>
      <c r="L15" s="1054"/>
    </row>
    <row r="16" spans="1:12" s="1035" customFormat="1" ht="30.95" customHeight="1">
      <c r="A16" s="747">
        <f t="shared" si="1"/>
        <v>10</v>
      </c>
      <c r="B16" s="748" t="s">
        <v>1959</v>
      </c>
      <c r="C16" s="747" t="s">
        <v>76</v>
      </c>
      <c r="D16" s="747">
        <v>18.338999999999999</v>
      </c>
      <c r="E16" s="779"/>
      <c r="F16" s="749">
        <v>46040</v>
      </c>
      <c r="G16" s="749">
        <v>46044</v>
      </c>
      <c r="H16" s="747" t="s">
        <v>631</v>
      </c>
      <c r="I16" s="747" t="s">
        <v>3202</v>
      </c>
      <c r="J16" s="747">
        <v>22</v>
      </c>
      <c r="K16" s="1008"/>
      <c r="L16" s="1054"/>
    </row>
    <row r="17" spans="1:12" s="1035" customFormat="1" ht="30.95" customHeight="1">
      <c r="A17" s="747">
        <f t="shared" si="1"/>
        <v>11</v>
      </c>
      <c r="B17" s="748" t="s">
        <v>1661</v>
      </c>
      <c r="C17" s="747" t="s">
        <v>62</v>
      </c>
      <c r="D17" s="747">
        <v>19.440000000000001</v>
      </c>
      <c r="E17" s="779"/>
      <c r="F17" s="749">
        <v>46047</v>
      </c>
      <c r="G17" s="749">
        <v>46054</v>
      </c>
      <c r="H17" s="747" t="s">
        <v>631</v>
      </c>
      <c r="I17" s="747" t="s">
        <v>3202</v>
      </c>
      <c r="J17" s="747">
        <v>22</v>
      </c>
      <c r="K17" s="1008" t="s">
        <v>631</v>
      </c>
      <c r="L17" s="1054"/>
    </row>
    <row r="18" spans="1:12" s="1035" customFormat="1" ht="30.95" customHeight="1">
      <c r="A18" s="747">
        <f t="shared" ref="A18:A53" si="2">A17+1</f>
        <v>12</v>
      </c>
      <c r="B18" s="748" t="s">
        <v>1662</v>
      </c>
      <c r="C18" s="747" t="s">
        <v>76</v>
      </c>
      <c r="D18" s="747">
        <v>18.338999999999999</v>
      </c>
      <c r="E18" s="779"/>
      <c r="F18" s="749">
        <v>46054</v>
      </c>
      <c r="G18" s="749">
        <v>46059</v>
      </c>
      <c r="H18" s="747" t="s">
        <v>631</v>
      </c>
      <c r="I18" s="747" t="s">
        <v>3202</v>
      </c>
      <c r="J18" s="747">
        <v>22</v>
      </c>
      <c r="K18" s="1008" t="s">
        <v>631</v>
      </c>
      <c r="L18" s="1054"/>
    </row>
    <row r="19" spans="1:12" s="1035" customFormat="1" ht="30.95" customHeight="1">
      <c r="A19" s="747">
        <f t="shared" si="2"/>
        <v>13</v>
      </c>
      <c r="B19" s="748" t="s">
        <v>1638</v>
      </c>
      <c r="C19" s="747" t="s">
        <v>76</v>
      </c>
      <c r="D19" s="747">
        <v>18.338999999999999</v>
      </c>
      <c r="E19" s="779"/>
      <c r="F19" s="749">
        <v>46054</v>
      </c>
      <c r="G19" s="749">
        <v>46060</v>
      </c>
      <c r="H19" s="747" t="s">
        <v>631</v>
      </c>
      <c r="I19" s="747" t="s">
        <v>3238</v>
      </c>
      <c r="J19" s="747">
        <v>21</v>
      </c>
      <c r="K19" s="1008"/>
      <c r="L19" s="1054"/>
    </row>
    <row r="20" spans="1:12" s="1035" customFormat="1" ht="30.95" customHeight="1">
      <c r="A20" s="747">
        <f t="shared" si="2"/>
        <v>14</v>
      </c>
      <c r="B20" s="748" t="s">
        <v>1116</v>
      </c>
      <c r="C20" s="747" t="s">
        <v>76</v>
      </c>
      <c r="D20" s="747">
        <v>18.338999999999999</v>
      </c>
      <c r="E20" s="779"/>
      <c r="F20" s="749">
        <v>46058</v>
      </c>
      <c r="G20" s="749">
        <v>46063</v>
      </c>
      <c r="H20" s="747" t="s">
        <v>631</v>
      </c>
      <c r="I20" s="747" t="s">
        <v>3292</v>
      </c>
      <c r="J20" s="747">
        <v>21</v>
      </c>
      <c r="K20" s="1008"/>
      <c r="L20" s="1248" t="s">
        <v>3291</v>
      </c>
    </row>
    <row r="21" spans="1:12" s="1035" customFormat="1" ht="30.95" customHeight="1">
      <c r="A21" s="747">
        <f t="shared" si="2"/>
        <v>15</v>
      </c>
      <c r="B21" s="748" t="s">
        <v>668</v>
      </c>
      <c r="C21" s="747" t="s">
        <v>76</v>
      </c>
      <c r="D21" s="747">
        <v>18.338999999999999</v>
      </c>
      <c r="E21" s="779"/>
      <c r="F21" s="749">
        <v>46059</v>
      </c>
      <c r="G21" s="749">
        <v>46061</v>
      </c>
      <c r="H21" s="747" t="s">
        <v>631</v>
      </c>
      <c r="I21" s="747" t="s">
        <v>3202</v>
      </c>
      <c r="J21" s="747">
        <v>22</v>
      </c>
      <c r="K21" s="1008" t="s">
        <v>631</v>
      </c>
      <c r="L21" s="1054"/>
    </row>
    <row r="22" spans="1:12" s="1035" customFormat="1" ht="30.95" customHeight="1">
      <c r="A22" s="747">
        <f t="shared" si="2"/>
        <v>16</v>
      </c>
      <c r="B22" s="748" t="s">
        <v>1637</v>
      </c>
      <c r="C22" s="747" t="s">
        <v>76</v>
      </c>
      <c r="D22" s="747">
        <v>18.338999999999999</v>
      </c>
      <c r="E22" s="779"/>
      <c r="F22" s="749">
        <v>46061</v>
      </c>
      <c r="G22" s="749">
        <v>46066</v>
      </c>
      <c r="H22" s="747" t="s">
        <v>631</v>
      </c>
      <c r="I22" s="747" t="s">
        <v>3288</v>
      </c>
      <c r="J22" s="747">
        <v>21</v>
      </c>
      <c r="K22" s="1008"/>
      <c r="L22" s="1054"/>
    </row>
    <row r="23" spans="1:12" s="1035" customFormat="1" ht="30.95" customHeight="1">
      <c r="A23" s="747">
        <f t="shared" si="2"/>
        <v>17</v>
      </c>
      <c r="B23" s="748" t="s">
        <v>1663</v>
      </c>
      <c r="C23" s="747" t="s">
        <v>62</v>
      </c>
      <c r="D23" s="747">
        <v>19.440000000000001</v>
      </c>
      <c r="E23" s="779"/>
      <c r="F23" s="749">
        <v>46062</v>
      </c>
      <c r="G23" s="749">
        <v>46066</v>
      </c>
      <c r="H23" s="747" t="s">
        <v>631</v>
      </c>
      <c r="I23" s="747" t="s">
        <v>3202</v>
      </c>
      <c r="J23" s="747">
        <v>22</v>
      </c>
      <c r="K23" s="1008" t="s">
        <v>631</v>
      </c>
      <c r="L23" s="1054"/>
    </row>
    <row r="24" spans="1:12" s="1035" customFormat="1" ht="30.95" customHeight="1">
      <c r="A24" s="747">
        <f t="shared" si="2"/>
        <v>18</v>
      </c>
      <c r="B24" s="748" t="s">
        <v>3044</v>
      </c>
      <c r="C24" s="747" t="s">
        <v>1269</v>
      </c>
      <c r="D24" s="747">
        <v>27.92</v>
      </c>
      <c r="E24" s="779"/>
      <c r="F24" s="749">
        <v>46064</v>
      </c>
      <c r="G24" s="749">
        <v>46068</v>
      </c>
      <c r="H24" s="747" t="s">
        <v>631</v>
      </c>
      <c r="I24" s="747" t="s">
        <v>3292</v>
      </c>
      <c r="J24" s="747">
        <v>21</v>
      </c>
      <c r="K24" s="1008"/>
      <c r="L24" s="1054"/>
    </row>
    <row r="25" spans="1:12" s="1035" customFormat="1" ht="30.95" customHeight="1">
      <c r="A25" s="747">
        <f t="shared" si="2"/>
        <v>19</v>
      </c>
      <c r="B25" s="748" t="s">
        <v>3052</v>
      </c>
      <c r="C25" s="747" t="s">
        <v>1269</v>
      </c>
      <c r="D25" s="1118">
        <f>27.921</f>
        <v>27.920999999999999</v>
      </c>
      <c r="E25" s="779"/>
      <c r="F25" s="749">
        <v>46066</v>
      </c>
      <c r="G25" s="749">
        <v>46073</v>
      </c>
      <c r="H25" s="747" t="s">
        <v>631</v>
      </c>
      <c r="I25" s="747" t="s">
        <v>3202</v>
      </c>
      <c r="J25" s="747">
        <v>22</v>
      </c>
      <c r="K25" s="1008" t="s">
        <v>631</v>
      </c>
      <c r="L25" s="1054"/>
    </row>
    <row r="26" spans="1:12" s="1035" customFormat="1" ht="30.95" customHeight="1">
      <c r="A26" s="747">
        <f t="shared" si="2"/>
        <v>20</v>
      </c>
      <c r="B26" s="748" t="s">
        <v>3039</v>
      </c>
      <c r="C26" s="747" t="s">
        <v>1277</v>
      </c>
      <c r="D26" s="1118">
        <v>32.222000000000001</v>
      </c>
      <c r="E26" s="779"/>
      <c r="F26" s="749">
        <v>46066</v>
      </c>
      <c r="G26" s="749">
        <v>46077</v>
      </c>
      <c r="H26" s="747" t="s">
        <v>631</v>
      </c>
      <c r="I26" s="747" t="s">
        <v>3288</v>
      </c>
      <c r="J26" s="747">
        <v>21</v>
      </c>
      <c r="K26" s="1008" t="s">
        <v>631</v>
      </c>
      <c r="L26" s="1054"/>
    </row>
    <row r="27" spans="1:12" s="1035" customFormat="1" ht="30.95" customHeight="1">
      <c r="A27" s="747">
        <f t="shared" si="2"/>
        <v>21</v>
      </c>
      <c r="B27" s="748" t="s">
        <v>1647</v>
      </c>
      <c r="C27" s="747" t="s">
        <v>62</v>
      </c>
      <c r="D27" s="1118">
        <v>19.440000000000001</v>
      </c>
      <c r="E27" s="779"/>
      <c r="F27" s="749">
        <v>46068</v>
      </c>
      <c r="G27" s="749">
        <v>46072</v>
      </c>
      <c r="H27" s="747" t="s">
        <v>631</v>
      </c>
      <c r="I27" s="747" t="s">
        <v>3292</v>
      </c>
      <c r="J27" s="747">
        <v>21</v>
      </c>
      <c r="K27" s="1008"/>
      <c r="L27" s="1054"/>
    </row>
    <row r="28" spans="1:12" s="1035" customFormat="1" ht="30.95" customHeight="1">
      <c r="A28" s="747">
        <f t="shared" si="2"/>
        <v>22</v>
      </c>
      <c r="B28" s="748" t="s">
        <v>964</v>
      </c>
      <c r="C28" s="747" t="s">
        <v>62</v>
      </c>
      <c r="D28" s="1118">
        <v>19.440000000000001</v>
      </c>
      <c r="E28" s="779"/>
      <c r="F28" s="749">
        <v>46069</v>
      </c>
      <c r="G28" s="749">
        <v>46076</v>
      </c>
      <c r="H28" s="747" t="s">
        <v>631</v>
      </c>
      <c r="I28" s="747" t="s">
        <v>3312</v>
      </c>
      <c r="J28" s="747">
        <v>26</v>
      </c>
      <c r="K28" s="1008"/>
      <c r="L28" s="1054"/>
    </row>
    <row r="29" spans="1:12" s="1035" customFormat="1" ht="30.95" customHeight="1">
      <c r="A29" s="747">
        <f t="shared" si="2"/>
        <v>23</v>
      </c>
      <c r="B29" s="748" t="s">
        <v>2004</v>
      </c>
      <c r="C29" s="747" t="s">
        <v>76</v>
      </c>
      <c r="D29" s="747">
        <v>18.338999999999999</v>
      </c>
      <c r="E29" s="779"/>
      <c r="F29" s="749">
        <v>46070</v>
      </c>
      <c r="G29" s="749">
        <v>46078</v>
      </c>
      <c r="H29" s="747" t="s">
        <v>631</v>
      </c>
      <c r="I29" s="747" t="s">
        <v>3307</v>
      </c>
      <c r="J29" s="747">
        <f>18+5</f>
        <v>23</v>
      </c>
      <c r="K29" s="1008"/>
      <c r="L29" s="1054"/>
    </row>
    <row r="30" spans="1:12" s="1035" customFormat="1" ht="30.95" customHeight="1">
      <c r="A30" s="747">
        <f t="shared" si="2"/>
        <v>24</v>
      </c>
      <c r="B30" s="748" t="s">
        <v>654</v>
      </c>
      <c r="C30" s="747" t="s">
        <v>53</v>
      </c>
      <c r="D30" s="1118">
        <v>22.68</v>
      </c>
      <c r="E30" s="779"/>
      <c r="F30" s="749">
        <v>46073</v>
      </c>
      <c r="G30" s="749">
        <v>46078</v>
      </c>
      <c r="H30" s="747" t="s">
        <v>631</v>
      </c>
      <c r="I30" s="747" t="s">
        <v>3202</v>
      </c>
      <c r="J30" s="747">
        <v>22</v>
      </c>
      <c r="K30" s="1008"/>
      <c r="L30" s="1054"/>
    </row>
    <row r="31" spans="1:12" s="1035" customFormat="1" ht="30.95" customHeight="1">
      <c r="A31" s="747">
        <f t="shared" si="2"/>
        <v>25</v>
      </c>
      <c r="B31" s="748" t="s">
        <v>1646</v>
      </c>
      <c r="C31" s="747" t="s">
        <v>62</v>
      </c>
      <c r="D31" s="1118">
        <v>19.440000000000001</v>
      </c>
      <c r="E31" s="779"/>
      <c r="F31" s="749">
        <v>46073</v>
      </c>
      <c r="G31" s="749">
        <v>46075</v>
      </c>
      <c r="H31" s="747" t="s">
        <v>631</v>
      </c>
      <c r="I31" s="747" t="s">
        <v>3292</v>
      </c>
      <c r="J31" s="747">
        <v>21</v>
      </c>
      <c r="K31" s="1008"/>
      <c r="L31" s="1054"/>
    </row>
    <row r="32" spans="1:12" s="1035" customFormat="1" ht="30.95" customHeight="1">
      <c r="A32" s="747">
        <f t="shared" si="2"/>
        <v>26</v>
      </c>
      <c r="B32" s="748" t="s">
        <v>3047</v>
      </c>
      <c r="C32" s="747" t="s">
        <v>1319</v>
      </c>
      <c r="D32" s="1118">
        <v>42.225999999999999</v>
      </c>
      <c r="E32" s="779"/>
      <c r="F32" s="749">
        <v>46075</v>
      </c>
      <c r="G32" s="749">
        <v>46084</v>
      </c>
      <c r="H32" s="747" t="s">
        <v>631</v>
      </c>
      <c r="I32" s="747" t="s">
        <v>3292</v>
      </c>
      <c r="J32" s="747">
        <v>21</v>
      </c>
      <c r="K32" s="1008" t="s">
        <v>631</v>
      </c>
      <c r="L32" s="1054"/>
    </row>
    <row r="33" spans="1:12" s="1035" customFormat="1" ht="30.95" customHeight="1">
      <c r="A33" s="747">
        <f t="shared" si="2"/>
        <v>27</v>
      </c>
      <c r="B33" s="748" t="s">
        <v>965</v>
      </c>
      <c r="C33" s="747" t="s">
        <v>76</v>
      </c>
      <c r="D33" s="747">
        <v>18.338999999999999</v>
      </c>
      <c r="E33" s="779"/>
      <c r="F33" s="749">
        <v>46077</v>
      </c>
      <c r="G33" s="749">
        <v>46081</v>
      </c>
      <c r="H33" s="747" t="s">
        <v>631</v>
      </c>
      <c r="I33" s="747" t="s">
        <v>3312</v>
      </c>
      <c r="J33" s="747">
        <v>26</v>
      </c>
      <c r="K33" s="1008"/>
      <c r="L33" s="1054"/>
    </row>
    <row r="34" spans="1:12" s="1035" customFormat="1" ht="30.95" customHeight="1">
      <c r="A34" s="747">
        <f t="shared" si="2"/>
        <v>28</v>
      </c>
      <c r="B34" s="748" t="s">
        <v>1636</v>
      </c>
      <c r="C34" s="747" t="s">
        <v>53</v>
      </c>
      <c r="D34" s="1118">
        <v>22.68</v>
      </c>
      <c r="E34" s="779"/>
      <c r="F34" s="749">
        <v>46077</v>
      </c>
      <c r="G34" s="749">
        <v>46085</v>
      </c>
      <c r="H34" s="747" t="s">
        <v>631</v>
      </c>
      <c r="I34" s="747" t="s">
        <v>3288</v>
      </c>
      <c r="J34" s="747">
        <v>21</v>
      </c>
      <c r="K34" s="1008" t="s">
        <v>631</v>
      </c>
      <c r="L34" s="1054"/>
    </row>
    <row r="35" spans="1:12" s="1035" customFormat="1" ht="30.95" customHeight="1">
      <c r="A35" s="747">
        <f t="shared" si="2"/>
        <v>29</v>
      </c>
      <c r="B35" s="748" t="s">
        <v>1963</v>
      </c>
      <c r="C35" s="747" t="s">
        <v>62</v>
      </c>
      <c r="D35" s="1118">
        <v>19.440000000000001</v>
      </c>
      <c r="E35" s="779"/>
      <c r="F35" s="749">
        <v>46088</v>
      </c>
      <c r="G35" s="749">
        <v>46091</v>
      </c>
      <c r="H35" s="747" t="s">
        <v>631</v>
      </c>
      <c r="I35" s="747" t="s">
        <v>3415</v>
      </c>
      <c r="J35" s="747">
        <v>20</v>
      </c>
      <c r="K35" s="1008" t="s">
        <v>631</v>
      </c>
      <c r="L35" s="1054"/>
    </row>
    <row r="36" spans="1:12" s="1035" customFormat="1" ht="30.95" customHeight="1">
      <c r="A36" s="747">
        <f t="shared" si="2"/>
        <v>30</v>
      </c>
      <c r="B36" s="748" t="s">
        <v>3060</v>
      </c>
      <c r="C36" s="747" t="s">
        <v>1361</v>
      </c>
      <c r="D36" s="1118">
        <v>33.53</v>
      </c>
      <c r="E36" s="779"/>
      <c r="F36" s="749">
        <v>46081</v>
      </c>
      <c r="G36" s="749">
        <v>46089</v>
      </c>
      <c r="H36" s="747" t="s">
        <v>631</v>
      </c>
      <c r="I36" s="747" t="s">
        <v>3312</v>
      </c>
      <c r="J36" s="747">
        <v>26</v>
      </c>
      <c r="K36" s="1008"/>
      <c r="L36" s="1054"/>
    </row>
    <row r="37" spans="1:12" s="1035" customFormat="1" ht="30.95" customHeight="1">
      <c r="A37" s="747">
        <f t="shared" si="2"/>
        <v>31</v>
      </c>
      <c r="B37" s="748" t="s">
        <v>1635</v>
      </c>
      <c r="C37" s="747" t="s">
        <v>76</v>
      </c>
      <c r="D37" s="1118">
        <v>18.338999999999999</v>
      </c>
      <c r="E37" s="779"/>
      <c r="F37" s="749">
        <v>46086</v>
      </c>
      <c r="G37" s="749">
        <v>46093</v>
      </c>
      <c r="H37" s="747" t="s">
        <v>631</v>
      </c>
      <c r="I37" s="747" t="s">
        <v>3288</v>
      </c>
      <c r="J37" s="747">
        <v>21</v>
      </c>
      <c r="K37" s="1008" t="s">
        <v>631</v>
      </c>
      <c r="L37" s="1054"/>
    </row>
    <row r="38" spans="1:12" s="1035" customFormat="1" ht="30.95" customHeight="1">
      <c r="A38" s="747">
        <f t="shared" si="2"/>
        <v>32</v>
      </c>
      <c r="B38" s="748" t="s">
        <v>1125</v>
      </c>
      <c r="C38" s="747" t="s">
        <v>76</v>
      </c>
      <c r="D38" s="1118">
        <v>18.338999999999999</v>
      </c>
      <c r="E38" s="779"/>
      <c r="F38" s="749">
        <v>46086</v>
      </c>
      <c r="G38" s="749">
        <v>46093</v>
      </c>
      <c r="H38" s="747" t="s">
        <v>631</v>
      </c>
      <c r="I38" s="747" t="s">
        <v>3292</v>
      </c>
      <c r="J38" s="747">
        <v>20</v>
      </c>
      <c r="K38" s="1008" t="s">
        <v>631</v>
      </c>
      <c r="L38" s="1054"/>
    </row>
    <row r="39" spans="1:12" s="1035" customFormat="1" ht="30.95" customHeight="1">
      <c r="A39" s="747">
        <f t="shared" si="2"/>
        <v>33</v>
      </c>
      <c r="B39" s="748" t="s">
        <v>555</v>
      </c>
      <c r="C39" s="747" t="s">
        <v>76</v>
      </c>
      <c r="D39" s="1118">
        <v>18.338999999999999</v>
      </c>
      <c r="E39" s="779"/>
      <c r="F39" s="749">
        <v>46089</v>
      </c>
      <c r="G39" s="749">
        <v>46093</v>
      </c>
      <c r="H39" s="747" t="s">
        <v>631</v>
      </c>
      <c r="I39" s="747" t="s">
        <v>3312</v>
      </c>
      <c r="J39" s="747">
        <v>26</v>
      </c>
      <c r="K39" s="1008"/>
      <c r="L39" s="1054"/>
    </row>
    <row r="40" spans="1:12" s="1035" customFormat="1" ht="30.95" customHeight="1">
      <c r="A40" s="747">
        <f t="shared" si="2"/>
        <v>34</v>
      </c>
      <c r="B40" s="748" t="s">
        <v>1652</v>
      </c>
      <c r="C40" s="747" t="s">
        <v>76</v>
      </c>
      <c r="D40" s="1118">
        <v>18.338999999999999</v>
      </c>
      <c r="E40" s="779"/>
      <c r="F40" s="749">
        <v>46090</v>
      </c>
      <c r="G40" s="749">
        <v>46104</v>
      </c>
      <c r="H40" s="747" t="s">
        <v>631</v>
      </c>
      <c r="I40" s="747" t="s">
        <v>3334</v>
      </c>
      <c r="J40" s="747">
        <v>18</v>
      </c>
      <c r="K40" s="1008"/>
      <c r="L40" s="1054"/>
    </row>
    <row r="41" spans="1:12" s="1035" customFormat="1" ht="30.95" customHeight="1">
      <c r="A41" s="747">
        <f t="shared" si="2"/>
        <v>35</v>
      </c>
      <c r="B41" s="748" t="s">
        <v>503</v>
      </c>
      <c r="C41" s="747" t="s">
        <v>76</v>
      </c>
      <c r="D41" s="1118">
        <v>18.338999999999999</v>
      </c>
      <c r="E41" s="779"/>
      <c r="F41" s="749">
        <v>46093</v>
      </c>
      <c r="G41" s="749">
        <v>46097</v>
      </c>
      <c r="H41" s="747" t="s">
        <v>631</v>
      </c>
      <c r="I41" s="747" t="s">
        <v>3312</v>
      </c>
      <c r="J41" s="747">
        <v>26</v>
      </c>
      <c r="K41" s="1008"/>
      <c r="L41" s="1054"/>
    </row>
    <row r="42" spans="1:12" s="1035" customFormat="1" ht="30.95" customHeight="1">
      <c r="A42" s="747">
        <f t="shared" si="2"/>
        <v>36</v>
      </c>
      <c r="B42" s="748" t="s">
        <v>1648</v>
      </c>
      <c r="C42" s="747" t="s">
        <v>76</v>
      </c>
      <c r="D42" s="1118">
        <v>18.338999999999999</v>
      </c>
      <c r="E42" s="779"/>
      <c r="F42" s="749">
        <v>46093</v>
      </c>
      <c r="G42" s="749">
        <v>46098</v>
      </c>
      <c r="H42" s="747" t="s">
        <v>631</v>
      </c>
      <c r="I42" s="747" t="s">
        <v>3292</v>
      </c>
      <c r="J42" s="747">
        <v>20</v>
      </c>
      <c r="K42" s="1008" t="s">
        <v>631</v>
      </c>
      <c r="L42" s="1054"/>
    </row>
    <row r="43" spans="1:12" s="1035" customFormat="1" ht="30.95" customHeight="1">
      <c r="A43" s="747">
        <f t="shared" si="2"/>
        <v>37</v>
      </c>
      <c r="B43" s="748" t="s">
        <v>3053</v>
      </c>
      <c r="C43" s="747" t="s">
        <v>1277</v>
      </c>
      <c r="D43" s="1118">
        <v>32.22</v>
      </c>
      <c r="E43" s="779"/>
      <c r="F43" s="749">
        <v>46093</v>
      </c>
      <c r="G43" s="749">
        <v>46105</v>
      </c>
      <c r="H43" s="747" t="s">
        <v>631</v>
      </c>
      <c r="I43" s="747" t="s">
        <v>3415</v>
      </c>
      <c r="J43" s="747">
        <v>20</v>
      </c>
      <c r="K43" s="1008"/>
      <c r="L43" s="1054"/>
    </row>
    <row r="44" spans="1:12" s="1035" customFormat="1" ht="30.95" customHeight="1">
      <c r="A44" s="747">
        <f t="shared" si="2"/>
        <v>38</v>
      </c>
      <c r="B44" s="748" t="s">
        <v>3046</v>
      </c>
      <c r="C44" s="747" t="s">
        <v>1319</v>
      </c>
      <c r="D44" s="1118">
        <v>42.23</v>
      </c>
      <c r="E44" s="779"/>
      <c r="F44" s="749">
        <v>46097</v>
      </c>
      <c r="G44" s="749">
        <v>46106</v>
      </c>
      <c r="H44" s="747" t="s">
        <v>631</v>
      </c>
      <c r="I44" s="747" t="s">
        <v>3292</v>
      </c>
      <c r="J44" s="747">
        <v>20</v>
      </c>
      <c r="K44" s="1008" t="s">
        <v>631</v>
      </c>
      <c r="L44" s="1054"/>
    </row>
    <row r="45" spans="1:12" s="1035" customFormat="1" ht="30.95" customHeight="1">
      <c r="A45" s="747">
        <f t="shared" si="2"/>
        <v>39</v>
      </c>
      <c r="B45" s="748" t="s">
        <v>564</v>
      </c>
      <c r="C45" s="747" t="s">
        <v>62</v>
      </c>
      <c r="D45" s="1118">
        <v>19.440000000000001</v>
      </c>
      <c r="E45" s="779"/>
      <c r="F45" s="749">
        <v>46097</v>
      </c>
      <c r="G45" s="749">
        <v>46102</v>
      </c>
      <c r="H45" s="747" t="s">
        <v>631</v>
      </c>
      <c r="I45" s="747" t="s">
        <v>3312</v>
      </c>
      <c r="J45" s="747">
        <v>20</v>
      </c>
      <c r="K45" s="1008"/>
      <c r="L45" s="1054"/>
    </row>
    <row r="46" spans="1:12" s="1035" customFormat="1" ht="30.95" customHeight="1">
      <c r="A46" s="747">
        <f t="shared" si="2"/>
        <v>40</v>
      </c>
      <c r="B46" s="748" t="s">
        <v>502</v>
      </c>
      <c r="C46" s="747" t="s">
        <v>76</v>
      </c>
      <c r="D46" s="1118">
        <v>18.34</v>
      </c>
      <c r="E46" s="779"/>
      <c r="F46" s="749">
        <v>46097</v>
      </c>
      <c r="G46" s="749">
        <v>46105</v>
      </c>
      <c r="H46" s="747" t="s">
        <v>631</v>
      </c>
      <c r="I46" s="747" t="s">
        <v>3312</v>
      </c>
      <c r="J46" s="747">
        <v>20</v>
      </c>
      <c r="K46" s="1008"/>
      <c r="L46" s="1054"/>
    </row>
    <row r="47" spans="1:12" s="1035" customFormat="1" ht="30.95" customHeight="1">
      <c r="A47" s="747">
        <f t="shared" si="2"/>
        <v>41</v>
      </c>
      <c r="B47" s="748" t="s">
        <v>985</v>
      </c>
      <c r="C47" s="747" t="s">
        <v>76</v>
      </c>
      <c r="D47" s="1118">
        <v>18.34</v>
      </c>
      <c r="E47" s="779"/>
      <c r="F47" s="749">
        <v>46104</v>
      </c>
      <c r="G47" s="749">
        <v>46111</v>
      </c>
      <c r="H47" s="747" t="s">
        <v>631</v>
      </c>
      <c r="I47" s="747" t="s">
        <v>3334</v>
      </c>
      <c r="J47" s="747">
        <v>18</v>
      </c>
      <c r="K47" s="1008"/>
      <c r="L47" s="1054"/>
    </row>
    <row r="48" spans="1:12" s="1035" customFormat="1" ht="30.95" customHeight="1">
      <c r="A48" s="747">
        <f t="shared" si="2"/>
        <v>42</v>
      </c>
      <c r="B48" s="748" t="s">
        <v>3064</v>
      </c>
      <c r="C48" s="747" t="s">
        <v>1269</v>
      </c>
      <c r="D48" s="1118">
        <v>27.92</v>
      </c>
      <c r="E48" s="779"/>
      <c r="F48" s="749">
        <v>46105</v>
      </c>
      <c r="G48" s="749">
        <v>46111</v>
      </c>
      <c r="H48" s="747" t="s">
        <v>631</v>
      </c>
      <c r="I48" s="747" t="s">
        <v>3312</v>
      </c>
      <c r="J48" s="747">
        <v>20</v>
      </c>
      <c r="K48" s="1008"/>
      <c r="L48" s="1054"/>
    </row>
    <row r="49" spans="1:12" s="1035" customFormat="1" ht="30.95" customHeight="1">
      <c r="A49" s="747">
        <f t="shared" si="2"/>
        <v>43</v>
      </c>
      <c r="B49" s="748" t="s">
        <v>984</v>
      </c>
      <c r="C49" s="747" t="s">
        <v>76</v>
      </c>
      <c r="D49" s="1118">
        <v>18.34</v>
      </c>
      <c r="E49" s="779"/>
      <c r="F49" s="749">
        <v>46105</v>
      </c>
      <c r="G49" s="749">
        <v>46110</v>
      </c>
      <c r="H49" s="747" t="s">
        <v>631</v>
      </c>
      <c r="I49" s="747" t="s">
        <v>3415</v>
      </c>
      <c r="J49" s="747">
        <v>20</v>
      </c>
      <c r="K49" s="1008"/>
      <c r="L49" s="1054"/>
    </row>
    <row r="50" spans="1:12" s="1035" customFormat="1" ht="30.95" customHeight="1">
      <c r="A50" s="747">
        <f t="shared" si="2"/>
        <v>44</v>
      </c>
      <c r="B50" s="748" t="s">
        <v>3045</v>
      </c>
      <c r="C50" s="747" t="s">
        <v>1361</v>
      </c>
      <c r="D50" s="1118">
        <v>33.53</v>
      </c>
      <c r="E50" s="779"/>
      <c r="F50" s="749">
        <v>46106</v>
      </c>
      <c r="G50" s="749">
        <v>46118</v>
      </c>
      <c r="H50" s="747" t="s">
        <v>631</v>
      </c>
      <c r="I50" s="747" t="s">
        <v>3292</v>
      </c>
      <c r="J50" s="747">
        <v>20</v>
      </c>
      <c r="K50" s="1008" t="s">
        <v>631</v>
      </c>
      <c r="L50" s="1054"/>
    </row>
    <row r="51" spans="1:12" s="1035" customFormat="1" ht="30.95" customHeight="1">
      <c r="A51" s="747">
        <f t="shared" si="2"/>
        <v>45</v>
      </c>
      <c r="B51" s="748" t="s">
        <v>3051</v>
      </c>
      <c r="C51" s="747" t="s">
        <v>1269</v>
      </c>
      <c r="D51" s="1118">
        <v>27.920999999999999</v>
      </c>
      <c r="E51" s="779"/>
      <c r="F51" s="749">
        <v>46110</v>
      </c>
      <c r="G51" s="749">
        <v>46116</v>
      </c>
      <c r="H51" s="747" t="s">
        <v>631</v>
      </c>
      <c r="I51" s="747" t="s">
        <v>3415</v>
      </c>
      <c r="J51" s="747">
        <v>25</v>
      </c>
      <c r="K51" s="1008" t="s">
        <v>631</v>
      </c>
      <c r="L51" s="1054"/>
    </row>
    <row r="52" spans="1:12" s="1035" customFormat="1" ht="30.95" customHeight="1">
      <c r="A52" s="747">
        <f t="shared" si="2"/>
        <v>46</v>
      </c>
      <c r="B52" s="748" t="s">
        <v>800</v>
      </c>
      <c r="C52" s="747" t="s">
        <v>76</v>
      </c>
      <c r="D52" s="1118">
        <v>18.338999999999999</v>
      </c>
      <c r="E52" s="779"/>
      <c r="F52" s="749">
        <v>46111</v>
      </c>
      <c r="G52" s="749">
        <v>46117</v>
      </c>
      <c r="H52" s="747" t="s">
        <v>631</v>
      </c>
      <c r="I52" s="747" t="s">
        <v>3334</v>
      </c>
      <c r="J52" s="747">
        <v>21</v>
      </c>
      <c r="K52" s="1008"/>
      <c r="L52" s="1054"/>
    </row>
    <row r="53" spans="1:12" s="1035" customFormat="1" ht="30.95" customHeight="1">
      <c r="A53" s="747">
        <f t="shared" si="2"/>
        <v>47</v>
      </c>
      <c r="B53" s="748" t="s">
        <v>806</v>
      </c>
      <c r="C53" s="747" t="s">
        <v>62</v>
      </c>
      <c r="D53" s="1118">
        <v>19.442</v>
      </c>
      <c r="E53" s="779"/>
      <c r="F53" s="749">
        <v>46111</v>
      </c>
      <c r="G53" s="749">
        <v>46114</v>
      </c>
      <c r="H53" s="747" t="s">
        <v>631</v>
      </c>
      <c r="I53" s="747" t="s">
        <v>3312</v>
      </c>
      <c r="J53" s="747">
        <v>24</v>
      </c>
      <c r="K53" s="1008"/>
      <c r="L53" s="1054"/>
    </row>
    <row r="54" spans="1:12" s="1035" customFormat="1" ht="30.95" customHeight="1">
      <c r="A54" s="747">
        <f t="shared" ref="A54:A112" si="3">A53+1</f>
        <v>48</v>
      </c>
      <c r="B54" s="748" t="s">
        <v>801</v>
      </c>
      <c r="C54" s="747" t="s">
        <v>76</v>
      </c>
      <c r="D54" s="1118">
        <v>18.34</v>
      </c>
      <c r="E54" s="779"/>
      <c r="F54" s="749">
        <v>46114</v>
      </c>
      <c r="G54" s="749">
        <v>46118</v>
      </c>
      <c r="H54" s="747" t="s">
        <v>631</v>
      </c>
      <c r="I54" s="747" t="s">
        <v>3312</v>
      </c>
      <c r="J54" s="747">
        <v>24</v>
      </c>
      <c r="K54" s="1008"/>
      <c r="L54" s="1054"/>
    </row>
    <row r="55" spans="1:12" s="1035" customFormat="1" ht="30.95" customHeight="1">
      <c r="A55" s="747">
        <f t="shared" si="3"/>
        <v>49</v>
      </c>
      <c r="B55" s="748" t="s">
        <v>2373</v>
      </c>
      <c r="C55" s="747" t="s">
        <v>1361</v>
      </c>
      <c r="D55" s="1118">
        <v>33.53</v>
      </c>
      <c r="E55" s="779"/>
      <c r="F55" s="749">
        <v>46116</v>
      </c>
      <c r="G55" s="749">
        <v>46122</v>
      </c>
      <c r="H55" s="747" t="s">
        <v>631</v>
      </c>
      <c r="I55" s="747" t="s">
        <v>3414</v>
      </c>
      <c r="J55" s="747">
        <v>15</v>
      </c>
      <c r="K55" s="1008"/>
      <c r="L55" s="1054"/>
    </row>
    <row r="56" spans="1:12" s="1035" customFormat="1" ht="30.95" customHeight="1">
      <c r="A56" s="747">
        <f t="shared" si="3"/>
        <v>50</v>
      </c>
      <c r="B56" s="748" t="s">
        <v>3050</v>
      </c>
      <c r="C56" s="747" t="s">
        <v>1269</v>
      </c>
      <c r="D56" s="1118">
        <v>27.92</v>
      </c>
      <c r="E56" s="779"/>
      <c r="F56" s="749">
        <v>46116</v>
      </c>
      <c r="G56" s="749">
        <v>46124</v>
      </c>
      <c r="H56" s="747" t="s">
        <v>631</v>
      </c>
      <c r="I56" s="747" t="s">
        <v>3415</v>
      </c>
      <c r="J56" s="747">
        <v>25</v>
      </c>
      <c r="K56" s="1008" t="s">
        <v>631</v>
      </c>
      <c r="L56" s="1054"/>
    </row>
    <row r="57" spans="1:12" s="1035" customFormat="1" ht="30.95" customHeight="1">
      <c r="A57" s="747">
        <f t="shared" si="3"/>
        <v>51</v>
      </c>
      <c r="B57" s="748" t="s">
        <v>2009</v>
      </c>
      <c r="C57" s="747" t="s">
        <v>53</v>
      </c>
      <c r="D57" s="1118">
        <v>22.68</v>
      </c>
      <c r="E57" s="779"/>
      <c r="F57" s="749">
        <v>46117</v>
      </c>
      <c r="G57" s="749">
        <v>46122</v>
      </c>
      <c r="H57" s="747" t="s">
        <v>631</v>
      </c>
      <c r="I57" s="747" t="s">
        <v>3334</v>
      </c>
      <c r="J57" s="747">
        <v>21</v>
      </c>
      <c r="K57" s="1008"/>
      <c r="L57" s="1054"/>
    </row>
    <row r="58" spans="1:12" s="1035" customFormat="1" ht="30.95" customHeight="1">
      <c r="A58" s="747">
        <f t="shared" si="3"/>
        <v>52</v>
      </c>
      <c r="B58" s="748" t="s">
        <v>765</v>
      </c>
      <c r="C58" s="747" t="s">
        <v>53</v>
      </c>
      <c r="D58" s="1118">
        <v>22.68</v>
      </c>
      <c r="E58" s="779"/>
      <c r="F58" s="749">
        <v>46118</v>
      </c>
      <c r="G58" s="749">
        <v>46122</v>
      </c>
      <c r="H58" s="747" t="s">
        <v>631</v>
      </c>
      <c r="I58" s="747" t="s">
        <v>3312</v>
      </c>
      <c r="J58" s="747">
        <v>24</v>
      </c>
      <c r="K58" s="1008"/>
      <c r="L58" s="1054"/>
    </row>
    <row r="59" spans="1:12" s="1035" customFormat="1" ht="30.95" customHeight="1">
      <c r="A59" s="747">
        <f t="shared" si="3"/>
        <v>53</v>
      </c>
      <c r="B59" s="748" t="s">
        <v>3040</v>
      </c>
      <c r="C59" s="747" t="s">
        <v>1934</v>
      </c>
      <c r="D59" s="1118">
        <v>34.578000000000003</v>
      </c>
      <c r="E59" s="779"/>
      <c r="F59" s="749">
        <v>46118</v>
      </c>
      <c r="G59" s="749">
        <v>46127</v>
      </c>
      <c r="H59" s="747" t="s">
        <v>631</v>
      </c>
      <c r="I59" s="747" t="s">
        <v>3292</v>
      </c>
      <c r="J59" s="747">
        <v>20</v>
      </c>
      <c r="K59" s="1008"/>
      <c r="L59" s="1054"/>
    </row>
    <row r="60" spans="1:12" s="1035" customFormat="1" ht="30.95" customHeight="1">
      <c r="A60" s="747">
        <f t="shared" si="3"/>
        <v>54</v>
      </c>
      <c r="B60" s="748" t="s">
        <v>719</v>
      </c>
      <c r="C60" s="747" t="s">
        <v>76</v>
      </c>
      <c r="D60" s="1118">
        <v>18.34</v>
      </c>
      <c r="E60" s="779"/>
      <c r="F60" s="749">
        <v>46122</v>
      </c>
      <c r="G60" s="749">
        <v>46126</v>
      </c>
      <c r="H60" s="747" t="s">
        <v>631</v>
      </c>
      <c r="I60" s="747" t="s">
        <v>3312</v>
      </c>
      <c r="J60" s="747">
        <v>24</v>
      </c>
      <c r="K60" s="1008"/>
      <c r="L60" s="1054"/>
    </row>
    <row r="61" spans="1:12" s="1035" customFormat="1" ht="30.95" customHeight="1">
      <c r="A61" s="747">
        <f t="shared" si="3"/>
        <v>55</v>
      </c>
      <c r="B61" s="748" t="s">
        <v>1632</v>
      </c>
      <c r="C61" s="747" t="s">
        <v>249</v>
      </c>
      <c r="D61" s="1118">
        <v>24.149000000000001</v>
      </c>
      <c r="E61" s="779"/>
      <c r="F61" s="749">
        <v>46124</v>
      </c>
      <c r="G61" s="749">
        <v>46131</v>
      </c>
      <c r="H61" s="747" t="s">
        <v>631</v>
      </c>
      <c r="I61" s="747" t="s">
        <v>3414</v>
      </c>
      <c r="J61" s="747">
        <v>15</v>
      </c>
      <c r="K61" s="1008"/>
      <c r="L61" s="1054"/>
    </row>
    <row r="62" spans="1:12" s="1035" customFormat="1" ht="30.95" customHeight="1">
      <c r="A62" s="747">
        <f t="shared" si="3"/>
        <v>56</v>
      </c>
      <c r="B62" s="748" t="s">
        <v>777</v>
      </c>
      <c r="C62" s="747" t="s">
        <v>76</v>
      </c>
      <c r="D62" s="1118">
        <v>18.34</v>
      </c>
      <c r="E62" s="779"/>
      <c r="F62" s="749">
        <v>46126</v>
      </c>
      <c r="G62" s="749">
        <v>46130</v>
      </c>
      <c r="H62" s="747" t="s">
        <v>631</v>
      </c>
      <c r="I62" s="747" t="s">
        <v>3312</v>
      </c>
      <c r="J62" s="747">
        <v>24</v>
      </c>
      <c r="K62" s="1008"/>
      <c r="L62" s="1054"/>
    </row>
    <row r="63" spans="1:12" s="1035" customFormat="1" ht="30.95" customHeight="1">
      <c r="A63" s="747">
        <f t="shared" si="3"/>
        <v>57</v>
      </c>
      <c r="B63" s="748" t="s">
        <v>3037</v>
      </c>
      <c r="C63" s="747" t="s">
        <v>1277</v>
      </c>
      <c r="D63" s="1118">
        <v>32.22</v>
      </c>
      <c r="E63" s="779"/>
      <c r="F63" s="749">
        <v>46127</v>
      </c>
      <c r="G63" s="749">
        <v>46132</v>
      </c>
      <c r="H63" s="747" t="s">
        <v>631</v>
      </c>
      <c r="I63" s="747" t="s">
        <v>3292</v>
      </c>
      <c r="J63" s="747">
        <v>20</v>
      </c>
      <c r="K63" s="1008"/>
      <c r="L63" s="1054"/>
    </row>
    <row r="64" spans="1:12" s="1035" customFormat="1" ht="30.95" customHeight="1">
      <c r="A64" s="747">
        <f t="shared" si="3"/>
        <v>58</v>
      </c>
      <c r="B64" s="748" t="s">
        <v>786</v>
      </c>
      <c r="C64" s="747" t="s">
        <v>76</v>
      </c>
      <c r="D64" s="1118">
        <v>18.34</v>
      </c>
      <c r="E64" s="779"/>
      <c r="F64" s="749">
        <v>46130</v>
      </c>
      <c r="G64" s="749">
        <v>46133</v>
      </c>
      <c r="H64" s="747" t="s">
        <v>631</v>
      </c>
      <c r="I64" s="747" t="s">
        <v>3312</v>
      </c>
      <c r="J64" s="747">
        <v>24</v>
      </c>
      <c r="K64" s="1008"/>
      <c r="L64" s="1054"/>
    </row>
    <row r="65" spans="1:12" s="1035" customFormat="1" ht="30.95" customHeight="1">
      <c r="A65" s="747">
        <f t="shared" si="3"/>
        <v>59</v>
      </c>
      <c r="B65" s="748" t="s">
        <v>1653</v>
      </c>
      <c r="C65" s="747" t="s">
        <v>62</v>
      </c>
      <c r="D65" s="1118">
        <v>19.440000000000001</v>
      </c>
      <c r="E65" s="1010"/>
      <c r="F65" s="749">
        <v>46131</v>
      </c>
      <c r="G65" s="749">
        <v>46135</v>
      </c>
      <c r="H65" s="747" t="s">
        <v>631</v>
      </c>
      <c r="I65" s="747" t="s">
        <v>3414</v>
      </c>
      <c r="J65" s="747">
        <v>15</v>
      </c>
      <c r="K65" s="1008"/>
      <c r="L65" s="1054"/>
    </row>
    <row r="66" spans="1:12" s="1035" customFormat="1" ht="30.95" customHeight="1">
      <c r="A66" s="747">
        <f t="shared" si="3"/>
        <v>60</v>
      </c>
      <c r="B66" s="748" t="s">
        <v>2038</v>
      </c>
      <c r="C66" s="747" t="s">
        <v>53</v>
      </c>
      <c r="D66" s="1118">
        <v>22.68</v>
      </c>
      <c r="E66" s="779"/>
      <c r="F66" s="749">
        <v>46132</v>
      </c>
      <c r="G66" s="749">
        <v>46138</v>
      </c>
      <c r="H66" s="747" t="s">
        <v>631</v>
      </c>
      <c r="I66" s="747" t="s">
        <v>3292</v>
      </c>
      <c r="J66" s="747">
        <v>20</v>
      </c>
      <c r="K66" s="1008"/>
      <c r="L66" s="1054"/>
    </row>
    <row r="67" spans="1:12" s="1035" customFormat="1" ht="30.95" customHeight="1">
      <c r="A67" s="747">
        <f t="shared" si="3"/>
        <v>61</v>
      </c>
      <c r="B67" s="748" t="s">
        <v>3063</v>
      </c>
      <c r="C67" s="747" t="s">
        <v>1995</v>
      </c>
      <c r="D67" s="1118">
        <v>44.070999999999998</v>
      </c>
      <c r="E67" s="779"/>
      <c r="F67" s="749">
        <v>46133</v>
      </c>
      <c r="G67" s="749">
        <v>46142</v>
      </c>
      <c r="H67" s="747" t="s">
        <v>631</v>
      </c>
      <c r="I67" s="747" t="s">
        <v>3312</v>
      </c>
      <c r="J67" s="747">
        <v>24</v>
      </c>
      <c r="K67" s="1008"/>
      <c r="L67" s="1054"/>
    </row>
    <row r="68" spans="1:12" s="1035" customFormat="1" ht="30.95" customHeight="1">
      <c r="A68" s="747">
        <f t="shared" si="3"/>
        <v>62</v>
      </c>
      <c r="B68" s="748" t="s">
        <v>562</v>
      </c>
      <c r="C68" s="747" t="s">
        <v>76</v>
      </c>
      <c r="D68" s="1118">
        <v>18.34</v>
      </c>
      <c r="E68" s="779"/>
      <c r="F68" s="749">
        <v>46136</v>
      </c>
      <c r="G68" s="749">
        <v>46140</v>
      </c>
      <c r="H68" s="747" t="s">
        <v>631</v>
      </c>
      <c r="I68" s="747" t="s">
        <v>3414</v>
      </c>
      <c r="J68" s="747">
        <v>22</v>
      </c>
      <c r="K68" s="1008"/>
      <c r="L68" s="1054"/>
    </row>
    <row r="69" spans="1:12" s="1035" customFormat="1" ht="30.95" customHeight="1">
      <c r="A69" s="747">
        <f t="shared" si="3"/>
        <v>63</v>
      </c>
      <c r="B69" s="748" t="s">
        <v>2040</v>
      </c>
      <c r="C69" s="747" t="s">
        <v>76</v>
      </c>
      <c r="D69" s="1118">
        <v>18.34</v>
      </c>
      <c r="E69" s="779"/>
      <c r="F69" s="749">
        <v>46138</v>
      </c>
      <c r="G69" s="749">
        <v>46141</v>
      </c>
      <c r="H69" s="747" t="s">
        <v>631</v>
      </c>
      <c r="I69" s="747" t="s">
        <v>3292</v>
      </c>
      <c r="J69" s="747">
        <v>20</v>
      </c>
      <c r="K69" s="1008"/>
      <c r="L69" s="1054"/>
    </row>
    <row r="70" spans="1:12" s="1035" customFormat="1" ht="30.95" customHeight="1">
      <c r="A70" s="747">
        <f t="shared" si="3"/>
        <v>64</v>
      </c>
      <c r="B70" s="748" t="s">
        <v>2031</v>
      </c>
      <c r="C70" s="747" t="s">
        <v>62</v>
      </c>
      <c r="D70" s="1118">
        <v>19.440000000000001</v>
      </c>
      <c r="E70" s="779"/>
      <c r="F70" s="749">
        <v>46140</v>
      </c>
      <c r="G70" s="749">
        <v>46142</v>
      </c>
      <c r="H70" s="747" t="s">
        <v>631</v>
      </c>
      <c r="I70" s="747" t="s">
        <v>3414</v>
      </c>
      <c r="J70" s="747">
        <v>22</v>
      </c>
      <c r="K70" s="1008"/>
      <c r="L70" s="1054"/>
    </row>
    <row r="71" spans="1:12" s="1035" customFormat="1" ht="30.95" customHeight="1">
      <c r="A71" s="747">
        <f t="shared" si="3"/>
        <v>65</v>
      </c>
      <c r="B71" s="748" t="s">
        <v>834</v>
      </c>
      <c r="C71" s="747" t="s">
        <v>62</v>
      </c>
      <c r="D71" s="1118">
        <v>19.440000000000001</v>
      </c>
      <c r="E71" s="779"/>
      <c r="F71" s="749">
        <v>46141</v>
      </c>
      <c r="G71" s="749">
        <v>46144</v>
      </c>
      <c r="H71" s="747" t="s">
        <v>631</v>
      </c>
      <c r="I71" s="747" t="s">
        <v>3292</v>
      </c>
      <c r="J71" s="747">
        <v>20</v>
      </c>
      <c r="K71" s="1008"/>
      <c r="L71" s="1054"/>
    </row>
    <row r="72" spans="1:12" s="1035" customFormat="1" ht="30.95" customHeight="1">
      <c r="A72" s="747">
        <f t="shared" si="3"/>
        <v>66</v>
      </c>
      <c r="B72" s="748" t="s">
        <v>825</v>
      </c>
      <c r="C72" s="747" t="s">
        <v>62</v>
      </c>
      <c r="D72" s="1118">
        <v>19.440000000000001</v>
      </c>
      <c r="E72" s="779"/>
      <c r="F72" s="749">
        <v>46142</v>
      </c>
      <c r="G72" s="749">
        <v>46147</v>
      </c>
      <c r="H72" s="747" t="s">
        <v>631</v>
      </c>
      <c r="I72" s="747" t="s">
        <v>3414</v>
      </c>
      <c r="J72" s="747">
        <v>22</v>
      </c>
      <c r="K72" s="1008"/>
      <c r="L72" s="1054"/>
    </row>
    <row r="73" spans="1:12" s="1035" customFormat="1" ht="30.95" customHeight="1">
      <c r="A73" s="747">
        <f t="shared" si="3"/>
        <v>67</v>
      </c>
      <c r="B73" s="748" t="s">
        <v>1017</v>
      </c>
      <c r="C73" s="747" t="s">
        <v>76</v>
      </c>
      <c r="D73" s="1118">
        <v>18.34</v>
      </c>
      <c r="E73" s="779"/>
      <c r="F73" s="749">
        <v>46142</v>
      </c>
      <c r="G73" s="749">
        <v>46145</v>
      </c>
      <c r="H73" s="747" t="s">
        <v>631</v>
      </c>
      <c r="I73" s="747" t="s">
        <v>3312</v>
      </c>
      <c r="J73" s="747">
        <v>24</v>
      </c>
      <c r="K73" s="1008"/>
      <c r="L73" s="1054"/>
    </row>
    <row r="74" spans="1:12" s="1035" customFormat="1" ht="30.95" customHeight="1">
      <c r="A74" s="747">
        <f t="shared" si="3"/>
        <v>68</v>
      </c>
      <c r="B74" s="748" t="s">
        <v>3067</v>
      </c>
      <c r="C74" s="747" t="s">
        <v>1269</v>
      </c>
      <c r="D74" s="1118">
        <v>27.92</v>
      </c>
      <c r="E74" s="779"/>
      <c r="F74" s="749">
        <v>46145</v>
      </c>
      <c r="G74" s="749">
        <v>46150</v>
      </c>
      <c r="H74" s="747" t="s">
        <v>631</v>
      </c>
      <c r="I74" s="747" t="s">
        <v>3292</v>
      </c>
      <c r="J74" s="747">
        <v>20</v>
      </c>
      <c r="K74" s="1008"/>
      <c r="L74" s="1054"/>
    </row>
    <row r="75" spans="1:12" s="1035" customFormat="1" ht="30.95" customHeight="1">
      <c r="A75" s="747">
        <f t="shared" si="3"/>
        <v>69</v>
      </c>
      <c r="B75" s="748" t="s">
        <v>1016</v>
      </c>
      <c r="C75" s="747" t="s">
        <v>76</v>
      </c>
      <c r="D75" s="1118">
        <v>18.34</v>
      </c>
      <c r="E75" s="779"/>
      <c r="F75" s="749">
        <v>46145</v>
      </c>
      <c r="G75" s="749">
        <v>46149</v>
      </c>
      <c r="H75" s="747" t="s">
        <v>631</v>
      </c>
      <c r="I75" s="747" t="s">
        <v>3312</v>
      </c>
      <c r="J75" s="747">
        <v>24</v>
      </c>
      <c r="K75" s="1008"/>
      <c r="L75" s="1248"/>
    </row>
    <row r="76" spans="1:12" s="1035" customFormat="1" ht="30.95" customHeight="1">
      <c r="A76" s="747">
        <f t="shared" si="3"/>
        <v>70</v>
      </c>
      <c r="B76" s="748" t="s">
        <v>1654</v>
      </c>
      <c r="C76" s="747" t="s">
        <v>76</v>
      </c>
      <c r="D76" s="1118">
        <v>18.34</v>
      </c>
      <c r="E76" s="779"/>
      <c r="F76" s="749">
        <v>46147</v>
      </c>
      <c r="G76" s="749">
        <v>46151</v>
      </c>
      <c r="H76" s="747" t="s">
        <v>631</v>
      </c>
      <c r="I76" s="747" t="s">
        <v>3414</v>
      </c>
      <c r="J76" s="747">
        <v>22</v>
      </c>
      <c r="K76" s="1008"/>
      <c r="L76" s="1248"/>
    </row>
    <row r="77" spans="1:12" s="1035" customFormat="1" ht="30.95" customHeight="1">
      <c r="A77" s="747">
        <f t="shared" si="3"/>
        <v>71</v>
      </c>
      <c r="B77" s="748" t="s">
        <v>974</v>
      </c>
      <c r="C77" s="747" t="s">
        <v>62</v>
      </c>
      <c r="D77" s="1118">
        <v>19.440000000000001</v>
      </c>
      <c r="E77" s="779"/>
      <c r="F77" s="749">
        <v>46149</v>
      </c>
      <c r="G77" s="749">
        <v>46152</v>
      </c>
      <c r="H77" s="747" t="s">
        <v>631</v>
      </c>
      <c r="I77" s="747" t="s">
        <v>3312</v>
      </c>
      <c r="J77" s="747">
        <v>24</v>
      </c>
      <c r="K77" s="1008"/>
      <c r="L77" s="1248"/>
    </row>
    <row r="78" spans="1:12" s="1035" customFormat="1" ht="30.95" customHeight="1">
      <c r="A78" s="747">
        <f t="shared" si="3"/>
        <v>72</v>
      </c>
      <c r="B78" s="748" t="s">
        <v>3054</v>
      </c>
      <c r="C78" s="747" t="s">
        <v>1269</v>
      </c>
      <c r="D78" s="1118">
        <v>27.92</v>
      </c>
      <c r="E78" s="779"/>
      <c r="F78" s="749">
        <v>46150</v>
      </c>
      <c r="G78" s="749">
        <v>46156</v>
      </c>
      <c r="H78" s="747" t="s">
        <v>631</v>
      </c>
      <c r="I78" s="747" t="s">
        <v>3292</v>
      </c>
      <c r="J78" s="747">
        <v>20</v>
      </c>
      <c r="K78" s="1008"/>
      <c r="L78" s="1248"/>
    </row>
    <row r="79" spans="1:12" s="1035" customFormat="1" ht="30.95" customHeight="1">
      <c r="A79" s="747">
        <f t="shared" si="3"/>
        <v>73</v>
      </c>
      <c r="B79" s="748" t="s">
        <v>3066</v>
      </c>
      <c r="C79" s="747" t="s">
        <v>1269</v>
      </c>
      <c r="D79" s="1118">
        <v>27.92</v>
      </c>
      <c r="E79" s="779"/>
      <c r="F79" s="749">
        <v>46152</v>
      </c>
      <c r="G79" s="749">
        <v>46157</v>
      </c>
      <c r="H79" s="747" t="s">
        <v>631</v>
      </c>
      <c r="I79" s="747" t="s">
        <v>3312</v>
      </c>
      <c r="J79" s="747">
        <v>24</v>
      </c>
      <c r="K79" s="1008"/>
      <c r="L79" s="1248"/>
    </row>
    <row r="80" spans="1:12" s="1035" customFormat="1" ht="30.95" customHeight="1">
      <c r="A80" s="747">
        <f t="shared" si="3"/>
        <v>74</v>
      </c>
      <c r="B80" s="748" t="s">
        <v>3049</v>
      </c>
      <c r="C80" s="747" t="s">
        <v>1953</v>
      </c>
      <c r="D80" s="1118">
        <v>41.843000000000004</v>
      </c>
      <c r="E80" s="779"/>
      <c r="F80" s="749">
        <v>46152</v>
      </c>
      <c r="G80" s="749">
        <v>46158</v>
      </c>
      <c r="H80" s="747" t="s">
        <v>631</v>
      </c>
      <c r="I80" s="747" t="s">
        <v>3414</v>
      </c>
      <c r="J80" s="747">
        <v>22</v>
      </c>
      <c r="K80" s="1008"/>
      <c r="L80" s="1248"/>
    </row>
    <row r="81" spans="1:12" s="1035" customFormat="1" ht="30.95" customHeight="1">
      <c r="A81" s="747">
        <f t="shared" si="3"/>
        <v>75</v>
      </c>
      <c r="B81" s="748" t="s">
        <v>658</v>
      </c>
      <c r="C81" s="747" t="s">
        <v>76</v>
      </c>
      <c r="D81" s="1118">
        <v>18.34</v>
      </c>
      <c r="E81" s="779"/>
      <c r="F81" s="749">
        <v>46157</v>
      </c>
      <c r="G81" s="749">
        <v>46159</v>
      </c>
      <c r="H81" s="747" t="s">
        <v>631</v>
      </c>
      <c r="I81" s="747" t="s">
        <v>3292</v>
      </c>
      <c r="J81" s="747">
        <v>20</v>
      </c>
      <c r="K81" s="1008"/>
      <c r="L81" s="1248"/>
    </row>
    <row r="82" spans="1:12" s="1035" customFormat="1" ht="30.95" customHeight="1">
      <c r="A82" s="747">
        <f t="shared" si="3"/>
        <v>76</v>
      </c>
      <c r="B82" s="748" t="s">
        <v>3065</v>
      </c>
      <c r="C82" s="747" t="s">
        <v>1269</v>
      </c>
      <c r="D82" s="1118">
        <v>27.92</v>
      </c>
      <c r="E82" s="779"/>
      <c r="F82" s="749">
        <v>46157</v>
      </c>
      <c r="G82" s="749">
        <v>46162</v>
      </c>
      <c r="H82" s="747" t="s">
        <v>631</v>
      </c>
      <c r="I82" s="747" t="s">
        <v>3312</v>
      </c>
      <c r="J82" s="747">
        <v>24</v>
      </c>
      <c r="K82" s="1008"/>
      <c r="L82" s="1248"/>
    </row>
    <row r="83" spans="1:12" s="1035" customFormat="1" ht="30.95" customHeight="1">
      <c r="A83" s="747">
        <f t="shared" si="3"/>
        <v>77</v>
      </c>
      <c r="B83" s="748" t="s">
        <v>1140</v>
      </c>
      <c r="C83" s="747" t="s">
        <v>62</v>
      </c>
      <c r="D83" s="1118">
        <v>19.440000000000001</v>
      </c>
      <c r="E83" s="779"/>
      <c r="F83" s="749">
        <v>46158</v>
      </c>
      <c r="G83" s="749">
        <v>46161</v>
      </c>
      <c r="H83" s="747" t="s">
        <v>631</v>
      </c>
      <c r="I83" s="747" t="s">
        <v>3414</v>
      </c>
      <c r="J83" s="747">
        <v>22</v>
      </c>
      <c r="K83" s="1008"/>
      <c r="L83" s="1248"/>
    </row>
    <row r="84" spans="1:12" s="1035" customFormat="1" ht="30.95" customHeight="1">
      <c r="A84" s="747">
        <f t="shared" si="3"/>
        <v>78</v>
      </c>
      <c r="B84" s="748" t="s">
        <v>770</v>
      </c>
      <c r="C84" s="747" t="s">
        <v>76</v>
      </c>
      <c r="D84" s="1118">
        <v>18.34</v>
      </c>
      <c r="E84" s="779"/>
      <c r="F84" s="749">
        <v>46159</v>
      </c>
      <c r="G84" s="749">
        <v>46164</v>
      </c>
      <c r="H84" s="747" t="s">
        <v>631</v>
      </c>
      <c r="I84" s="747" t="s">
        <v>3292</v>
      </c>
      <c r="J84" s="747">
        <v>20</v>
      </c>
      <c r="K84" s="1008"/>
      <c r="L84" s="1248"/>
    </row>
    <row r="85" spans="1:12" s="1035" customFormat="1" ht="30.95" customHeight="1">
      <c r="A85" s="747">
        <f t="shared" si="3"/>
        <v>79</v>
      </c>
      <c r="B85" s="748" t="s">
        <v>3048</v>
      </c>
      <c r="C85" s="747" t="s">
        <v>1402</v>
      </c>
      <c r="D85" s="1118">
        <v>39.484000000000002</v>
      </c>
      <c r="E85" s="779"/>
      <c r="F85" s="749">
        <v>46161</v>
      </c>
      <c r="G85" s="749">
        <v>46168</v>
      </c>
      <c r="H85" s="747" t="s">
        <v>631</v>
      </c>
      <c r="I85" s="747" t="s">
        <v>3414</v>
      </c>
      <c r="J85" s="747">
        <v>22</v>
      </c>
      <c r="K85" s="1008"/>
      <c r="L85" s="1248"/>
    </row>
    <row r="86" spans="1:12" s="1035" customFormat="1" ht="30.95" customHeight="1">
      <c r="A86" s="747">
        <f t="shared" si="3"/>
        <v>80</v>
      </c>
      <c r="B86" s="748" t="s">
        <v>3058</v>
      </c>
      <c r="C86" s="747" t="s">
        <v>1269</v>
      </c>
      <c r="D86" s="1118">
        <v>27.920999999999999</v>
      </c>
      <c r="E86" s="779"/>
      <c r="F86" s="749">
        <v>46163</v>
      </c>
      <c r="G86" s="749">
        <v>46168</v>
      </c>
      <c r="H86" s="747" t="s">
        <v>631</v>
      </c>
      <c r="I86" s="747" t="s">
        <v>3312</v>
      </c>
      <c r="J86" s="747">
        <v>24</v>
      </c>
      <c r="K86" s="1008"/>
      <c r="L86" s="1248"/>
    </row>
    <row r="87" spans="1:12" s="1035" customFormat="1" ht="30.95" customHeight="1">
      <c r="A87" s="747">
        <f t="shared" si="3"/>
        <v>81</v>
      </c>
      <c r="B87" s="748" t="s">
        <v>3042</v>
      </c>
      <c r="C87" s="747" t="s">
        <v>1935</v>
      </c>
      <c r="D87" s="1118">
        <v>52.662999999999997</v>
      </c>
      <c r="E87" s="779"/>
      <c r="F87" s="749">
        <v>46170</v>
      </c>
      <c r="G87" s="749">
        <v>46183</v>
      </c>
      <c r="H87" s="747" t="s">
        <v>631</v>
      </c>
      <c r="I87" s="747" t="s">
        <v>3292</v>
      </c>
      <c r="J87" s="747">
        <v>22</v>
      </c>
      <c r="K87" s="1008"/>
      <c r="L87" s="1248"/>
    </row>
    <row r="88" spans="1:12" s="1035" customFormat="1" ht="30.95" customHeight="1">
      <c r="A88" s="747">
        <f t="shared" si="3"/>
        <v>82</v>
      </c>
      <c r="B88" s="748" t="s">
        <v>816</v>
      </c>
      <c r="C88" s="747" t="s">
        <v>90</v>
      </c>
      <c r="D88" s="1118">
        <v>29.492000000000001</v>
      </c>
      <c r="E88" s="779"/>
      <c r="F88" s="749">
        <v>46168</v>
      </c>
      <c r="G88" s="749">
        <v>46175</v>
      </c>
      <c r="H88" s="747" t="s">
        <v>631</v>
      </c>
      <c r="I88" s="747" t="s">
        <v>3312</v>
      </c>
      <c r="J88" s="747">
        <v>24</v>
      </c>
      <c r="K88" s="1008"/>
      <c r="L88" s="1248"/>
    </row>
    <row r="89" spans="1:12" s="1035" customFormat="1" ht="30.95" customHeight="1">
      <c r="A89" s="1274">
        <f t="shared" si="3"/>
        <v>83</v>
      </c>
      <c r="B89" s="1275" t="s">
        <v>1645</v>
      </c>
      <c r="C89" s="1274" t="s">
        <v>62</v>
      </c>
      <c r="D89" s="1160">
        <v>19.442</v>
      </c>
      <c r="E89" s="1276"/>
      <c r="F89" s="1277">
        <v>46168</v>
      </c>
      <c r="G89" s="1277">
        <v>46171</v>
      </c>
      <c r="H89" s="1274" t="s">
        <v>631</v>
      </c>
      <c r="I89" s="1274" t="s">
        <v>3414</v>
      </c>
      <c r="J89" s="1274">
        <v>22</v>
      </c>
      <c r="K89" s="1294"/>
      <c r="L89" s="1296"/>
    </row>
    <row r="90" spans="1:12" s="1035" customFormat="1" ht="30.95" customHeight="1">
      <c r="A90" s="747">
        <f>A89+1</f>
        <v>84</v>
      </c>
      <c r="B90" s="748" t="s">
        <v>1643</v>
      </c>
      <c r="C90" s="747" t="s">
        <v>62</v>
      </c>
      <c r="D90" s="1160">
        <v>19.442</v>
      </c>
      <c r="E90" s="779"/>
      <c r="F90" s="749">
        <v>46172</v>
      </c>
      <c r="G90" s="749">
        <v>46173</v>
      </c>
      <c r="H90" s="1274" t="s">
        <v>631</v>
      </c>
      <c r="I90" s="747" t="s">
        <v>3414</v>
      </c>
      <c r="J90" s="747">
        <v>22</v>
      </c>
      <c r="K90" s="1008"/>
      <c r="L90" s="1248"/>
    </row>
    <row r="91" spans="1:12" s="1035" customFormat="1" ht="30.95" customHeight="1">
      <c r="A91" s="747">
        <f t="shared" si="3"/>
        <v>85</v>
      </c>
      <c r="B91" s="748" t="s">
        <v>3059</v>
      </c>
      <c r="C91" s="747" t="s">
        <v>1269</v>
      </c>
      <c r="D91" s="1118">
        <v>27.920999999999999</v>
      </c>
      <c r="E91" s="779"/>
      <c r="F91" s="749">
        <v>46175</v>
      </c>
      <c r="G91" s="749">
        <v>46181</v>
      </c>
      <c r="H91" s="1274" t="s">
        <v>631</v>
      </c>
      <c r="I91" s="747" t="s">
        <v>3312</v>
      </c>
      <c r="J91" s="747">
        <v>24</v>
      </c>
      <c r="K91" s="1008"/>
      <c r="L91" s="1248"/>
    </row>
    <row r="92" spans="1:12" s="1035" customFormat="1" ht="30.95" customHeight="1">
      <c r="A92" s="747">
        <f t="shared" si="3"/>
        <v>86</v>
      </c>
      <c r="B92" s="748" t="s">
        <v>1644</v>
      </c>
      <c r="C92" s="747" t="s">
        <v>62</v>
      </c>
      <c r="D92" s="1118">
        <v>19.442</v>
      </c>
      <c r="E92" s="779"/>
      <c r="F92" s="749">
        <v>46174</v>
      </c>
      <c r="G92" s="749">
        <v>46176</v>
      </c>
      <c r="H92" s="747" t="s">
        <v>631</v>
      </c>
      <c r="I92" s="747" t="s">
        <v>3414</v>
      </c>
      <c r="J92" s="747">
        <v>22</v>
      </c>
      <c r="K92" s="1008"/>
      <c r="L92" s="1248"/>
    </row>
    <row r="93" spans="1:12" s="1035" customFormat="1" ht="30.95" customHeight="1">
      <c r="A93" s="747">
        <f t="shared" si="3"/>
        <v>87</v>
      </c>
      <c r="B93" s="748" t="s">
        <v>829</v>
      </c>
      <c r="C93" s="747" t="s">
        <v>62</v>
      </c>
      <c r="D93" s="1118">
        <v>19.442</v>
      </c>
      <c r="E93" s="779"/>
      <c r="F93" s="749">
        <v>46181</v>
      </c>
      <c r="G93" s="749">
        <v>46186</v>
      </c>
      <c r="H93" s="747" t="s">
        <v>631</v>
      </c>
      <c r="I93" s="747" t="s">
        <v>3312</v>
      </c>
      <c r="J93" s="747">
        <v>24</v>
      </c>
      <c r="K93" s="1008"/>
      <c r="L93" s="1248"/>
    </row>
    <row r="94" spans="1:12" s="1035" customFormat="1" ht="30.95" customHeight="1">
      <c r="A94" s="747">
        <f t="shared" si="3"/>
        <v>88</v>
      </c>
      <c r="B94" s="748" t="s">
        <v>3043</v>
      </c>
      <c r="C94" s="747" t="s">
        <v>1361</v>
      </c>
      <c r="D94" s="1118">
        <v>33.53</v>
      </c>
      <c r="E94" s="779"/>
      <c r="F94" s="749">
        <v>46183</v>
      </c>
      <c r="G94" s="749">
        <v>46189</v>
      </c>
      <c r="H94" s="747" t="s">
        <v>631</v>
      </c>
      <c r="I94" s="747" t="s">
        <v>3292</v>
      </c>
      <c r="J94" s="747">
        <v>22</v>
      </c>
      <c r="K94" s="1008"/>
      <c r="L94" s="1248"/>
    </row>
    <row r="95" spans="1:12" s="1035" customFormat="1" ht="30.95" customHeight="1">
      <c r="A95" s="747">
        <f t="shared" si="3"/>
        <v>89</v>
      </c>
      <c r="B95" s="748" t="s">
        <v>894</v>
      </c>
      <c r="C95" s="747" t="s">
        <v>53</v>
      </c>
      <c r="D95" s="1118">
        <v>22.678999999999998</v>
      </c>
      <c r="E95" s="779"/>
      <c r="F95" s="749">
        <v>46187</v>
      </c>
      <c r="G95" s="749">
        <v>46197</v>
      </c>
      <c r="H95" s="747" t="s">
        <v>631</v>
      </c>
      <c r="I95" s="747" t="s">
        <v>3312</v>
      </c>
      <c r="J95" s="747">
        <v>20</v>
      </c>
      <c r="K95" s="1008"/>
      <c r="L95" s="1248"/>
    </row>
    <row r="96" spans="1:12" s="1035" customFormat="1" ht="30.95" customHeight="1">
      <c r="A96" s="747">
        <f t="shared" si="3"/>
        <v>90</v>
      </c>
      <c r="B96" s="748" t="s">
        <v>1117</v>
      </c>
      <c r="C96" s="747" t="s">
        <v>62</v>
      </c>
      <c r="D96" s="1118">
        <v>19.442</v>
      </c>
      <c r="E96" s="779"/>
      <c r="F96" s="749">
        <v>46189</v>
      </c>
      <c r="G96" s="749">
        <v>46195</v>
      </c>
      <c r="H96" s="747" t="s">
        <v>631</v>
      </c>
      <c r="I96" s="747" t="s">
        <v>3292</v>
      </c>
      <c r="J96" s="747">
        <v>22</v>
      </c>
      <c r="K96" s="1008"/>
      <c r="L96" s="1248"/>
    </row>
    <row r="97" spans="1:12" s="1035" customFormat="1" ht="30.95" customHeight="1">
      <c r="A97" s="747">
        <f>A96+1</f>
        <v>91</v>
      </c>
      <c r="B97" s="748" t="s">
        <v>962</v>
      </c>
      <c r="C97" s="747" t="s">
        <v>53</v>
      </c>
      <c r="D97" s="1118">
        <v>22.678999999999998</v>
      </c>
      <c r="E97" s="779"/>
      <c r="F97" s="749">
        <v>46192</v>
      </c>
      <c r="G97" s="749">
        <v>46197</v>
      </c>
      <c r="H97" s="747" t="s">
        <v>631</v>
      </c>
      <c r="I97" s="747" t="s">
        <v>3621</v>
      </c>
      <c r="J97" s="747">
        <v>20</v>
      </c>
      <c r="K97" s="1008"/>
      <c r="L97" s="1248"/>
    </row>
    <row r="98" spans="1:12" s="1035" customFormat="1" ht="30.95" customHeight="1">
      <c r="A98" s="747">
        <f t="shared" si="3"/>
        <v>92</v>
      </c>
      <c r="B98" s="748" t="s">
        <v>1641</v>
      </c>
      <c r="C98" s="747" t="s">
        <v>76</v>
      </c>
      <c r="D98" s="1118">
        <v>18.338999999999999</v>
      </c>
      <c r="E98" s="779"/>
      <c r="F98" s="749">
        <v>46195</v>
      </c>
      <c r="G98" s="749">
        <v>46200</v>
      </c>
      <c r="H98" s="747" t="s">
        <v>631</v>
      </c>
      <c r="I98" s="747" t="s">
        <v>3292</v>
      </c>
      <c r="J98" s="747">
        <v>22</v>
      </c>
      <c r="K98" s="1008"/>
      <c r="L98" s="1248"/>
    </row>
    <row r="99" spans="1:12" s="1035" customFormat="1" ht="30.95" customHeight="1">
      <c r="A99" s="747">
        <f t="shared" si="3"/>
        <v>93</v>
      </c>
      <c r="B99" s="748" t="s">
        <v>3055</v>
      </c>
      <c r="C99" s="747" t="s">
        <v>1319</v>
      </c>
      <c r="D99" s="1118">
        <v>42.225999999999999</v>
      </c>
      <c r="E99" s="779"/>
      <c r="F99" s="749">
        <v>46197</v>
      </c>
      <c r="G99" s="749">
        <v>46208</v>
      </c>
      <c r="H99" s="747" t="s">
        <v>631</v>
      </c>
      <c r="I99" s="747" t="s">
        <v>3621</v>
      </c>
      <c r="J99" s="747">
        <v>20</v>
      </c>
      <c r="K99" s="1008"/>
      <c r="L99" s="1248"/>
    </row>
    <row r="100" spans="1:12" s="1035" customFormat="1" ht="30.95" customHeight="1">
      <c r="A100" s="747">
        <f t="shared" si="3"/>
        <v>94</v>
      </c>
      <c r="B100" s="748" t="s">
        <v>3036</v>
      </c>
      <c r="C100" s="747" t="s">
        <v>2197</v>
      </c>
      <c r="D100" s="1118">
        <v>71.31035</v>
      </c>
      <c r="E100" s="779"/>
      <c r="F100" s="749">
        <v>46199</v>
      </c>
      <c r="G100" s="749">
        <v>46215</v>
      </c>
      <c r="H100" s="747" t="s">
        <v>631</v>
      </c>
      <c r="I100" s="747" t="s">
        <v>3284</v>
      </c>
      <c r="J100" s="747">
        <v>25</v>
      </c>
      <c r="K100" s="1008"/>
      <c r="L100" s="1248"/>
    </row>
    <row r="101" spans="1:12" s="1035" customFormat="1" ht="30.95" customHeight="1">
      <c r="A101" s="747">
        <f t="shared" si="3"/>
        <v>95</v>
      </c>
      <c r="B101" s="748" t="s">
        <v>3025</v>
      </c>
      <c r="C101" s="747" t="s">
        <v>2023</v>
      </c>
      <c r="D101" s="1118">
        <v>94.555480000000003</v>
      </c>
      <c r="E101" s="779"/>
      <c r="F101" s="749">
        <v>46205</v>
      </c>
      <c r="G101" s="749">
        <v>46221</v>
      </c>
      <c r="H101" s="747" t="s">
        <v>631</v>
      </c>
      <c r="I101" s="747" t="s">
        <v>3639</v>
      </c>
      <c r="J101" s="747">
        <v>35</v>
      </c>
      <c r="K101" s="1008"/>
      <c r="L101" s="1248"/>
    </row>
    <row r="102" spans="1:12" s="1035" customFormat="1" ht="30.95" customHeight="1">
      <c r="A102" s="747">
        <f t="shared" si="3"/>
        <v>96</v>
      </c>
      <c r="B102" s="748" t="s">
        <v>2044</v>
      </c>
      <c r="C102" s="747" t="s">
        <v>1934</v>
      </c>
      <c r="D102" s="1118">
        <v>34.578789999999998</v>
      </c>
      <c r="E102" s="779"/>
      <c r="F102" s="749">
        <v>46210</v>
      </c>
      <c r="G102" s="749">
        <v>46219</v>
      </c>
      <c r="H102" s="747" t="s">
        <v>631</v>
      </c>
      <c r="I102" s="747" t="s">
        <v>3621</v>
      </c>
      <c r="J102" s="747">
        <v>20</v>
      </c>
      <c r="K102" s="1008"/>
      <c r="L102" s="1248"/>
    </row>
    <row r="103" spans="1:12" s="1035" customFormat="1" ht="30.95" customHeight="1">
      <c r="A103" s="747">
        <f t="shared" si="3"/>
        <v>97</v>
      </c>
      <c r="B103" s="748" t="s">
        <v>3029</v>
      </c>
      <c r="C103" s="747" t="s">
        <v>2212</v>
      </c>
      <c r="D103" s="1118">
        <v>56.156819999999996</v>
      </c>
      <c r="E103" s="779"/>
      <c r="F103" s="749">
        <v>46209</v>
      </c>
      <c r="G103" s="749">
        <v>46215</v>
      </c>
      <c r="H103" s="747" t="s">
        <v>631</v>
      </c>
      <c r="I103" s="747" t="s">
        <v>3650</v>
      </c>
      <c r="J103" s="747">
        <v>35</v>
      </c>
      <c r="K103" s="1008"/>
      <c r="L103" s="1248"/>
    </row>
    <row r="104" spans="1:12" s="1035" customFormat="1" ht="30.95" customHeight="1">
      <c r="A104" s="747">
        <f t="shared" si="3"/>
        <v>98</v>
      </c>
      <c r="B104" s="748" t="s">
        <v>3071</v>
      </c>
      <c r="C104" s="747" t="s">
        <v>1277</v>
      </c>
      <c r="D104" s="1118">
        <v>32.239429999999999</v>
      </c>
      <c r="E104" s="779"/>
      <c r="F104" s="749">
        <v>46215</v>
      </c>
      <c r="G104" s="749">
        <v>46223</v>
      </c>
      <c r="H104" s="747" t="s">
        <v>631</v>
      </c>
      <c r="I104" s="747" t="s">
        <v>3523</v>
      </c>
      <c r="J104" s="747">
        <v>25</v>
      </c>
      <c r="K104" s="1008"/>
      <c r="L104" s="1248"/>
    </row>
    <row r="105" spans="1:12" s="1035" customFormat="1" ht="30.95" customHeight="1">
      <c r="A105" s="747">
        <f t="shared" si="3"/>
        <v>99</v>
      </c>
      <c r="B105" s="748" t="s">
        <v>3031</v>
      </c>
      <c r="C105" s="747" t="s">
        <v>2023</v>
      </c>
      <c r="D105" s="1118">
        <v>94.555480000000003</v>
      </c>
      <c r="E105" s="779"/>
      <c r="F105" s="749">
        <v>46217</v>
      </c>
      <c r="G105" s="749">
        <v>46229</v>
      </c>
      <c r="H105" s="747" t="s">
        <v>631</v>
      </c>
      <c r="I105" s="747" t="s">
        <v>3650</v>
      </c>
      <c r="J105" s="747">
        <v>35</v>
      </c>
      <c r="K105" s="1008"/>
      <c r="L105" s="1248"/>
    </row>
    <row r="106" spans="1:12" s="1035" customFormat="1" ht="30.95" customHeight="1">
      <c r="A106" s="747">
        <f t="shared" si="3"/>
        <v>100</v>
      </c>
      <c r="B106" s="748" t="s">
        <v>2042</v>
      </c>
      <c r="C106" s="747" t="s">
        <v>76</v>
      </c>
      <c r="D106" s="1118">
        <v>18.343450000000001</v>
      </c>
      <c r="E106" s="779"/>
      <c r="F106" s="749">
        <v>46219</v>
      </c>
      <c r="G106" s="749">
        <v>46222</v>
      </c>
      <c r="H106" s="747" t="s">
        <v>631</v>
      </c>
      <c r="I106" s="747" t="s">
        <v>3621</v>
      </c>
      <c r="J106" s="747">
        <v>24</v>
      </c>
      <c r="K106" s="1008"/>
      <c r="L106" s="1248"/>
    </row>
    <row r="107" spans="1:12" s="1035" customFormat="1" ht="30.95" customHeight="1">
      <c r="A107" s="747">
        <f t="shared" si="3"/>
        <v>101</v>
      </c>
      <c r="B107" s="748" t="s">
        <v>3034</v>
      </c>
      <c r="C107" s="747" t="s">
        <v>1977</v>
      </c>
      <c r="D107" s="1118">
        <v>36.355069999999998</v>
      </c>
      <c r="E107" s="779"/>
      <c r="F107" s="749">
        <v>46221</v>
      </c>
      <c r="G107" s="749">
        <v>46230</v>
      </c>
      <c r="H107" s="747" t="s">
        <v>631</v>
      </c>
      <c r="I107" s="747" t="s">
        <v>3284</v>
      </c>
      <c r="J107" s="747">
        <v>25</v>
      </c>
      <c r="K107" s="1008"/>
      <c r="L107" s="1248"/>
    </row>
    <row r="108" spans="1:12" s="1035" customFormat="1" ht="30.95" customHeight="1">
      <c r="A108" s="747">
        <f t="shared" si="3"/>
        <v>102</v>
      </c>
      <c r="B108" s="748" t="s">
        <v>322</v>
      </c>
      <c r="C108" s="747" t="s">
        <v>76</v>
      </c>
      <c r="D108" s="1118">
        <v>18.34</v>
      </c>
      <c r="E108" s="779"/>
      <c r="F108" s="749">
        <v>46223</v>
      </c>
      <c r="G108" s="749">
        <v>46233</v>
      </c>
      <c r="H108" s="747" t="s">
        <v>631</v>
      </c>
      <c r="I108" s="747" t="s">
        <v>3621</v>
      </c>
      <c r="J108" s="747">
        <v>24</v>
      </c>
      <c r="K108" s="1008"/>
      <c r="L108" s="1248"/>
    </row>
    <row r="109" spans="1:12" s="1035" customFormat="1" ht="30.95" customHeight="1">
      <c r="A109" s="747">
        <f t="shared" si="3"/>
        <v>103</v>
      </c>
      <c r="B109" s="748" t="s">
        <v>3033</v>
      </c>
      <c r="C109" s="747" t="s">
        <v>1988</v>
      </c>
      <c r="D109" s="1118">
        <v>79.474350000000001</v>
      </c>
      <c r="E109" s="779"/>
      <c r="F109" s="749">
        <v>46222</v>
      </c>
      <c r="G109" s="749">
        <v>46234</v>
      </c>
      <c r="H109" s="747" t="s">
        <v>631</v>
      </c>
      <c r="I109" s="747" t="s">
        <v>3639</v>
      </c>
      <c r="J109" s="747">
        <v>35</v>
      </c>
      <c r="K109" s="1008"/>
      <c r="L109" s="1248"/>
    </row>
    <row r="110" spans="1:12" s="1035" customFormat="1" ht="30.95" customHeight="1">
      <c r="A110" s="1008">
        <f t="shared" si="3"/>
        <v>104</v>
      </c>
      <c r="B110" s="1009" t="s">
        <v>3072</v>
      </c>
      <c r="C110" s="1008" t="s">
        <v>2023</v>
      </c>
      <c r="D110" s="1115">
        <v>94.555480000000003</v>
      </c>
      <c r="E110" s="1010"/>
      <c r="F110" s="1011">
        <v>46223</v>
      </c>
      <c r="G110" s="1011"/>
      <c r="H110" s="1442" t="s">
        <v>3783</v>
      </c>
      <c r="I110" s="1008" t="s">
        <v>3523</v>
      </c>
      <c r="J110" s="1008">
        <v>25</v>
      </c>
      <c r="K110" s="1008"/>
      <c r="L110" s="1248"/>
    </row>
    <row r="111" spans="1:12" s="1035" customFormat="1" ht="30.95" customHeight="1">
      <c r="A111" s="747">
        <f t="shared" si="3"/>
        <v>105</v>
      </c>
      <c r="B111" s="748" t="s">
        <v>2036</v>
      </c>
      <c r="C111" s="747" t="s">
        <v>62</v>
      </c>
      <c r="D111" s="1118">
        <v>19.442</v>
      </c>
      <c r="E111" s="779"/>
      <c r="F111" s="749">
        <v>46233</v>
      </c>
      <c r="G111" s="749">
        <v>46240</v>
      </c>
      <c r="H111" s="747" t="s">
        <v>631</v>
      </c>
      <c r="I111" s="747" t="s">
        <v>3621</v>
      </c>
      <c r="J111" s="747">
        <v>24</v>
      </c>
      <c r="K111" s="1008"/>
      <c r="L111" s="1248"/>
    </row>
    <row r="112" spans="1:12" s="1035" customFormat="1" ht="30.95" customHeight="1">
      <c r="A112" s="1008">
        <f t="shared" si="3"/>
        <v>106</v>
      </c>
      <c r="B112" s="1009" t="s">
        <v>2034</v>
      </c>
      <c r="C112" s="1008" t="s">
        <v>76</v>
      </c>
      <c r="D112" s="1115">
        <v>18.343450000000001</v>
      </c>
      <c r="E112" s="1010"/>
      <c r="F112" s="1011">
        <v>46240</v>
      </c>
      <c r="G112" s="1011"/>
      <c r="H112" s="1442" t="s">
        <v>1751</v>
      </c>
      <c r="I112" s="1008" t="s">
        <v>3621</v>
      </c>
      <c r="J112" s="1008">
        <v>24</v>
      </c>
      <c r="K112" s="1008"/>
      <c r="L112" s="1248" t="s">
        <v>3810</v>
      </c>
    </row>
  </sheetData>
  <autoFilter ref="A6:O112"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140625" defaultRowHeight="19.5"/>
  <cols>
    <col min="1" max="1" width="9.42578125" style="956" customWidth="1"/>
    <col min="2" max="2" width="14.140625" style="1007" customWidth="1"/>
    <col min="3" max="3" width="11.85546875" style="1007" customWidth="1"/>
    <col min="4" max="4" width="17.85546875" style="957" hidden="1" customWidth="1"/>
    <col min="5" max="5" width="15.28515625" style="956" bestFit="1" customWidth="1"/>
    <col min="6" max="8" width="13.5703125" style="956" customWidth="1"/>
    <col min="9" max="9" width="22.85546875" style="956" customWidth="1"/>
    <col min="10" max="10" width="21.140625" style="958" customWidth="1"/>
    <col min="11" max="11" width="16.42578125" style="958" hidden="1" customWidth="1"/>
    <col min="12" max="12" width="16.42578125" style="958" customWidth="1"/>
    <col min="13" max="13" width="18.140625" style="958" customWidth="1"/>
    <col min="14" max="17" width="16.42578125" style="958" customWidth="1"/>
    <col min="18" max="18" width="68.7109375" style="958" bestFit="1" customWidth="1"/>
    <col min="19" max="100" width="9.140625" style="957"/>
    <col min="101" max="101" width="9.85546875" style="957" bestFit="1" customWidth="1"/>
    <col min="102" max="102" width="19.42578125" style="957" customWidth="1"/>
    <col min="103" max="103" width="14.85546875" style="957" customWidth="1"/>
    <col min="104" max="104" width="23.5703125" style="957" customWidth="1"/>
    <col min="105" max="105" width="19.42578125" style="957" customWidth="1"/>
    <col min="106" max="106" width="21.85546875" style="957" customWidth="1"/>
    <col min="107" max="107" width="14.42578125" style="957" bestFit="1" customWidth="1"/>
    <col min="108" max="108" width="17.140625" style="957" customWidth="1"/>
    <col min="109" max="109" width="23.42578125" style="957" customWidth="1"/>
    <col min="110" max="111" width="19.42578125" style="957" customWidth="1"/>
    <col min="112" max="112" width="39.42578125" style="957" customWidth="1"/>
    <col min="113" max="113" width="19.42578125" style="957" customWidth="1"/>
    <col min="114" max="356" width="9.140625" style="957"/>
    <col min="357" max="357" width="9.85546875" style="957" bestFit="1" customWidth="1"/>
    <col min="358" max="358" width="19.42578125" style="957" customWidth="1"/>
    <col min="359" max="359" width="14.85546875" style="957" customWidth="1"/>
    <col min="360" max="360" width="23.5703125" style="957" customWidth="1"/>
    <col min="361" max="361" width="19.42578125" style="957" customWidth="1"/>
    <col min="362" max="362" width="21.85546875" style="957" customWidth="1"/>
    <col min="363" max="363" width="14.42578125" style="957" bestFit="1" customWidth="1"/>
    <col min="364" max="364" width="17.140625" style="957" customWidth="1"/>
    <col min="365" max="365" width="23.42578125" style="957" customWidth="1"/>
    <col min="366" max="367" width="19.42578125" style="957" customWidth="1"/>
    <col min="368" max="368" width="39.42578125" style="957" customWidth="1"/>
    <col min="369" max="369" width="19.42578125" style="957" customWidth="1"/>
    <col min="370" max="612" width="9.140625" style="957"/>
    <col min="613" max="613" width="9.85546875" style="957" bestFit="1" customWidth="1"/>
    <col min="614" max="614" width="19.42578125" style="957" customWidth="1"/>
    <col min="615" max="615" width="14.85546875" style="957" customWidth="1"/>
    <col min="616" max="616" width="23.5703125" style="957" customWidth="1"/>
    <col min="617" max="617" width="19.42578125" style="957" customWidth="1"/>
    <col min="618" max="618" width="21.85546875" style="957" customWidth="1"/>
    <col min="619" max="619" width="14.42578125" style="957" bestFit="1" customWidth="1"/>
    <col min="620" max="620" width="17.140625" style="957" customWidth="1"/>
    <col min="621" max="621" width="23.42578125" style="957" customWidth="1"/>
    <col min="622" max="623" width="19.42578125" style="957" customWidth="1"/>
    <col min="624" max="624" width="39.42578125" style="957" customWidth="1"/>
    <col min="625" max="625" width="19.42578125" style="957" customWidth="1"/>
    <col min="626" max="868" width="9.140625" style="957"/>
    <col min="869" max="869" width="9.85546875" style="957" bestFit="1" customWidth="1"/>
    <col min="870" max="870" width="19.42578125" style="957" customWidth="1"/>
    <col min="871" max="871" width="14.85546875" style="957" customWidth="1"/>
    <col min="872" max="872" width="23.5703125" style="957" customWidth="1"/>
    <col min="873" max="873" width="19.42578125" style="957" customWidth="1"/>
    <col min="874" max="874" width="21.85546875" style="957" customWidth="1"/>
    <col min="875" max="875" width="14.42578125" style="957" bestFit="1" customWidth="1"/>
    <col min="876" max="876" width="17.140625" style="957" customWidth="1"/>
    <col min="877" max="877" width="23.42578125" style="957" customWidth="1"/>
    <col min="878" max="879" width="19.42578125" style="957" customWidth="1"/>
    <col min="880" max="880" width="39.42578125" style="957" customWidth="1"/>
    <col min="881" max="881" width="19.42578125" style="957" customWidth="1"/>
    <col min="882" max="1124" width="9.140625" style="957"/>
    <col min="1125" max="1125" width="9.85546875" style="957" bestFit="1" customWidth="1"/>
    <col min="1126" max="1126" width="19.42578125" style="957" customWidth="1"/>
    <col min="1127" max="1127" width="14.85546875" style="957" customWidth="1"/>
    <col min="1128" max="1128" width="23.5703125" style="957" customWidth="1"/>
    <col min="1129" max="1129" width="19.42578125" style="957" customWidth="1"/>
    <col min="1130" max="1130" width="21.85546875" style="957" customWidth="1"/>
    <col min="1131" max="1131" width="14.42578125" style="957" bestFit="1" customWidth="1"/>
    <col min="1132" max="1132" width="17.140625" style="957" customWidth="1"/>
    <col min="1133" max="1133" width="23.42578125" style="957" customWidth="1"/>
    <col min="1134" max="1135" width="19.42578125" style="957" customWidth="1"/>
    <col min="1136" max="1136" width="39.42578125" style="957" customWidth="1"/>
    <col min="1137" max="1137" width="19.42578125" style="957" customWidth="1"/>
    <col min="1138" max="1380" width="9.140625" style="957"/>
    <col min="1381" max="1381" width="9.85546875" style="957" bestFit="1" customWidth="1"/>
    <col min="1382" max="1382" width="19.42578125" style="957" customWidth="1"/>
    <col min="1383" max="1383" width="14.85546875" style="957" customWidth="1"/>
    <col min="1384" max="1384" width="23.5703125" style="957" customWidth="1"/>
    <col min="1385" max="1385" width="19.42578125" style="957" customWidth="1"/>
    <col min="1386" max="1386" width="21.85546875" style="957" customWidth="1"/>
    <col min="1387" max="1387" width="14.42578125" style="957" bestFit="1" customWidth="1"/>
    <col min="1388" max="1388" width="17.140625" style="957" customWidth="1"/>
    <col min="1389" max="1389" width="23.42578125" style="957" customWidth="1"/>
    <col min="1390" max="1391" width="19.42578125" style="957" customWidth="1"/>
    <col min="1392" max="1392" width="39.42578125" style="957" customWidth="1"/>
    <col min="1393" max="1393" width="19.42578125" style="957" customWidth="1"/>
    <col min="1394" max="1636" width="9.140625" style="957"/>
    <col min="1637" max="1637" width="9.85546875" style="957" bestFit="1" customWidth="1"/>
    <col min="1638" max="1638" width="19.42578125" style="957" customWidth="1"/>
    <col min="1639" max="1639" width="14.85546875" style="957" customWidth="1"/>
    <col min="1640" max="1640" width="23.5703125" style="957" customWidth="1"/>
    <col min="1641" max="1641" width="19.42578125" style="957" customWidth="1"/>
    <col min="1642" max="1642" width="21.85546875" style="957" customWidth="1"/>
    <col min="1643" max="1643" width="14.42578125" style="957" bestFit="1" customWidth="1"/>
    <col min="1644" max="1644" width="17.140625" style="957" customWidth="1"/>
    <col min="1645" max="1645" width="23.42578125" style="957" customWidth="1"/>
    <col min="1646" max="1647" width="19.42578125" style="957" customWidth="1"/>
    <col min="1648" max="1648" width="39.42578125" style="957" customWidth="1"/>
    <col min="1649" max="1649" width="19.42578125" style="957" customWidth="1"/>
    <col min="1650" max="1892" width="9.140625" style="957"/>
    <col min="1893" max="1893" width="9.85546875" style="957" bestFit="1" customWidth="1"/>
    <col min="1894" max="1894" width="19.42578125" style="957" customWidth="1"/>
    <col min="1895" max="1895" width="14.85546875" style="957" customWidth="1"/>
    <col min="1896" max="1896" width="23.5703125" style="957" customWidth="1"/>
    <col min="1897" max="1897" width="19.42578125" style="957" customWidth="1"/>
    <col min="1898" max="1898" width="21.85546875" style="957" customWidth="1"/>
    <col min="1899" max="1899" width="14.42578125" style="957" bestFit="1" customWidth="1"/>
    <col min="1900" max="1900" width="17.140625" style="957" customWidth="1"/>
    <col min="1901" max="1901" width="23.42578125" style="957" customWidth="1"/>
    <col min="1902" max="1903" width="19.42578125" style="957" customWidth="1"/>
    <col min="1904" max="1904" width="39.42578125" style="957" customWidth="1"/>
    <col min="1905" max="1905" width="19.42578125" style="957" customWidth="1"/>
    <col min="1906" max="2148" width="9.140625" style="957"/>
    <col min="2149" max="2149" width="9.85546875" style="957" bestFit="1" customWidth="1"/>
    <col min="2150" max="2150" width="19.42578125" style="957" customWidth="1"/>
    <col min="2151" max="2151" width="14.85546875" style="957" customWidth="1"/>
    <col min="2152" max="2152" width="23.5703125" style="957" customWidth="1"/>
    <col min="2153" max="2153" width="19.42578125" style="957" customWidth="1"/>
    <col min="2154" max="2154" width="21.85546875" style="957" customWidth="1"/>
    <col min="2155" max="2155" width="14.42578125" style="957" bestFit="1" customWidth="1"/>
    <col min="2156" max="2156" width="17.140625" style="957" customWidth="1"/>
    <col min="2157" max="2157" width="23.42578125" style="957" customWidth="1"/>
    <col min="2158" max="2159" width="19.42578125" style="957" customWidth="1"/>
    <col min="2160" max="2160" width="39.42578125" style="957" customWidth="1"/>
    <col min="2161" max="2161" width="19.42578125" style="957" customWidth="1"/>
    <col min="2162" max="2404" width="9.140625" style="957"/>
    <col min="2405" max="2405" width="9.85546875" style="957" bestFit="1" customWidth="1"/>
    <col min="2406" max="2406" width="19.42578125" style="957" customWidth="1"/>
    <col min="2407" max="2407" width="14.85546875" style="957" customWidth="1"/>
    <col min="2408" max="2408" width="23.5703125" style="957" customWidth="1"/>
    <col min="2409" max="2409" width="19.42578125" style="957" customWidth="1"/>
    <col min="2410" max="2410" width="21.85546875" style="957" customWidth="1"/>
    <col min="2411" max="2411" width="14.42578125" style="957" bestFit="1" customWidth="1"/>
    <col min="2412" max="2412" width="17.140625" style="957" customWidth="1"/>
    <col min="2413" max="2413" width="23.42578125" style="957" customWidth="1"/>
    <col min="2414" max="2415" width="19.42578125" style="957" customWidth="1"/>
    <col min="2416" max="2416" width="39.42578125" style="957" customWidth="1"/>
    <col min="2417" max="2417" width="19.42578125" style="957" customWidth="1"/>
    <col min="2418" max="2660" width="9.140625" style="957"/>
    <col min="2661" max="2661" width="9.85546875" style="957" bestFit="1" customWidth="1"/>
    <col min="2662" max="2662" width="19.42578125" style="957" customWidth="1"/>
    <col min="2663" max="2663" width="14.85546875" style="957" customWidth="1"/>
    <col min="2664" max="2664" width="23.5703125" style="957" customWidth="1"/>
    <col min="2665" max="2665" width="19.42578125" style="957" customWidth="1"/>
    <col min="2666" max="2666" width="21.85546875" style="957" customWidth="1"/>
    <col min="2667" max="2667" width="14.42578125" style="957" bestFit="1" customWidth="1"/>
    <col min="2668" max="2668" width="17.140625" style="957" customWidth="1"/>
    <col min="2669" max="2669" width="23.42578125" style="957" customWidth="1"/>
    <col min="2670" max="2671" width="19.42578125" style="957" customWidth="1"/>
    <col min="2672" max="2672" width="39.42578125" style="957" customWidth="1"/>
    <col min="2673" max="2673" width="19.42578125" style="957" customWidth="1"/>
    <col min="2674" max="2916" width="9.140625" style="957"/>
    <col min="2917" max="2917" width="9.85546875" style="957" bestFit="1" customWidth="1"/>
    <col min="2918" max="2918" width="19.42578125" style="957" customWidth="1"/>
    <col min="2919" max="2919" width="14.85546875" style="957" customWidth="1"/>
    <col min="2920" max="2920" width="23.5703125" style="957" customWidth="1"/>
    <col min="2921" max="2921" width="19.42578125" style="957" customWidth="1"/>
    <col min="2922" max="2922" width="21.85546875" style="957" customWidth="1"/>
    <col min="2923" max="2923" width="14.42578125" style="957" bestFit="1" customWidth="1"/>
    <col min="2924" max="2924" width="17.140625" style="957" customWidth="1"/>
    <col min="2925" max="2925" width="23.42578125" style="957" customWidth="1"/>
    <col min="2926" max="2927" width="19.42578125" style="957" customWidth="1"/>
    <col min="2928" max="2928" width="39.42578125" style="957" customWidth="1"/>
    <col min="2929" max="2929" width="19.42578125" style="957" customWidth="1"/>
    <col min="2930" max="3172" width="9.140625" style="957"/>
    <col min="3173" max="3173" width="9.85546875" style="957" bestFit="1" customWidth="1"/>
    <col min="3174" max="3174" width="19.42578125" style="957" customWidth="1"/>
    <col min="3175" max="3175" width="14.85546875" style="957" customWidth="1"/>
    <col min="3176" max="3176" width="23.5703125" style="957" customWidth="1"/>
    <col min="3177" max="3177" width="19.42578125" style="957" customWidth="1"/>
    <col min="3178" max="3178" width="21.85546875" style="957" customWidth="1"/>
    <col min="3179" max="3179" width="14.42578125" style="957" bestFit="1" customWidth="1"/>
    <col min="3180" max="3180" width="17.140625" style="957" customWidth="1"/>
    <col min="3181" max="3181" width="23.42578125" style="957" customWidth="1"/>
    <col min="3182" max="3183" width="19.42578125" style="957" customWidth="1"/>
    <col min="3184" max="3184" width="39.42578125" style="957" customWidth="1"/>
    <col min="3185" max="3185" width="19.42578125" style="957" customWidth="1"/>
    <col min="3186" max="3428" width="9.140625" style="957"/>
    <col min="3429" max="3429" width="9.85546875" style="957" bestFit="1" customWidth="1"/>
    <col min="3430" max="3430" width="19.42578125" style="957" customWidth="1"/>
    <col min="3431" max="3431" width="14.85546875" style="957" customWidth="1"/>
    <col min="3432" max="3432" width="23.5703125" style="957" customWidth="1"/>
    <col min="3433" max="3433" width="19.42578125" style="957" customWidth="1"/>
    <col min="3434" max="3434" width="21.85546875" style="957" customWidth="1"/>
    <col min="3435" max="3435" width="14.42578125" style="957" bestFit="1" customWidth="1"/>
    <col min="3436" max="3436" width="17.140625" style="957" customWidth="1"/>
    <col min="3437" max="3437" width="23.42578125" style="957" customWidth="1"/>
    <col min="3438" max="3439" width="19.42578125" style="957" customWidth="1"/>
    <col min="3440" max="3440" width="39.42578125" style="957" customWidth="1"/>
    <col min="3441" max="3441" width="19.42578125" style="957" customWidth="1"/>
    <col min="3442" max="3684" width="9.140625" style="957"/>
    <col min="3685" max="3685" width="9.85546875" style="957" bestFit="1" customWidth="1"/>
    <col min="3686" max="3686" width="19.42578125" style="957" customWidth="1"/>
    <col min="3687" max="3687" width="14.85546875" style="957" customWidth="1"/>
    <col min="3688" max="3688" width="23.5703125" style="957" customWidth="1"/>
    <col min="3689" max="3689" width="19.42578125" style="957" customWidth="1"/>
    <col min="3690" max="3690" width="21.85546875" style="957" customWidth="1"/>
    <col min="3691" max="3691" width="14.42578125" style="957" bestFit="1" customWidth="1"/>
    <col min="3692" max="3692" width="17.140625" style="957" customWidth="1"/>
    <col min="3693" max="3693" width="23.42578125" style="957" customWidth="1"/>
    <col min="3694" max="3695" width="19.42578125" style="957" customWidth="1"/>
    <col min="3696" max="3696" width="39.42578125" style="957" customWidth="1"/>
    <col min="3697" max="3697" width="19.42578125" style="957" customWidth="1"/>
    <col min="3698" max="3940" width="9.140625" style="957"/>
    <col min="3941" max="3941" width="9.85546875" style="957" bestFit="1" customWidth="1"/>
    <col min="3942" max="3942" width="19.42578125" style="957" customWidth="1"/>
    <col min="3943" max="3943" width="14.85546875" style="957" customWidth="1"/>
    <col min="3944" max="3944" width="23.5703125" style="957" customWidth="1"/>
    <col min="3945" max="3945" width="19.42578125" style="957" customWidth="1"/>
    <col min="3946" max="3946" width="21.85546875" style="957" customWidth="1"/>
    <col min="3947" max="3947" width="14.42578125" style="957" bestFit="1" customWidth="1"/>
    <col min="3948" max="3948" width="17.140625" style="957" customWidth="1"/>
    <col min="3949" max="3949" width="23.42578125" style="957" customWidth="1"/>
    <col min="3950" max="3951" width="19.42578125" style="957" customWidth="1"/>
    <col min="3952" max="3952" width="39.42578125" style="957" customWidth="1"/>
    <col min="3953" max="3953" width="19.42578125" style="957" customWidth="1"/>
    <col min="3954" max="4196" width="9.140625" style="957"/>
    <col min="4197" max="4197" width="9.85546875" style="957" bestFit="1" customWidth="1"/>
    <col min="4198" max="4198" width="19.42578125" style="957" customWidth="1"/>
    <col min="4199" max="4199" width="14.85546875" style="957" customWidth="1"/>
    <col min="4200" max="4200" width="23.5703125" style="957" customWidth="1"/>
    <col min="4201" max="4201" width="19.42578125" style="957" customWidth="1"/>
    <col min="4202" max="4202" width="21.85546875" style="957" customWidth="1"/>
    <col min="4203" max="4203" width="14.42578125" style="957" bestFit="1" customWidth="1"/>
    <col min="4204" max="4204" width="17.140625" style="957" customWidth="1"/>
    <col min="4205" max="4205" width="23.42578125" style="957" customWidth="1"/>
    <col min="4206" max="4207" width="19.42578125" style="957" customWidth="1"/>
    <col min="4208" max="4208" width="39.42578125" style="957" customWidth="1"/>
    <col min="4209" max="4209" width="19.42578125" style="957" customWidth="1"/>
    <col min="4210" max="4452" width="9.140625" style="957"/>
    <col min="4453" max="4453" width="9.85546875" style="957" bestFit="1" customWidth="1"/>
    <col min="4454" max="4454" width="19.42578125" style="957" customWidth="1"/>
    <col min="4455" max="4455" width="14.85546875" style="957" customWidth="1"/>
    <col min="4456" max="4456" width="23.5703125" style="957" customWidth="1"/>
    <col min="4457" max="4457" width="19.42578125" style="957" customWidth="1"/>
    <col min="4458" max="4458" width="21.85546875" style="957" customWidth="1"/>
    <col min="4459" max="4459" width="14.42578125" style="957" bestFit="1" customWidth="1"/>
    <col min="4460" max="4460" width="17.140625" style="957" customWidth="1"/>
    <col min="4461" max="4461" width="23.42578125" style="957" customWidth="1"/>
    <col min="4462" max="4463" width="19.42578125" style="957" customWidth="1"/>
    <col min="4464" max="4464" width="39.42578125" style="957" customWidth="1"/>
    <col min="4465" max="4465" width="19.42578125" style="957" customWidth="1"/>
    <col min="4466" max="4708" width="9.140625" style="957"/>
    <col min="4709" max="4709" width="9.85546875" style="957" bestFit="1" customWidth="1"/>
    <col min="4710" max="4710" width="19.42578125" style="957" customWidth="1"/>
    <col min="4711" max="4711" width="14.85546875" style="957" customWidth="1"/>
    <col min="4712" max="4712" width="23.5703125" style="957" customWidth="1"/>
    <col min="4713" max="4713" width="19.42578125" style="957" customWidth="1"/>
    <col min="4714" max="4714" width="21.85546875" style="957" customWidth="1"/>
    <col min="4715" max="4715" width="14.42578125" style="957" bestFit="1" customWidth="1"/>
    <col min="4716" max="4716" width="17.140625" style="957" customWidth="1"/>
    <col min="4717" max="4717" width="23.42578125" style="957" customWidth="1"/>
    <col min="4718" max="4719" width="19.42578125" style="957" customWidth="1"/>
    <col min="4720" max="4720" width="39.42578125" style="957" customWidth="1"/>
    <col min="4721" max="4721" width="19.42578125" style="957" customWidth="1"/>
    <col min="4722" max="4964" width="9.140625" style="957"/>
    <col min="4965" max="4965" width="9.85546875" style="957" bestFit="1" customWidth="1"/>
    <col min="4966" max="4966" width="19.42578125" style="957" customWidth="1"/>
    <col min="4967" max="4967" width="14.85546875" style="957" customWidth="1"/>
    <col min="4968" max="4968" width="23.5703125" style="957" customWidth="1"/>
    <col min="4969" max="4969" width="19.42578125" style="957" customWidth="1"/>
    <col min="4970" max="4970" width="21.85546875" style="957" customWidth="1"/>
    <col min="4971" max="4971" width="14.42578125" style="957" bestFit="1" customWidth="1"/>
    <col min="4972" max="4972" width="17.140625" style="957" customWidth="1"/>
    <col min="4973" max="4973" width="23.42578125" style="957" customWidth="1"/>
    <col min="4974" max="4975" width="19.42578125" style="957" customWidth="1"/>
    <col min="4976" max="4976" width="39.42578125" style="957" customWidth="1"/>
    <col min="4977" max="4977" width="19.42578125" style="957" customWidth="1"/>
    <col min="4978" max="5220" width="9.140625" style="957"/>
    <col min="5221" max="5221" width="9.85546875" style="957" bestFit="1" customWidth="1"/>
    <col min="5222" max="5222" width="19.42578125" style="957" customWidth="1"/>
    <col min="5223" max="5223" width="14.85546875" style="957" customWidth="1"/>
    <col min="5224" max="5224" width="23.5703125" style="957" customWidth="1"/>
    <col min="5225" max="5225" width="19.42578125" style="957" customWidth="1"/>
    <col min="5226" max="5226" width="21.85546875" style="957" customWidth="1"/>
    <col min="5227" max="5227" width="14.42578125" style="957" bestFit="1" customWidth="1"/>
    <col min="5228" max="5228" width="17.140625" style="957" customWidth="1"/>
    <col min="5229" max="5229" width="23.42578125" style="957" customWidth="1"/>
    <col min="5230" max="5231" width="19.42578125" style="957" customWidth="1"/>
    <col min="5232" max="5232" width="39.42578125" style="957" customWidth="1"/>
    <col min="5233" max="5233" width="19.42578125" style="957" customWidth="1"/>
    <col min="5234" max="5476" width="9.140625" style="957"/>
    <col min="5477" max="5477" width="9.85546875" style="957" bestFit="1" customWidth="1"/>
    <col min="5478" max="5478" width="19.42578125" style="957" customWidth="1"/>
    <col min="5479" max="5479" width="14.85546875" style="957" customWidth="1"/>
    <col min="5480" max="5480" width="23.5703125" style="957" customWidth="1"/>
    <col min="5481" max="5481" width="19.42578125" style="957" customWidth="1"/>
    <col min="5482" max="5482" width="21.85546875" style="957" customWidth="1"/>
    <col min="5483" max="5483" width="14.42578125" style="957" bestFit="1" customWidth="1"/>
    <col min="5484" max="5484" width="17.140625" style="957" customWidth="1"/>
    <col min="5485" max="5485" width="23.42578125" style="957" customWidth="1"/>
    <col min="5486" max="5487" width="19.42578125" style="957" customWidth="1"/>
    <col min="5488" max="5488" width="39.42578125" style="957" customWidth="1"/>
    <col min="5489" max="5489" width="19.42578125" style="957" customWidth="1"/>
    <col min="5490" max="5732" width="9.140625" style="957"/>
    <col min="5733" max="5733" width="9.85546875" style="957" bestFit="1" customWidth="1"/>
    <col min="5734" max="5734" width="19.42578125" style="957" customWidth="1"/>
    <col min="5735" max="5735" width="14.85546875" style="957" customWidth="1"/>
    <col min="5736" max="5736" width="23.5703125" style="957" customWidth="1"/>
    <col min="5737" max="5737" width="19.42578125" style="957" customWidth="1"/>
    <col min="5738" max="5738" width="21.85546875" style="957" customWidth="1"/>
    <col min="5739" max="5739" width="14.42578125" style="957" bestFit="1" customWidth="1"/>
    <col min="5740" max="5740" width="17.140625" style="957" customWidth="1"/>
    <col min="5741" max="5741" width="23.42578125" style="957" customWidth="1"/>
    <col min="5742" max="5743" width="19.42578125" style="957" customWidth="1"/>
    <col min="5744" max="5744" width="39.42578125" style="957" customWidth="1"/>
    <col min="5745" max="5745" width="19.42578125" style="957" customWidth="1"/>
    <col min="5746" max="5988" width="9.140625" style="957"/>
    <col min="5989" max="5989" width="9.85546875" style="957" bestFit="1" customWidth="1"/>
    <col min="5990" max="5990" width="19.42578125" style="957" customWidth="1"/>
    <col min="5991" max="5991" width="14.85546875" style="957" customWidth="1"/>
    <col min="5992" max="5992" width="23.5703125" style="957" customWidth="1"/>
    <col min="5993" max="5993" width="19.42578125" style="957" customWidth="1"/>
    <col min="5994" max="5994" width="21.85546875" style="957" customWidth="1"/>
    <col min="5995" max="5995" width="14.42578125" style="957" bestFit="1" customWidth="1"/>
    <col min="5996" max="5996" width="17.140625" style="957" customWidth="1"/>
    <col min="5997" max="5997" width="23.42578125" style="957" customWidth="1"/>
    <col min="5998" max="5999" width="19.42578125" style="957" customWidth="1"/>
    <col min="6000" max="6000" width="39.42578125" style="957" customWidth="1"/>
    <col min="6001" max="6001" width="19.42578125" style="957" customWidth="1"/>
    <col min="6002" max="6244" width="9.140625" style="957"/>
    <col min="6245" max="6245" width="9.85546875" style="957" bestFit="1" customWidth="1"/>
    <col min="6246" max="6246" width="19.42578125" style="957" customWidth="1"/>
    <col min="6247" max="6247" width="14.85546875" style="957" customWidth="1"/>
    <col min="6248" max="6248" width="23.5703125" style="957" customWidth="1"/>
    <col min="6249" max="6249" width="19.42578125" style="957" customWidth="1"/>
    <col min="6250" max="6250" width="21.85546875" style="957" customWidth="1"/>
    <col min="6251" max="6251" width="14.42578125" style="957" bestFit="1" customWidth="1"/>
    <col min="6252" max="6252" width="17.140625" style="957" customWidth="1"/>
    <col min="6253" max="6253" width="23.42578125" style="957" customWidth="1"/>
    <col min="6254" max="6255" width="19.42578125" style="957" customWidth="1"/>
    <col min="6256" max="6256" width="39.42578125" style="957" customWidth="1"/>
    <col min="6257" max="6257" width="19.42578125" style="957" customWidth="1"/>
    <col min="6258" max="6500" width="9.140625" style="957"/>
    <col min="6501" max="6501" width="9.85546875" style="957" bestFit="1" customWidth="1"/>
    <col min="6502" max="6502" width="19.42578125" style="957" customWidth="1"/>
    <col min="6503" max="6503" width="14.85546875" style="957" customWidth="1"/>
    <col min="6504" max="6504" width="23.5703125" style="957" customWidth="1"/>
    <col min="6505" max="6505" width="19.42578125" style="957" customWidth="1"/>
    <col min="6506" max="6506" width="21.85546875" style="957" customWidth="1"/>
    <col min="6507" max="6507" width="14.42578125" style="957" bestFit="1" customWidth="1"/>
    <col min="6508" max="6508" width="17.140625" style="957" customWidth="1"/>
    <col min="6509" max="6509" width="23.42578125" style="957" customWidth="1"/>
    <col min="6510" max="6511" width="19.42578125" style="957" customWidth="1"/>
    <col min="6512" max="6512" width="39.42578125" style="957" customWidth="1"/>
    <col min="6513" max="6513" width="19.42578125" style="957" customWidth="1"/>
    <col min="6514" max="6756" width="9.140625" style="957"/>
    <col min="6757" max="6757" width="9.85546875" style="957" bestFit="1" customWidth="1"/>
    <col min="6758" max="6758" width="19.42578125" style="957" customWidth="1"/>
    <col min="6759" max="6759" width="14.85546875" style="957" customWidth="1"/>
    <col min="6760" max="6760" width="23.5703125" style="957" customWidth="1"/>
    <col min="6761" max="6761" width="19.42578125" style="957" customWidth="1"/>
    <col min="6762" max="6762" width="21.85546875" style="957" customWidth="1"/>
    <col min="6763" max="6763" width="14.42578125" style="957" bestFit="1" customWidth="1"/>
    <col min="6764" max="6764" width="17.140625" style="957" customWidth="1"/>
    <col min="6765" max="6765" width="23.42578125" style="957" customWidth="1"/>
    <col min="6766" max="6767" width="19.42578125" style="957" customWidth="1"/>
    <col min="6768" max="6768" width="39.42578125" style="957" customWidth="1"/>
    <col min="6769" max="6769" width="19.42578125" style="957" customWidth="1"/>
    <col min="6770" max="7012" width="9.140625" style="957"/>
    <col min="7013" max="7013" width="9.85546875" style="957" bestFit="1" customWidth="1"/>
    <col min="7014" max="7014" width="19.42578125" style="957" customWidth="1"/>
    <col min="7015" max="7015" width="14.85546875" style="957" customWidth="1"/>
    <col min="7016" max="7016" width="23.5703125" style="957" customWidth="1"/>
    <col min="7017" max="7017" width="19.42578125" style="957" customWidth="1"/>
    <col min="7018" max="7018" width="21.85546875" style="957" customWidth="1"/>
    <col min="7019" max="7019" width="14.42578125" style="957" bestFit="1" customWidth="1"/>
    <col min="7020" max="7020" width="17.140625" style="957" customWidth="1"/>
    <col min="7021" max="7021" width="23.42578125" style="957" customWidth="1"/>
    <col min="7022" max="7023" width="19.42578125" style="957" customWidth="1"/>
    <col min="7024" max="7024" width="39.42578125" style="957" customWidth="1"/>
    <col min="7025" max="7025" width="19.42578125" style="957" customWidth="1"/>
    <col min="7026" max="7268" width="9.140625" style="957"/>
    <col min="7269" max="7269" width="9.85546875" style="957" bestFit="1" customWidth="1"/>
    <col min="7270" max="7270" width="19.42578125" style="957" customWidth="1"/>
    <col min="7271" max="7271" width="14.85546875" style="957" customWidth="1"/>
    <col min="7272" max="7272" width="23.5703125" style="957" customWidth="1"/>
    <col min="7273" max="7273" width="19.42578125" style="957" customWidth="1"/>
    <col min="7274" max="7274" width="21.85546875" style="957" customWidth="1"/>
    <col min="7275" max="7275" width="14.42578125" style="957" bestFit="1" customWidth="1"/>
    <col min="7276" max="7276" width="17.140625" style="957" customWidth="1"/>
    <col min="7277" max="7277" width="23.42578125" style="957" customWidth="1"/>
    <col min="7278" max="7279" width="19.42578125" style="957" customWidth="1"/>
    <col min="7280" max="7280" width="39.42578125" style="957" customWidth="1"/>
    <col min="7281" max="7281" width="19.42578125" style="957" customWidth="1"/>
    <col min="7282" max="7524" width="9.140625" style="957"/>
    <col min="7525" max="7525" width="9.85546875" style="957" bestFit="1" customWidth="1"/>
    <col min="7526" max="7526" width="19.42578125" style="957" customWidth="1"/>
    <col min="7527" max="7527" width="14.85546875" style="957" customWidth="1"/>
    <col min="7528" max="7528" width="23.5703125" style="957" customWidth="1"/>
    <col min="7529" max="7529" width="19.42578125" style="957" customWidth="1"/>
    <col min="7530" max="7530" width="21.85546875" style="957" customWidth="1"/>
    <col min="7531" max="7531" width="14.42578125" style="957" bestFit="1" customWidth="1"/>
    <col min="7532" max="7532" width="17.140625" style="957" customWidth="1"/>
    <col min="7533" max="7533" width="23.42578125" style="957" customWidth="1"/>
    <col min="7534" max="7535" width="19.42578125" style="957" customWidth="1"/>
    <col min="7536" max="7536" width="39.42578125" style="957" customWidth="1"/>
    <col min="7537" max="7537" width="19.42578125" style="957" customWidth="1"/>
    <col min="7538" max="7780" width="9.140625" style="957"/>
    <col min="7781" max="7781" width="9.85546875" style="957" bestFit="1" customWidth="1"/>
    <col min="7782" max="7782" width="19.42578125" style="957" customWidth="1"/>
    <col min="7783" max="7783" width="14.85546875" style="957" customWidth="1"/>
    <col min="7784" max="7784" width="23.5703125" style="957" customWidth="1"/>
    <col min="7785" max="7785" width="19.42578125" style="957" customWidth="1"/>
    <col min="7786" max="7786" width="21.85546875" style="957" customWidth="1"/>
    <col min="7787" max="7787" width="14.42578125" style="957" bestFit="1" customWidth="1"/>
    <col min="7788" max="7788" width="17.140625" style="957" customWidth="1"/>
    <col min="7789" max="7789" width="23.42578125" style="957" customWidth="1"/>
    <col min="7790" max="7791" width="19.42578125" style="957" customWidth="1"/>
    <col min="7792" max="7792" width="39.42578125" style="957" customWidth="1"/>
    <col min="7793" max="7793" width="19.42578125" style="957" customWidth="1"/>
    <col min="7794" max="8036" width="9.140625" style="957"/>
    <col min="8037" max="8037" width="9.85546875" style="957" bestFit="1" customWidth="1"/>
    <col min="8038" max="8038" width="19.42578125" style="957" customWidth="1"/>
    <col min="8039" max="8039" width="14.85546875" style="957" customWidth="1"/>
    <col min="8040" max="8040" width="23.5703125" style="957" customWidth="1"/>
    <col min="8041" max="8041" width="19.42578125" style="957" customWidth="1"/>
    <col min="8042" max="8042" width="21.85546875" style="957" customWidth="1"/>
    <col min="8043" max="8043" width="14.42578125" style="957" bestFit="1" customWidth="1"/>
    <col min="8044" max="8044" width="17.140625" style="957" customWidth="1"/>
    <col min="8045" max="8045" width="23.42578125" style="957" customWidth="1"/>
    <col min="8046" max="8047" width="19.42578125" style="957" customWidth="1"/>
    <col min="8048" max="8048" width="39.42578125" style="957" customWidth="1"/>
    <col min="8049" max="8049" width="19.42578125" style="957" customWidth="1"/>
    <col min="8050" max="8292" width="9.140625" style="957"/>
    <col min="8293" max="8293" width="9.85546875" style="957" bestFit="1" customWidth="1"/>
    <col min="8294" max="8294" width="19.42578125" style="957" customWidth="1"/>
    <col min="8295" max="8295" width="14.85546875" style="957" customWidth="1"/>
    <col min="8296" max="8296" width="23.5703125" style="957" customWidth="1"/>
    <col min="8297" max="8297" width="19.42578125" style="957" customWidth="1"/>
    <col min="8298" max="8298" width="21.85546875" style="957" customWidth="1"/>
    <col min="8299" max="8299" width="14.42578125" style="957" bestFit="1" customWidth="1"/>
    <col min="8300" max="8300" width="17.140625" style="957" customWidth="1"/>
    <col min="8301" max="8301" width="23.42578125" style="957" customWidth="1"/>
    <col min="8302" max="8303" width="19.42578125" style="957" customWidth="1"/>
    <col min="8304" max="8304" width="39.42578125" style="957" customWidth="1"/>
    <col min="8305" max="8305" width="19.42578125" style="957" customWidth="1"/>
    <col min="8306" max="8548" width="9.140625" style="957"/>
    <col min="8549" max="8549" width="9.85546875" style="957" bestFit="1" customWidth="1"/>
    <col min="8550" max="8550" width="19.42578125" style="957" customWidth="1"/>
    <col min="8551" max="8551" width="14.85546875" style="957" customWidth="1"/>
    <col min="8552" max="8552" width="23.5703125" style="957" customWidth="1"/>
    <col min="8553" max="8553" width="19.42578125" style="957" customWidth="1"/>
    <col min="8554" max="8554" width="21.85546875" style="957" customWidth="1"/>
    <col min="8555" max="8555" width="14.42578125" style="957" bestFit="1" customWidth="1"/>
    <col min="8556" max="8556" width="17.140625" style="957" customWidth="1"/>
    <col min="8557" max="8557" width="23.42578125" style="957" customWidth="1"/>
    <col min="8558" max="8559" width="19.42578125" style="957" customWidth="1"/>
    <col min="8560" max="8560" width="39.42578125" style="957" customWidth="1"/>
    <col min="8561" max="8561" width="19.42578125" style="957" customWidth="1"/>
    <col min="8562" max="8804" width="9.140625" style="957"/>
    <col min="8805" max="8805" width="9.85546875" style="957" bestFit="1" customWidth="1"/>
    <col min="8806" max="8806" width="19.42578125" style="957" customWidth="1"/>
    <col min="8807" max="8807" width="14.85546875" style="957" customWidth="1"/>
    <col min="8808" max="8808" width="23.5703125" style="957" customWidth="1"/>
    <col min="8809" max="8809" width="19.42578125" style="957" customWidth="1"/>
    <col min="8810" max="8810" width="21.85546875" style="957" customWidth="1"/>
    <col min="8811" max="8811" width="14.42578125" style="957" bestFit="1" customWidth="1"/>
    <col min="8812" max="8812" width="17.140625" style="957" customWidth="1"/>
    <col min="8813" max="8813" width="23.42578125" style="957" customWidth="1"/>
    <col min="8814" max="8815" width="19.42578125" style="957" customWidth="1"/>
    <col min="8816" max="8816" width="39.42578125" style="957" customWidth="1"/>
    <col min="8817" max="8817" width="19.42578125" style="957" customWidth="1"/>
    <col min="8818" max="9060" width="9.140625" style="957"/>
    <col min="9061" max="9061" width="9.85546875" style="957" bestFit="1" customWidth="1"/>
    <col min="9062" max="9062" width="19.42578125" style="957" customWidth="1"/>
    <col min="9063" max="9063" width="14.85546875" style="957" customWidth="1"/>
    <col min="9064" max="9064" width="23.5703125" style="957" customWidth="1"/>
    <col min="9065" max="9065" width="19.42578125" style="957" customWidth="1"/>
    <col min="9066" max="9066" width="21.85546875" style="957" customWidth="1"/>
    <col min="9067" max="9067" width="14.42578125" style="957" bestFit="1" customWidth="1"/>
    <col min="9068" max="9068" width="17.140625" style="957" customWidth="1"/>
    <col min="9069" max="9069" width="23.42578125" style="957" customWidth="1"/>
    <col min="9070" max="9071" width="19.42578125" style="957" customWidth="1"/>
    <col min="9072" max="9072" width="39.42578125" style="957" customWidth="1"/>
    <col min="9073" max="9073" width="19.42578125" style="957" customWidth="1"/>
    <col min="9074" max="9316" width="9.140625" style="957"/>
    <col min="9317" max="9317" width="9.85546875" style="957" bestFit="1" customWidth="1"/>
    <col min="9318" max="9318" width="19.42578125" style="957" customWidth="1"/>
    <col min="9319" max="9319" width="14.85546875" style="957" customWidth="1"/>
    <col min="9320" max="9320" width="23.5703125" style="957" customWidth="1"/>
    <col min="9321" max="9321" width="19.42578125" style="957" customWidth="1"/>
    <col min="9322" max="9322" width="21.85546875" style="957" customWidth="1"/>
    <col min="9323" max="9323" width="14.42578125" style="957" bestFit="1" customWidth="1"/>
    <col min="9324" max="9324" width="17.140625" style="957" customWidth="1"/>
    <col min="9325" max="9325" width="23.42578125" style="957" customWidth="1"/>
    <col min="9326" max="9327" width="19.42578125" style="957" customWidth="1"/>
    <col min="9328" max="9328" width="39.42578125" style="957" customWidth="1"/>
    <col min="9329" max="9329" width="19.42578125" style="957" customWidth="1"/>
    <col min="9330" max="9572" width="9.140625" style="957"/>
    <col min="9573" max="9573" width="9.85546875" style="957" bestFit="1" customWidth="1"/>
    <col min="9574" max="9574" width="19.42578125" style="957" customWidth="1"/>
    <col min="9575" max="9575" width="14.85546875" style="957" customWidth="1"/>
    <col min="9576" max="9576" width="23.5703125" style="957" customWidth="1"/>
    <col min="9577" max="9577" width="19.42578125" style="957" customWidth="1"/>
    <col min="9578" max="9578" width="21.85546875" style="957" customWidth="1"/>
    <col min="9579" max="9579" width="14.42578125" style="957" bestFit="1" customWidth="1"/>
    <col min="9580" max="9580" width="17.140625" style="957" customWidth="1"/>
    <col min="9581" max="9581" width="23.42578125" style="957" customWidth="1"/>
    <col min="9582" max="9583" width="19.42578125" style="957" customWidth="1"/>
    <col min="9584" max="9584" width="39.42578125" style="957" customWidth="1"/>
    <col min="9585" max="9585" width="19.42578125" style="957" customWidth="1"/>
    <col min="9586" max="9828" width="9.140625" style="957"/>
    <col min="9829" max="9829" width="9.85546875" style="957" bestFit="1" customWidth="1"/>
    <col min="9830" max="9830" width="19.42578125" style="957" customWidth="1"/>
    <col min="9831" max="9831" width="14.85546875" style="957" customWidth="1"/>
    <col min="9832" max="9832" width="23.5703125" style="957" customWidth="1"/>
    <col min="9833" max="9833" width="19.42578125" style="957" customWidth="1"/>
    <col min="9834" max="9834" width="21.85546875" style="957" customWidth="1"/>
    <col min="9835" max="9835" width="14.42578125" style="957" bestFit="1" customWidth="1"/>
    <col min="9836" max="9836" width="17.140625" style="957" customWidth="1"/>
    <col min="9837" max="9837" width="23.42578125" style="957" customWidth="1"/>
    <col min="9838" max="9839" width="19.42578125" style="957" customWidth="1"/>
    <col min="9840" max="9840" width="39.42578125" style="957" customWidth="1"/>
    <col min="9841" max="9841" width="19.42578125" style="957" customWidth="1"/>
    <col min="9842" max="10084" width="9.140625" style="957"/>
    <col min="10085" max="10085" width="9.85546875" style="957" bestFit="1" customWidth="1"/>
    <col min="10086" max="10086" width="19.42578125" style="957" customWidth="1"/>
    <col min="10087" max="10087" width="14.85546875" style="957" customWidth="1"/>
    <col min="10088" max="10088" width="23.5703125" style="957" customWidth="1"/>
    <col min="10089" max="10089" width="19.42578125" style="957" customWidth="1"/>
    <col min="10090" max="10090" width="21.85546875" style="957" customWidth="1"/>
    <col min="10091" max="10091" width="14.42578125" style="957" bestFit="1" customWidth="1"/>
    <col min="10092" max="10092" width="17.140625" style="957" customWidth="1"/>
    <col min="10093" max="10093" width="23.42578125" style="957" customWidth="1"/>
    <col min="10094" max="10095" width="19.42578125" style="957" customWidth="1"/>
    <col min="10096" max="10096" width="39.42578125" style="957" customWidth="1"/>
    <col min="10097" max="10097" width="19.42578125" style="957" customWidth="1"/>
    <col min="10098" max="10340" width="9.140625" style="957"/>
    <col min="10341" max="10341" width="9.85546875" style="957" bestFit="1" customWidth="1"/>
    <col min="10342" max="10342" width="19.42578125" style="957" customWidth="1"/>
    <col min="10343" max="10343" width="14.85546875" style="957" customWidth="1"/>
    <col min="10344" max="10344" width="23.5703125" style="957" customWidth="1"/>
    <col min="10345" max="10345" width="19.42578125" style="957" customWidth="1"/>
    <col min="10346" max="10346" width="21.85546875" style="957" customWidth="1"/>
    <col min="10347" max="10347" width="14.42578125" style="957" bestFit="1" customWidth="1"/>
    <col min="10348" max="10348" width="17.140625" style="957" customWidth="1"/>
    <col min="10349" max="10349" width="23.42578125" style="957" customWidth="1"/>
    <col min="10350" max="10351" width="19.42578125" style="957" customWidth="1"/>
    <col min="10352" max="10352" width="39.42578125" style="957" customWidth="1"/>
    <col min="10353" max="10353" width="19.42578125" style="957" customWidth="1"/>
    <col min="10354" max="10596" width="9.140625" style="957"/>
    <col min="10597" max="10597" width="9.85546875" style="957" bestFit="1" customWidth="1"/>
    <col min="10598" max="10598" width="19.42578125" style="957" customWidth="1"/>
    <col min="10599" max="10599" width="14.85546875" style="957" customWidth="1"/>
    <col min="10600" max="10600" width="23.5703125" style="957" customWidth="1"/>
    <col min="10601" max="10601" width="19.42578125" style="957" customWidth="1"/>
    <col min="10602" max="10602" width="21.85546875" style="957" customWidth="1"/>
    <col min="10603" max="10603" width="14.42578125" style="957" bestFit="1" customWidth="1"/>
    <col min="10604" max="10604" width="17.140625" style="957" customWidth="1"/>
    <col min="10605" max="10605" width="23.42578125" style="957" customWidth="1"/>
    <col min="10606" max="10607" width="19.42578125" style="957" customWidth="1"/>
    <col min="10608" max="10608" width="39.42578125" style="957" customWidth="1"/>
    <col min="10609" max="10609" width="19.42578125" style="957" customWidth="1"/>
    <col min="10610" max="10852" width="9.140625" style="957"/>
    <col min="10853" max="10853" width="9.85546875" style="957" bestFit="1" customWidth="1"/>
    <col min="10854" max="10854" width="19.42578125" style="957" customWidth="1"/>
    <col min="10855" max="10855" width="14.85546875" style="957" customWidth="1"/>
    <col min="10856" max="10856" width="23.5703125" style="957" customWidth="1"/>
    <col min="10857" max="10857" width="19.42578125" style="957" customWidth="1"/>
    <col min="10858" max="10858" width="21.85546875" style="957" customWidth="1"/>
    <col min="10859" max="10859" width="14.42578125" style="957" bestFit="1" customWidth="1"/>
    <col min="10860" max="10860" width="17.140625" style="957" customWidth="1"/>
    <col min="10861" max="10861" width="23.42578125" style="957" customWidth="1"/>
    <col min="10862" max="10863" width="19.42578125" style="957" customWidth="1"/>
    <col min="10864" max="10864" width="39.42578125" style="957" customWidth="1"/>
    <col min="10865" max="10865" width="19.42578125" style="957" customWidth="1"/>
    <col min="10866" max="11108" width="9.140625" style="957"/>
    <col min="11109" max="11109" width="9.85546875" style="957" bestFit="1" customWidth="1"/>
    <col min="11110" max="11110" width="19.42578125" style="957" customWidth="1"/>
    <col min="11111" max="11111" width="14.85546875" style="957" customWidth="1"/>
    <col min="11112" max="11112" width="23.5703125" style="957" customWidth="1"/>
    <col min="11113" max="11113" width="19.42578125" style="957" customWidth="1"/>
    <col min="11114" max="11114" width="21.85546875" style="957" customWidth="1"/>
    <col min="11115" max="11115" width="14.42578125" style="957" bestFit="1" customWidth="1"/>
    <col min="11116" max="11116" width="17.140625" style="957" customWidth="1"/>
    <col min="11117" max="11117" width="23.42578125" style="957" customWidth="1"/>
    <col min="11118" max="11119" width="19.42578125" style="957" customWidth="1"/>
    <col min="11120" max="11120" width="39.42578125" style="957" customWidth="1"/>
    <col min="11121" max="11121" width="19.42578125" style="957" customWidth="1"/>
    <col min="11122" max="11364" width="9.140625" style="957"/>
    <col min="11365" max="11365" width="9.85546875" style="957" bestFit="1" customWidth="1"/>
    <col min="11366" max="11366" width="19.42578125" style="957" customWidth="1"/>
    <col min="11367" max="11367" width="14.85546875" style="957" customWidth="1"/>
    <col min="11368" max="11368" width="23.5703125" style="957" customWidth="1"/>
    <col min="11369" max="11369" width="19.42578125" style="957" customWidth="1"/>
    <col min="11370" max="11370" width="21.85546875" style="957" customWidth="1"/>
    <col min="11371" max="11371" width="14.42578125" style="957" bestFit="1" customWidth="1"/>
    <col min="11372" max="11372" width="17.140625" style="957" customWidth="1"/>
    <col min="11373" max="11373" width="23.42578125" style="957" customWidth="1"/>
    <col min="11374" max="11375" width="19.42578125" style="957" customWidth="1"/>
    <col min="11376" max="11376" width="39.42578125" style="957" customWidth="1"/>
    <col min="11377" max="11377" width="19.42578125" style="957" customWidth="1"/>
    <col min="11378" max="11620" width="9.140625" style="957"/>
    <col min="11621" max="11621" width="9.85546875" style="957" bestFit="1" customWidth="1"/>
    <col min="11622" max="11622" width="19.42578125" style="957" customWidth="1"/>
    <col min="11623" max="11623" width="14.85546875" style="957" customWidth="1"/>
    <col min="11624" max="11624" width="23.5703125" style="957" customWidth="1"/>
    <col min="11625" max="11625" width="19.42578125" style="957" customWidth="1"/>
    <col min="11626" max="11626" width="21.85546875" style="957" customWidth="1"/>
    <col min="11627" max="11627" width="14.42578125" style="957" bestFit="1" customWidth="1"/>
    <col min="11628" max="11628" width="17.140625" style="957" customWidth="1"/>
    <col min="11629" max="11629" width="23.42578125" style="957" customWidth="1"/>
    <col min="11630" max="11631" width="19.42578125" style="957" customWidth="1"/>
    <col min="11632" max="11632" width="39.42578125" style="957" customWidth="1"/>
    <col min="11633" max="11633" width="19.42578125" style="957" customWidth="1"/>
    <col min="11634" max="11876" width="9.140625" style="957"/>
    <col min="11877" max="11877" width="9.85546875" style="957" bestFit="1" customWidth="1"/>
    <col min="11878" max="11878" width="19.42578125" style="957" customWidth="1"/>
    <col min="11879" max="11879" width="14.85546875" style="957" customWidth="1"/>
    <col min="11880" max="11880" width="23.5703125" style="957" customWidth="1"/>
    <col min="11881" max="11881" width="19.42578125" style="957" customWidth="1"/>
    <col min="11882" max="11882" width="21.85546875" style="957" customWidth="1"/>
    <col min="11883" max="11883" width="14.42578125" style="957" bestFit="1" customWidth="1"/>
    <col min="11884" max="11884" width="17.140625" style="957" customWidth="1"/>
    <col min="11885" max="11885" width="23.42578125" style="957" customWidth="1"/>
    <col min="11886" max="11887" width="19.42578125" style="957" customWidth="1"/>
    <col min="11888" max="11888" width="39.42578125" style="957" customWidth="1"/>
    <col min="11889" max="11889" width="19.42578125" style="957" customWidth="1"/>
    <col min="11890" max="12132" width="9.140625" style="957"/>
    <col min="12133" max="12133" width="9.85546875" style="957" bestFit="1" customWidth="1"/>
    <col min="12134" max="12134" width="19.42578125" style="957" customWidth="1"/>
    <col min="12135" max="12135" width="14.85546875" style="957" customWidth="1"/>
    <col min="12136" max="12136" width="23.5703125" style="957" customWidth="1"/>
    <col min="12137" max="12137" width="19.42578125" style="957" customWidth="1"/>
    <col min="12138" max="12138" width="21.85546875" style="957" customWidth="1"/>
    <col min="12139" max="12139" width="14.42578125" style="957" bestFit="1" customWidth="1"/>
    <col min="12140" max="12140" width="17.140625" style="957" customWidth="1"/>
    <col min="12141" max="12141" width="23.42578125" style="957" customWidth="1"/>
    <col min="12142" max="12143" width="19.42578125" style="957" customWidth="1"/>
    <col min="12144" max="12144" width="39.42578125" style="957" customWidth="1"/>
    <col min="12145" max="12145" width="19.42578125" style="957" customWidth="1"/>
    <col min="12146" max="12388" width="9.140625" style="957"/>
    <col min="12389" max="12389" width="9.85546875" style="957" bestFit="1" customWidth="1"/>
    <col min="12390" max="12390" width="19.42578125" style="957" customWidth="1"/>
    <col min="12391" max="12391" width="14.85546875" style="957" customWidth="1"/>
    <col min="12392" max="12392" width="23.5703125" style="957" customWidth="1"/>
    <col min="12393" max="12393" width="19.42578125" style="957" customWidth="1"/>
    <col min="12394" max="12394" width="21.85546875" style="957" customWidth="1"/>
    <col min="12395" max="12395" width="14.42578125" style="957" bestFit="1" customWidth="1"/>
    <col min="12396" max="12396" width="17.140625" style="957" customWidth="1"/>
    <col min="12397" max="12397" width="23.42578125" style="957" customWidth="1"/>
    <col min="12398" max="12399" width="19.42578125" style="957" customWidth="1"/>
    <col min="12400" max="12400" width="39.42578125" style="957" customWidth="1"/>
    <col min="12401" max="12401" width="19.42578125" style="957" customWidth="1"/>
    <col min="12402" max="12644" width="9.140625" style="957"/>
    <col min="12645" max="12645" width="9.85546875" style="957" bestFit="1" customWidth="1"/>
    <col min="12646" max="12646" width="19.42578125" style="957" customWidth="1"/>
    <col min="12647" max="12647" width="14.85546875" style="957" customWidth="1"/>
    <col min="12648" max="12648" width="23.5703125" style="957" customWidth="1"/>
    <col min="12649" max="12649" width="19.42578125" style="957" customWidth="1"/>
    <col min="12650" max="12650" width="21.85546875" style="957" customWidth="1"/>
    <col min="12651" max="12651" width="14.42578125" style="957" bestFit="1" customWidth="1"/>
    <col min="12652" max="12652" width="17.140625" style="957" customWidth="1"/>
    <col min="12653" max="12653" width="23.42578125" style="957" customWidth="1"/>
    <col min="12654" max="12655" width="19.42578125" style="957" customWidth="1"/>
    <col min="12656" max="12656" width="39.42578125" style="957" customWidth="1"/>
    <col min="12657" max="12657" width="19.42578125" style="957" customWidth="1"/>
    <col min="12658" max="12900" width="9.140625" style="957"/>
    <col min="12901" max="12901" width="9.85546875" style="957" bestFit="1" customWidth="1"/>
    <col min="12902" max="12902" width="19.42578125" style="957" customWidth="1"/>
    <col min="12903" max="12903" width="14.85546875" style="957" customWidth="1"/>
    <col min="12904" max="12904" width="23.5703125" style="957" customWidth="1"/>
    <col min="12905" max="12905" width="19.42578125" style="957" customWidth="1"/>
    <col min="12906" max="12906" width="21.85546875" style="957" customWidth="1"/>
    <col min="12907" max="12907" width="14.42578125" style="957" bestFit="1" customWidth="1"/>
    <col min="12908" max="12908" width="17.140625" style="957" customWidth="1"/>
    <col min="12909" max="12909" width="23.42578125" style="957" customWidth="1"/>
    <col min="12910" max="12911" width="19.42578125" style="957" customWidth="1"/>
    <col min="12912" max="12912" width="39.42578125" style="957" customWidth="1"/>
    <col min="12913" max="12913" width="19.42578125" style="957" customWidth="1"/>
    <col min="12914" max="13156" width="9.140625" style="957"/>
    <col min="13157" max="13157" width="9.85546875" style="957" bestFit="1" customWidth="1"/>
    <col min="13158" max="13158" width="19.42578125" style="957" customWidth="1"/>
    <col min="13159" max="13159" width="14.85546875" style="957" customWidth="1"/>
    <col min="13160" max="13160" width="23.5703125" style="957" customWidth="1"/>
    <col min="13161" max="13161" width="19.42578125" style="957" customWidth="1"/>
    <col min="13162" max="13162" width="21.85546875" style="957" customWidth="1"/>
    <col min="13163" max="13163" width="14.42578125" style="957" bestFit="1" customWidth="1"/>
    <col min="13164" max="13164" width="17.140625" style="957" customWidth="1"/>
    <col min="13165" max="13165" width="23.42578125" style="957" customWidth="1"/>
    <col min="13166" max="13167" width="19.42578125" style="957" customWidth="1"/>
    <col min="13168" max="13168" width="39.42578125" style="957" customWidth="1"/>
    <col min="13169" max="13169" width="19.42578125" style="957" customWidth="1"/>
    <col min="13170" max="13412" width="9.140625" style="957"/>
    <col min="13413" max="13413" width="9.85546875" style="957" bestFit="1" customWidth="1"/>
    <col min="13414" max="13414" width="19.42578125" style="957" customWidth="1"/>
    <col min="13415" max="13415" width="14.85546875" style="957" customWidth="1"/>
    <col min="13416" max="13416" width="23.5703125" style="957" customWidth="1"/>
    <col min="13417" max="13417" width="19.42578125" style="957" customWidth="1"/>
    <col min="13418" max="13418" width="21.85546875" style="957" customWidth="1"/>
    <col min="13419" max="13419" width="14.42578125" style="957" bestFit="1" customWidth="1"/>
    <col min="13420" max="13420" width="17.140625" style="957" customWidth="1"/>
    <col min="13421" max="13421" width="23.42578125" style="957" customWidth="1"/>
    <col min="13422" max="13423" width="19.42578125" style="957" customWidth="1"/>
    <col min="13424" max="13424" width="39.42578125" style="957" customWidth="1"/>
    <col min="13425" max="13425" width="19.42578125" style="957" customWidth="1"/>
    <col min="13426" max="13668" width="9.140625" style="957"/>
    <col min="13669" max="13669" width="9.85546875" style="957" bestFit="1" customWidth="1"/>
    <col min="13670" max="13670" width="19.42578125" style="957" customWidth="1"/>
    <col min="13671" max="13671" width="14.85546875" style="957" customWidth="1"/>
    <col min="13672" max="13672" width="23.5703125" style="957" customWidth="1"/>
    <col min="13673" max="13673" width="19.42578125" style="957" customWidth="1"/>
    <col min="13674" max="13674" width="21.85546875" style="957" customWidth="1"/>
    <col min="13675" max="13675" width="14.42578125" style="957" bestFit="1" customWidth="1"/>
    <col min="13676" max="13676" width="17.140625" style="957" customWidth="1"/>
    <col min="13677" max="13677" width="23.42578125" style="957" customWidth="1"/>
    <col min="13678" max="13679" width="19.42578125" style="957" customWidth="1"/>
    <col min="13680" max="13680" width="39.42578125" style="957" customWidth="1"/>
    <col min="13681" max="13681" width="19.42578125" style="957" customWidth="1"/>
    <col min="13682" max="13924" width="9.140625" style="957"/>
    <col min="13925" max="13925" width="9.85546875" style="957" bestFit="1" customWidth="1"/>
    <col min="13926" max="13926" width="19.42578125" style="957" customWidth="1"/>
    <col min="13927" max="13927" width="14.85546875" style="957" customWidth="1"/>
    <col min="13928" max="13928" width="23.5703125" style="957" customWidth="1"/>
    <col min="13929" max="13929" width="19.42578125" style="957" customWidth="1"/>
    <col min="13930" max="13930" width="21.85546875" style="957" customWidth="1"/>
    <col min="13931" max="13931" width="14.42578125" style="957" bestFit="1" customWidth="1"/>
    <col min="13932" max="13932" width="17.140625" style="957" customWidth="1"/>
    <col min="13933" max="13933" width="23.42578125" style="957" customWidth="1"/>
    <col min="13934" max="13935" width="19.42578125" style="957" customWidth="1"/>
    <col min="13936" max="13936" width="39.42578125" style="957" customWidth="1"/>
    <col min="13937" max="13937" width="19.42578125" style="957" customWidth="1"/>
    <col min="13938" max="14180" width="9.140625" style="957"/>
    <col min="14181" max="14181" width="9.85546875" style="957" bestFit="1" customWidth="1"/>
    <col min="14182" max="14182" width="19.42578125" style="957" customWidth="1"/>
    <col min="14183" max="14183" width="14.85546875" style="957" customWidth="1"/>
    <col min="14184" max="14184" width="23.5703125" style="957" customWidth="1"/>
    <col min="14185" max="14185" width="19.42578125" style="957" customWidth="1"/>
    <col min="14186" max="14186" width="21.85546875" style="957" customWidth="1"/>
    <col min="14187" max="14187" width="14.42578125" style="957" bestFit="1" customWidth="1"/>
    <col min="14188" max="14188" width="17.140625" style="957" customWidth="1"/>
    <col min="14189" max="14189" width="23.42578125" style="957" customWidth="1"/>
    <col min="14190" max="14191" width="19.42578125" style="957" customWidth="1"/>
    <col min="14192" max="14192" width="39.42578125" style="957" customWidth="1"/>
    <col min="14193" max="14193" width="19.42578125" style="957" customWidth="1"/>
    <col min="14194" max="14436" width="9.140625" style="957"/>
    <col min="14437" max="14437" width="9.85546875" style="957" bestFit="1" customWidth="1"/>
    <col min="14438" max="14438" width="19.42578125" style="957" customWidth="1"/>
    <col min="14439" max="14439" width="14.85546875" style="957" customWidth="1"/>
    <col min="14440" max="14440" width="23.5703125" style="957" customWidth="1"/>
    <col min="14441" max="14441" width="19.42578125" style="957" customWidth="1"/>
    <col min="14442" max="14442" width="21.85546875" style="957" customWidth="1"/>
    <col min="14443" max="14443" width="14.42578125" style="957" bestFit="1" customWidth="1"/>
    <col min="14444" max="14444" width="17.140625" style="957" customWidth="1"/>
    <col min="14445" max="14445" width="23.42578125" style="957" customWidth="1"/>
    <col min="14446" max="14447" width="19.42578125" style="957" customWidth="1"/>
    <col min="14448" max="14448" width="39.42578125" style="957" customWidth="1"/>
    <col min="14449" max="14449" width="19.42578125" style="957" customWidth="1"/>
    <col min="14450" max="14692" width="9.140625" style="957"/>
    <col min="14693" max="14693" width="9.85546875" style="957" bestFit="1" customWidth="1"/>
    <col min="14694" max="14694" width="19.42578125" style="957" customWidth="1"/>
    <col min="14695" max="14695" width="14.85546875" style="957" customWidth="1"/>
    <col min="14696" max="14696" width="23.5703125" style="957" customWidth="1"/>
    <col min="14697" max="14697" width="19.42578125" style="957" customWidth="1"/>
    <col min="14698" max="14698" width="21.85546875" style="957" customWidth="1"/>
    <col min="14699" max="14699" width="14.42578125" style="957" bestFit="1" customWidth="1"/>
    <col min="14700" max="14700" width="17.140625" style="957" customWidth="1"/>
    <col min="14701" max="14701" width="23.42578125" style="957" customWidth="1"/>
    <col min="14702" max="14703" width="19.42578125" style="957" customWidth="1"/>
    <col min="14704" max="14704" width="39.42578125" style="957" customWidth="1"/>
    <col min="14705" max="14705" width="19.42578125" style="957" customWidth="1"/>
    <col min="14706" max="14948" width="9.140625" style="957"/>
    <col min="14949" max="14949" width="9.85546875" style="957" bestFit="1" customWidth="1"/>
    <col min="14950" max="14950" width="19.42578125" style="957" customWidth="1"/>
    <col min="14951" max="14951" width="14.85546875" style="957" customWidth="1"/>
    <col min="14952" max="14952" width="23.5703125" style="957" customWidth="1"/>
    <col min="14953" max="14953" width="19.42578125" style="957" customWidth="1"/>
    <col min="14954" max="14954" width="21.85546875" style="957" customWidth="1"/>
    <col min="14955" max="14955" width="14.42578125" style="957" bestFit="1" customWidth="1"/>
    <col min="14956" max="14956" width="17.140625" style="957" customWidth="1"/>
    <col min="14957" max="14957" width="23.42578125" style="957" customWidth="1"/>
    <col min="14958" max="14959" width="19.42578125" style="957" customWidth="1"/>
    <col min="14960" max="14960" width="39.42578125" style="957" customWidth="1"/>
    <col min="14961" max="14961" width="19.42578125" style="957" customWidth="1"/>
    <col min="14962" max="15204" width="9.140625" style="957"/>
    <col min="15205" max="15205" width="9.85546875" style="957" bestFit="1" customWidth="1"/>
    <col min="15206" max="15206" width="19.42578125" style="957" customWidth="1"/>
    <col min="15207" max="15207" width="14.85546875" style="957" customWidth="1"/>
    <col min="15208" max="15208" width="23.5703125" style="957" customWidth="1"/>
    <col min="15209" max="15209" width="19.42578125" style="957" customWidth="1"/>
    <col min="15210" max="15210" width="21.85546875" style="957" customWidth="1"/>
    <col min="15211" max="15211" width="14.42578125" style="957" bestFit="1" customWidth="1"/>
    <col min="15212" max="15212" width="17.140625" style="957" customWidth="1"/>
    <col min="15213" max="15213" width="23.42578125" style="957" customWidth="1"/>
    <col min="15214" max="15215" width="19.42578125" style="957" customWidth="1"/>
    <col min="15216" max="15216" width="39.42578125" style="957" customWidth="1"/>
    <col min="15217" max="15217" width="19.42578125" style="957" customWidth="1"/>
    <col min="15218" max="15460" width="9.140625" style="957"/>
    <col min="15461" max="15461" width="9.85546875" style="957" bestFit="1" customWidth="1"/>
    <col min="15462" max="15462" width="19.42578125" style="957" customWidth="1"/>
    <col min="15463" max="15463" width="14.85546875" style="957" customWidth="1"/>
    <col min="15464" max="15464" width="23.5703125" style="957" customWidth="1"/>
    <col min="15465" max="15465" width="19.42578125" style="957" customWidth="1"/>
    <col min="15466" max="15466" width="21.85546875" style="957" customWidth="1"/>
    <col min="15467" max="15467" width="14.42578125" style="957" bestFit="1" customWidth="1"/>
    <col min="15468" max="15468" width="17.140625" style="957" customWidth="1"/>
    <col min="15469" max="15469" width="23.42578125" style="957" customWidth="1"/>
    <col min="15470" max="15471" width="19.42578125" style="957" customWidth="1"/>
    <col min="15472" max="15472" width="39.42578125" style="957" customWidth="1"/>
    <col min="15473" max="15473" width="19.42578125" style="957" customWidth="1"/>
    <col min="15474" max="15716" width="9.140625" style="957"/>
    <col min="15717" max="15717" width="9.85546875" style="957" bestFit="1" customWidth="1"/>
    <col min="15718" max="15718" width="19.42578125" style="957" customWidth="1"/>
    <col min="15719" max="15719" width="14.85546875" style="957" customWidth="1"/>
    <col min="15720" max="15720" width="23.5703125" style="957" customWidth="1"/>
    <col min="15721" max="15721" width="19.42578125" style="957" customWidth="1"/>
    <col min="15722" max="15722" width="21.85546875" style="957" customWidth="1"/>
    <col min="15723" max="15723" width="14.42578125" style="957" bestFit="1" customWidth="1"/>
    <col min="15724" max="15724" width="17.140625" style="957" customWidth="1"/>
    <col min="15725" max="15725" width="23.42578125" style="957" customWidth="1"/>
    <col min="15726" max="15727" width="19.42578125" style="957" customWidth="1"/>
    <col min="15728" max="15728" width="39.42578125" style="957" customWidth="1"/>
    <col min="15729" max="15729" width="19.42578125" style="957" customWidth="1"/>
    <col min="15730" max="15972" width="9.140625" style="957"/>
    <col min="15973" max="15973" width="9.85546875" style="957" bestFit="1" customWidth="1"/>
    <col min="15974" max="15974" width="19.42578125" style="957" customWidth="1"/>
    <col min="15975" max="15975" width="14.85546875" style="957" customWidth="1"/>
    <col min="15976" max="15976" width="23.5703125" style="957" customWidth="1"/>
    <col min="15977" max="15977" width="19.42578125" style="957" customWidth="1"/>
    <col min="15978" max="15978" width="21.85546875" style="957" customWidth="1"/>
    <col min="15979" max="15979" width="14.42578125" style="957" bestFit="1" customWidth="1"/>
    <col min="15980" max="15980" width="17.140625" style="957" customWidth="1"/>
    <col min="15981" max="15981" width="23.42578125" style="957" customWidth="1"/>
    <col min="15982" max="15983" width="19.42578125" style="957" customWidth="1"/>
    <col min="15984" max="15984" width="39.42578125" style="957" customWidth="1"/>
    <col min="15985" max="15985" width="19.42578125" style="957" customWidth="1"/>
    <col min="15986" max="16384" width="9.140625" style="957"/>
  </cols>
  <sheetData>
    <row r="1" spans="1:18" ht="24.95" customHeight="1">
      <c r="A1" s="955" t="s">
        <v>37</v>
      </c>
      <c r="E1" s="1003"/>
    </row>
    <row r="2" spans="1:18" ht="24.95" customHeight="1">
      <c r="A2" s="959" t="s">
        <v>2739</v>
      </c>
    </row>
    <row r="3" spans="1:18">
      <c r="A3" s="959" t="s">
        <v>2876</v>
      </c>
    </row>
    <row r="4" spans="1:18" ht="25.5" customHeight="1">
      <c r="J4" s="960" t="s">
        <v>60</v>
      </c>
      <c r="K4" s="961"/>
      <c r="L4" s="962">
        <f>COUNTIF($L$8:$L$256,"Clear")</f>
        <v>95</v>
      </c>
      <c r="M4" s="962">
        <f>COUNTIF($M$8:$M$256,"C")</f>
        <v>83</v>
      </c>
      <c r="N4" s="962">
        <f>COUNTIF($N$8:$N$256,"C")</f>
        <v>73</v>
      </c>
      <c r="O4" s="962">
        <f>COUNTIF($O$8:$O$256,"C")</f>
        <v>59</v>
      </c>
      <c r="P4" s="962">
        <f>COUNTIF($P$8:$P$256,"C")</f>
        <v>0</v>
      </c>
    </row>
    <row r="5" spans="1:18" ht="25.5" customHeight="1">
      <c r="J5" s="960" t="s">
        <v>22</v>
      </c>
      <c r="K5" s="961"/>
      <c r="L5" s="962"/>
      <c r="M5" s="962">
        <f>COUNTIF($M$8:$M$256,"WIP")</f>
        <v>9</v>
      </c>
      <c r="N5" s="962">
        <f>COUNTIF($N$8:$N$256,"WIP")</f>
        <v>0</v>
      </c>
      <c r="O5" s="962">
        <f>COUNTIF($O$8:$O$256,"WIP")</f>
        <v>3</v>
      </c>
      <c r="P5" s="962">
        <f>COUNTIF($P$8:$P$256,"WIP")</f>
        <v>0</v>
      </c>
    </row>
    <row r="6" spans="1:18" s="956" customFormat="1" ht="46.7" customHeight="1">
      <c r="A6" s="1656" t="s">
        <v>1782</v>
      </c>
      <c r="B6" s="1657" t="s">
        <v>2877</v>
      </c>
      <c r="C6" s="1657" t="s">
        <v>1405</v>
      </c>
      <c r="D6" s="1656" t="s">
        <v>1923</v>
      </c>
      <c r="E6" s="1656" t="s">
        <v>1000</v>
      </c>
      <c r="F6" s="1656"/>
      <c r="G6" s="1656"/>
      <c r="H6" s="1656"/>
      <c r="I6" s="1653" t="s">
        <v>2878</v>
      </c>
      <c r="J6" s="1653" t="s">
        <v>2879</v>
      </c>
      <c r="K6" s="1653" t="s">
        <v>1922</v>
      </c>
      <c r="L6" s="1653" t="s">
        <v>1658</v>
      </c>
      <c r="M6" s="1653" t="s">
        <v>28</v>
      </c>
      <c r="N6" s="1653" t="s">
        <v>609</v>
      </c>
      <c r="O6" s="1653" t="s">
        <v>610</v>
      </c>
      <c r="P6" s="1653" t="s">
        <v>1254</v>
      </c>
      <c r="Q6" s="1653" t="s">
        <v>614</v>
      </c>
      <c r="R6" s="1653" t="s">
        <v>19</v>
      </c>
    </row>
    <row r="7" spans="1:18" s="956" customFormat="1" ht="43.35" customHeight="1">
      <c r="A7" s="1656"/>
      <c r="B7" s="1657"/>
      <c r="C7" s="1657"/>
      <c r="D7" s="1656"/>
      <c r="E7" s="964" t="s">
        <v>1930</v>
      </c>
      <c r="F7" s="964" t="s">
        <v>1931</v>
      </c>
      <c r="G7" s="964" t="s">
        <v>1932</v>
      </c>
      <c r="H7" s="964" t="s">
        <v>1933</v>
      </c>
      <c r="I7" s="1653"/>
      <c r="J7" s="1653"/>
      <c r="K7" s="1653"/>
      <c r="L7" s="1653"/>
      <c r="M7" s="1653"/>
      <c r="N7" s="1653"/>
      <c r="O7" s="1653"/>
      <c r="P7" s="1653"/>
      <c r="Q7" s="1653"/>
      <c r="R7" s="1653"/>
    </row>
    <row r="8" spans="1:18" s="956" customFormat="1" ht="30" customHeight="1">
      <c r="A8" s="965">
        <v>1</v>
      </c>
      <c r="B8" s="968" t="s">
        <v>3023</v>
      </c>
      <c r="C8" s="968" t="s">
        <v>1319</v>
      </c>
      <c r="D8" s="966" t="s">
        <v>2773</v>
      </c>
      <c r="E8" s="966">
        <v>0</v>
      </c>
      <c r="F8" s="966">
        <v>0</v>
      </c>
      <c r="G8" s="966">
        <v>0</v>
      </c>
      <c r="H8" s="966">
        <v>0</v>
      </c>
      <c r="I8" s="966"/>
      <c r="J8" s="966"/>
      <c r="K8" s="966">
        <v>0</v>
      </c>
      <c r="L8" s="966"/>
      <c r="M8" s="966"/>
      <c r="N8" s="966"/>
      <c r="O8" s="966"/>
      <c r="P8" s="966"/>
      <c r="Q8" s="966"/>
      <c r="R8" s="970"/>
    </row>
    <row r="9" spans="1:18" s="956" customFormat="1" ht="30" customHeight="1">
      <c r="A9" s="965"/>
      <c r="B9" s="968"/>
      <c r="C9" s="968"/>
      <c r="D9" s="966"/>
      <c r="E9" s="966"/>
      <c r="F9" s="966"/>
      <c r="G9" s="966"/>
      <c r="H9" s="966"/>
      <c r="I9" s="966"/>
      <c r="J9" s="973">
        <v>119.059</v>
      </c>
      <c r="K9" s="966"/>
      <c r="L9" s="966"/>
      <c r="M9" s="966"/>
      <c r="N9" s="966"/>
      <c r="O9" s="966"/>
      <c r="P9" s="966"/>
      <c r="Q9" s="966"/>
      <c r="R9" s="970"/>
    </row>
    <row r="10" spans="1:18" s="956" customFormat="1" ht="30" customHeight="1">
      <c r="A10" s="965">
        <f>A8+1</f>
        <v>2</v>
      </c>
      <c r="B10" s="968" t="s">
        <v>3024</v>
      </c>
      <c r="C10" s="968" t="s">
        <v>2212</v>
      </c>
      <c r="D10" s="966" t="s">
        <v>2775</v>
      </c>
      <c r="E10" s="966">
        <v>0</v>
      </c>
      <c r="F10" s="966">
        <v>0</v>
      </c>
      <c r="G10" s="966">
        <v>0</v>
      </c>
      <c r="H10" s="966">
        <v>0</v>
      </c>
      <c r="I10" s="966"/>
      <c r="J10" s="973"/>
      <c r="K10" s="966">
        <f>J9</f>
        <v>119.059</v>
      </c>
      <c r="L10" s="966" t="s">
        <v>2919</v>
      </c>
      <c r="M10" s="966" t="s">
        <v>22</v>
      </c>
      <c r="N10" s="966"/>
      <c r="O10" s="966"/>
      <c r="P10" s="966"/>
      <c r="Q10" s="966"/>
      <c r="R10" s="970"/>
    </row>
    <row r="11" spans="1:18" s="956" customFormat="1" ht="30" customHeight="1">
      <c r="A11" s="965"/>
      <c r="B11" s="968"/>
      <c r="C11" s="968"/>
      <c r="D11" s="966"/>
      <c r="E11" s="966"/>
      <c r="F11" s="966"/>
      <c r="G11" s="966"/>
      <c r="H11" s="966"/>
      <c r="I11" s="966"/>
      <c r="J11" s="973">
        <v>92.495999999999995</v>
      </c>
      <c r="K11" s="966"/>
      <c r="L11" s="966"/>
      <c r="M11" s="966"/>
      <c r="N11" s="966"/>
      <c r="O11" s="966"/>
      <c r="P11" s="966"/>
      <c r="Q11" s="966"/>
      <c r="R11" s="970"/>
    </row>
    <row r="12" spans="1:18" s="956" customFormat="1" ht="30" customHeight="1">
      <c r="A12" s="965">
        <f>A10+1</f>
        <v>3</v>
      </c>
      <c r="B12" s="968" t="s">
        <v>3025</v>
      </c>
      <c r="C12" s="981" t="s">
        <v>2023</v>
      </c>
      <c r="D12" s="966" t="s">
        <v>2776</v>
      </c>
      <c r="E12" s="966">
        <v>4</v>
      </c>
      <c r="F12" s="966">
        <v>5</v>
      </c>
      <c r="G12" s="966">
        <v>4</v>
      </c>
      <c r="H12" s="966">
        <v>3</v>
      </c>
      <c r="I12" s="966" t="s">
        <v>1765</v>
      </c>
      <c r="J12" s="973"/>
      <c r="K12" s="966">
        <f>J11</f>
        <v>92.495999999999995</v>
      </c>
      <c r="L12" s="966" t="s">
        <v>2919</v>
      </c>
      <c r="M12" s="966" t="s">
        <v>22</v>
      </c>
      <c r="N12" s="966"/>
      <c r="O12" s="966"/>
      <c r="P12" s="966"/>
      <c r="Q12" s="966"/>
      <c r="R12" s="970"/>
    </row>
    <row r="13" spans="1:18" s="956" customFormat="1" ht="30" customHeight="1">
      <c r="A13" s="965"/>
      <c r="B13" s="968"/>
      <c r="C13" s="968"/>
      <c r="D13" s="966"/>
      <c r="E13" s="966"/>
      <c r="F13" s="966"/>
      <c r="G13" s="966"/>
      <c r="H13" s="966"/>
      <c r="I13" s="966"/>
      <c r="J13" s="973">
        <v>134.988</v>
      </c>
      <c r="K13" s="966"/>
      <c r="L13" s="966"/>
      <c r="M13" s="966"/>
      <c r="N13" s="966"/>
      <c r="O13" s="966"/>
      <c r="P13" s="966"/>
      <c r="Q13" s="966"/>
      <c r="R13" s="976" t="s">
        <v>3026</v>
      </c>
    </row>
    <row r="14" spans="1:18" s="956" customFormat="1" ht="30" customHeight="1">
      <c r="A14" s="965">
        <f>A12+1</f>
        <v>4</v>
      </c>
      <c r="B14" s="968" t="s">
        <v>2392</v>
      </c>
      <c r="C14" s="981" t="s">
        <v>2023</v>
      </c>
      <c r="D14" s="966" t="s">
        <v>2778</v>
      </c>
      <c r="E14" s="966">
        <v>4</v>
      </c>
      <c r="F14" s="966">
        <v>5</v>
      </c>
      <c r="G14" s="966">
        <v>4</v>
      </c>
      <c r="H14" s="966">
        <v>3</v>
      </c>
      <c r="I14" s="966"/>
      <c r="J14" s="973"/>
      <c r="K14" s="966">
        <f>J13</f>
        <v>134.988</v>
      </c>
      <c r="L14" s="966"/>
      <c r="M14" s="966"/>
      <c r="N14" s="966"/>
      <c r="O14" s="966"/>
      <c r="P14" s="966"/>
      <c r="Q14" s="966"/>
      <c r="R14" s="970"/>
    </row>
    <row r="15" spans="1:18" s="956" customFormat="1" ht="30" customHeight="1">
      <c r="A15" s="965"/>
      <c r="B15" s="968"/>
      <c r="C15" s="968"/>
      <c r="D15" s="966"/>
      <c r="E15" s="966"/>
      <c r="F15" s="966"/>
      <c r="G15" s="966"/>
      <c r="H15" s="966"/>
      <c r="I15" s="966"/>
      <c r="J15" s="973">
        <v>365.17599999999999</v>
      </c>
      <c r="K15" s="966"/>
      <c r="L15" s="966"/>
      <c r="M15" s="966"/>
      <c r="N15" s="966"/>
      <c r="O15" s="966"/>
      <c r="P15" s="966"/>
      <c r="Q15" s="966"/>
      <c r="R15" s="970"/>
    </row>
    <row r="16" spans="1:18" s="956" customFormat="1" ht="30" customHeight="1">
      <c r="A16" s="965">
        <f>A14+1</f>
        <v>5</v>
      </c>
      <c r="B16" s="968" t="s">
        <v>3027</v>
      </c>
      <c r="C16" s="968" t="s">
        <v>2212</v>
      </c>
      <c r="D16" s="966" t="s">
        <v>2779</v>
      </c>
      <c r="E16" s="966">
        <v>0</v>
      </c>
      <c r="F16" s="966">
        <v>0</v>
      </c>
      <c r="G16" s="966">
        <v>0</v>
      </c>
      <c r="H16" s="966">
        <v>0</v>
      </c>
      <c r="I16" s="966"/>
      <c r="J16" s="973"/>
      <c r="K16" s="966">
        <f t="shared" ref="K16:K28" si="0">J15</f>
        <v>365.17599999999999</v>
      </c>
      <c r="L16" s="966"/>
      <c r="M16" s="966"/>
      <c r="N16" s="966"/>
      <c r="O16" s="966"/>
      <c r="P16" s="966"/>
      <c r="Q16" s="966"/>
      <c r="R16" s="970"/>
    </row>
    <row r="17" spans="1:18" s="956" customFormat="1" ht="30" customHeight="1">
      <c r="A17" s="965"/>
      <c r="B17" s="968"/>
      <c r="C17" s="968"/>
      <c r="D17" s="966"/>
      <c r="E17" s="966"/>
      <c r="F17" s="966"/>
      <c r="G17" s="966"/>
      <c r="H17" s="966"/>
      <c r="I17" s="966"/>
      <c r="J17" s="973">
        <v>236.697</v>
      </c>
      <c r="K17" s="966"/>
      <c r="L17" s="966"/>
      <c r="M17" s="966"/>
      <c r="N17" s="966"/>
      <c r="O17" s="966"/>
      <c r="P17" s="966"/>
      <c r="Q17" s="966"/>
      <c r="R17" s="976" t="s">
        <v>3028</v>
      </c>
    </row>
    <row r="18" spans="1:18" s="956" customFormat="1" ht="30" customHeight="1">
      <c r="A18" s="965">
        <f>A16+1</f>
        <v>6</v>
      </c>
      <c r="B18" s="968" t="s">
        <v>3029</v>
      </c>
      <c r="C18" s="968" t="s">
        <v>2212</v>
      </c>
      <c r="D18" s="966" t="s">
        <v>2781</v>
      </c>
      <c r="E18" s="966">
        <v>0</v>
      </c>
      <c r="F18" s="966">
        <v>0</v>
      </c>
      <c r="G18" s="966">
        <v>0</v>
      </c>
      <c r="H18" s="966">
        <v>0</v>
      </c>
      <c r="I18" s="966"/>
      <c r="J18" s="973"/>
      <c r="K18" s="966">
        <f t="shared" si="0"/>
        <v>236.697</v>
      </c>
      <c r="L18" s="966"/>
      <c r="M18" s="966"/>
      <c r="N18" s="966"/>
      <c r="O18" s="966"/>
      <c r="P18" s="966"/>
      <c r="Q18" s="966"/>
      <c r="R18" s="970"/>
    </row>
    <row r="19" spans="1:18" s="956" customFormat="1" ht="30" customHeight="1">
      <c r="A19" s="965"/>
      <c r="B19" s="968"/>
      <c r="C19" s="968"/>
      <c r="D19" s="966"/>
      <c r="E19" s="966"/>
      <c r="F19" s="966"/>
      <c r="G19" s="966"/>
      <c r="H19" s="966"/>
      <c r="I19" s="966"/>
      <c r="J19" s="973">
        <v>213.25200000000001</v>
      </c>
      <c r="K19" s="966"/>
      <c r="L19" s="966"/>
      <c r="M19" s="966"/>
      <c r="N19" s="966"/>
      <c r="O19" s="966"/>
      <c r="P19" s="966"/>
      <c r="Q19" s="966"/>
      <c r="R19" s="970"/>
    </row>
    <row r="20" spans="1:18" s="956" customFormat="1" ht="30" customHeight="1">
      <c r="A20" s="965">
        <f>A18+1</f>
        <v>7</v>
      </c>
      <c r="B20" s="968" t="s">
        <v>3030</v>
      </c>
      <c r="C20" s="968" t="s">
        <v>1988</v>
      </c>
      <c r="D20" s="966" t="s">
        <v>2782</v>
      </c>
      <c r="E20" s="966">
        <v>0</v>
      </c>
      <c r="F20" s="966">
        <v>0</v>
      </c>
      <c r="G20" s="966">
        <v>0</v>
      </c>
      <c r="H20" s="966">
        <v>0</v>
      </c>
      <c r="I20" s="966"/>
      <c r="J20" s="973"/>
      <c r="K20" s="966">
        <f t="shared" si="0"/>
        <v>213.25200000000001</v>
      </c>
      <c r="L20" s="966"/>
      <c r="M20" s="966"/>
      <c r="N20" s="966"/>
      <c r="O20" s="966"/>
      <c r="P20" s="966"/>
      <c r="Q20" s="966"/>
      <c r="R20" s="970"/>
    </row>
    <row r="21" spans="1:18" s="956" customFormat="1" ht="30" customHeight="1">
      <c r="A21" s="965"/>
      <c r="B21" s="968"/>
      <c r="C21" s="968"/>
      <c r="D21" s="966"/>
      <c r="E21" s="966"/>
      <c r="F21" s="966"/>
      <c r="G21" s="966"/>
      <c r="H21" s="966"/>
      <c r="I21" s="966"/>
      <c r="J21" s="973">
        <v>206.59299999999999</v>
      </c>
      <c r="K21" s="966"/>
      <c r="L21" s="966"/>
      <c r="M21" s="966"/>
      <c r="N21" s="966"/>
      <c r="O21" s="966"/>
      <c r="P21" s="966"/>
      <c r="Q21" s="966"/>
      <c r="R21" s="976" t="s">
        <v>3026</v>
      </c>
    </row>
    <row r="22" spans="1:18" s="956" customFormat="1" ht="30" customHeight="1">
      <c r="A22" s="965">
        <f>A20+1</f>
        <v>8</v>
      </c>
      <c r="B22" s="968" t="s">
        <v>3031</v>
      </c>
      <c r="C22" s="968" t="s">
        <v>2023</v>
      </c>
      <c r="D22" s="966" t="s">
        <v>2784</v>
      </c>
      <c r="E22" s="966">
        <v>0</v>
      </c>
      <c r="F22" s="966">
        <v>0</v>
      </c>
      <c r="G22" s="966">
        <v>0</v>
      </c>
      <c r="H22" s="966">
        <v>0</v>
      </c>
      <c r="I22" s="966" t="s">
        <v>3311</v>
      </c>
      <c r="J22" s="973"/>
      <c r="K22" s="966">
        <f t="shared" si="0"/>
        <v>206.59299999999999</v>
      </c>
      <c r="L22" s="966" t="s">
        <v>2919</v>
      </c>
      <c r="M22" s="966" t="s">
        <v>1009</v>
      </c>
      <c r="N22" s="966"/>
      <c r="O22" s="966"/>
      <c r="P22" s="966"/>
      <c r="Q22" s="966"/>
      <c r="R22" s="970"/>
    </row>
    <row r="23" spans="1:18" s="956" customFormat="1" ht="30" customHeight="1">
      <c r="A23" s="965"/>
      <c r="B23" s="968"/>
      <c r="C23" s="968"/>
      <c r="D23" s="966"/>
      <c r="E23" s="966"/>
      <c r="F23" s="966"/>
      <c r="G23" s="966"/>
      <c r="H23" s="966"/>
      <c r="I23" s="966"/>
      <c r="J23" s="973">
        <v>289.86200000000002</v>
      </c>
      <c r="K23" s="966"/>
      <c r="L23" s="966"/>
      <c r="M23" s="966"/>
      <c r="N23" s="966"/>
      <c r="O23" s="966"/>
      <c r="P23" s="966"/>
      <c r="Q23" s="966"/>
      <c r="R23" s="976" t="s">
        <v>3032</v>
      </c>
    </row>
    <row r="24" spans="1:18" s="956" customFormat="1" ht="30" customHeight="1">
      <c r="A24" s="965">
        <f>A22+1</f>
        <v>9</v>
      </c>
      <c r="B24" s="968" t="s">
        <v>3033</v>
      </c>
      <c r="C24" s="968" t="s">
        <v>1988</v>
      </c>
      <c r="D24" s="966" t="s">
        <v>2786</v>
      </c>
      <c r="E24" s="1000">
        <v>1.5</v>
      </c>
      <c r="F24" s="1000">
        <v>1.5</v>
      </c>
      <c r="G24" s="966">
        <v>0</v>
      </c>
      <c r="H24" s="966">
        <v>0</v>
      </c>
      <c r="I24" s="966"/>
      <c r="J24" s="973"/>
      <c r="K24" s="966">
        <f t="shared" si="0"/>
        <v>289.86200000000002</v>
      </c>
      <c r="L24" s="966"/>
      <c r="M24" s="966"/>
      <c r="N24" s="966"/>
      <c r="O24" s="966"/>
      <c r="P24" s="966"/>
      <c r="Q24" s="966"/>
      <c r="R24" s="970"/>
    </row>
    <row r="25" spans="1:18" s="956" customFormat="1" ht="30" customHeight="1">
      <c r="A25" s="965"/>
      <c r="B25" s="968"/>
      <c r="C25" s="968"/>
      <c r="D25" s="966"/>
      <c r="E25" s="966"/>
      <c r="F25" s="966"/>
      <c r="G25" s="966"/>
      <c r="H25" s="966"/>
      <c r="I25" s="966"/>
      <c r="J25" s="973">
        <v>402.93799999999999</v>
      </c>
      <c r="K25" s="966"/>
      <c r="L25" s="966"/>
      <c r="M25" s="966"/>
      <c r="N25" s="966"/>
      <c r="O25" s="966"/>
      <c r="P25" s="966"/>
      <c r="Q25" s="966"/>
      <c r="R25" s="970"/>
    </row>
    <row r="26" spans="1:18" s="956" customFormat="1" ht="30" customHeight="1">
      <c r="A26" s="965">
        <f>A24+1</f>
        <v>10</v>
      </c>
      <c r="B26" s="968" t="s">
        <v>3034</v>
      </c>
      <c r="C26" s="968" t="s">
        <v>1977</v>
      </c>
      <c r="D26" s="966" t="s">
        <v>2788</v>
      </c>
      <c r="E26" s="966">
        <v>0</v>
      </c>
      <c r="F26" s="966">
        <v>0</v>
      </c>
      <c r="G26" s="1000">
        <v>2</v>
      </c>
      <c r="H26" s="966">
        <v>0</v>
      </c>
      <c r="I26" s="966" t="s">
        <v>92</v>
      </c>
      <c r="J26" s="973"/>
      <c r="K26" s="966">
        <f t="shared" si="0"/>
        <v>402.93799999999999</v>
      </c>
      <c r="L26" s="966" t="s">
        <v>2919</v>
      </c>
      <c r="M26" s="966" t="s">
        <v>1009</v>
      </c>
      <c r="N26" s="966" t="s">
        <v>1009</v>
      </c>
      <c r="O26" s="966"/>
      <c r="P26" s="966"/>
      <c r="Q26" s="966"/>
      <c r="R26" s="970"/>
    </row>
    <row r="27" spans="1:18" s="956" customFormat="1" ht="30" customHeight="1">
      <c r="A27" s="965"/>
      <c r="B27" s="968"/>
      <c r="C27" s="968"/>
      <c r="D27" s="966"/>
      <c r="E27" s="966"/>
      <c r="F27" s="966"/>
      <c r="G27" s="966"/>
      <c r="H27" s="966"/>
      <c r="I27" s="966"/>
      <c r="J27" s="973">
        <v>284.88299999999998</v>
      </c>
      <c r="K27" s="966"/>
      <c r="L27" s="966"/>
      <c r="M27" s="966"/>
      <c r="N27" s="966"/>
      <c r="O27" s="966"/>
      <c r="P27" s="966"/>
      <c r="Q27" s="966"/>
      <c r="R27" s="976" t="s">
        <v>3035</v>
      </c>
    </row>
    <row r="28" spans="1:18" s="1007" customFormat="1" ht="30" customHeight="1">
      <c r="A28" s="1012">
        <f>A26+1</f>
        <v>11</v>
      </c>
      <c r="B28" s="968" t="s">
        <v>3036</v>
      </c>
      <c r="C28" s="968" t="s">
        <v>2197</v>
      </c>
      <c r="D28" s="968" t="s">
        <v>2444</v>
      </c>
      <c r="E28" s="968">
        <v>1.5</v>
      </c>
      <c r="F28" s="968">
        <v>0</v>
      </c>
      <c r="G28" s="968">
        <v>0</v>
      </c>
      <c r="H28" s="968">
        <v>0</v>
      </c>
      <c r="I28" s="968" t="s">
        <v>1765</v>
      </c>
      <c r="J28" s="972"/>
      <c r="K28" s="968">
        <f t="shared" si="0"/>
        <v>284.88299999999998</v>
      </c>
      <c r="L28" s="968" t="s">
        <v>2919</v>
      </c>
      <c r="M28" s="968" t="s">
        <v>1009</v>
      </c>
      <c r="N28" s="968" t="s">
        <v>1009</v>
      </c>
      <c r="O28" s="968"/>
      <c r="P28" s="968"/>
      <c r="Q28" s="968"/>
      <c r="R28" s="1038"/>
    </row>
    <row r="29" spans="1:18" s="1007" customFormat="1" ht="30" customHeight="1">
      <c r="A29" s="1012"/>
      <c r="B29" s="968"/>
      <c r="C29" s="968"/>
      <c r="D29" s="968"/>
      <c r="E29" s="968"/>
      <c r="F29" s="968"/>
      <c r="G29" s="968"/>
      <c r="H29" s="968"/>
      <c r="I29" s="968"/>
      <c r="J29" s="972">
        <v>412.19900000000001</v>
      </c>
      <c r="K29" s="968"/>
      <c r="L29" s="968"/>
      <c r="M29" s="968"/>
      <c r="N29" s="968"/>
      <c r="O29" s="968"/>
      <c r="P29" s="968"/>
      <c r="Q29" s="1652"/>
      <c r="R29" s="1038"/>
    </row>
    <row r="30" spans="1:18" s="1007" customFormat="1" ht="30" customHeight="1">
      <c r="A30" s="1012">
        <f>A28+1</f>
        <v>12</v>
      </c>
      <c r="B30" s="968" t="s">
        <v>1630</v>
      </c>
      <c r="C30" s="968" t="s">
        <v>76</v>
      </c>
      <c r="D30" s="968"/>
      <c r="E30" s="968">
        <v>0</v>
      </c>
      <c r="F30" s="968">
        <v>0</v>
      </c>
      <c r="G30" s="968">
        <v>0</v>
      </c>
      <c r="H30" s="968">
        <v>0</v>
      </c>
      <c r="I30" s="968" t="s">
        <v>2736</v>
      </c>
      <c r="J30" s="972"/>
      <c r="K30" s="968"/>
      <c r="L30" s="968" t="s">
        <v>2919</v>
      </c>
      <c r="M30" s="968" t="s">
        <v>1009</v>
      </c>
      <c r="N30" s="968" t="s">
        <v>1009</v>
      </c>
      <c r="O30" s="968" t="s">
        <v>1009</v>
      </c>
      <c r="P30" s="968"/>
      <c r="Q30" s="1652"/>
      <c r="R30" s="1038"/>
    </row>
    <row r="31" spans="1:18" s="1007" customFormat="1" ht="30" customHeight="1">
      <c r="A31" s="1012"/>
      <c r="B31" s="968"/>
      <c r="C31" s="968"/>
      <c r="D31" s="968"/>
      <c r="E31" s="968"/>
      <c r="F31" s="968"/>
      <c r="G31" s="968"/>
      <c r="H31" s="968"/>
      <c r="I31" s="968"/>
      <c r="J31" s="972">
        <v>428.12799999999999</v>
      </c>
      <c r="K31" s="968"/>
      <c r="L31" s="968"/>
      <c r="M31" s="968"/>
      <c r="N31" s="968"/>
      <c r="O31" s="968"/>
      <c r="P31" s="968"/>
      <c r="Q31" s="1652"/>
      <c r="R31" s="1038"/>
    </row>
    <row r="32" spans="1:18" s="1007" customFormat="1" ht="30" customHeight="1">
      <c r="A32" s="1012">
        <f>A30+1</f>
        <v>13</v>
      </c>
      <c r="B32" s="968" t="s">
        <v>1631</v>
      </c>
      <c r="C32" s="968" t="s">
        <v>76</v>
      </c>
      <c r="D32" s="968"/>
      <c r="E32" s="968">
        <v>0</v>
      </c>
      <c r="F32" s="968">
        <v>0</v>
      </c>
      <c r="G32" s="968">
        <v>0</v>
      </c>
      <c r="H32" s="968">
        <v>0</v>
      </c>
      <c r="I32" s="968" t="s">
        <v>897</v>
      </c>
      <c r="J32" s="972"/>
      <c r="K32" s="968"/>
      <c r="L32" s="968" t="s">
        <v>2919</v>
      </c>
      <c r="M32" s="968" t="s">
        <v>1009</v>
      </c>
      <c r="N32" s="968" t="s">
        <v>1009</v>
      </c>
      <c r="O32" s="968" t="s">
        <v>1009</v>
      </c>
      <c r="P32" s="968"/>
      <c r="Q32" s="1652"/>
      <c r="R32" s="1038"/>
    </row>
    <row r="33" spans="1:18" s="1007" customFormat="1" ht="30" customHeight="1">
      <c r="A33" s="1012"/>
      <c r="B33" s="968"/>
      <c r="C33" s="968"/>
      <c r="D33" s="968"/>
      <c r="E33" s="968"/>
      <c r="F33" s="968"/>
      <c r="G33" s="968"/>
      <c r="H33" s="968"/>
      <c r="I33" s="968"/>
      <c r="J33" s="972">
        <v>405.15199999999999</v>
      </c>
      <c r="K33" s="968"/>
      <c r="L33" s="968"/>
      <c r="M33" s="968"/>
      <c r="N33" s="968"/>
      <c r="O33" s="968"/>
      <c r="P33" s="968"/>
      <c r="Q33" s="1652"/>
      <c r="R33" s="1038"/>
    </row>
    <row r="34" spans="1:18" s="1007" customFormat="1" ht="30" customHeight="1">
      <c r="A34" s="1012">
        <f>A32+1</f>
        <v>14</v>
      </c>
      <c r="B34" s="968" t="s">
        <v>1632</v>
      </c>
      <c r="C34" s="968" t="s">
        <v>249</v>
      </c>
      <c r="D34" s="968"/>
      <c r="E34" s="968">
        <v>0</v>
      </c>
      <c r="F34" s="968">
        <v>0</v>
      </c>
      <c r="G34" s="968">
        <v>0</v>
      </c>
      <c r="H34" s="968">
        <v>0</v>
      </c>
      <c r="I34" s="968" t="s">
        <v>897</v>
      </c>
      <c r="J34" s="972"/>
      <c r="K34" s="968"/>
      <c r="L34" s="968" t="s">
        <v>2919</v>
      </c>
      <c r="M34" s="968" t="s">
        <v>1009</v>
      </c>
      <c r="N34" s="968"/>
      <c r="O34" s="968" t="s">
        <v>1009</v>
      </c>
      <c r="P34" s="968"/>
      <c r="Q34" s="1652"/>
      <c r="R34" s="1038"/>
    </row>
    <row r="35" spans="1:18" s="1007" customFormat="1" ht="30" customHeight="1">
      <c r="A35" s="1012"/>
      <c r="B35" s="968"/>
      <c r="C35" s="968"/>
      <c r="D35" s="968"/>
      <c r="E35" s="968"/>
      <c r="F35" s="968"/>
      <c r="G35" s="968"/>
      <c r="H35" s="968"/>
      <c r="I35" s="968"/>
      <c r="J35" s="972">
        <v>427.96</v>
      </c>
      <c r="K35" s="968"/>
      <c r="L35" s="968"/>
      <c r="M35" s="968"/>
      <c r="N35" s="968"/>
      <c r="O35" s="968"/>
      <c r="P35" s="968"/>
      <c r="Q35" s="1652"/>
      <c r="R35" s="1038"/>
    </row>
    <row r="36" spans="1:18" s="1007" customFormat="1" ht="30" customHeight="1">
      <c r="A36" s="1012">
        <f>A34+1</f>
        <v>15</v>
      </c>
      <c r="B36" s="968" t="s">
        <v>3037</v>
      </c>
      <c r="C36" s="968" t="s">
        <v>1277</v>
      </c>
      <c r="D36" s="968" t="s">
        <v>2432</v>
      </c>
      <c r="E36" s="968">
        <v>0</v>
      </c>
      <c r="F36" s="968">
        <v>0</v>
      </c>
      <c r="G36" s="968">
        <v>0</v>
      </c>
      <c r="H36" s="968">
        <v>0</v>
      </c>
      <c r="I36" s="968" t="s">
        <v>897</v>
      </c>
      <c r="J36" s="972"/>
      <c r="K36" s="968">
        <f>J29+J31+J33+J35</f>
        <v>1673.4390000000001</v>
      </c>
      <c r="L36" s="968" t="s">
        <v>2919</v>
      </c>
      <c r="M36" s="968" t="s">
        <v>1009</v>
      </c>
      <c r="N36" s="968"/>
      <c r="O36" s="968" t="s">
        <v>1009</v>
      </c>
      <c r="P36" s="968"/>
      <c r="Q36" s="968"/>
      <c r="R36" s="1038"/>
    </row>
    <row r="37" spans="1:18" s="1007" customFormat="1" ht="30" customHeight="1">
      <c r="A37" s="1012"/>
      <c r="B37" s="968"/>
      <c r="C37" s="968"/>
      <c r="D37" s="968"/>
      <c r="E37" s="968"/>
      <c r="F37" s="968"/>
      <c r="G37" s="968"/>
      <c r="H37" s="968"/>
      <c r="I37" s="968"/>
      <c r="J37" s="972">
        <v>285.94799999999998</v>
      </c>
      <c r="K37" s="968"/>
      <c r="L37" s="968"/>
      <c r="M37" s="968"/>
      <c r="N37" s="968"/>
      <c r="O37" s="968"/>
      <c r="P37" s="968"/>
      <c r="Q37" s="968"/>
      <c r="R37" s="1038"/>
    </row>
    <row r="38" spans="1:18" s="1007" customFormat="1" ht="30" customHeight="1">
      <c r="A38" s="1012">
        <f>A36+1</f>
        <v>16</v>
      </c>
      <c r="B38" s="968" t="s">
        <v>2373</v>
      </c>
      <c r="C38" s="968" t="s">
        <v>1361</v>
      </c>
      <c r="D38" s="968" t="s">
        <v>2435</v>
      </c>
      <c r="E38" s="968">
        <v>0</v>
      </c>
      <c r="F38" s="968">
        <v>0</v>
      </c>
      <c r="G38" s="968">
        <v>0</v>
      </c>
      <c r="H38" s="968">
        <v>0</v>
      </c>
      <c r="I38" s="968" t="s">
        <v>897</v>
      </c>
      <c r="J38" s="972"/>
      <c r="K38" s="968">
        <f>J37</f>
        <v>285.94799999999998</v>
      </c>
      <c r="L38" s="968" t="s">
        <v>2919</v>
      </c>
      <c r="M38" s="968" t="s">
        <v>1009</v>
      </c>
      <c r="N38" s="968" t="s">
        <v>1009</v>
      </c>
      <c r="O38" s="968" t="s">
        <v>1009</v>
      </c>
      <c r="P38" s="968"/>
      <c r="Q38" s="968"/>
      <c r="R38" s="1038"/>
    </row>
    <row r="39" spans="1:18" s="1007" customFormat="1" ht="30" customHeight="1">
      <c r="A39" s="1012"/>
      <c r="B39" s="968"/>
      <c r="C39" s="968"/>
      <c r="D39" s="968"/>
      <c r="E39" s="968"/>
      <c r="F39" s="968"/>
      <c r="G39" s="968"/>
      <c r="H39" s="968"/>
      <c r="I39" s="968"/>
      <c r="J39" s="972">
        <v>401.15899999999999</v>
      </c>
      <c r="K39" s="968"/>
      <c r="L39" s="968"/>
      <c r="M39" s="968"/>
      <c r="N39" s="968"/>
      <c r="O39" s="968"/>
      <c r="P39" s="968"/>
      <c r="Q39" s="968"/>
      <c r="R39" s="1038" t="s">
        <v>3038</v>
      </c>
    </row>
    <row r="40" spans="1:18" s="1007" customFormat="1" ht="30" customHeight="1">
      <c r="A40" s="1012">
        <f>A38+1</f>
        <v>17</v>
      </c>
      <c r="B40" s="968" t="s">
        <v>2374</v>
      </c>
      <c r="C40" s="968" t="s">
        <v>1277</v>
      </c>
      <c r="D40" s="968" t="s">
        <v>2439</v>
      </c>
      <c r="E40" s="968">
        <v>0</v>
      </c>
      <c r="F40" s="968">
        <v>0</v>
      </c>
      <c r="G40" s="968">
        <v>0</v>
      </c>
      <c r="H40" s="968">
        <v>0</v>
      </c>
      <c r="I40" s="968" t="s">
        <v>897</v>
      </c>
      <c r="J40" s="972"/>
      <c r="K40" s="968">
        <f>J39</f>
        <v>401.15899999999999</v>
      </c>
      <c r="L40" s="968" t="s">
        <v>2919</v>
      </c>
      <c r="M40" s="968" t="s">
        <v>1009</v>
      </c>
      <c r="N40" s="968" t="s">
        <v>1009</v>
      </c>
      <c r="O40" s="968" t="s">
        <v>1009</v>
      </c>
      <c r="P40" s="968"/>
      <c r="Q40" s="968"/>
      <c r="R40" s="1038"/>
    </row>
    <row r="41" spans="1:18" s="1007" customFormat="1" ht="30" customHeight="1">
      <c r="A41" s="1012"/>
      <c r="B41" s="968"/>
      <c r="C41" s="968"/>
      <c r="D41" s="968"/>
      <c r="E41" s="968"/>
      <c r="F41" s="968"/>
      <c r="G41" s="968"/>
      <c r="H41" s="968"/>
      <c r="I41" s="968"/>
      <c r="J41" s="972">
        <v>345</v>
      </c>
      <c r="K41" s="968"/>
      <c r="L41" s="968"/>
      <c r="M41" s="968"/>
      <c r="N41" s="968"/>
      <c r="O41" s="968"/>
      <c r="P41" s="968"/>
      <c r="Q41" s="1652"/>
      <c r="R41" s="1038"/>
    </row>
    <row r="42" spans="1:18" s="1007" customFormat="1" ht="30" customHeight="1">
      <c r="A42" s="1012">
        <f>A40+1</f>
        <v>18</v>
      </c>
      <c r="B42" s="968" t="s">
        <v>1635</v>
      </c>
      <c r="C42" s="968" t="s">
        <v>76</v>
      </c>
      <c r="D42" s="968"/>
      <c r="E42" s="968">
        <v>0</v>
      </c>
      <c r="F42" s="968">
        <v>0</v>
      </c>
      <c r="G42" s="968">
        <v>0</v>
      </c>
      <c r="H42" s="968">
        <v>0</v>
      </c>
      <c r="I42" s="968" t="s">
        <v>2736</v>
      </c>
      <c r="J42" s="972"/>
      <c r="K42" s="968"/>
      <c r="L42" s="968" t="s">
        <v>2919</v>
      </c>
      <c r="M42" s="968" t="s">
        <v>1009</v>
      </c>
      <c r="N42" s="968" t="s">
        <v>1009</v>
      </c>
      <c r="O42" s="968" t="s">
        <v>1009</v>
      </c>
      <c r="P42" s="968"/>
      <c r="Q42" s="1652"/>
      <c r="R42" s="1038"/>
    </row>
    <row r="43" spans="1:18" s="1007" customFormat="1" ht="30" customHeight="1">
      <c r="A43" s="1012"/>
      <c r="B43" s="968"/>
      <c r="C43" s="968"/>
      <c r="D43" s="968"/>
      <c r="E43" s="968"/>
      <c r="F43" s="968"/>
      <c r="G43" s="968"/>
      <c r="H43" s="968"/>
      <c r="I43" s="968"/>
      <c r="J43" s="972">
        <v>360.00099999999998</v>
      </c>
      <c r="K43" s="968"/>
      <c r="L43" s="968"/>
      <c r="M43" s="968"/>
      <c r="N43" s="968"/>
      <c r="O43" s="968"/>
      <c r="P43" s="968"/>
      <c r="Q43" s="1652"/>
      <c r="R43" s="1038"/>
    </row>
    <row r="44" spans="1:18" s="1007" customFormat="1" ht="30" customHeight="1">
      <c r="A44" s="1012">
        <f>A42+1</f>
        <v>19</v>
      </c>
      <c r="B44" s="968" t="s">
        <v>1636</v>
      </c>
      <c r="C44" s="1057" t="s">
        <v>53</v>
      </c>
      <c r="D44" s="968"/>
      <c r="E44" s="968">
        <v>0</v>
      </c>
      <c r="F44" s="968">
        <v>0</v>
      </c>
      <c r="G44" s="968">
        <v>0</v>
      </c>
      <c r="H44" s="968">
        <v>0</v>
      </c>
      <c r="I44" s="968" t="s">
        <v>897</v>
      </c>
      <c r="J44" s="972"/>
      <c r="K44" s="968"/>
      <c r="L44" s="968" t="s">
        <v>2919</v>
      </c>
      <c r="M44" s="968" t="s">
        <v>1009</v>
      </c>
      <c r="N44" s="968" t="s">
        <v>1009</v>
      </c>
      <c r="O44" s="968" t="s">
        <v>1009</v>
      </c>
      <c r="P44" s="968"/>
      <c r="Q44" s="1652"/>
      <c r="R44" s="1038"/>
    </row>
    <row r="45" spans="1:18" s="1007" customFormat="1" ht="30" customHeight="1">
      <c r="A45" s="1012"/>
      <c r="B45" s="968"/>
      <c r="C45" s="968"/>
      <c r="D45" s="968"/>
      <c r="E45" s="968"/>
      <c r="F45" s="968"/>
      <c r="G45" s="968"/>
      <c r="H45" s="968"/>
      <c r="I45" s="968"/>
      <c r="J45" s="972">
        <v>350.21699999999998</v>
      </c>
      <c r="K45" s="968"/>
      <c r="L45" s="968"/>
      <c r="M45" s="968"/>
      <c r="N45" s="968"/>
      <c r="O45" s="968"/>
      <c r="P45" s="968"/>
      <c r="Q45" s="1652"/>
      <c r="R45" s="1038"/>
    </row>
    <row r="46" spans="1:18" s="1007" customFormat="1" ht="30" customHeight="1">
      <c r="A46" s="1012">
        <f>A44+1</f>
        <v>20</v>
      </c>
      <c r="B46" s="968" t="s">
        <v>3039</v>
      </c>
      <c r="C46" s="968" t="s">
        <v>1277</v>
      </c>
      <c r="D46" s="968" t="s">
        <v>2441</v>
      </c>
      <c r="E46" s="968">
        <v>0</v>
      </c>
      <c r="F46" s="968">
        <v>0</v>
      </c>
      <c r="G46" s="968">
        <v>0</v>
      </c>
      <c r="H46" s="968">
        <v>0</v>
      </c>
      <c r="I46" s="968" t="s">
        <v>897</v>
      </c>
      <c r="J46" s="972"/>
      <c r="K46" s="968">
        <f>J41+J43+J45</f>
        <v>1055.2179999999998</v>
      </c>
      <c r="L46" s="968" t="s">
        <v>2919</v>
      </c>
      <c r="M46" s="968" t="s">
        <v>1009</v>
      </c>
      <c r="N46" s="968" t="s">
        <v>1009</v>
      </c>
      <c r="O46" s="968" t="s">
        <v>1009</v>
      </c>
      <c r="P46" s="968"/>
      <c r="Q46" s="968"/>
      <c r="R46" s="1038"/>
    </row>
    <row r="47" spans="1:18" s="1007" customFormat="1" ht="30" customHeight="1">
      <c r="A47" s="1012"/>
      <c r="B47" s="968"/>
      <c r="C47" s="968"/>
      <c r="D47" s="968"/>
      <c r="E47" s="968"/>
      <c r="F47" s="968"/>
      <c r="G47" s="968"/>
      <c r="H47" s="968"/>
      <c r="I47" s="968"/>
      <c r="J47" s="972">
        <v>369.99900000000002</v>
      </c>
      <c r="K47" s="968"/>
      <c r="L47" s="968"/>
      <c r="M47" s="968"/>
      <c r="N47" s="968"/>
      <c r="O47" s="968"/>
      <c r="P47" s="968"/>
      <c r="Q47" s="1652"/>
      <c r="R47" s="1038"/>
    </row>
    <row r="48" spans="1:18" s="1007" customFormat="1" ht="30" customHeight="1">
      <c r="A48" s="1012">
        <f>A46+1</f>
        <v>21</v>
      </c>
      <c r="B48" s="968" t="s">
        <v>1637</v>
      </c>
      <c r="C48" s="968" t="s">
        <v>76</v>
      </c>
      <c r="D48" s="968"/>
      <c r="E48" s="968">
        <v>0</v>
      </c>
      <c r="F48" s="968">
        <v>0</v>
      </c>
      <c r="G48" s="968">
        <v>0</v>
      </c>
      <c r="H48" s="968">
        <v>0</v>
      </c>
      <c r="I48" s="968" t="s">
        <v>2736</v>
      </c>
      <c r="J48" s="972"/>
      <c r="K48" s="968"/>
      <c r="L48" s="968" t="s">
        <v>2919</v>
      </c>
      <c r="M48" s="968" t="s">
        <v>1009</v>
      </c>
      <c r="N48" s="968" t="s">
        <v>1009</v>
      </c>
      <c r="O48" s="968" t="s">
        <v>1009</v>
      </c>
      <c r="P48" s="968"/>
      <c r="Q48" s="1652"/>
      <c r="R48" s="1038"/>
    </row>
    <row r="49" spans="1:18" s="1007" customFormat="1" ht="30" customHeight="1">
      <c r="A49" s="1012"/>
      <c r="B49" s="968"/>
      <c r="C49" s="968"/>
      <c r="D49" s="968"/>
      <c r="E49" s="968"/>
      <c r="F49" s="968"/>
      <c r="G49" s="968"/>
      <c r="H49" s="968"/>
      <c r="I49" s="968"/>
      <c r="J49" s="972">
        <v>360</v>
      </c>
      <c r="K49" s="968"/>
      <c r="L49" s="968"/>
      <c r="M49" s="968"/>
      <c r="N49" s="968"/>
      <c r="O49" s="968"/>
      <c r="P49" s="968"/>
      <c r="Q49" s="1652"/>
      <c r="R49" s="1038"/>
    </row>
    <row r="50" spans="1:18" s="1007" customFormat="1" ht="30" customHeight="1">
      <c r="A50" s="1012">
        <f>A48+1</f>
        <v>22</v>
      </c>
      <c r="B50" s="968" t="s">
        <v>1638</v>
      </c>
      <c r="C50" s="968" t="s">
        <v>76</v>
      </c>
      <c r="D50" s="968"/>
      <c r="E50" s="968">
        <v>0</v>
      </c>
      <c r="F50" s="968">
        <v>0</v>
      </c>
      <c r="G50" s="968">
        <v>0</v>
      </c>
      <c r="H50" s="968">
        <v>0</v>
      </c>
      <c r="I50" s="968" t="s">
        <v>897</v>
      </c>
      <c r="J50" s="972"/>
      <c r="K50" s="968"/>
      <c r="L50" s="968" t="s">
        <v>2919</v>
      </c>
      <c r="M50" s="968" t="s">
        <v>1009</v>
      </c>
      <c r="N50" s="968" t="s">
        <v>1009</v>
      </c>
      <c r="O50" s="968" t="s">
        <v>1009</v>
      </c>
      <c r="P50" s="968"/>
      <c r="Q50" s="1652"/>
      <c r="R50" s="1038"/>
    </row>
    <row r="51" spans="1:18" s="1007" customFormat="1" ht="30" customHeight="1">
      <c r="A51" s="1012"/>
      <c r="B51" s="968"/>
      <c r="C51" s="968"/>
      <c r="D51" s="968"/>
      <c r="E51" s="968"/>
      <c r="F51" s="968"/>
      <c r="G51" s="968"/>
      <c r="H51" s="968"/>
      <c r="I51" s="968"/>
      <c r="J51" s="972">
        <v>358.74799999999999</v>
      </c>
      <c r="K51" s="968"/>
      <c r="L51" s="968"/>
      <c r="M51" s="968"/>
      <c r="N51" s="968"/>
      <c r="O51" s="968"/>
      <c r="P51" s="968"/>
      <c r="Q51" s="1652"/>
      <c r="R51" s="1038"/>
    </row>
    <row r="52" spans="1:18" s="1007" customFormat="1" ht="30" customHeight="1">
      <c r="A52" s="1012">
        <f>A50+1</f>
        <v>23</v>
      </c>
      <c r="B52" s="968" t="s">
        <v>3040</v>
      </c>
      <c r="C52" s="968" t="s">
        <v>1934</v>
      </c>
      <c r="D52" s="968" t="s">
        <v>3041</v>
      </c>
      <c r="E52" s="968">
        <v>1.5</v>
      </c>
      <c r="F52" s="968">
        <v>1.5</v>
      </c>
      <c r="G52" s="968">
        <v>1.5</v>
      </c>
      <c r="H52" s="968">
        <v>1.5</v>
      </c>
      <c r="I52" s="968" t="s">
        <v>1765</v>
      </c>
      <c r="J52" s="972"/>
      <c r="K52" s="968">
        <f>J47+J49+J51</f>
        <v>1088.7470000000001</v>
      </c>
      <c r="L52" s="968" t="s">
        <v>2919</v>
      </c>
      <c r="M52" s="968" t="s">
        <v>1009</v>
      </c>
      <c r="N52" s="968" t="s">
        <v>1009</v>
      </c>
      <c r="O52" s="968" t="s">
        <v>1009</v>
      </c>
      <c r="P52" s="968"/>
      <c r="Q52" s="968"/>
      <c r="R52" s="1038"/>
    </row>
    <row r="53" spans="1:18" s="1007" customFormat="1" ht="30" customHeight="1">
      <c r="A53" s="1012"/>
      <c r="B53" s="968"/>
      <c r="C53" s="968"/>
      <c r="D53" s="968"/>
      <c r="E53" s="968"/>
      <c r="F53" s="968"/>
      <c r="G53" s="968"/>
      <c r="H53" s="968"/>
      <c r="I53" s="968"/>
      <c r="J53" s="972">
        <v>485.93</v>
      </c>
      <c r="K53" s="1036"/>
      <c r="L53" s="1036"/>
      <c r="M53" s="1036"/>
      <c r="N53" s="1036"/>
      <c r="O53" s="1036"/>
      <c r="P53" s="1036"/>
      <c r="Q53" s="1036"/>
      <c r="R53" s="1037"/>
    </row>
    <row r="54" spans="1:18" s="1006" customFormat="1" ht="30" customHeight="1">
      <c r="A54" s="1012">
        <f>A52+1</f>
        <v>24</v>
      </c>
      <c r="B54" s="968" t="s">
        <v>3042</v>
      </c>
      <c r="C54" s="968" t="s">
        <v>1935</v>
      </c>
      <c r="D54" s="968" t="s">
        <v>1937</v>
      </c>
      <c r="E54" s="968">
        <v>1.5</v>
      </c>
      <c r="F54" s="968">
        <v>1.5</v>
      </c>
      <c r="G54" s="968">
        <v>1.5</v>
      </c>
      <c r="H54" s="968">
        <v>1.5</v>
      </c>
      <c r="I54" s="968" t="s">
        <v>1765</v>
      </c>
      <c r="J54" s="972"/>
      <c r="K54" s="1036">
        <f>J53</f>
        <v>485.93</v>
      </c>
      <c r="L54" s="1036" t="s">
        <v>2919</v>
      </c>
      <c r="M54" s="1036" t="s">
        <v>1009</v>
      </c>
      <c r="N54" s="1036"/>
      <c r="O54" s="1036"/>
      <c r="P54" s="1036"/>
      <c r="Q54" s="1073"/>
      <c r="R54" s="1037"/>
    </row>
    <row r="55" spans="1:18" s="1006" customFormat="1" ht="30" customHeight="1">
      <c r="A55" s="1012"/>
      <c r="B55" s="968"/>
      <c r="C55" s="968"/>
      <c r="D55" s="968"/>
      <c r="E55" s="968"/>
      <c r="F55" s="968"/>
      <c r="G55" s="968"/>
      <c r="H55" s="968"/>
      <c r="I55" s="968"/>
      <c r="J55" s="972">
        <v>325</v>
      </c>
      <c r="K55" s="1036"/>
      <c r="L55" s="1036"/>
      <c r="M55" s="1036"/>
      <c r="N55" s="1036"/>
      <c r="O55" s="1036"/>
      <c r="P55" s="1036"/>
      <c r="Q55" s="1039"/>
      <c r="R55" s="1037"/>
    </row>
    <row r="56" spans="1:18" s="1007" customFormat="1" ht="30" customHeight="1">
      <c r="A56" s="1012">
        <f>A54+1</f>
        <v>25</v>
      </c>
      <c r="B56" s="968" t="s">
        <v>1641</v>
      </c>
      <c r="C56" s="968" t="s">
        <v>76</v>
      </c>
      <c r="D56" s="968" t="s">
        <v>1938</v>
      </c>
      <c r="E56" s="968">
        <v>0</v>
      </c>
      <c r="F56" s="968">
        <v>0</v>
      </c>
      <c r="G56" s="968">
        <v>0</v>
      </c>
      <c r="H56" s="968">
        <v>0</v>
      </c>
      <c r="I56" s="968" t="s">
        <v>1765</v>
      </c>
      <c r="J56" s="972"/>
      <c r="K56" s="1036"/>
      <c r="L56" s="968" t="s">
        <v>2919</v>
      </c>
      <c r="M56" s="1036" t="s">
        <v>1009</v>
      </c>
      <c r="N56" s="968" t="s">
        <v>1009</v>
      </c>
      <c r="O56" s="1036"/>
      <c r="P56" s="1036"/>
      <c r="Q56" s="1039"/>
      <c r="R56" s="1037"/>
    </row>
    <row r="57" spans="1:18" s="1007" customFormat="1" ht="30" customHeight="1">
      <c r="A57" s="1012"/>
      <c r="B57" s="968"/>
      <c r="C57" s="968"/>
      <c r="D57" s="968"/>
      <c r="E57" s="968"/>
      <c r="F57" s="968"/>
      <c r="G57" s="968"/>
      <c r="H57" s="968"/>
      <c r="I57" s="968"/>
      <c r="J57" s="972">
        <v>387.33699999999999</v>
      </c>
      <c r="K57" s="1036"/>
      <c r="L57" s="1036"/>
      <c r="M57" s="1036"/>
      <c r="N57" s="1036"/>
      <c r="O57" s="1036"/>
      <c r="P57" s="1036"/>
      <c r="Q57" s="1039"/>
      <c r="R57" s="1037"/>
    </row>
    <row r="58" spans="1:18" s="1007" customFormat="1" ht="30" customHeight="1">
      <c r="A58" s="1012">
        <f>A56+1</f>
        <v>26</v>
      </c>
      <c r="B58" s="968" t="s">
        <v>3043</v>
      </c>
      <c r="C58" s="968" t="s">
        <v>1361</v>
      </c>
      <c r="D58" s="968" t="s">
        <v>1940</v>
      </c>
      <c r="E58" s="968">
        <v>0</v>
      </c>
      <c r="F58" s="968">
        <v>0</v>
      </c>
      <c r="G58" s="968">
        <v>0</v>
      </c>
      <c r="H58" s="968">
        <v>0</v>
      </c>
      <c r="I58" s="968" t="s">
        <v>1765</v>
      </c>
      <c r="J58" s="972"/>
      <c r="K58" s="1036">
        <f>J55+J57</f>
        <v>712.33699999999999</v>
      </c>
      <c r="L58" s="968" t="s">
        <v>2919</v>
      </c>
      <c r="M58" s="1036" t="s">
        <v>1009</v>
      </c>
      <c r="N58" s="968" t="s">
        <v>1009</v>
      </c>
      <c r="O58" s="1036"/>
      <c r="P58" s="1036"/>
      <c r="Q58" s="1036"/>
      <c r="R58" s="1037"/>
    </row>
    <row r="59" spans="1:18" s="1007" customFormat="1" ht="30" customHeight="1">
      <c r="A59" s="1012"/>
      <c r="B59" s="968"/>
      <c r="C59" s="968"/>
      <c r="D59" s="968"/>
      <c r="E59" s="968"/>
      <c r="F59" s="968"/>
      <c r="G59" s="968"/>
      <c r="H59" s="968"/>
      <c r="I59" s="968"/>
      <c r="J59" s="972">
        <v>390</v>
      </c>
      <c r="K59" s="1036"/>
      <c r="L59" s="1036"/>
      <c r="M59" s="1036"/>
      <c r="N59" s="1036"/>
      <c r="O59" s="1036"/>
      <c r="P59" s="1036"/>
      <c r="Q59" s="1654"/>
      <c r="R59" s="1037"/>
    </row>
    <row r="60" spans="1:18" s="1007" customFormat="1" ht="30" customHeight="1">
      <c r="A60" s="1012">
        <f>A58+1</f>
        <v>27</v>
      </c>
      <c r="B60" s="968" t="s">
        <v>1643</v>
      </c>
      <c r="C60" s="968" t="s">
        <v>62</v>
      </c>
      <c r="D60" s="968" t="s">
        <v>1938</v>
      </c>
      <c r="E60" s="968">
        <v>0</v>
      </c>
      <c r="F60" s="968">
        <v>0</v>
      </c>
      <c r="G60" s="968">
        <v>0</v>
      </c>
      <c r="H60" s="968">
        <v>0</v>
      </c>
      <c r="I60" s="968" t="s">
        <v>1765</v>
      </c>
      <c r="J60" s="972"/>
      <c r="K60" s="1036"/>
      <c r="L60" s="968" t="s">
        <v>2919</v>
      </c>
      <c r="M60" s="1036" t="s">
        <v>1009</v>
      </c>
      <c r="N60" s="968" t="s">
        <v>1009</v>
      </c>
      <c r="O60" s="1036"/>
      <c r="P60" s="1036"/>
      <c r="Q60" s="1655"/>
      <c r="R60" s="1037"/>
    </row>
    <row r="61" spans="1:18" s="1007" customFormat="1" ht="30" customHeight="1">
      <c r="A61" s="1012"/>
      <c r="B61" s="968"/>
      <c r="C61" s="968"/>
      <c r="D61" s="968"/>
      <c r="E61" s="968"/>
      <c r="F61" s="968"/>
      <c r="G61" s="968"/>
      <c r="H61" s="968"/>
      <c r="I61" s="968"/>
      <c r="J61" s="972">
        <v>388.62900000000002</v>
      </c>
      <c r="K61" s="1036"/>
      <c r="L61" s="1036"/>
      <c r="M61" s="1036"/>
      <c r="N61" s="1036"/>
      <c r="O61" s="1036"/>
      <c r="P61" s="1036"/>
      <c r="Q61" s="1655"/>
      <c r="R61" s="1037"/>
    </row>
    <row r="62" spans="1:18" s="1007" customFormat="1" ht="30" customHeight="1">
      <c r="A62" s="1012">
        <v>28</v>
      </c>
      <c r="B62" s="968" t="s">
        <v>1644</v>
      </c>
      <c r="C62" s="968" t="s">
        <v>62</v>
      </c>
      <c r="D62" s="968" t="s">
        <v>1938</v>
      </c>
      <c r="E62" s="968">
        <v>0</v>
      </c>
      <c r="F62" s="968">
        <v>0</v>
      </c>
      <c r="G62" s="968">
        <v>0</v>
      </c>
      <c r="H62" s="968">
        <v>0</v>
      </c>
      <c r="I62" s="968" t="s">
        <v>1765</v>
      </c>
      <c r="J62" s="972"/>
      <c r="K62" s="1036"/>
      <c r="L62" s="968" t="s">
        <v>2919</v>
      </c>
      <c r="M62" s="1036" t="s">
        <v>1009</v>
      </c>
      <c r="N62" s="968" t="s">
        <v>1009</v>
      </c>
      <c r="O62" s="1036"/>
      <c r="P62" s="1036"/>
      <c r="Q62" s="1655"/>
      <c r="R62" s="1037"/>
    </row>
    <row r="63" spans="1:18" s="1007" customFormat="1" ht="30" customHeight="1">
      <c r="A63" s="1012"/>
      <c r="B63" s="968"/>
      <c r="C63" s="968"/>
      <c r="D63" s="968"/>
      <c r="E63" s="968"/>
      <c r="F63" s="968"/>
      <c r="G63" s="968"/>
      <c r="H63" s="968"/>
      <c r="I63" s="968"/>
      <c r="J63" s="972">
        <v>398.45</v>
      </c>
      <c r="K63" s="1036"/>
      <c r="L63" s="1036"/>
      <c r="M63" s="1036"/>
      <c r="N63" s="1036"/>
      <c r="O63" s="1036"/>
      <c r="P63" s="1036"/>
      <c r="Q63" s="1655"/>
      <c r="R63" s="1037"/>
    </row>
    <row r="64" spans="1:18" s="1007" customFormat="1" ht="30" customHeight="1">
      <c r="A64" s="1012">
        <v>29</v>
      </c>
      <c r="B64" s="968" t="s">
        <v>3044</v>
      </c>
      <c r="C64" s="968" t="s">
        <v>1269</v>
      </c>
      <c r="D64" s="968" t="s">
        <v>1941</v>
      </c>
      <c r="E64" s="968">
        <v>0</v>
      </c>
      <c r="F64" s="968">
        <v>0</v>
      </c>
      <c r="G64" s="968">
        <v>0</v>
      </c>
      <c r="H64" s="968">
        <v>0</v>
      </c>
      <c r="I64" s="968" t="s">
        <v>897</v>
      </c>
      <c r="J64" s="972"/>
      <c r="K64" s="1036">
        <f>J59+J61+J63</f>
        <v>1177.079</v>
      </c>
      <c r="L64" s="968" t="s">
        <v>2919</v>
      </c>
      <c r="M64" s="1036" t="s">
        <v>1009</v>
      </c>
      <c r="N64" s="968" t="s">
        <v>1009</v>
      </c>
      <c r="O64" s="1036" t="s">
        <v>1009</v>
      </c>
      <c r="P64" s="1036"/>
      <c r="Q64" s="1036"/>
      <c r="R64" s="1037"/>
    </row>
    <row r="65" spans="1:18" s="1007" customFormat="1" ht="30" customHeight="1">
      <c r="A65" s="1012"/>
      <c r="B65" s="968"/>
      <c r="C65" s="968"/>
      <c r="D65" s="968"/>
      <c r="E65" s="968"/>
      <c r="F65" s="968"/>
      <c r="G65" s="968"/>
      <c r="H65" s="968"/>
      <c r="I65" s="968"/>
      <c r="J65" s="972">
        <v>435.99900000000002</v>
      </c>
      <c r="K65" s="1036"/>
      <c r="L65" s="1036"/>
      <c r="M65" s="1036"/>
      <c r="N65" s="1036"/>
      <c r="O65" s="1036"/>
      <c r="P65" s="1036"/>
      <c r="Q65" s="1655"/>
      <c r="R65" s="1037"/>
    </row>
    <row r="66" spans="1:18" s="1007" customFormat="1" ht="30" customHeight="1">
      <c r="A66" s="1012">
        <v>30</v>
      </c>
      <c r="B66" s="968" t="s">
        <v>1116</v>
      </c>
      <c r="C66" s="968" t="s">
        <v>53</v>
      </c>
      <c r="D66" s="968" t="s">
        <v>1938</v>
      </c>
      <c r="E66" s="968">
        <v>0</v>
      </c>
      <c r="F66" s="968">
        <v>0</v>
      </c>
      <c r="G66" s="968">
        <v>0</v>
      </c>
      <c r="H66" s="968">
        <v>0</v>
      </c>
      <c r="I66" s="968" t="s">
        <v>1765</v>
      </c>
      <c r="J66" s="972"/>
      <c r="K66" s="1036"/>
      <c r="L66" s="968" t="s">
        <v>2919</v>
      </c>
      <c r="M66" s="1036" t="s">
        <v>1009</v>
      </c>
      <c r="N66" s="968" t="s">
        <v>1009</v>
      </c>
      <c r="O66" s="1036" t="s">
        <v>1009</v>
      </c>
      <c r="P66" s="1036"/>
      <c r="Q66" s="1655"/>
      <c r="R66" s="1037"/>
    </row>
    <row r="67" spans="1:18" s="1007" customFormat="1" ht="30" customHeight="1">
      <c r="A67" s="1012"/>
      <c r="B67" s="968"/>
      <c r="C67" s="968"/>
      <c r="D67" s="968"/>
      <c r="E67" s="968"/>
      <c r="F67" s="968"/>
      <c r="G67" s="968"/>
      <c r="H67" s="968"/>
      <c r="I67" s="968"/>
      <c r="J67" s="972">
        <v>384</v>
      </c>
      <c r="K67" s="1036"/>
      <c r="L67" s="1036"/>
      <c r="M67" s="1036"/>
      <c r="N67" s="1036"/>
      <c r="O67" s="1036"/>
      <c r="P67" s="1036"/>
      <c r="Q67" s="1655"/>
      <c r="R67" s="1037"/>
    </row>
    <row r="68" spans="1:18" s="1007" customFormat="1" ht="30" customHeight="1">
      <c r="A68" s="1012">
        <v>31</v>
      </c>
      <c r="B68" s="968" t="s">
        <v>1645</v>
      </c>
      <c r="C68" s="968" t="s">
        <v>62</v>
      </c>
      <c r="D68" s="968"/>
      <c r="E68" s="968">
        <v>0</v>
      </c>
      <c r="F68" s="968">
        <v>0</v>
      </c>
      <c r="G68" s="968">
        <v>0</v>
      </c>
      <c r="H68" s="968">
        <v>0</v>
      </c>
      <c r="I68" s="968"/>
      <c r="J68" s="972"/>
      <c r="K68" s="1036"/>
      <c r="L68" s="1036" t="s">
        <v>2919</v>
      </c>
      <c r="M68" s="1036" t="s">
        <v>22</v>
      </c>
      <c r="N68" s="1036"/>
      <c r="O68" s="1036"/>
      <c r="P68" s="1036"/>
      <c r="Q68" s="1655"/>
      <c r="R68" s="1037"/>
    </row>
    <row r="69" spans="1:18" s="1007" customFormat="1" ht="30" customHeight="1">
      <c r="A69" s="1012"/>
      <c r="B69" s="968"/>
      <c r="C69" s="968"/>
      <c r="D69" s="968"/>
      <c r="E69" s="968"/>
      <c r="F69" s="968"/>
      <c r="G69" s="968"/>
      <c r="H69" s="968"/>
      <c r="I69" s="968"/>
      <c r="J69" s="972">
        <v>420</v>
      </c>
      <c r="K69" s="1036"/>
      <c r="L69" s="1036"/>
      <c r="M69" s="1036"/>
      <c r="N69" s="1036"/>
      <c r="O69" s="1036"/>
      <c r="P69" s="1036"/>
      <c r="Q69" s="1655"/>
      <c r="R69" s="1037"/>
    </row>
    <row r="70" spans="1:18" s="1007" customFormat="1" ht="30" customHeight="1">
      <c r="A70" s="1012">
        <v>32</v>
      </c>
      <c r="B70" s="968" t="s">
        <v>1117</v>
      </c>
      <c r="C70" s="968" t="s">
        <v>62</v>
      </c>
      <c r="D70" s="968"/>
      <c r="E70" s="968">
        <v>0</v>
      </c>
      <c r="F70" s="968">
        <v>0</v>
      </c>
      <c r="G70" s="968">
        <v>0</v>
      </c>
      <c r="H70" s="968">
        <v>0</v>
      </c>
      <c r="I70" s="968"/>
      <c r="J70" s="972"/>
      <c r="K70" s="1036"/>
      <c r="L70" s="968" t="s">
        <v>2919</v>
      </c>
      <c r="M70" s="1036"/>
      <c r="N70" s="1036"/>
      <c r="O70" s="1036"/>
      <c r="P70" s="1036"/>
      <c r="Q70" s="1655"/>
      <c r="R70" s="1037"/>
    </row>
    <row r="71" spans="1:18" s="1007" customFormat="1" ht="30" customHeight="1">
      <c r="A71" s="1012"/>
      <c r="B71" s="968"/>
      <c r="C71" s="968"/>
      <c r="D71" s="968"/>
      <c r="E71" s="968"/>
      <c r="F71" s="968"/>
      <c r="G71" s="968"/>
      <c r="H71" s="968"/>
      <c r="I71" s="968"/>
      <c r="J71" s="972">
        <v>410</v>
      </c>
      <c r="K71" s="1036"/>
      <c r="L71" s="1036"/>
      <c r="M71" s="1036"/>
      <c r="N71" s="1036"/>
      <c r="O71" s="1036"/>
      <c r="P71" s="1036"/>
      <c r="Q71" s="1655"/>
      <c r="R71" s="1037"/>
    </row>
    <row r="72" spans="1:18" s="1007" customFormat="1" ht="30" customHeight="1">
      <c r="A72" s="1012">
        <v>33</v>
      </c>
      <c r="B72" s="968" t="s">
        <v>1646</v>
      </c>
      <c r="C72" s="968" t="s">
        <v>62</v>
      </c>
      <c r="D72" s="968"/>
      <c r="E72" s="968">
        <v>0</v>
      </c>
      <c r="F72" s="968">
        <v>0</v>
      </c>
      <c r="G72" s="968">
        <v>0</v>
      </c>
      <c r="H72" s="968">
        <v>0</v>
      </c>
      <c r="I72" s="968" t="s">
        <v>897</v>
      </c>
      <c r="J72" s="972"/>
      <c r="K72" s="1036"/>
      <c r="L72" s="968" t="s">
        <v>2919</v>
      </c>
      <c r="M72" s="1036" t="s">
        <v>1009</v>
      </c>
      <c r="N72" s="968" t="s">
        <v>1009</v>
      </c>
      <c r="O72" s="1036" t="s">
        <v>1009</v>
      </c>
      <c r="P72" s="1036"/>
      <c r="Q72" s="1655"/>
      <c r="R72" s="1037"/>
    </row>
    <row r="73" spans="1:18" s="1007" customFormat="1" ht="30" customHeight="1">
      <c r="A73" s="1012"/>
      <c r="B73" s="968"/>
      <c r="C73" s="968"/>
      <c r="D73" s="968"/>
      <c r="E73" s="968"/>
      <c r="F73" s="968"/>
      <c r="G73" s="968"/>
      <c r="H73" s="968"/>
      <c r="I73" s="968"/>
      <c r="J73" s="972">
        <v>407.25</v>
      </c>
      <c r="K73" s="1036"/>
      <c r="L73" s="1036"/>
      <c r="M73" s="1036"/>
      <c r="N73" s="1036"/>
      <c r="O73" s="1036"/>
      <c r="P73" s="1036"/>
      <c r="Q73" s="1655"/>
      <c r="R73" s="1037"/>
    </row>
    <row r="74" spans="1:18" s="1007" customFormat="1" ht="30" customHeight="1">
      <c r="A74" s="1012">
        <v>34</v>
      </c>
      <c r="B74" s="968" t="s">
        <v>1647</v>
      </c>
      <c r="C74" s="968" t="s">
        <v>62</v>
      </c>
      <c r="D74" s="968"/>
      <c r="E74" s="968">
        <v>0</v>
      </c>
      <c r="F74" s="968">
        <v>0</v>
      </c>
      <c r="G74" s="968">
        <v>0</v>
      </c>
      <c r="H74" s="968">
        <v>0</v>
      </c>
      <c r="I74" s="968" t="s">
        <v>897</v>
      </c>
      <c r="J74" s="972"/>
      <c r="K74" s="1036"/>
      <c r="L74" s="1036" t="s">
        <v>2919</v>
      </c>
      <c r="M74" s="1036" t="s">
        <v>1009</v>
      </c>
      <c r="N74" s="1036" t="s">
        <v>1009</v>
      </c>
      <c r="O74" s="1036" t="s">
        <v>1009</v>
      </c>
      <c r="P74" s="1036"/>
      <c r="Q74" s="1655"/>
      <c r="R74" s="1037"/>
    </row>
    <row r="75" spans="1:18" s="1007" customFormat="1" ht="30" customHeight="1">
      <c r="A75" s="1012"/>
      <c r="B75" s="968"/>
      <c r="C75" s="968"/>
      <c r="D75" s="968"/>
      <c r="E75" s="968"/>
      <c r="F75" s="968"/>
      <c r="G75" s="968"/>
      <c r="H75" s="968"/>
      <c r="I75" s="968"/>
      <c r="J75" s="972">
        <v>397.702</v>
      </c>
      <c r="K75" s="1036"/>
      <c r="L75" s="1036"/>
      <c r="M75" s="1036"/>
      <c r="N75" s="1036"/>
      <c r="O75" s="1036"/>
      <c r="P75" s="1036"/>
      <c r="Q75" s="1655"/>
      <c r="R75" s="1037"/>
    </row>
    <row r="76" spans="1:18" s="1007" customFormat="1" ht="30" customHeight="1">
      <c r="A76" s="1012">
        <v>35</v>
      </c>
      <c r="B76" s="968" t="s">
        <v>3045</v>
      </c>
      <c r="C76" s="968" t="s">
        <v>1361</v>
      </c>
      <c r="D76" s="968" t="s">
        <v>1943</v>
      </c>
      <c r="E76" s="968">
        <v>0</v>
      </c>
      <c r="F76" s="968">
        <v>0</v>
      </c>
      <c r="G76" s="968">
        <v>0</v>
      </c>
      <c r="H76" s="968">
        <v>0</v>
      </c>
      <c r="I76" s="968" t="s">
        <v>2736</v>
      </c>
      <c r="J76" s="972"/>
      <c r="K76" s="1036">
        <f>J65+J67+J69+J71+J73+J75</f>
        <v>2454.951</v>
      </c>
      <c r="L76" s="1036" t="s">
        <v>2919</v>
      </c>
      <c r="M76" s="1036" t="s">
        <v>1009</v>
      </c>
      <c r="N76" s="1036" t="s">
        <v>1009</v>
      </c>
      <c r="O76" s="1036" t="s">
        <v>1009</v>
      </c>
      <c r="P76" s="1036"/>
      <c r="Q76" s="1036"/>
      <c r="R76" s="1037"/>
    </row>
    <row r="77" spans="1:18" s="1007" customFormat="1" ht="30" customHeight="1">
      <c r="A77" s="1012"/>
      <c r="B77" s="968"/>
      <c r="C77" s="968"/>
      <c r="D77" s="968"/>
      <c r="E77" s="968"/>
      <c r="F77" s="968"/>
      <c r="G77" s="968"/>
      <c r="H77" s="968"/>
      <c r="I77" s="968"/>
      <c r="J77" s="972">
        <v>366.00400000000002</v>
      </c>
      <c r="K77" s="1036"/>
      <c r="L77" s="1036"/>
      <c r="M77" s="1036"/>
      <c r="N77" s="1036"/>
      <c r="O77" s="1036"/>
      <c r="P77" s="1036"/>
      <c r="Q77" s="1036"/>
      <c r="R77" s="1037"/>
    </row>
    <row r="78" spans="1:18" s="1007" customFormat="1" ht="30" customHeight="1">
      <c r="A78" s="1012">
        <v>36</v>
      </c>
      <c r="B78" s="968" t="s">
        <v>3046</v>
      </c>
      <c r="C78" s="968" t="s">
        <v>1319</v>
      </c>
      <c r="D78" s="968" t="s">
        <v>1945</v>
      </c>
      <c r="E78" s="968">
        <v>0</v>
      </c>
      <c r="F78" s="968">
        <v>0</v>
      </c>
      <c r="G78" s="968">
        <v>0</v>
      </c>
      <c r="H78" s="968">
        <v>0</v>
      </c>
      <c r="I78" s="968" t="s">
        <v>897</v>
      </c>
      <c r="J78" s="972"/>
      <c r="K78" s="1036">
        <f>J77</f>
        <v>366.00400000000002</v>
      </c>
      <c r="L78" s="1036" t="s">
        <v>2919</v>
      </c>
      <c r="M78" s="1036" t="s">
        <v>1009</v>
      </c>
      <c r="N78" s="968" t="s">
        <v>1009</v>
      </c>
      <c r="O78" s="1036" t="s">
        <v>1009</v>
      </c>
      <c r="P78" s="1036"/>
      <c r="Q78" s="1036"/>
      <c r="R78" s="1037"/>
    </row>
    <row r="79" spans="1:18" s="1007" customFormat="1" ht="30" customHeight="1">
      <c r="A79" s="1012"/>
      <c r="B79" s="968"/>
      <c r="C79" s="968"/>
      <c r="D79" s="968"/>
      <c r="E79" s="968"/>
      <c r="F79" s="968"/>
      <c r="G79" s="968"/>
      <c r="H79" s="968"/>
      <c r="I79" s="968"/>
      <c r="J79" s="972">
        <v>372.4</v>
      </c>
      <c r="K79" s="1036"/>
      <c r="L79" s="1036"/>
      <c r="M79" s="1036"/>
      <c r="N79" s="1036"/>
      <c r="O79" s="1036"/>
      <c r="P79" s="1036"/>
      <c r="Q79" s="1655"/>
      <c r="R79" s="1037"/>
    </row>
    <row r="80" spans="1:18" s="1007" customFormat="1" ht="30" customHeight="1">
      <c r="A80" s="1012">
        <v>37</v>
      </c>
      <c r="B80" s="968" t="s">
        <v>1648</v>
      </c>
      <c r="C80" s="968" t="s">
        <v>76</v>
      </c>
      <c r="D80" s="968"/>
      <c r="E80" s="968">
        <v>0</v>
      </c>
      <c r="F80" s="968">
        <v>0</v>
      </c>
      <c r="G80" s="968">
        <v>0</v>
      </c>
      <c r="H80" s="968">
        <v>0</v>
      </c>
      <c r="I80" s="968" t="s">
        <v>2736</v>
      </c>
      <c r="J80" s="972"/>
      <c r="K80" s="1036"/>
      <c r="L80" s="1036" t="s">
        <v>2919</v>
      </c>
      <c r="M80" s="1036" t="s">
        <v>1009</v>
      </c>
      <c r="N80" s="968" t="s">
        <v>1009</v>
      </c>
      <c r="O80" s="1036" t="s">
        <v>1009</v>
      </c>
      <c r="P80" s="1036"/>
      <c r="Q80" s="1655"/>
      <c r="R80" s="1037"/>
    </row>
    <row r="81" spans="1:18" s="1007" customFormat="1" ht="30" customHeight="1">
      <c r="A81" s="1012"/>
      <c r="B81" s="968"/>
      <c r="C81" s="968"/>
      <c r="D81" s="968"/>
      <c r="E81" s="968"/>
      <c r="F81" s="968"/>
      <c r="G81" s="968"/>
      <c r="H81" s="968"/>
      <c r="I81" s="968"/>
      <c r="J81" s="972">
        <v>311.86599999999999</v>
      </c>
      <c r="K81" s="1036"/>
      <c r="L81" s="1036"/>
      <c r="M81" s="1036"/>
      <c r="N81" s="1036"/>
      <c r="O81" s="1036"/>
      <c r="P81" s="1036"/>
      <c r="Q81" s="1655"/>
      <c r="R81" s="1037"/>
    </row>
    <row r="82" spans="1:18" s="1007" customFormat="1" ht="30" customHeight="1">
      <c r="A82" s="1012">
        <v>38</v>
      </c>
      <c r="B82" s="968" t="s">
        <v>1125</v>
      </c>
      <c r="C82" s="968" t="s">
        <v>76</v>
      </c>
      <c r="D82" s="968"/>
      <c r="E82" s="968">
        <v>0</v>
      </c>
      <c r="F82" s="968">
        <v>0</v>
      </c>
      <c r="G82" s="968">
        <v>0</v>
      </c>
      <c r="H82" s="968">
        <v>0</v>
      </c>
      <c r="I82" s="968" t="s">
        <v>897</v>
      </c>
      <c r="J82" s="972"/>
      <c r="K82" s="1036"/>
      <c r="L82" s="1036" t="s">
        <v>2919</v>
      </c>
      <c r="M82" s="1036" t="s">
        <v>1009</v>
      </c>
      <c r="N82" s="968" t="s">
        <v>1009</v>
      </c>
      <c r="O82" s="1036" t="s">
        <v>1009</v>
      </c>
      <c r="P82" s="1036"/>
      <c r="Q82" s="1655"/>
      <c r="R82" s="1037"/>
    </row>
    <row r="83" spans="1:18" s="1007" customFormat="1" ht="30" customHeight="1">
      <c r="A83" s="1012"/>
      <c r="B83" s="968"/>
      <c r="C83" s="968"/>
      <c r="D83" s="968"/>
      <c r="E83" s="968"/>
      <c r="F83" s="968"/>
      <c r="G83" s="968"/>
      <c r="H83" s="968"/>
      <c r="I83" s="968"/>
      <c r="J83" s="972">
        <v>343.76299999999998</v>
      </c>
      <c r="K83" s="1036"/>
      <c r="L83" s="1036"/>
      <c r="M83" s="1036"/>
      <c r="N83" s="1036"/>
      <c r="O83" s="1036"/>
      <c r="P83" s="1036"/>
      <c r="Q83" s="1655"/>
      <c r="R83" s="1037"/>
    </row>
    <row r="84" spans="1:18" s="1007" customFormat="1" ht="30" customHeight="1">
      <c r="A84" s="1012">
        <v>39</v>
      </c>
      <c r="B84" s="968" t="s">
        <v>3047</v>
      </c>
      <c r="C84" s="968" t="s">
        <v>1319</v>
      </c>
      <c r="D84" s="968" t="s">
        <v>1947</v>
      </c>
      <c r="E84" s="968">
        <v>0</v>
      </c>
      <c r="F84" s="968">
        <v>0</v>
      </c>
      <c r="G84" s="968">
        <v>0</v>
      </c>
      <c r="H84" s="968">
        <v>0</v>
      </c>
      <c r="I84" s="968" t="s">
        <v>897</v>
      </c>
      <c r="J84" s="972"/>
      <c r="K84" s="1036">
        <f>J79+J81+J83</f>
        <v>1028.029</v>
      </c>
      <c r="L84" s="968" t="s">
        <v>2919</v>
      </c>
      <c r="M84" s="1036" t="s">
        <v>1009</v>
      </c>
      <c r="N84" s="968" t="s">
        <v>1009</v>
      </c>
      <c r="O84" s="1036" t="s">
        <v>1009</v>
      </c>
      <c r="P84" s="1036"/>
      <c r="Q84" s="1036"/>
      <c r="R84" s="1037"/>
    </row>
    <row r="85" spans="1:18" s="1007" customFormat="1" ht="30" customHeight="1">
      <c r="A85" s="1012"/>
      <c r="B85" s="968"/>
      <c r="C85" s="968"/>
      <c r="D85" s="968"/>
      <c r="E85" s="968"/>
      <c r="F85" s="968"/>
      <c r="G85" s="968"/>
      <c r="H85" s="968"/>
      <c r="I85" s="968"/>
      <c r="J85" s="972">
        <v>442.37099999999998</v>
      </c>
      <c r="K85" s="1036"/>
      <c r="L85" s="1036"/>
      <c r="M85" s="1036"/>
      <c r="N85" s="1036"/>
      <c r="O85" s="1036"/>
      <c r="P85" s="1036"/>
      <c r="Q85" s="1036"/>
      <c r="R85" s="1037"/>
    </row>
    <row r="86" spans="1:18" s="1007" customFormat="1" ht="30" customHeight="1">
      <c r="A86" s="1012">
        <v>40</v>
      </c>
      <c r="B86" s="968" t="s">
        <v>2423</v>
      </c>
      <c r="C86" s="968" t="s">
        <v>1269</v>
      </c>
      <c r="D86" s="968" t="s">
        <v>1949</v>
      </c>
      <c r="E86" s="968">
        <v>0</v>
      </c>
      <c r="F86" s="968">
        <v>0</v>
      </c>
      <c r="G86" s="968">
        <v>0</v>
      </c>
      <c r="H86" s="968">
        <v>0</v>
      </c>
      <c r="I86" s="968" t="s">
        <v>1765</v>
      </c>
      <c r="J86" s="1040"/>
      <c r="K86" s="1036">
        <f>J85</f>
        <v>442.37099999999998</v>
      </c>
      <c r="L86" s="968" t="s">
        <v>2919</v>
      </c>
      <c r="M86" s="1036" t="s">
        <v>1009</v>
      </c>
      <c r="N86" s="968" t="s">
        <v>1009</v>
      </c>
      <c r="O86" s="1036" t="s">
        <v>1009</v>
      </c>
      <c r="P86" s="1036"/>
      <c r="Q86" s="1036"/>
      <c r="R86" s="1037"/>
    </row>
    <row r="87" spans="1:18" s="1007" customFormat="1" ht="30" customHeight="1">
      <c r="A87" s="1012"/>
      <c r="B87" s="968"/>
      <c r="C87" s="968"/>
      <c r="D87" s="968"/>
      <c r="E87" s="968"/>
      <c r="F87" s="968"/>
      <c r="G87" s="968"/>
      <c r="H87" s="968"/>
      <c r="I87" s="968"/>
      <c r="J87" s="972">
        <v>360</v>
      </c>
      <c r="K87" s="1036"/>
      <c r="L87" s="1036"/>
      <c r="M87" s="1036"/>
      <c r="N87" s="1036"/>
      <c r="O87" s="1036"/>
      <c r="P87" s="1036"/>
      <c r="Q87" s="1655"/>
      <c r="R87" s="1037"/>
    </row>
    <row r="88" spans="1:18" s="1007" customFormat="1" ht="30" customHeight="1">
      <c r="A88" s="1012">
        <v>41</v>
      </c>
      <c r="B88" s="968" t="s">
        <v>1140</v>
      </c>
      <c r="C88" s="968" t="s">
        <v>62</v>
      </c>
      <c r="D88" s="968"/>
      <c r="E88" s="968">
        <v>1.5</v>
      </c>
      <c r="F88" s="968"/>
      <c r="G88" s="968">
        <v>1.5</v>
      </c>
      <c r="H88" s="968">
        <v>2.5</v>
      </c>
      <c r="I88" s="968" t="s">
        <v>1765</v>
      </c>
      <c r="J88" s="972"/>
      <c r="K88" s="1036"/>
      <c r="L88" s="1036" t="s">
        <v>2919</v>
      </c>
      <c r="M88" s="1036" t="s">
        <v>1009</v>
      </c>
      <c r="N88" s="968" t="s">
        <v>1009</v>
      </c>
      <c r="O88" s="1036"/>
      <c r="P88" s="1036"/>
      <c r="Q88" s="1655"/>
      <c r="R88" s="1037"/>
    </row>
    <row r="89" spans="1:18" s="1007" customFormat="1" ht="30" customHeight="1">
      <c r="A89" s="1012"/>
      <c r="B89" s="968"/>
      <c r="C89" s="968"/>
      <c r="D89" s="968"/>
      <c r="E89" s="968"/>
      <c r="F89" s="968"/>
      <c r="G89" s="968"/>
      <c r="H89" s="968"/>
      <c r="I89" s="968"/>
      <c r="J89" s="972">
        <v>379.73899999999998</v>
      </c>
      <c r="K89" s="1036"/>
      <c r="L89" s="1036"/>
      <c r="M89" s="1036"/>
      <c r="N89" s="1036"/>
      <c r="O89" s="1036"/>
      <c r="P89" s="1036"/>
      <c r="Q89" s="1655"/>
      <c r="R89" s="1037"/>
    </row>
    <row r="90" spans="1:18" s="1007" customFormat="1" ht="30" customHeight="1">
      <c r="A90" s="1012">
        <v>42</v>
      </c>
      <c r="B90" s="968" t="s">
        <v>3048</v>
      </c>
      <c r="C90" s="968" t="s">
        <v>1402</v>
      </c>
      <c r="D90" s="968" t="s">
        <v>1952</v>
      </c>
      <c r="E90" s="968">
        <v>1.5</v>
      </c>
      <c r="F90" s="968">
        <v>2.5</v>
      </c>
      <c r="G90" s="968">
        <v>1.5</v>
      </c>
      <c r="H90" s="968">
        <v>1.5</v>
      </c>
      <c r="I90" s="968" t="s">
        <v>1765</v>
      </c>
      <c r="J90" s="972"/>
      <c r="K90" s="1036">
        <f>J87+J89</f>
        <v>739.73900000000003</v>
      </c>
      <c r="L90" s="1036" t="s">
        <v>2919</v>
      </c>
      <c r="M90" s="1036" t="s">
        <v>1009</v>
      </c>
      <c r="N90" s="968" t="s">
        <v>1009</v>
      </c>
      <c r="O90" s="1036"/>
      <c r="P90" s="1036"/>
      <c r="Q90" s="1036"/>
      <c r="R90" s="1037"/>
    </row>
    <row r="91" spans="1:18" s="1007" customFormat="1" ht="30" customHeight="1">
      <c r="A91" s="1012"/>
      <c r="B91" s="968"/>
      <c r="C91" s="968"/>
      <c r="D91" s="968"/>
      <c r="E91" s="968"/>
      <c r="F91" s="968"/>
      <c r="G91" s="968"/>
      <c r="H91" s="968"/>
      <c r="I91" s="968"/>
      <c r="J91" s="972">
        <v>445.99099999999999</v>
      </c>
      <c r="K91" s="1036"/>
      <c r="L91" s="1036"/>
      <c r="M91" s="1036"/>
      <c r="N91" s="1036"/>
      <c r="O91" s="1036"/>
      <c r="P91" s="1036"/>
      <c r="Q91" s="1036"/>
      <c r="R91" s="1037"/>
    </row>
    <row r="92" spans="1:18" s="1007" customFormat="1" ht="30" customHeight="1">
      <c r="A92" s="1012">
        <v>43</v>
      </c>
      <c r="B92" s="968" t="s">
        <v>3049</v>
      </c>
      <c r="C92" s="968" t="s">
        <v>1953</v>
      </c>
      <c r="D92" s="968" t="s">
        <v>1955</v>
      </c>
      <c r="E92" s="968">
        <v>1.5</v>
      </c>
      <c r="F92" s="968">
        <v>3</v>
      </c>
      <c r="G92" s="968">
        <v>3</v>
      </c>
      <c r="H92" s="968">
        <v>1.5</v>
      </c>
      <c r="I92" s="968" t="s">
        <v>1765</v>
      </c>
      <c r="J92" s="972"/>
      <c r="K92" s="1036">
        <f>J91</f>
        <v>445.99099999999999</v>
      </c>
      <c r="L92" s="1036" t="s">
        <v>2919</v>
      </c>
      <c r="M92" s="1036" t="s">
        <v>1009</v>
      </c>
      <c r="N92" s="968" t="s">
        <v>1009</v>
      </c>
      <c r="O92" s="1036"/>
      <c r="P92" s="1036"/>
      <c r="Q92" s="1036"/>
      <c r="R92" s="1037"/>
    </row>
    <row r="93" spans="1:18" s="1007" customFormat="1" ht="30" customHeight="1">
      <c r="A93" s="1012"/>
      <c r="B93" s="968"/>
      <c r="C93" s="968"/>
      <c r="D93" s="968"/>
      <c r="E93" s="968"/>
      <c r="F93" s="968"/>
      <c r="G93" s="968"/>
      <c r="H93" s="968"/>
      <c r="I93" s="968"/>
      <c r="J93" s="972">
        <v>373</v>
      </c>
      <c r="K93" s="1036"/>
      <c r="L93" s="1036"/>
      <c r="M93" s="1036"/>
      <c r="N93" s="1036"/>
      <c r="O93" s="1036"/>
      <c r="P93" s="1036"/>
      <c r="Q93" s="1655"/>
      <c r="R93" s="1037"/>
    </row>
    <row r="94" spans="1:18" s="1007" customFormat="1" ht="30" customHeight="1">
      <c r="A94" s="1012">
        <v>44</v>
      </c>
      <c r="B94" s="968" t="s">
        <v>1652</v>
      </c>
      <c r="C94" s="968" t="s">
        <v>76</v>
      </c>
      <c r="D94" s="968"/>
      <c r="E94" s="968">
        <v>1.5</v>
      </c>
      <c r="F94" s="968">
        <v>1.5</v>
      </c>
      <c r="G94" s="968">
        <v>0</v>
      </c>
      <c r="H94" s="968">
        <v>0</v>
      </c>
      <c r="I94" s="968" t="s">
        <v>1765</v>
      </c>
      <c r="J94" s="972"/>
      <c r="K94" s="1036"/>
      <c r="L94" s="968" t="s">
        <v>2919</v>
      </c>
      <c r="M94" s="1036" t="s">
        <v>1009</v>
      </c>
      <c r="N94" s="968" t="s">
        <v>1009</v>
      </c>
      <c r="O94" s="1036" t="s">
        <v>1009</v>
      </c>
      <c r="P94" s="1036"/>
      <c r="Q94" s="1655"/>
      <c r="R94" s="1037"/>
    </row>
    <row r="95" spans="1:18" s="1007" customFormat="1" ht="30" customHeight="1">
      <c r="A95" s="1012"/>
      <c r="B95" s="968"/>
      <c r="C95" s="968"/>
      <c r="D95" s="968"/>
      <c r="E95" s="968"/>
      <c r="F95" s="968"/>
      <c r="G95" s="968"/>
      <c r="H95" s="968"/>
      <c r="I95" s="968"/>
      <c r="J95" s="972">
        <v>374</v>
      </c>
      <c r="K95" s="1036"/>
      <c r="L95" s="1036"/>
      <c r="M95" s="1036"/>
      <c r="N95" s="1036"/>
      <c r="O95" s="1036"/>
      <c r="P95" s="1036"/>
      <c r="Q95" s="1655"/>
      <c r="R95" s="1037"/>
    </row>
    <row r="96" spans="1:18" s="1007" customFormat="1" ht="30" customHeight="1">
      <c r="A96" s="1012">
        <v>45</v>
      </c>
      <c r="B96" s="968" t="s">
        <v>1653</v>
      </c>
      <c r="C96" s="968" t="s">
        <v>62</v>
      </c>
      <c r="D96" s="968"/>
      <c r="E96" s="968">
        <v>1</v>
      </c>
      <c r="F96" s="968">
        <v>1</v>
      </c>
      <c r="G96" s="968">
        <v>1</v>
      </c>
      <c r="H96" s="968">
        <v>1</v>
      </c>
      <c r="I96" s="968" t="s">
        <v>3287</v>
      </c>
      <c r="J96" s="972"/>
      <c r="K96" s="1036"/>
      <c r="L96" s="968" t="s">
        <v>2919</v>
      </c>
      <c r="M96" s="1036" t="s">
        <v>1009</v>
      </c>
      <c r="N96" s="968" t="s">
        <v>1009</v>
      </c>
      <c r="O96" s="1036" t="s">
        <v>22</v>
      </c>
      <c r="P96" s="1036"/>
      <c r="Q96" s="1655"/>
      <c r="R96" s="1037"/>
    </row>
    <row r="97" spans="1:18" s="1007" customFormat="1" ht="30" customHeight="1">
      <c r="A97" s="1012"/>
      <c r="B97" s="968"/>
      <c r="C97" s="968"/>
      <c r="D97" s="968"/>
      <c r="E97" s="968"/>
      <c r="F97" s="968"/>
      <c r="G97" s="968"/>
      <c r="H97" s="968"/>
      <c r="I97" s="968"/>
      <c r="J97" s="972">
        <v>352</v>
      </c>
      <c r="K97" s="1036"/>
      <c r="L97" s="1036"/>
      <c r="M97" s="1036"/>
      <c r="N97" s="1036"/>
      <c r="O97" s="1036"/>
      <c r="P97" s="1036"/>
      <c r="Q97" s="1655"/>
      <c r="R97" s="1037"/>
    </row>
    <row r="98" spans="1:18" s="1007" customFormat="1" ht="30" customHeight="1">
      <c r="A98" s="1012">
        <v>46</v>
      </c>
      <c r="B98" s="968" t="s">
        <v>1654</v>
      </c>
      <c r="C98" s="968" t="s">
        <v>76</v>
      </c>
      <c r="D98" s="968"/>
      <c r="E98" s="968">
        <v>1.5</v>
      </c>
      <c r="F98" s="968">
        <v>0</v>
      </c>
      <c r="G98" s="968">
        <v>0</v>
      </c>
      <c r="H98" s="968">
        <v>0</v>
      </c>
      <c r="I98" s="968" t="s">
        <v>54</v>
      </c>
      <c r="J98" s="972"/>
      <c r="K98" s="1036"/>
      <c r="L98" s="968" t="s">
        <v>2919</v>
      </c>
      <c r="M98" s="1036" t="s">
        <v>1009</v>
      </c>
      <c r="N98" s="1036"/>
      <c r="O98" s="1036"/>
      <c r="P98" s="1036"/>
      <c r="Q98" s="1655"/>
      <c r="R98" s="1037"/>
    </row>
    <row r="99" spans="1:18" s="1007" customFormat="1" ht="30" customHeight="1">
      <c r="A99" s="1012"/>
      <c r="B99" s="968"/>
      <c r="C99" s="968"/>
      <c r="D99" s="968"/>
      <c r="E99" s="968"/>
      <c r="F99" s="968"/>
      <c r="G99" s="968"/>
      <c r="H99" s="968"/>
      <c r="I99" s="968"/>
      <c r="J99" s="972">
        <v>406</v>
      </c>
      <c r="K99" s="1036"/>
      <c r="L99" s="1036"/>
      <c r="M99" s="1036"/>
      <c r="N99" s="1036"/>
      <c r="O99" s="1036"/>
      <c r="P99" s="1036"/>
      <c r="Q99" s="1655"/>
      <c r="R99" s="1037"/>
    </row>
    <row r="100" spans="1:18" s="1007" customFormat="1" ht="30" customHeight="1">
      <c r="A100" s="1012">
        <v>47</v>
      </c>
      <c r="B100" s="968" t="s">
        <v>1655</v>
      </c>
      <c r="C100" s="968" t="s">
        <v>76</v>
      </c>
      <c r="D100" s="968"/>
      <c r="E100" s="968">
        <v>0</v>
      </c>
      <c r="F100" s="968">
        <v>0</v>
      </c>
      <c r="G100" s="968">
        <v>0</v>
      </c>
      <c r="H100" s="968">
        <v>0</v>
      </c>
      <c r="I100" s="968" t="s">
        <v>54</v>
      </c>
      <c r="J100" s="972"/>
      <c r="K100" s="1036"/>
      <c r="L100" s="968" t="s">
        <v>2919</v>
      </c>
      <c r="M100" s="1036" t="s">
        <v>1009</v>
      </c>
      <c r="N100" s="968" t="s">
        <v>1009</v>
      </c>
      <c r="O100" s="1036" t="s">
        <v>1009</v>
      </c>
      <c r="P100" s="1036"/>
      <c r="Q100" s="1655"/>
      <c r="R100" s="1037"/>
    </row>
    <row r="101" spans="1:18" s="1007" customFormat="1" ht="30" customHeight="1">
      <c r="A101" s="1012"/>
      <c r="B101" s="968"/>
      <c r="C101" s="968"/>
      <c r="D101" s="968"/>
      <c r="E101" s="968"/>
      <c r="F101" s="968"/>
      <c r="G101" s="968"/>
      <c r="H101" s="968"/>
      <c r="I101" s="968"/>
      <c r="J101" s="972">
        <v>352</v>
      </c>
      <c r="K101" s="1036"/>
      <c r="L101" s="1036"/>
      <c r="M101" s="1036"/>
      <c r="N101" s="1036"/>
      <c r="O101" s="1036"/>
      <c r="P101" s="1036"/>
      <c r="Q101" s="1655"/>
      <c r="R101" s="1037"/>
    </row>
    <row r="102" spans="1:18" s="1007" customFormat="1" ht="30" customHeight="1">
      <c r="A102" s="1012">
        <v>48</v>
      </c>
      <c r="B102" s="968" t="s">
        <v>1656</v>
      </c>
      <c r="C102" s="968" t="s">
        <v>76</v>
      </c>
      <c r="D102" s="968"/>
      <c r="E102" s="968">
        <v>0</v>
      </c>
      <c r="F102" s="968">
        <v>0</v>
      </c>
      <c r="G102" s="968">
        <v>0</v>
      </c>
      <c r="H102" s="968">
        <v>0</v>
      </c>
      <c r="I102" s="968" t="s">
        <v>1765</v>
      </c>
      <c r="J102" s="972"/>
      <c r="K102" s="1036"/>
      <c r="L102" s="968" t="s">
        <v>2919</v>
      </c>
      <c r="M102" s="1036" t="s">
        <v>1009</v>
      </c>
      <c r="N102" s="968" t="s">
        <v>1009</v>
      </c>
      <c r="O102" s="1036" t="s">
        <v>1009</v>
      </c>
      <c r="P102" s="1036"/>
      <c r="Q102" s="1655"/>
      <c r="R102" s="1037"/>
    </row>
    <row r="103" spans="1:18" s="1007" customFormat="1" ht="30" customHeight="1">
      <c r="A103" s="1012"/>
      <c r="B103" s="968"/>
      <c r="C103" s="968"/>
      <c r="D103" s="968"/>
      <c r="E103" s="968"/>
      <c r="F103" s="968"/>
      <c r="G103" s="968"/>
      <c r="H103" s="968"/>
      <c r="I103" s="968"/>
      <c r="J103" s="972">
        <v>340</v>
      </c>
      <c r="K103" s="1036"/>
      <c r="L103" s="1036"/>
      <c r="M103" s="1036"/>
      <c r="N103" s="1036"/>
      <c r="O103" s="1036"/>
      <c r="P103" s="1036"/>
      <c r="Q103" s="1655"/>
      <c r="R103" s="1037"/>
    </row>
    <row r="104" spans="1:18" s="1007" customFormat="1" ht="30" customHeight="1">
      <c r="A104" s="1012">
        <v>49</v>
      </c>
      <c r="B104" s="968" t="s">
        <v>1657</v>
      </c>
      <c r="C104" s="968" t="s">
        <v>62</v>
      </c>
      <c r="D104" s="968"/>
      <c r="E104" s="968">
        <v>0</v>
      </c>
      <c r="F104" s="968">
        <v>0</v>
      </c>
      <c r="G104" s="968">
        <v>0</v>
      </c>
      <c r="H104" s="968">
        <v>0</v>
      </c>
      <c r="I104" s="968" t="s">
        <v>1765</v>
      </c>
      <c r="J104" s="972"/>
      <c r="K104" s="1036"/>
      <c r="L104" s="968" t="s">
        <v>2919</v>
      </c>
      <c r="M104" s="1036" t="s">
        <v>1009</v>
      </c>
      <c r="N104" s="968" t="s">
        <v>1009</v>
      </c>
      <c r="O104" s="1036" t="s">
        <v>1009</v>
      </c>
      <c r="P104" s="1036"/>
      <c r="Q104" s="1655"/>
      <c r="R104" s="1037"/>
    </row>
    <row r="105" spans="1:18" s="1007" customFormat="1" ht="30" customHeight="1">
      <c r="A105" s="1012"/>
      <c r="B105" s="968"/>
      <c r="C105" s="968"/>
      <c r="D105" s="968"/>
      <c r="E105" s="968"/>
      <c r="F105" s="968"/>
      <c r="G105" s="968"/>
      <c r="H105" s="968"/>
      <c r="I105" s="968"/>
      <c r="J105" s="972">
        <v>376.62900000000002</v>
      </c>
      <c r="K105" s="1036"/>
      <c r="L105" s="1036"/>
      <c r="M105" s="1036"/>
      <c r="N105" s="1036"/>
      <c r="O105" s="1036"/>
      <c r="P105" s="1036"/>
      <c r="Q105" s="1655"/>
      <c r="R105" s="1037"/>
    </row>
    <row r="106" spans="1:18" s="1007" customFormat="1" ht="30" customHeight="1">
      <c r="A106" s="1012">
        <v>50</v>
      </c>
      <c r="B106" s="968" t="s">
        <v>3050</v>
      </c>
      <c r="C106" s="968" t="s">
        <v>1269</v>
      </c>
      <c r="D106" s="968" t="s">
        <v>1958</v>
      </c>
      <c r="E106" s="968">
        <v>0</v>
      </c>
      <c r="F106" s="968">
        <v>0</v>
      </c>
      <c r="G106" s="968">
        <v>0</v>
      </c>
      <c r="H106" s="968">
        <v>0</v>
      </c>
      <c r="I106" s="968" t="s">
        <v>897</v>
      </c>
      <c r="J106" s="972"/>
      <c r="K106" s="1036">
        <f>J93+J95+J97+J99+J101+J103+J105</f>
        <v>2573.6289999999999</v>
      </c>
      <c r="L106" s="968" t="s">
        <v>2919</v>
      </c>
      <c r="M106" s="1036" t="s">
        <v>1009</v>
      </c>
      <c r="N106" s="1036" t="s">
        <v>1009</v>
      </c>
      <c r="O106" s="1036" t="s">
        <v>1009</v>
      </c>
      <c r="P106" s="1036"/>
      <c r="Q106" s="1036"/>
      <c r="R106" s="1037"/>
    </row>
    <row r="107" spans="1:18" s="1007" customFormat="1" ht="30" customHeight="1">
      <c r="A107" s="1012"/>
      <c r="B107" s="968"/>
      <c r="C107" s="968"/>
      <c r="D107" s="968"/>
      <c r="E107" s="968"/>
      <c r="F107" s="968"/>
      <c r="G107" s="968"/>
      <c r="H107" s="968"/>
      <c r="I107" s="968"/>
      <c r="J107" s="972">
        <v>423</v>
      </c>
      <c r="K107" s="968"/>
      <c r="L107" s="968"/>
      <c r="M107" s="968"/>
      <c r="N107" s="968"/>
      <c r="O107" s="968"/>
      <c r="P107" s="968"/>
      <c r="Q107" s="1652"/>
      <c r="R107" s="1038"/>
    </row>
    <row r="108" spans="1:18" s="1007" customFormat="1" ht="30" customHeight="1">
      <c r="A108" s="1012">
        <v>51</v>
      </c>
      <c r="B108" s="968" t="s">
        <v>1659</v>
      </c>
      <c r="C108" s="968" t="s">
        <v>53</v>
      </c>
      <c r="D108" s="968"/>
      <c r="E108" s="968">
        <v>0</v>
      </c>
      <c r="F108" s="968">
        <v>0</v>
      </c>
      <c r="G108" s="968">
        <v>0</v>
      </c>
      <c r="H108" s="968">
        <v>0</v>
      </c>
      <c r="I108" s="968" t="s">
        <v>3325</v>
      </c>
      <c r="J108" s="972"/>
      <c r="K108" s="968"/>
      <c r="L108" s="968" t="s">
        <v>2919</v>
      </c>
      <c r="M108" s="968" t="s">
        <v>22</v>
      </c>
      <c r="N108" s="968"/>
      <c r="O108" s="968"/>
      <c r="P108" s="968"/>
      <c r="Q108" s="1652"/>
      <c r="R108" s="1038"/>
    </row>
    <row r="109" spans="1:18" s="1007" customFormat="1" ht="30" customHeight="1">
      <c r="A109" s="1012"/>
      <c r="B109" s="968"/>
      <c r="C109" s="968"/>
      <c r="D109" s="968"/>
      <c r="E109" s="968"/>
      <c r="F109" s="968"/>
      <c r="G109" s="968"/>
      <c r="H109" s="968"/>
      <c r="I109" s="968"/>
      <c r="J109" s="972">
        <v>417</v>
      </c>
      <c r="K109" s="968"/>
      <c r="L109" s="968"/>
      <c r="M109" s="968"/>
      <c r="N109" s="968"/>
      <c r="O109" s="968"/>
      <c r="P109" s="968"/>
      <c r="Q109" s="1652"/>
      <c r="R109" s="1038"/>
    </row>
    <row r="110" spans="1:18" s="1007" customFormat="1" ht="30" customHeight="1">
      <c r="A110" s="1012">
        <v>52</v>
      </c>
      <c r="B110" s="968" t="s">
        <v>658</v>
      </c>
      <c r="C110" s="968" t="s">
        <v>76</v>
      </c>
      <c r="D110" s="968"/>
      <c r="E110" s="968">
        <v>0</v>
      </c>
      <c r="F110" s="968">
        <v>0</v>
      </c>
      <c r="G110" s="968">
        <v>0</v>
      </c>
      <c r="H110" s="968">
        <v>0</v>
      </c>
      <c r="I110" s="968" t="s">
        <v>2736</v>
      </c>
      <c r="J110" s="972"/>
      <c r="K110" s="968"/>
      <c r="L110" s="968" t="s">
        <v>2919</v>
      </c>
      <c r="M110" s="968" t="s">
        <v>1009</v>
      </c>
      <c r="N110" s="968" t="s">
        <v>1009</v>
      </c>
      <c r="O110" s="968"/>
      <c r="P110" s="968"/>
      <c r="Q110" s="1652"/>
      <c r="R110" s="1038"/>
    </row>
    <row r="111" spans="1:18" s="1007" customFormat="1" ht="30" customHeight="1">
      <c r="A111" s="1012"/>
      <c r="B111" s="968"/>
      <c r="C111" s="968"/>
      <c r="D111" s="968"/>
      <c r="E111" s="968"/>
      <c r="F111" s="968"/>
      <c r="G111" s="968"/>
      <c r="H111" s="968"/>
      <c r="I111" s="968"/>
      <c r="J111" s="972">
        <v>415</v>
      </c>
      <c r="K111" s="968"/>
      <c r="L111" s="968"/>
      <c r="M111" s="968"/>
      <c r="N111" s="968"/>
      <c r="O111" s="968"/>
      <c r="P111" s="968"/>
      <c r="Q111" s="1652"/>
      <c r="R111" s="1038"/>
    </row>
    <row r="112" spans="1:18" s="1007" customFormat="1" ht="30" customHeight="1">
      <c r="A112" s="1012">
        <v>53</v>
      </c>
      <c r="B112" s="968" t="s">
        <v>1660</v>
      </c>
      <c r="C112" s="968" t="s">
        <v>53</v>
      </c>
      <c r="D112" s="968"/>
      <c r="E112" s="968">
        <v>0</v>
      </c>
      <c r="F112" s="968">
        <v>0</v>
      </c>
      <c r="G112" s="968">
        <v>0</v>
      </c>
      <c r="H112" s="968">
        <v>0</v>
      </c>
      <c r="I112" s="968" t="s">
        <v>2736</v>
      </c>
      <c r="J112" s="972"/>
      <c r="K112" s="968"/>
      <c r="L112" s="968" t="s">
        <v>2919</v>
      </c>
      <c r="M112" s="968" t="s">
        <v>1009</v>
      </c>
      <c r="N112" s="968" t="s">
        <v>1009</v>
      </c>
      <c r="O112" s="968" t="s">
        <v>1009</v>
      </c>
      <c r="P112" s="968"/>
      <c r="Q112" s="1652"/>
      <c r="R112" s="1038"/>
    </row>
    <row r="113" spans="1:18" s="1007" customFormat="1" ht="30" customHeight="1">
      <c r="A113" s="1012"/>
      <c r="B113" s="968"/>
      <c r="C113" s="968"/>
      <c r="D113" s="968"/>
      <c r="E113" s="968"/>
      <c r="F113" s="968"/>
      <c r="G113" s="968"/>
      <c r="H113" s="968"/>
      <c r="I113" s="968"/>
      <c r="J113" s="972">
        <v>421</v>
      </c>
      <c r="K113" s="968"/>
      <c r="L113" s="968"/>
      <c r="M113" s="968"/>
      <c r="N113" s="968"/>
      <c r="O113" s="968"/>
      <c r="P113" s="968"/>
      <c r="Q113" s="1652"/>
      <c r="R113" s="1038"/>
    </row>
    <row r="114" spans="1:18" s="1007" customFormat="1" ht="30" customHeight="1">
      <c r="A114" s="1012">
        <v>54</v>
      </c>
      <c r="B114" s="968" t="s">
        <v>1959</v>
      </c>
      <c r="C114" s="968" t="s">
        <v>76</v>
      </c>
      <c r="D114" s="968"/>
      <c r="E114" s="968">
        <v>0</v>
      </c>
      <c r="F114" s="968">
        <v>0</v>
      </c>
      <c r="G114" s="968">
        <v>0</v>
      </c>
      <c r="H114" s="968">
        <v>0</v>
      </c>
      <c r="I114" s="968" t="s">
        <v>897</v>
      </c>
      <c r="J114" s="972"/>
      <c r="K114" s="968"/>
      <c r="L114" s="968" t="s">
        <v>2919</v>
      </c>
      <c r="M114" s="968" t="s">
        <v>1009</v>
      </c>
      <c r="N114" s="968" t="s">
        <v>1009</v>
      </c>
      <c r="O114" s="968" t="s">
        <v>1009</v>
      </c>
      <c r="P114" s="968"/>
      <c r="Q114" s="1652"/>
      <c r="R114" s="1038"/>
    </row>
    <row r="115" spans="1:18" s="1007" customFormat="1" ht="30" customHeight="1">
      <c r="A115" s="1012"/>
      <c r="B115" s="968"/>
      <c r="C115" s="968"/>
      <c r="D115" s="968"/>
      <c r="E115" s="968"/>
      <c r="F115" s="968"/>
      <c r="G115" s="968"/>
      <c r="H115" s="968"/>
      <c r="I115" s="968"/>
      <c r="J115" s="972">
        <v>404</v>
      </c>
      <c r="K115" s="968"/>
      <c r="L115" s="968"/>
      <c r="M115" s="968"/>
      <c r="N115" s="968"/>
      <c r="O115" s="968"/>
      <c r="P115" s="968"/>
      <c r="Q115" s="1652"/>
      <c r="R115" s="1038"/>
    </row>
    <row r="116" spans="1:18" s="1007" customFormat="1" ht="30" customHeight="1">
      <c r="A116" s="1012">
        <v>55</v>
      </c>
      <c r="B116" s="968" t="s">
        <v>1960</v>
      </c>
      <c r="C116" s="968" t="s">
        <v>249</v>
      </c>
      <c r="D116" s="968"/>
      <c r="E116" s="968">
        <v>0</v>
      </c>
      <c r="F116" s="968">
        <v>0</v>
      </c>
      <c r="G116" s="968">
        <v>0</v>
      </c>
      <c r="H116" s="968">
        <v>0</v>
      </c>
      <c r="I116" s="968" t="s">
        <v>2736</v>
      </c>
      <c r="J116" s="972"/>
      <c r="K116" s="968"/>
      <c r="L116" s="968" t="s">
        <v>2919</v>
      </c>
      <c r="M116" s="968" t="s">
        <v>1009</v>
      </c>
      <c r="N116" s="968" t="s">
        <v>1009</v>
      </c>
      <c r="O116" s="968" t="s">
        <v>1009</v>
      </c>
      <c r="P116" s="968"/>
      <c r="Q116" s="1652"/>
      <c r="R116" s="1038"/>
    </row>
    <row r="117" spans="1:18" s="1007" customFormat="1" ht="30" customHeight="1">
      <c r="A117" s="1012"/>
      <c r="B117" s="968"/>
      <c r="C117" s="968"/>
      <c r="D117" s="968"/>
      <c r="E117" s="968"/>
      <c r="F117" s="968"/>
      <c r="G117" s="968"/>
      <c r="H117" s="968"/>
      <c r="I117" s="968"/>
      <c r="J117" s="972">
        <v>434.73</v>
      </c>
      <c r="K117" s="968"/>
      <c r="L117" s="968"/>
      <c r="M117" s="968"/>
      <c r="N117" s="968"/>
      <c r="O117" s="968"/>
      <c r="P117" s="968"/>
      <c r="Q117" s="1652"/>
      <c r="R117" s="1038"/>
    </row>
    <row r="118" spans="1:18" s="1007" customFormat="1" ht="30" customHeight="1">
      <c r="A118" s="1012">
        <v>56</v>
      </c>
      <c r="B118" s="968" t="s">
        <v>3051</v>
      </c>
      <c r="C118" s="968" t="s">
        <v>1269</v>
      </c>
      <c r="D118" s="968" t="s">
        <v>1962</v>
      </c>
      <c r="E118" s="968">
        <v>0</v>
      </c>
      <c r="F118" s="968">
        <v>0</v>
      </c>
      <c r="G118" s="968">
        <v>0</v>
      </c>
      <c r="H118" s="968">
        <v>0</v>
      </c>
      <c r="I118" s="968" t="s">
        <v>897</v>
      </c>
      <c r="J118" s="972"/>
      <c r="K118" s="968">
        <f>J107+J109+J111+J113+J115+J117</f>
        <v>2514.73</v>
      </c>
      <c r="L118" s="968" t="s">
        <v>2919</v>
      </c>
      <c r="M118" s="968" t="s">
        <v>1009</v>
      </c>
      <c r="N118" s="968" t="s">
        <v>1009</v>
      </c>
      <c r="O118" s="968" t="s">
        <v>1009</v>
      </c>
      <c r="P118" s="968"/>
      <c r="Q118" s="968"/>
      <c r="R118" s="1038"/>
    </row>
    <row r="119" spans="1:18" s="1007" customFormat="1" ht="30" customHeight="1">
      <c r="A119" s="1012"/>
      <c r="B119" s="968"/>
      <c r="C119" s="968"/>
      <c r="D119" s="968"/>
      <c r="E119" s="968"/>
      <c r="F119" s="968"/>
      <c r="G119" s="968"/>
      <c r="H119" s="968"/>
      <c r="I119" s="968"/>
      <c r="J119" s="972">
        <v>395</v>
      </c>
      <c r="K119" s="968"/>
      <c r="L119" s="968"/>
      <c r="M119" s="968"/>
      <c r="N119" s="968"/>
      <c r="O119" s="968"/>
      <c r="P119" s="968"/>
      <c r="Q119" s="1652"/>
      <c r="R119" s="1038"/>
    </row>
    <row r="120" spans="1:18" s="1007" customFormat="1" ht="30" customHeight="1">
      <c r="A120" s="1012">
        <v>57</v>
      </c>
      <c r="B120" s="968" t="s">
        <v>1661</v>
      </c>
      <c r="C120" s="968" t="s">
        <v>62</v>
      </c>
      <c r="D120" s="968"/>
      <c r="E120" s="968">
        <v>0</v>
      </c>
      <c r="F120" s="968">
        <v>0</v>
      </c>
      <c r="G120" s="968">
        <v>0</v>
      </c>
      <c r="H120" s="968">
        <v>0</v>
      </c>
      <c r="I120" s="968" t="s">
        <v>2736</v>
      </c>
      <c r="J120" s="972"/>
      <c r="K120" s="968"/>
      <c r="L120" s="968" t="s">
        <v>2919</v>
      </c>
      <c r="M120" s="968" t="s">
        <v>1009</v>
      </c>
      <c r="N120" s="968" t="s">
        <v>1009</v>
      </c>
      <c r="O120" s="968" t="s">
        <v>1009</v>
      </c>
      <c r="P120" s="968"/>
      <c r="Q120" s="1652"/>
      <c r="R120" s="1038"/>
    </row>
    <row r="121" spans="1:18" s="1007" customFormat="1" ht="30" customHeight="1">
      <c r="A121" s="1012"/>
      <c r="B121" s="968"/>
      <c r="C121" s="968"/>
      <c r="D121" s="968"/>
      <c r="E121" s="968"/>
      <c r="F121" s="968"/>
      <c r="G121" s="968"/>
      <c r="H121" s="968"/>
      <c r="I121" s="968"/>
      <c r="J121" s="972">
        <v>385</v>
      </c>
      <c r="K121" s="968"/>
      <c r="L121" s="968"/>
      <c r="M121" s="968"/>
      <c r="N121" s="968"/>
      <c r="O121" s="968"/>
      <c r="P121" s="968"/>
      <c r="Q121" s="1652"/>
      <c r="R121" s="1038"/>
    </row>
    <row r="122" spans="1:18" s="1007" customFormat="1" ht="30" customHeight="1">
      <c r="A122" s="1012">
        <v>58</v>
      </c>
      <c r="B122" s="968" t="s">
        <v>1662</v>
      </c>
      <c r="C122" s="968" t="s">
        <v>76</v>
      </c>
      <c r="D122" s="968"/>
      <c r="E122" s="968">
        <v>0</v>
      </c>
      <c r="F122" s="968">
        <v>0</v>
      </c>
      <c r="G122" s="968">
        <v>0</v>
      </c>
      <c r="H122" s="968">
        <v>0</v>
      </c>
      <c r="I122" s="968" t="s">
        <v>897</v>
      </c>
      <c r="J122" s="972"/>
      <c r="K122" s="968"/>
      <c r="L122" s="968" t="s">
        <v>2919</v>
      </c>
      <c r="M122" s="968" t="s">
        <v>1009</v>
      </c>
      <c r="N122" s="968" t="s">
        <v>1009</v>
      </c>
      <c r="O122" s="968" t="s">
        <v>1009</v>
      </c>
      <c r="P122" s="968"/>
      <c r="Q122" s="1652"/>
      <c r="R122" s="1038"/>
    </row>
    <row r="123" spans="1:18" s="1007" customFormat="1" ht="30" customHeight="1">
      <c r="A123" s="1012"/>
      <c r="B123" s="968"/>
      <c r="C123" s="968"/>
      <c r="D123" s="968"/>
      <c r="E123" s="968"/>
      <c r="F123" s="968"/>
      <c r="G123" s="968"/>
      <c r="H123" s="968"/>
      <c r="I123" s="968"/>
      <c r="J123" s="972">
        <v>395</v>
      </c>
      <c r="K123" s="968"/>
      <c r="L123" s="968"/>
      <c r="M123" s="968"/>
      <c r="N123" s="968"/>
      <c r="O123" s="968"/>
      <c r="P123" s="968"/>
      <c r="Q123" s="1652"/>
      <c r="R123" s="1038"/>
    </row>
    <row r="124" spans="1:18" s="1007" customFormat="1" ht="30" customHeight="1">
      <c r="A124" s="1012">
        <v>59</v>
      </c>
      <c r="B124" s="968" t="s">
        <v>668</v>
      </c>
      <c r="C124" s="968" t="s">
        <v>76</v>
      </c>
      <c r="D124" s="968"/>
      <c r="E124" s="968">
        <v>0</v>
      </c>
      <c r="F124" s="968">
        <v>0</v>
      </c>
      <c r="G124" s="968">
        <v>0</v>
      </c>
      <c r="H124" s="968">
        <v>0</v>
      </c>
      <c r="I124" s="968" t="s">
        <v>2736</v>
      </c>
      <c r="J124" s="972"/>
      <c r="K124" s="968"/>
      <c r="L124" s="968" t="s">
        <v>2919</v>
      </c>
      <c r="M124" s="968" t="s">
        <v>1009</v>
      </c>
      <c r="N124" s="968" t="s">
        <v>1009</v>
      </c>
      <c r="O124" s="968" t="s">
        <v>1009</v>
      </c>
      <c r="P124" s="968"/>
      <c r="Q124" s="1652"/>
      <c r="R124" s="1038"/>
    </row>
    <row r="125" spans="1:18" s="1007" customFormat="1" ht="30" customHeight="1">
      <c r="A125" s="1012"/>
      <c r="B125" s="968"/>
      <c r="C125" s="968"/>
      <c r="D125" s="968"/>
      <c r="E125" s="968"/>
      <c r="F125" s="968"/>
      <c r="G125" s="968"/>
      <c r="H125" s="968"/>
      <c r="I125" s="968"/>
      <c r="J125" s="972">
        <v>390</v>
      </c>
      <c r="K125" s="968"/>
      <c r="L125" s="968"/>
      <c r="M125" s="968"/>
      <c r="N125" s="968"/>
      <c r="O125" s="968"/>
      <c r="P125" s="968"/>
      <c r="Q125" s="1652"/>
      <c r="R125" s="1038"/>
    </row>
    <row r="126" spans="1:18" s="1007" customFormat="1" ht="30" customHeight="1">
      <c r="A126" s="1012">
        <v>60</v>
      </c>
      <c r="B126" s="968" t="s">
        <v>1663</v>
      </c>
      <c r="C126" s="968" t="s">
        <v>62</v>
      </c>
      <c r="D126" s="968"/>
      <c r="E126" s="968">
        <v>0</v>
      </c>
      <c r="F126" s="968">
        <v>0</v>
      </c>
      <c r="G126" s="968">
        <v>0</v>
      </c>
      <c r="H126" s="968">
        <v>0</v>
      </c>
      <c r="I126" s="968" t="s">
        <v>897</v>
      </c>
      <c r="J126" s="972"/>
      <c r="K126" s="968"/>
      <c r="L126" s="968" t="s">
        <v>2919</v>
      </c>
      <c r="M126" s="968" t="s">
        <v>1009</v>
      </c>
      <c r="N126" s="968" t="s">
        <v>1009</v>
      </c>
      <c r="O126" s="968" t="s">
        <v>1009</v>
      </c>
      <c r="P126" s="968"/>
      <c r="Q126" s="1652"/>
      <c r="R126" s="1038"/>
    </row>
    <row r="127" spans="1:18" s="1007" customFormat="1" ht="30" customHeight="1">
      <c r="A127" s="1012"/>
      <c r="B127" s="968"/>
      <c r="C127" s="968"/>
      <c r="D127" s="968"/>
      <c r="E127" s="968"/>
      <c r="F127" s="968"/>
      <c r="G127" s="968"/>
      <c r="H127" s="968"/>
      <c r="I127" s="968"/>
      <c r="J127" s="972">
        <v>420</v>
      </c>
      <c r="K127" s="968"/>
      <c r="L127" s="968"/>
      <c r="M127" s="968"/>
      <c r="N127" s="968"/>
      <c r="O127" s="968"/>
      <c r="P127" s="968"/>
      <c r="Q127" s="1652"/>
      <c r="R127" s="1038"/>
    </row>
    <row r="128" spans="1:18" s="1007" customFormat="1" ht="30" customHeight="1">
      <c r="A128" s="1012">
        <v>61</v>
      </c>
      <c r="B128" s="968" t="s">
        <v>1963</v>
      </c>
      <c r="C128" s="968" t="s">
        <v>62</v>
      </c>
      <c r="D128" s="968"/>
      <c r="E128" s="968">
        <v>0</v>
      </c>
      <c r="F128" s="968">
        <v>0</v>
      </c>
      <c r="G128" s="968">
        <v>0</v>
      </c>
      <c r="H128" s="968">
        <v>0</v>
      </c>
      <c r="I128" s="968" t="s">
        <v>897</v>
      </c>
      <c r="J128" s="972"/>
      <c r="K128" s="968"/>
      <c r="L128" s="968" t="s">
        <v>2919</v>
      </c>
      <c r="M128" s="968" t="s">
        <v>1009</v>
      </c>
      <c r="N128" s="968" t="s">
        <v>1009</v>
      </c>
      <c r="O128" s="968" t="s">
        <v>1009</v>
      </c>
      <c r="P128" s="968"/>
      <c r="Q128" s="1652"/>
      <c r="R128" s="1038"/>
    </row>
    <row r="129" spans="1:18" s="1007" customFormat="1" ht="30" customHeight="1">
      <c r="A129" s="1012"/>
      <c r="B129" s="968"/>
      <c r="C129" s="968"/>
      <c r="D129" s="968"/>
      <c r="E129" s="968"/>
      <c r="F129" s="968"/>
      <c r="G129" s="968"/>
      <c r="H129" s="968"/>
      <c r="I129" s="968"/>
      <c r="J129" s="972">
        <v>389.48</v>
      </c>
      <c r="K129" s="968"/>
      <c r="L129" s="968"/>
      <c r="M129" s="968"/>
      <c r="N129" s="968"/>
      <c r="O129" s="968"/>
      <c r="P129" s="968"/>
      <c r="Q129" s="1652"/>
      <c r="R129" s="1038"/>
    </row>
    <row r="130" spans="1:18" s="1007" customFormat="1" ht="30" customHeight="1">
      <c r="A130" s="1012">
        <v>62</v>
      </c>
      <c r="B130" s="968" t="s">
        <v>3052</v>
      </c>
      <c r="C130" s="968" t="s">
        <v>1269</v>
      </c>
      <c r="D130" s="968" t="s">
        <v>1965</v>
      </c>
      <c r="E130" s="968">
        <v>0</v>
      </c>
      <c r="F130" s="968">
        <v>0</v>
      </c>
      <c r="G130" s="968">
        <v>0</v>
      </c>
      <c r="H130" s="968">
        <v>0</v>
      </c>
      <c r="I130" s="968" t="s">
        <v>897</v>
      </c>
      <c r="J130" s="972"/>
      <c r="K130" s="968">
        <f>J119+J121+J123+J125+J127+J129</f>
        <v>2374.48</v>
      </c>
      <c r="L130" s="968" t="s">
        <v>2919</v>
      </c>
      <c r="M130" s="968" t="s">
        <v>1009</v>
      </c>
      <c r="N130" s="968" t="s">
        <v>1009</v>
      </c>
      <c r="O130" s="968" t="s">
        <v>1009</v>
      </c>
      <c r="P130" s="968"/>
      <c r="Q130" s="968"/>
      <c r="R130" s="1038"/>
    </row>
    <row r="131" spans="1:18" s="1007" customFormat="1" ht="30" customHeight="1">
      <c r="A131" s="1012"/>
      <c r="B131" s="968"/>
      <c r="C131" s="968"/>
      <c r="D131" s="968"/>
      <c r="E131" s="968"/>
      <c r="F131" s="968"/>
      <c r="G131" s="968"/>
      <c r="H131" s="968"/>
      <c r="I131" s="968"/>
      <c r="J131" s="972">
        <v>410</v>
      </c>
      <c r="K131" s="968"/>
      <c r="L131" s="968"/>
      <c r="M131" s="968"/>
      <c r="N131" s="968"/>
      <c r="O131" s="968"/>
      <c r="P131" s="968"/>
      <c r="Q131" s="1652"/>
      <c r="R131" s="1038"/>
    </row>
    <row r="132" spans="1:18" s="1007" customFormat="1" ht="30" customHeight="1">
      <c r="A132" s="1012">
        <v>63</v>
      </c>
      <c r="B132" s="968" t="s">
        <v>654</v>
      </c>
      <c r="C132" s="968" t="s">
        <v>53</v>
      </c>
      <c r="D132" s="968"/>
      <c r="E132" s="968">
        <v>0</v>
      </c>
      <c r="F132" s="968">
        <v>0</v>
      </c>
      <c r="G132" s="968">
        <v>0</v>
      </c>
      <c r="H132" s="968">
        <v>0</v>
      </c>
      <c r="I132" s="968" t="s">
        <v>897</v>
      </c>
      <c r="J132" s="972"/>
      <c r="K132" s="968"/>
      <c r="L132" s="968" t="s">
        <v>2919</v>
      </c>
      <c r="M132" s="968" t="s">
        <v>1009</v>
      </c>
      <c r="N132" s="968" t="s">
        <v>1009</v>
      </c>
      <c r="O132" s="968" t="s">
        <v>1009</v>
      </c>
      <c r="P132" s="968"/>
      <c r="Q132" s="1652"/>
      <c r="R132" s="1038"/>
    </row>
    <row r="133" spans="1:18" s="1007" customFormat="1" ht="30" customHeight="1">
      <c r="A133" s="1012"/>
      <c r="B133" s="968"/>
      <c r="C133" s="968"/>
      <c r="D133" s="968"/>
      <c r="E133" s="968"/>
      <c r="F133" s="968"/>
      <c r="G133" s="968"/>
      <c r="H133" s="968"/>
      <c r="I133" s="968"/>
      <c r="J133" s="972">
        <v>426.98399999999998</v>
      </c>
      <c r="K133" s="968"/>
      <c r="L133" s="968"/>
      <c r="M133" s="968"/>
      <c r="N133" s="968"/>
      <c r="O133" s="968"/>
      <c r="P133" s="968"/>
      <c r="Q133" s="1652"/>
      <c r="R133" s="1038"/>
    </row>
    <row r="134" spans="1:18" s="1007" customFormat="1" ht="30" customHeight="1">
      <c r="A134" s="1012">
        <v>64</v>
      </c>
      <c r="B134" s="968" t="s">
        <v>3053</v>
      </c>
      <c r="C134" s="968" t="s">
        <v>1277</v>
      </c>
      <c r="D134" s="968" t="s">
        <v>1967</v>
      </c>
      <c r="E134" s="968">
        <v>0</v>
      </c>
      <c r="F134" s="968">
        <v>0</v>
      </c>
      <c r="G134" s="968">
        <v>0</v>
      </c>
      <c r="H134" s="968">
        <v>0</v>
      </c>
      <c r="I134" s="968" t="s">
        <v>897</v>
      </c>
      <c r="J134" s="972"/>
      <c r="K134" s="968">
        <f>J131+J133</f>
        <v>836.98399999999992</v>
      </c>
      <c r="L134" s="968" t="s">
        <v>2919</v>
      </c>
      <c r="M134" s="968" t="s">
        <v>1009</v>
      </c>
      <c r="N134" s="968" t="s">
        <v>1009</v>
      </c>
      <c r="O134" s="968" t="s">
        <v>1009</v>
      </c>
      <c r="P134" s="968"/>
      <c r="Q134" s="968"/>
      <c r="R134" s="1038"/>
    </row>
    <row r="135" spans="1:18" s="1007" customFormat="1" ht="30" customHeight="1">
      <c r="A135" s="1012"/>
      <c r="B135" s="968"/>
      <c r="C135" s="968"/>
      <c r="D135" s="968"/>
      <c r="E135" s="968"/>
      <c r="F135" s="968"/>
      <c r="G135" s="968"/>
      <c r="H135" s="968"/>
      <c r="I135" s="968"/>
      <c r="J135" s="972">
        <v>290</v>
      </c>
      <c r="K135" s="968"/>
      <c r="L135" s="968"/>
      <c r="M135" s="968"/>
      <c r="N135" s="968"/>
      <c r="O135" s="968"/>
      <c r="P135" s="968"/>
      <c r="Q135" s="1652"/>
      <c r="R135" s="1038"/>
    </row>
    <row r="136" spans="1:18" s="1007" customFormat="1" ht="30" customHeight="1">
      <c r="A136" s="1012">
        <v>65</v>
      </c>
      <c r="B136" s="968" t="s">
        <v>770</v>
      </c>
      <c r="C136" s="968" t="s">
        <v>76</v>
      </c>
      <c r="D136" s="968"/>
      <c r="E136" s="968">
        <v>0</v>
      </c>
      <c r="F136" s="968">
        <v>0</v>
      </c>
      <c r="G136" s="968">
        <v>0</v>
      </c>
      <c r="H136" s="968">
        <v>0</v>
      </c>
      <c r="I136" s="968" t="s">
        <v>897</v>
      </c>
      <c r="J136" s="972"/>
      <c r="K136" s="968"/>
      <c r="L136" s="968" t="s">
        <v>2919</v>
      </c>
      <c r="M136" s="968"/>
      <c r="N136" s="968"/>
      <c r="O136" s="968"/>
      <c r="P136" s="968"/>
      <c r="Q136" s="1652"/>
      <c r="R136" s="1038" t="s">
        <v>3350</v>
      </c>
    </row>
    <row r="137" spans="1:18" s="1007" customFormat="1" ht="30" customHeight="1">
      <c r="A137" s="1012"/>
      <c r="B137" s="968"/>
      <c r="C137" s="968"/>
      <c r="D137" s="968"/>
      <c r="E137" s="968"/>
      <c r="F137" s="968"/>
      <c r="G137" s="968"/>
      <c r="H137" s="968"/>
      <c r="I137" s="968"/>
      <c r="J137" s="972">
        <v>360</v>
      </c>
      <c r="K137" s="968"/>
      <c r="L137" s="968"/>
      <c r="M137" s="968"/>
      <c r="N137" s="968"/>
      <c r="O137" s="968"/>
      <c r="P137" s="968"/>
      <c r="Q137" s="1652"/>
      <c r="R137" s="1038"/>
    </row>
    <row r="138" spans="1:18" s="1007" customFormat="1" ht="30" customHeight="1">
      <c r="A138" s="1012">
        <v>66</v>
      </c>
      <c r="B138" s="968" t="s">
        <v>984</v>
      </c>
      <c r="C138" s="968" t="s">
        <v>76</v>
      </c>
      <c r="D138" s="968"/>
      <c r="E138" s="968">
        <v>0</v>
      </c>
      <c r="F138" s="968">
        <v>0</v>
      </c>
      <c r="G138" s="968">
        <v>0</v>
      </c>
      <c r="H138" s="968">
        <v>0</v>
      </c>
      <c r="I138" s="968" t="s">
        <v>897</v>
      </c>
      <c r="J138" s="972"/>
      <c r="K138" s="968"/>
      <c r="L138" s="968" t="s">
        <v>2919</v>
      </c>
      <c r="M138" s="968" t="s">
        <v>1009</v>
      </c>
      <c r="N138" s="968"/>
      <c r="O138" s="968" t="s">
        <v>1009</v>
      </c>
      <c r="P138" s="968"/>
      <c r="Q138" s="1652"/>
      <c r="R138" s="1038"/>
    </row>
    <row r="139" spans="1:18" s="1007" customFormat="1" ht="30" customHeight="1">
      <c r="A139" s="1012"/>
      <c r="B139" s="968"/>
      <c r="C139" s="968"/>
      <c r="D139" s="968"/>
      <c r="E139" s="968"/>
      <c r="F139" s="968"/>
      <c r="G139" s="968"/>
      <c r="H139" s="968"/>
      <c r="I139" s="968"/>
      <c r="J139" s="972">
        <v>317.8</v>
      </c>
      <c r="K139" s="968"/>
      <c r="L139" s="968"/>
      <c r="M139" s="968"/>
      <c r="N139" s="968"/>
      <c r="O139" s="968"/>
      <c r="P139" s="968"/>
      <c r="Q139" s="1652"/>
      <c r="R139" s="1038"/>
    </row>
    <row r="140" spans="1:18" s="1007" customFormat="1" ht="30" customHeight="1">
      <c r="A140" s="1012">
        <v>67</v>
      </c>
      <c r="B140" s="968" t="s">
        <v>3054</v>
      </c>
      <c r="C140" s="968" t="s">
        <v>1269</v>
      </c>
      <c r="D140" s="968" t="s">
        <v>1969</v>
      </c>
      <c r="E140" s="968">
        <v>0</v>
      </c>
      <c r="F140" s="968">
        <v>0</v>
      </c>
      <c r="G140" s="968">
        <v>0</v>
      </c>
      <c r="H140" s="968">
        <v>0</v>
      </c>
      <c r="I140" s="968" t="s">
        <v>897</v>
      </c>
      <c r="J140" s="972"/>
      <c r="K140" s="968">
        <f>J135+J137+J139</f>
        <v>967.8</v>
      </c>
      <c r="L140" s="968" t="s">
        <v>2919</v>
      </c>
      <c r="M140" s="968" t="s">
        <v>22</v>
      </c>
      <c r="N140" s="968"/>
      <c r="O140" s="968"/>
      <c r="P140" s="968"/>
      <c r="Q140" s="968"/>
      <c r="R140" s="1038"/>
    </row>
    <row r="141" spans="1:18" s="1007" customFormat="1" ht="30" customHeight="1">
      <c r="A141" s="1012"/>
      <c r="B141" s="968"/>
      <c r="C141" s="968"/>
      <c r="D141" s="968"/>
      <c r="E141" s="968"/>
      <c r="F141" s="968"/>
      <c r="G141" s="968"/>
      <c r="H141" s="968"/>
      <c r="I141" s="968"/>
      <c r="J141" s="972">
        <v>427.154</v>
      </c>
      <c r="K141" s="968"/>
      <c r="L141" s="968"/>
      <c r="M141" s="968"/>
      <c r="N141" s="968"/>
      <c r="O141" s="968"/>
      <c r="P141" s="968"/>
      <c r="Q141" s="1652"/>
      <c r="R141" s="1038"/>
    </row>
    <row r="142" spans="1:18" s="1007" customFormat="1" ht="30" customHeight="1">
      <c r="A142" s="1012">
        <v>68</v>
      </c>
      <c r="B142" s="968" t="s">
        <v>962</v>
      </c>
      <c r="C142" s="968" t="s">
        <v>53</v>
      </c>
      <c r="D142" s="968"/>
      <c r="E142" s="968">
        <v>0</v>
      </c>
      <c r="F142" s="968">
        <v>0</v>
      </c>
      <c r="G142" s="968">
        <v>0</v>
      </c>
      <c r="H142" s="968">
        <v>0</v>
      </c>
      <c r="I142" s="968"/>
      <c r="J142" s="972"/>
      <c r="K142" s="968"/>
      <c r="L142" s="968"/>
      <c r="M142" s="968"/>
      <c r="N142" s="968"/>
      <c r="O142" s="968"/>
      <c r="P142" s="968"/>
      <c r="Q142" s="1652"/>
      <c r="R142" s="1038"/>
    </row>
    <row r="143" spans="1:18" s="1007" customFormat="1" ht="30" customHeight="1">
      <c r="A143" s="1012"/>
      <c r="B143" s="968"/>
      <c r="C143" s="968"/>
      <c r="D143" s="968"/>
      <c r="E143" s="968"/>
      <c r="F143" s="968"/>
      <c r="G143" s="968"/>
      <c r="H143" s="968"/>
      <c r="I143" s="968"/>
      <c r="J143" s="972">
        <v>392.75299999999999</v>
      </c>
      <c r="K143" s="968"/>
      <c r="L143" s="968"/>
      <c r="M143" s="968"/>
      <c r="N143" s="968"/>
      <c r="O143" s="968"/>
      <c r="P143" s="968"/>
      <c r="Q143" s="1652"/>
      <c r="R143" s="1038"/>
    </row>
    <row r="144" spans="1:18" s="1007" customFormat="1" ht="30" customHeight="1">
      <c r="A144" s="1012">
        <v>69</v>
      </c>
      <c r="B144" s="968" t="s">
        <v>3055</v>
      </c>
      <c r="C144" s="968" t="s">
        <v>1319</v>
      </c>
      <c r="D144" s="968" t="s">
        <v>1971</v>
      </c>
      <c r="E144" s="968">
        <v>2</v>
      </c>
      <c r="F144" s="968">
        <v>2</v>
      </c>
      <c r="G144" s="968">
        <v>2</v>
      </c>
      <c r="H144" s="968">
        <v>2</v>
      </c>
      <c r="I144" s="968" t="s">
        <v>897</v>
      </c>
      <c r="J144" s="972"/>
      <c r="K144" s="968">
        <f>J141+J143</f>
        <v>819.90699999999993</v>
      </c>
      <c r="L144" s="968" t="s">
        <v>2919</v>
      </c>
      <c r="M144" s="968" t="s">
        <v>22</v>
      </c>
      <c r="N144" s="968"/>
      <c r="O144" s="968"/>
      <c r="P144" s="968"/>
      <c r="Q144" s="968"/>
      <c r="R144" s="1038"/>
    </row>
    <row r="145" spans="1:18" s="1007" customFormat="1" ht="30" customHeight="1">
      <c r="A145" s="1012"/>
      <c r="B145" s="968"/>
      <c r="C145" s="968"/>
      <c r="D145" s="968"/>
      <c r="E145" s="968"/>
      <c r="F145" s="968"/>
      <c r="G145" s="968"/>
      <c r="H145" s="968"/>
      <c r="I145" s="968"/>
      <c r="J145" s="972">
        <v>415</v>
      </c>
      <c r="K145" s="968"/>
      <c r="L145" s="968"/>
      <c r="M145" s="968"/>
      <c r="N145" s="968"/>
      <c r="O145" s="968"/>
      <c r="P145" s="968"/>
      <c r="Q145" s="1652"/>
      <c r="R145" s="1038"/>
    </row>
    <row r="146" spans="1:18" s="1007" customFormat="1" ht="30" customHeight="1">
      <c r="A146" s="1012">
        <v>70</v>
      </c>
      <c r="B146" s="968" t="s">
        <v>894</v>
      </c>
      <c r="C146" s="968" t="s">
        <v>53</v>
      </c>
      <c r="D146" s="968"/>
      <c r="E146" s="968">
        <v>0</v>
      </c>
      <c r="F146" s="968">
        <v>0</v>
      </c>
      <c r="G146" s="968">
        <v>0</v>
      </c>
      <c r="H146" s="968">
        <v>0</v>
      </c>
      <c r="I146" s="968"/>
      <c r="J146" s="972"/>
      <c r="K146" s="968"/>
      <c r="L146" s="968"/>
      <c r="M146" s="968"/>
      <c r="N146" s="968"/>
      <c r="O146" s="968"/>
      <c r="P146" s="968"/>
      <c r="Q146" s="1652"/>
      <c r="R146" s="1038"/>
    </row>
    <row r="147" spans="1:18" s="1007" customFormat="1" ht="30" customHeight="1">
      <c r="A147" s="1012"/>
      <c r="B147" s="968"/>
      <c r="C147" s="968"/>
      <c r="D147" s="968"/>
      <c r="E147" s="968"/>
      <c r="F147" s="968"/>
      <c r="G147" s="968"/>
      <c r="H147" s="968"/>
      <c r="I147" s="968"/>
      <c r="J147" s="972">
        <v>405.23399999999998</v>
      </c>
      <c r="K147" s="968"/>
      <c r="L147" s="968"/>
      <c r="M147" s="968"/>
      <c r="N147" s="968"/>
      <c r="O147" s="968"/>
      <c r="P147" s="968"/>
      <c r="Q147" s="1652"/>
      <c r="R147" s="1038"/>
    </row>
    <row r="148" spans="1:18" s="1007" customFormat="1" ht="30" customHeight="1">
      <c r="A148" s="1012">
        <v>71</v>
      </c>
      <c r="B148" s="968" t="s">
        <v>3056</v>
      </c>
      <c r="C148" s="968" t="s">
        <v>1277</v>
      </c>
      <c r="D148" s="968" t="s">
        <v>1974</v>
      </c>
      <c r="E148" s="968">
        <v>0</v>
      </c>
      <c r="F148" s="968">
        <v>0</v>
      </c>
      <c r="G148" s="968">
        <v>0</v>
      </c>
      <c r="H148" s="968">
        <v>0</v>
      </c>
      <c r="I148" s="968"/>
      <c r="J148" s="972"/>
      <c r="K148" s="968">
        <f>J145+J147</f>
        <v>820.23399999999992</v>
      </c>
      <c r="L148" s="968"/>
      <c r="M148" s="968"/>
      <c r="N148" s="968"/>
      <c r="O148" s="968"/>
      <c r="P148" s="968"/>
      <c r="Q148" s="968"/>
      <c r="R148" s="1038"/>
    </row>
    <row r="149" spans="1:18" s="1007" customFormat="1" ht="30" customHeight="1">
      <c r="A149" s="1012"/>
      <c r="B149" s="968"/>
      <c r="C149" s="968"/>
      <c r="D149" s="968"/>
      <c r="E149" s="968"/>
      <c r="F149" s="968"/>
      <c r="G149" s="968"/>
      <c r="H149" s="968"/>
      <c r="I149" s="968"/>
      <c r="J149" s="972">
        <v>439.8</v>
      </c>
      <c r="K149" s="968"/>
      <c r="L149" s="968"/>
      <c r="M149" s="968"/>
      <c r="N149" s="968"/>
      <c r="O149" s="968"/>
      <c r="P149" s="968"/>
      <c r="Q149" s="968"/>
      <c r="R149" s="1038"/>
    </row>
    <row r="150" spans="1:18" s="1007" customFormat="1" ht="30" customHeight="1">
      <c r="A150" s="1012">
        <v>72</v>
      </c>
      <c r="B150" s="968" t="s">
        <v>3057</v>
      </c>
      <c r="C150" s="968" t="s">
        <v>1977</v>
      </c>
      <c r="D150" s="968" t="s">
        <v>1978</v>
      </c>
      <c r="E150" s="968">
        <v>0</v>
      </c>
      <c r="F150" s="968">
        <v>0</v>
      </c>
      <c r="G150" s="968">
        <v>0</v>
      </c>
      <c r="H150" s="968">
        <v>0</v>
      </c>
      <c r="I150" s="968"/>
      <c r="J150" s="972"/>
      <c r="K150" s="968">
        <f>J149</f>
        <v>439.8</v>
      </c>
      <c r="L150" s="968"/>
      <c r="M150" s="968"/>
      <c r="N150" s="968"/>
      <c r="O150" s="968"/>
      <c r="P150" s="968"/>
      <c r="Q150" s="968"/>
      <c r="R150" s="1038"/>
    </row>
    <row r="151" spans="1:18" s="1007" customFormat="1" ht="30" customHeight="1">
      <c r="A151" s="1012"/>
      <c r="B151" s="968"/>
      <c r="C151" s="968"/>
      <c r="D151" s="968"/>
      <c r="E151" s="968"/>
      <c r="F151" s="968"/>
      <c r="G151" s="968"/>
      <c r="H151" s="968"/>
      <c r="I151" s="968"/>
      <c r="J151" s="972">
        <v>376</v>
      </c>
      <c r="K151" s="968"/>
      <c r="L151" s="968"/>
      <c r="M151" s="968"/>
      <c r="N151" s="968"/>
      <c r="O151" s="968"/>
      <c r="P151" s="968"/>
      <c r="Q151" s="1652"/>
      <c r="R151" s="1038"/>
    </row>
    <row r="152" spans="1:18" s="1007" customFormat="1" ht="30" customHeight="1">
      <c r="A152" s="1012">
        <v>73</v>
      </c>
      <c r="B152" s="968" t="s">
        <v>974</v>
      </c>
      <c r="C152" s="968" t="s">
        <v>62</v>
      </c>
      <c r="D152" s="968"/>
      <c r="E152" s="968">
        <v>0</v>
      </c>
      <c r="F152" s="968">
        <v>0</v>
      </c>
      <c r="G152" s="968">
        <v>0</v>
      </c>
      <c r="H152" s="968">
        <v>0</v>
      </c>
      <c r="I152" s="968"/>
      <c r="J152" s="972"/>
      <c r="K152" s="968"/>
      <c r="L152" s="968"/>
      <c r="M152" s="968"/>
      <c r="N152" s="968"/>
      <c r="O152" s="968"/>
      <c r="P152" s="968"/>
      <c r="Q152" s="1652"/>
      <c r="R152" s="1038"/>
    </row>
    <row r="153" spans="1:18" s="1007" customFormat="1" ht="30" customHeight="1">
      <c r="A153" s="1012"/>
      <c r="B153" s="968"/>
      <c r="C153" s="968"/>
      <c r="D153" s="968"/>
      <c r="E153" s="968"/>
      <c r="F153" s="968"/>
      <c r="G153" s="968"/>
      <c r="H153" s="968"/>
      <c r="I153" s="968"/>
      <c r="J153" s="972">
        <v>416</v>
      </c>
      <c r="K153" s="968"/>
      <c r="L153" s="968"/>
      <c r="M153" s="968"/>
      <c r="N153" s="968"/>
      <c r="O153" s="968"/>
      <c r="P153" s="968"/>
      <c r="Q153" s="1652"/>
      <c r="R153" s="1038"/>
    </row>
    <row r="154" spans="1:18" s="1007" customFormat="1" ht="30" customHeight="1">
      <c r="A154" s="1012">
        <v>74</v>
      </c>
      <c r="B154" s="968" t="s">
        <v>814</v>
      </c>
      <c r="C154" s="968" t="s">
        <v>62</v>
      </c>
      <c r="D154" s="968"/>
      <c r="E154" s="968">
        <v>0</v>
      </c>
      <c r="F154" s="968">
        <v>0</v>
      </c>
      <c r="G154" s="968">
        <v>0</v>
      </c>
      <c r="H154" s="968">
        <v>0</v>
      </c>
      <c r="I154" s="968"/>
      <c r="J154" s="972"/>
      <c r="K154" s="968"/>
      <c r="L154" s="968"/>
      <c r="M154" s="968"/>
      <c r="N154" s="968"/>
      <c r="O154" s="968"/>
      <c r="P154" s="968"/>
      <c r="Q154" s="1652"/>
      <c r="R154" s="1038"/>
    </row>
    <row r="155" spans="1:18" s="1007" customFormat="1" ht="30" customHeight="1">
      <c r="A155" s="1012"/>
      <c r="B155" s="968"/>
      <c r="C155" s="968"/>
      <c r="D155" s="968"/>
      <c r="E155" s="968"/>
      <c r="F155" s="968"/>
      <c r="G155" s="968"/>
      <c r="H155" s="968"/>
      <c r="I155" s="968"/>
      <c r="J155" s="972">
        <v>411.4</v>
      </c>
      <c r="K155" s="968"/>
      <c r="L155" s="968"/>
      <c r="M155" s="968"/>
      <c r="N155" s="968"/>
      <c r="O155" s="968"/>
      <c r="P155" s="968"/>
      <c r="Q155" s="1652"/>
      <c r="R155" s="1038"/>
    </row>
    <row r="156" spans="1:18" s="1007" customFormat="1" ht="30" customHeight="1">
      <c r="A156" s="1012">
        <v>75</v>
      </c>
      <c r="B156" s="968" t="s">
        <v>3058</v>
      </c>
      <c r="C156" s="968" t="s">
        <v>1269</v>
      </c>
      <c r="D156" s="968" t="s">
        <v>1983</v>
      </c>
      <c r="E156" s="968">
        <v>0</v>
      </c>
      <c r="F156" s="968">
        <v>0</v>
      </c>
      <c r="G156" s="968">
        <v>0</v>
      </c>
      <c r="H156" s="968">
        <v>0</v>
      </c>
      <c r="I156" s="968"/>
      <c r="J156" s="972"/>
      <c r="K156" s="968">
        <f>J151+J153+J155</f>
        <v>1203.4000000000001</v>
      </c>
      <c r="L156" s="968"/>
      <c r="M156" s="968"/>
      <c r="N156" s="968"/>
      <c r="O156" s="968"/>
      <c r="P156" s="968"/>
      <c r="Q156" s="968"/>
      <c r="R156" s="1038"/>
    </row>
    <row r="157" spans="1:18" s="1007" customFormat="1" ht="30" customHeight="1">
      <c r="A157" s="1012"/>
      <c r="B157" s="968"/>
      <c r="C157" s="968"/>
      <c r="D157" s="968"/>
      <c r="E157" s="968"/>
      <c r="F157" s="968"/>
      <c r="G157" s="968"/>
      <c r="H157" s="968"/>
      <c r="I157" s="968"/>
      <c r="J157" s="972">
        <v>390</v>
      </c>
      <c r="K157" s="968"/>
      <c r="L157" s="968"/>
      <c r="M157" s="968"/>
      <c r="N157" s="968"/>
      <c r="O157" s="968"/>
      <c r="P157" s="968"/>
      <c r="Q157" s="1652"/>
      <c r="R157" s="1038"/>
    </row>
    <row r="158" spans="1:18" s="1007" customFormat="1" ht="30" customHeight="1">
      <c r="A158" s="1012">
        <v>76</v>
      </c>
      <c r="B158" s="968" t="s">
        <v>825</v>
      </c>
      <c r="C158" s="968" t="s">
        <v>62</v>
      </c>
      <c r="D158" s="968"/>
      <c r="E158" s="968">
        <v>0</v>
      </c>
      <c r="F158" s="968">
        <v>0</v>
      </c>
      <c r="G158" s="968">
        <v>0</v>
      </c>
      <c r="H158" s="968">
        <v>0</v>
      </c>
      <c r="I158" s="968" t="s">
        <v>897</v>
      </c>
      <c r="J158" s="972"/>
      <c r="K158" s="968"/>
      <c r="L158" s="968" t="s">
        <v>2919</v>
      </c>
      <c r="M158" s="968" t="s">
        <v>1009</v>
      </c>
      <c r="N158" s="968" t="s">
        <v>1009</v>
      </c>
      <c r="O158" s="968"/>
      <c r="P158" s="968"/>
      <c r="Q158" s="1652"/>
      <c r="R158" s="1038"/>
    </row>
    <row r="159" spans="1:18" s="1007" customFormat="1" ht="30" customHeight="1">
      <c r="A159" s="1012"/>
      <c r="B159" s="968"/>
      <c r="C159" s="968"/>
      <c r="D159" s="968"/>
      <c r="E159" s="968"/>
      <c r="F159" s="968"/>
      <c r="G159" s="968"/>
      <c r="H159" s="968"/>
      <c r="I159" s="968"/>
      <c r="J159" s="972">
        <v>385.27199999999999</v>
      </c>
      <c r="K159" s="968"/>
      <c r="L159" s="968"/>
      <c r="M159" s="968"/>
      <c r="N159" s="968"/>
      <c r="O159" s="968"/>
      <c r="P159" s="968"/>
      <c r="Q159" s="1652"/>
      <c r="R159" s="1038"/>
    </row>
    <row r="160" spans="1:18" s="1007" customFormat="1" ht="30" customHeight="1">
      <c r="A160" s="1012">
        <v>77</v>
      </c>
      <c r="B160" s="968" t="s">
        <v>3059</v>
      </c>
      <c r="C160" s="968" t="s">
        <v>1269</v>
      </c>
      <c r="D160" s="968" t="s">
        <v>1984</v>
      </c>
      <c r="E160" s="968">
        <v>0</v>
      </c>
      <c r="F160" s="968">
        <v>0</v>
      </c>
      <c r="G160" s="968">
        <v>0</v>
      </c>
      <c r="H160" s="968">
        <v>0</v>
      </c>
      <c r="I160" s="968"/>
      <c r="J160" s="972"/>
      <c r="K160" s="968">
        <f>J157+J159</f>
        <v>775.27199999999993</v>
      </c>
      <c r="L160" s="968"/>
      <c r="M160" s="968"/>
      <c r="N160" s="968"/>
      <c r="O160" s="968"/>
      <c r="P160" s="968"/>
      <c r="Q160" s="968"/>
      <c r="R160" s="1038"/>
    </row>
    <row r="161" spans="1:18" s="1007" customFormat="1" ht="30" customHeight="1">
      <c r="A161" s="1012"/>
      <c r="B161" s="968"/>
      <c r="C161" s="968"/>
      <c r="D161" s="968"/>
      <c r="E161" s="968"/>
      <c r="F161" s="968"/>
      <c r="G161" s="968"/>
      <c r="H161" s="968"/>
      <c r="I161" s="968"/>
      <c r="J161" s="972">
        <v>399.20600000000002</v>
      </c>
      <c r="K161" s="968"/>
      <c r="L161" s="968"/>
      <c r="M161" s="968"/>
      <c r="N161" s="968"/>
      <c r="O161" s="968"/>
      <c r="P161" s="968"/>
      <c r="Q161" s="1652"/>
      <c r="R161" s="1038"/>
    </row>
    <row r="162" spans="1:18" s="1007" customFormat="1" ht="30" customHeight="1">
      <c r="A162" s="1012">
        <v>78</v>
      </c>
      <c r="B162" s="968" t="s">
        <v>829</v>
      </c>
      <c r="C162" s="968" t="s">
        <v>62</v>
      </c>
      <c r="D162" s="968"/>
      <c r="E162" s="968">
        <v>0</v>
      </c>
      <c r="F162" s="968">
        <v>0</v>
      </c>
      <c r="G162" s="968">
        <v>0</v>
      </c>
      <c r="H162" s="968">
        <v>0</v>
      </c>
      <c r="I162" s="968" t="s">
        <v>1765</v>
      </c>
      <c r="J162" s="972"/>
      <c r="K162" s="968"/>
      <c r="L162" s="968"/>
      <c r="M162" s="968"/>
      <c r="N162" s="968"/>
      <c r="O162" s="968"/>
      <c r="P162" s="968"/>
      <c r="Q162" s="1652"/>
      <c r="R162" s="1038"/>
    </row>
    <row r="163" spans="1:18" s="1007" customFormat="1" ht="30" customHeight="1">
      <c r="A163" s="1012"/>
      <c r="B163" s="968"/>
      <c r="C163" s="968"/>
      <c r="D163" s="968"/>
      <c r="E163" s="968"/>
      <c r="F163" s="968"/>
      <c r="G163" s="968"/>
      <c r="H163" s="968"/>
      <c r="I163" s="968"/>
      <c r="J163" s="972">
        <v>407.48700000000002</v>
      </c>
      <c r="K163" s="968"/>
      <c r="L163" s="968"/>
      <c r="M163" s="968"/>
      <c r="N163" s="968"/>
      <c r="O163" s="968"/>
      <c r="P163" s="968"/>
      <c r="Q163" s="1652"/>
      <c r="R163" s="1038"/>
    </row>
    <row r="164" spans="1:18" s="1007" customFormat="1" ht="30" customHeight="1">
      <c r="A164" s="1012">
        <v>79</v>
      </c>
      <c r="B164" s="968" t="s">
        <v>965</v>
      </c>
      <c r="C164" s="968" t="s">
        <v>76</v>
      </c>
      <c r="D164" s="968"/>
      <c r="E164" s="968">
        <v>0</v>
      </c>
      <c r="F164" s="968">
        <v>0</v>
      </c>
      <c r="G164" s="968">
        <v>0</v>
      </c>
      <c r="H164" s="968">
        <v>0</v>
      </c>
      <c r="I164" s="968" t="s">
        <v>897</v>
      </c>
      <c r="J164" s="972"/>
      <c r="K164" s="968"/>
      <c r="L164" s="968" t="s">
        <v>2919</v>
      </c>
      <c r="M164" s="968" t="s">
        <v>1009</v>
      </c>
      <c r="N164" s="968" t="s">
        <v>1009</v>
      </c>
      <c r="O164" s="968" t="s">
        <v>1009</v>
      </c>
      <c r="P164" s="968"/>
      <c r="Q164" s="1652"/>
      <c r="R164" s="1038"/>
    </row>
    <row r="165" spans="1:18" s="1007" customFormat="1" ht="30" customHeight="1">
      <c r="A165" s="1012"/>
      <c r="B165" s="968"/>
      <c r="C165" s="968"/>
      <c r="D165" s="968"/>
      <c r="E165" s="968"/>
      <c r="F165" s="968"/>
      <c r="G165" s="968"/>
      <c r="H165" s="968"/>
      <c r="I165" s="968"/>
      <c r="J165" s="972">
        <v>403.2</v>
      </c>
      <c r="K165" s="968"/>
      <c r="L165" s="968"/>
      <c r="M165" s="968"/>
      <c r="N165" s="968"/>
      <c r="O165" s="968"/>
      <c r="P165" s="968"/>
      <c r="Q165" s="1652"/>
      <c r="R165" s="1038"/>
    </row>
    <row r="166" spans="1:18" s="1007" customFormat="1" ht="30" customHeight="1">
      <c r="A166" s="1012">
        <v>80</v>
      </c>
      <c r="B166" s="968" t="s">
        <v>3060</v>
      </c>
      <c r="C166" s="968" t="s">
        <v>1361</v>
      </c>
      <c r="D166" s="968" t="s">
        <v>1986</v>
      </c>
      <c r="E166" s="968">
        <v>0</v>
      </c>
      <c r="F166" s="968">
        <v>0</v>
      </c>
      <c r="G166" s="968">
        <v>0</v>
      </c>
      <c r="H166" s="968">
        <v>0</v>
      </c>
      <c r="I166" s="968" t="s">
        <v>2736</v>
      </c>
      <c r="J166" s="972"/>
      <c r="K166" s="968">
        <f>J161+J163+J165</f>
        <v>1209.893</v>
      </c>
      <c r="L166" s="968" t="s">
        <v>2919</v>
      </c>
      <c r="M166" s="968" t="s">
        <v>1009</v>
      </c>
      <c r="N166" s="968" t="s">
        <v>1009</v>
      </c>
      <c r="O166" s="968" t="s">
        <v>1009</v>
      </c>
      <c r="P166" s="968"/>
      <c r="Q166" s="968"/>
      <c r="R166" s="1038"/>
    </row>
    <row r="167" spans="1:18" s="1007" customFormat="1" ht="30" customHeight="1">
      <c r="A167" s="1012"/>
      <c r="B167" s="968"/>
      <c r="C167" s="968"/>
      <c r="D167" s="968"/>
      <c r="E167" s="968"/>
      <c r="F167" s="968"/>
      <c r="G167" s="968"/>
      <c r="H167" s="968"/>
      <c r="I167" s="968"/>
      <c r="J167" s="972">
        <v>429.65300000000002</v>
      </c>
      <c r="K167" s="968"/>
      <c r="L167" s="968"/>
      <c r="M167" s="968"/>
      <c r="N167" s="968"/>
      <c r="O167" s="968"/>
      <c r="P167" s="968"/>
      <c r="Q167" s="1652"/>
      <c r="R167" s="1038"/>
    </row>
    <row r="168" spans="1:18" s="1007" customFormat="1" ht="30" customHeight="1">
      <c r="A168" s="1012">
        <v>81</v>
      </c>
      <c r="B168" s="968" t="s">
        <v>964</v>
      </c>
      <c r="C168" s="968" t="s">
        <v>62</v>
      </c>
      <c r="D168" s="968"/>
      <c r="E168" s="968">
        <v>0</v>
      </c>
      <c r="F168" s="968">
        <v>0</v>
      </c>
      <c r="G168" s="968">
        <v>0</v>
      </c>
      <c r="H168" s="968">
        <v>0</v>
      </c>
      <c r="I168" s="968" t="s">
        <v>1765</v>
      </c>
      <c r="J168" s="972"/>
      <c r="K168" s="968"/>
      <c r="L168" s="968" t="s">
        <v>2919</v>
      </c>
      <c r="M168" s="968" t="s">
        <v>1009</v>
      </c>
      <c r="N168" s="968" t="s">
        <v>1009</v>
      </c>
      <c r="O168" s="968" t="s">
        <v>1009</v>
      </c>
      <c r="P168" s="968"/>
      <c r="Q168" s="1652"/>
      <c r="R168" s="1038"/>
    </row>
    <row r="169" spans="1:18" s="1007" customFormat="1" ht="30" customHeight="1">
      <c r="A169" s="1012"/>
      <c r="B169" s="968"/>
      <c r="C169" s="968"/>
      <c r="D169" s="968"/>
      <c r="E169" s="968"/>
      <c r="F169" s="968"/>
      <c r="G169" s="968"/>
      <c r="H169" s="968"/>
      <c r="I169" s="968"/>
      <c r="J169" s="972">
        <v>400.3</v>
      </c>
      <c r="K169" s="968"/>
      <c r="L169" s="968"/>
      <c r="M169" s="968"/>
      <c r="N169" s="968"/>
      <c r="O169" s="968"/>
      <c r="P169" s="968"/>
      <c r="Q169" s="1652"/>
      <c r="R169" s="1038"/>
    </row>
    <row r="170" spans="1:18" s="1007" customFormat="1" ht="30" customHeight="1">
      <c r="A170" s="1012">
        <v>82</v>
      </c>
      <c r="B170" s="968" t="s">
        <v>834</v>
      </c>
      <c r="C170" s="968" t="s">
        <v>62</v>
      </c>
      <c r="D170" s="968"/>
      <c r="E170" s="968">
        <v>0</v>
      </c>
      <c r="F170" s="968">
        <v>0</v>
      </c>
      <c r="G170" s="968">
        <v>0</v>
      </c>
      <c r="H170" s="968">
        <v>0</v>
      </c>
      <c r="I170" s="968" t="s">
        <v>2736</v>
      </c>
      <c r="J170" s="972"/>
      <c r="K170" s="968"/>
      <c r="L170" s="968" t="s">
        <v>2919</v>
      </c>
      <c r="M170" s="968" t="s">
        <v>1009</v>
      </c>
      <c r="N170" s="968"/>
      <c r="O170" s="968"/>
      <c r="P170" s="968"/>
      <c r="Q170" s="1652"/>
      <c r="R170" s="1038"/>
    </row>
    <row r="171" spans="1:18" s="1007" customFormat="1" ht="30" customHeight="1">
      <c r="A171" s="1012"/>
      <c r="B171" s="968"/>
      <c r="C171" s="968"/>
      <c r="D171" s="968"/>
      <c r="E171" s="968"/>
      <c r="F171" s="968"/>
      <c r="G171" s="968"/>
      <c r="H171" s="968"/>
      <c r="I171" s="968"/>
      <c r="J171" s="972">
        <v>414.63</v>
      </c>
      <c r="K171" s="968"/>
      <c r="L171" s="968"/>
      <c r="M171" s="968"/>
      <c r="N171" s="968"/>
      <c r="O171" s="968"/>
      <c r="P171" s="968"/>
      <c r="Q171" s="1652"/>
      <c r="R171" s="1038"/>
    </row>
    <row r="172" spans="1:18" s="1007" customFormat="1" ht="30" customHeight="1">
      <c r="A172" s="1012">
        <v>83</v>
      </c>
      <c r="B172" s="968" t="s">
        <v>816</v>
      </c>
      <c r="C172" s="968" t="s">
        <v>90</v>
      </c>
      <c r="D172" s="968"/>
      <c r="E172" s="968">
        <v>0</v>
      </c>
      <c r="F172" s="968">
        <v>0</v>
      </c>
      <c r="G172" s="968">
        <v>0</v>
      </c>
      <c r="H172" s="968">
        <v>0</v>
      </c>
      <c r="I172" s="968"/>
      <c r="J172" s="972"/>
      <c r="K172" s="968"/>
      <c r="L172" s="968" t="s">
        <v>2919</v>
      </c>
      <c r="M172" s="968" t="s">
        <v>22</v>
      </c>
      <c r="N172" s="968"/>
      <c r="O172" s="968"/>
      <c r="P172" s="968"/>
      <c r="Q172" s="1652"/>
      <c r="R172" s="1038"/>
    </row>
    <row r="173" spans="1:18" s="1007" customFormat="1" ht="30" customHeight="1">
      <c r="A173" s="1012"/>
      <c r="B173" s="968"/>
      <c r="C173" s="968"/>
      <c r="D173" s="968"/>
      <c r="E173" s="968"/>
      <c r="F173" s="968"/>
      <c r="G173" s="968"/>
      <c r="H173" s="968"/>
      <c r="I173" s="968"/>
      <c r="J173" s="972">
        <v>515.89</v>
      </c>
      <c r="K173" s="968"/>
      <c r="L173" s="968"/>
      <c r="M173" s="968"/>
      <c r="N173" s="968"/>
      <c r="O173" s="968"/>
      <c r="P173" s="968"/>
      <c r="Q173" s="968"/>
      <c r="R173" s="1038"/>
    </row>
    <row r="174" spans="1:18" s="1007" customFormat="1" ht="30" customHeight="1">
      <c r="A174" s="1012">
        <v>84</v>
      </c>
      <c r="B174" s="968" t="s">
        <v>3061</v>
      </c>
      <c r="C174" s="968" t="s">
        <v>2023</v>
      </c>
      <c r="D174" s="968" t="s">
        <v>1989</v>
      </c>
      <c r="E174" s="968"/>
      <c r="F174" s="968"/>
      <c r="G174" s="968"/>
      <c r="H174" s="968"/>
      <c r="I174" s="968"/>
      <c r="J174" s="972"/>
      <c r="K174" s="968">
        <f>J167+J169+J171+J173</f>
        <v>1760.473</v>
      </c>
      <c r="L174" s="968"/>
      <c r="M174" s="968"/>
      <c r="N174" s="968"/>
      <c r="O174" s="968"/>
      <c r="P174" s="968"/>
      <c r="Q174" s="968"/>
      <c r="R174" s="1038"/>
    </row>
    <row r="175" spans="1:18" s="1007" customFormat="1" ht="30" customHeight="1">
      <c r="A175" s="1012"/>
      <c r="B175" s="968"/>
      <c r="C175" s="968"/>
      <c r="D175" s="968"/>
      <c r="E175" s="968"/>
      <c r="F175" s="968"/>
      <c r="G175" s="968"/>
      <c r="H175" s="968"/>
      <c r="I175" s="968"/>
      <c r="J175" s="972">
        <v>212.44300000000001</v>
      </c>
      <c r="K175" s="968"/>
      <c r="L175" s="968"/>
      <c r="M175" s="968"/>
      <c r="N175" s="968"/>
      <c r="O175" s="968"/>
      <c r="P175" s="968"/>
      <c r="Q175" s="968"/>
      <c r="R175" s="1038"/>
    </row>
    <row r="176" spans="1:18" s="1007" customFormat="1" ht="30" customHeight="1">
      <c r="A176" s="1012">
        <v>85</v>
      </c>
      <c r="B176" s="968" t="s">
        <v>3062</v>
      </c>
      <c r="C176" s="968" t="s">
        <v>2023</v>
      </c>
      <c r="D176" s="968" t="s">
        <v>1991</v>
      </c>
      <c r="E176" s="968"/>
      <c r="F176" s="968"/>
      <c r="G176" s="968"/>
      <c r="H176" s="968"/>
      <c r="I176" s="968" t="s">
        <v>2736</v>
      </c>
      <c r="J176" s="972"/>
      <c r="K176" s="1014">
        <f>J175</f>
        <v>212.44300000000001</v>
      </c>
      <c r="L176" s="1014" t="s">
        <v>2919</v>
      </c>
      <c r="M176" s="1014" t="s">
        <v>22</v>
      </c>
      <c r="N176" s="1014"/>
      <c r="O176" s="1014"/>
      <c r="P176" s="1014"/>
      <c r="Q176" s="1014"/>
      <c r="R176" s="1016"/>
    </row>
    <row r="177" spans="1:18" s="1007" customFormat="1" ht="30" customHeight="1">
      <c r="A177" s="1012"/>
      <c r="B177" s="968"/>
      <c r="C177" s="968"/>
      <c r="D177" s="968"/>
      <c r="E177" s="968"/>
      <c r="F177" s="968"/>
      <c r="G177" s="968"/>
      <c r="H177" s="968"/>
      <c r="I177" s="968"/>
      <c r="J177" s="972">
        <v>459.99900000000002</v>
      </c>
      <c r="K177" s="968"/>
      <c r="L177" s="968"/>
      <c r="M177" s="968"/>
      <c r="N177" s="968"/>
      <c r="O177" s="968"/>
      <c r="P177" s="968"/>
      <c r="Q177" s="1652"/>
      <c r="R177" s="1038"/>
    </row>
    <row r="178" spans="1:18" s="1007" customFormat="1" ht="30" customHeight="1">
      <c r="A178" s="1012">
        <v>86</v>
      </c>
      <c r="B178" s="968" t="s">
        <v>1015</v>
      </c>
      <c r="C178" s="968" t="s">
        <v>76</v>
      </c>
      <c r="D178" s="968"/>
      <c r="E178" s="968">
        <v>0</v>
      </c>
      <c r="F178" s="968">
        <v>0</v>
      </c>
      <c r="G178" s="968">
        <v>0</v>
      </c>
      <c r="H178" s="968">
        <v>0</v>
      </c>
      <c r="I178" s="968"/>
      <c r="J178" s="972"/>
      <c r="K178" s="968"/>
      <c r="L178" s="968"/>
      <c r="M178" s="968"/>
      <c r="N178" s="968"/>
      <c r="O178" s="968"/>
      <c r="P178" s="968"/>
      <c r="Q178" s="1652"/>
      <c r="R178" s="1038"/>
    </row>
    <row r="179" spans="1:18" s="1007" customFormat="1" ht="30" customHeight="1">
      <c r="A179" s="1012"/>
      <c r="B179" s="968"/>
      <c r="C179" s="968"/>
      <c r="D179" s="968"/>
      <c r="E179" s="968"/>
      <c r="F179" s="968"/>
      <c r="G179" s="968"/>
      <c r="H179" s="968"/>
      <c r="I179" s="968"/>
      <c r="J179" s="972">
        <v>260</v>
      </c>
      <c r="K179" s="968"/>
      <c r="L179" s="968"/>
      <c r="M179" s="968"/>
      <c r="N179" s="968"/>
      <c r="O179" s="968"/>
      <c r="P179" s="968"/>
      <c r="Q179" s="1652"/>
      <c r="R179" s="1038"/>
    </row>
    <row r="180" spans="1:18" s="1007" customFormat="1" ht="30" customHeight="1">
      <c r="A180" s="1012">
        <v>87</v>
      </c>
      <c r="B180" s="968" t="s">
        <v>1016</v>
      </c>
      <c r="C180" s="968" t="s">
        <v>76</v>
      </c>
      <c r="D180" s="968"/>
      <c r="E180" s="968">
        <v>0</v>
      </c>
      <c r="F180" s="968">
        <v>0</v>
      </c>
      <c r="G180" s="968">
        <v>0</v>
      </c>
      <c r="H180" s="968">
        <v>0</v>
      </c>
      <c r="I180" s="968" t="s">
        <v>897</v>
      </c>
      <c r="J180" s="972"/>
      <c r="K180" s="968"/>
      <c r="L180" s="968" t="s">
        <v>2919</v>
      </c>
      <c r="M180" s="968" t="s">
        <v>1009</v>
      </c>
      <c r="N180" s="968"/>
      <c r="O180" s="968"/>
      <c r="P180" s="968"/>
      <c r="Q180" s="1652"/>
      <c r="R180" s="1038"/>
    </row>
    <row r="181" spans="1:18" s="1007" customFormat="1" ht="30" customHeight="1">
      <c r="A181" s="1012"/>
      <c r="B181" s="968"/>
      <c r="C181" s="968"/>
      <c r="D181" s="968"/>
      <c r="E181" s="968"/>
      <c r="F181" s="968"/>
      <c r="G181" s="968"/>
      <c r="H181" s="968"/>
      <c r="I181" s="968"/>
      <c r="J181" s="972">
        <v>330</v>
      </c>
      <c r="K181" s="968"/>
      <c r="L181" s="968"/>
      <c r="M181" s="968"/>
      <c r="N181" s="968"/>
      <c r="O181" s="968"/>
      <c r="P181" s="968"/>
      <c r="Q181" s="1652"/>
      <c r="R181" s="1038"/>
    </row>
    <row r="182" spans="1:18" s="1007" customFormat="1" ht="30" customHeight="1">
      <c r="A182" s="1012">
        <v>88</v>
      </c>
      <c r="B182" s="968" t="s">
        <v>1017</v>
      </c>
      <c r="C182" s="968" t="s">
        <v>76</v>
      </c>
      <c r="D182" s="968"/>
      <c r="E182" s="968">
        <v>0</v>
      </c>
      <c r="F182" s="968">
        <v>0</v>
      </c>
      <c r="G182" s="968">
        <v>0</v>
      </c>
      <c r="H182" s="968">
        <v>0</v>
      </c>
      <c r="I182" s="968" t="s">
        <v>2736</v>
      </c>
      <c r="J182" s="972"/>
      <c r="K182" s="968"/>
      <c r="L182" s="968" t="s">
        <v>2919</v>
      </c>
      <c r="M182" s="968" t="s">
        <v>1009</v>
      </c>
      <c r="N182" s="968" t="s">
        <v>1009</v>
      </c>
      <c r="O182" s="968"/>
      <c r="P182" s="968"/>
      <c r="Q182" s="1652"/>
      <c r="R182" s="1038"/>
    </row>
    <row r="183" spans="1:18" s="1007" customFormat="1" ht="30" customHeight="1">
      <c r="A183" s="1012"/>
      <c r="B183" s="968"/>
      <c r="C183" s="968"/>
      <c r="D183" s="968"/>
      <c r="E183" s="968"/>
      <c r="F183" s="968"/>
      <c r="G183" s="968"/>
      <c r="H183" s="968"/>
      <c r="I183" s="968"/>
      <c r="J183" s="972">
        <v>311.04000000000002</v>
      </c>
      <c r="K183" s="968"/>
      <c r="L183" s="968"/>
      <c r="M183" s="968"/>
      <c r="N183" s="968"/>
      <c r="O183" s="968"/>
      <c r="P183" s="968"/>
      <c r="Q183" s="1652"/>
      <c r="R183" s="1038"/>
    </row>
    <row r="184" spans="1:18" s="1007" customFormat="1" ht="30" customHeight="1">
      <c r="A184" s="1012">
        <v>89</v>
      </c>
      <c r="B184" s="968" t="s">
        <v>3063</v>
      </c>
      <c r="C184" s="968" t="s">
        <v>1995</v>
      </c>
      <c r="D184" s="968" t="s">
        <v>1996</v>
      </c>
      <c r="E184" s="968">
        <v>0</v>
      </c>
      <c r="F184" s="968">
        <v>0</v>
      </c>
      <c r="G184" s="968">
        <v>0</v>
      </c>
      <c r="H184" s="968">
        <v>0</v>
      </c>
      <c r="I184" s="968" t="s">
        <v>1765</v>
      </c>
      <c r="J184" s="972"/>
      <c r="K184" s="1014">
        <f>J177+J179+J181+J183</f>
        <v>1361.039</v>
      </c>
      <c r="L184" s="1014" t="s">
        <v>2919</v>
      </c>
      <c r="M184" s="1014" t="s">
        <v>1009</v>
      </c>
      <c r="N184" s="968" t="s">
        <v>1009</v>
      </c>
      <c r="O184" s="1014" t="s">
        <v>22</v>
      </c>
      <c r="P184" s="1014"/>
      <c r="Q184" s="1014"/>
      <c r="R184" s="1016"/>
    </row>
    <row r="185" spans="1:18" s="1007" customFormat="1" ht="30" customHeight="1">
      <c r="A185" s="1012"/>
      <c r="B185" s="968"/>
      <c r="C185" s="968"/>
      <c r="D185" s="968"/>
      <c r="E185" s="968"/>
      <c r="F185" s="968"/>
      <c r="G185" s="968"/>
      <c r="H185" s="968"/>
      <c r="I185" s="968"/>
      <c r="J185" s="972">
        <v>408.94799999999998</v>
      </c>
      <c r="K185" s="968"/>
      <c r="L185" s="968"/>
      <c r="M185" s="968"/>
      <c r="N185" s="968"/>
      <c r="O185" s="968"/>
      <c r="P185" s="968"/>
      <c r="Q185" s="1652"/>
      <c r="R185" s="1038"/>
    </row>
    <row r="186" spans="1:18" s="1007" customFormat="1" ht="30" customHeight="1">
      <c r="A186" s="1012">
        <v>90</v>
      </c>
      <c r="B186" s="968" t="s">
        <v>765</v>
      </c>
      <c r="C186" s="968" t="s">
        <v>53</v>
      </c>
      <c r="D186" s="968"/>
      <c r="E186" s="968">
        <v>0</v>
      </c>
      <c r="F186" s="968">
        <v>0</v>
      </c>
      <c r="G186" s="968">
        <v>0</v>
      </c>
      <c r="H186" s="968">
        <v>0</v>
      </c>
      <c r="I186" s="968" t="s">
        <v>897</v>
      </c>
      <c r="J186" s="972"/>
      <c r="K186" s="968"/>
      <c r="L186" s="968" t="s">
        <v>2919</v>
      </c>
      <c r="M186" s="968" t="s">
        <v>1009</v>
      </c>
      <c r="N186" s="968" t="s">
        <v>1009</v>
      </c>
      <c r="O186" s="968" t="s">
        <v>1009</v>
      </c>
      <c r="P186" s="968"/>
      <c r="Q186" s="1652"/>
      <c r="R186" s="1038"/>
    </row>
    <row r="187" spans="1:18" s="1007" customFormat="1" ht="30" customHeight="1">
      <c r="A187" s="1012"/>
      <c r="B187" s="968"/>
      <c r="C187" s="968"/>
      <c r="D187" s="968"/>
      <c r="E187" s="968"/>
      <c r="F187" s="968"/>
      <c r="G187" s="968"/>
      <c r="H187" s="968"/>
      <c r="I187" s="968"/>
      <c r="J187" s="972">
        <v>371.34500000000003</v>
      </c>
      <c r="K187" s="968"/>
      <c r="L187" s="968"/>
      <c r="M187" s="968"/>
      <c r="N187" s="968"/>
      <c r="O187" s="968"/>
      <c r="P187" s="968"/>
      <c r="Q187" s="1652"/>
      <c r="R187" s="1038"/>
    </row>
    <row r="188" spans="1:18" s="1007" customFormat="1" ht="30" customHeight="1">
      <c r="A188" s="1012">
        <v>91</v>
      </c>
      <c r="B188" s="968" t="s">
        <v>801</v>
      </c>
      <c r="C188" s="968" t="s">
        <v>76</v>
      </c>
      <c r="D188" s="968"/>
      <c r="E188" s="968">
        <v>0</v>
      </c>
      <c r="F188" s="968">
        <v>0</v>
      </c>
      <c r="G188" s="968">
        <v>0</v>
      </c>
      <c r="H188" s="968">
        <v>0</v>
      </c>
      <c r="I188" s="968" t="s">
        <v>897</v>
      </c>
      <c r="J188" s="972"/>
      <c r="K188" s="968"/>
      <c r="L188" s="968" t="s">
        <v>2919</v>
      </c>
      <c r="M188" s="968" t="s">
        <v>1009</v>
      </c>
      <c r="N188" s="968" t="s">
        <v>1009</v>
      </c>
      <c r="O188" s="968" t="s">
        <v>1009</v>
      </c>
      <c r="P188" s="968"/>
      <c r="Q188" s="1652"/>
      <c r="R188" s="1038"/>
    </row>
    <row r="189" spans="1:18" s="1007" customFormat="1" ht="30" customHeight="1">
      <c r="A189" s="1012"/>
      <c r="B189" s="968"/>
      <c r="C189" s="968"/>
      <c r="D189" s="968"/>
      <c r="E189" s="968"/>
      <c r="F189" s="968"/>
      <c r="G189" s="968"/>
      <c r="H189" s="968"/>
      <c r="I189" s="968"/>
      <c r="J189" s="972">
        <v>364.11399999999998</v>
      </c>
      <c r="K189" s="968"/>
      <c r="L189" s="968"/>
      <c r="M189" s="968"/>
      <c r="N189" s="968"/>
      <c r="O189" s="968"/>
      <c r="P189" s="968"/>
      <c r="Q189" s="1652"/>
      <c r="R189" s="1038"/>
    </row>
    <row r="190" spans="1:18" s="1007" customFormat="1" ht="30" customHeight="1">
      <c r="A190" s="1012">
        <v>92</v>
      </c>
      <c r="B190" s="968" t="s">
        <v>806</v>
      </c>
      <c r="C190" s="968" t="s">
        <v>62</v>
      </c>
      <c r="D190" s="968"/>
      <c r="E190" s="968">
        <v>0</v>
      </c>
      <c r="F190" s="968">
        <v>0</v>
      </c>
      <c r="G190" s="968">
        <v>0</v>
      </c>
      <c r="H190" s="968">
        <v>0</v>
      </c>
      <c r="I190" s="968" t="s">
        <v>2736</v>
      </c>
      <c r="J190" s="972"/>
      <c r="K190" s="968"/>
      <c r="L190" s="968" t="s">
        <v>2919</v>
      </c>
      <c r="M190" s="968" t="s">
        <v>1009</v>
      </c>
      <c r="N190" s="968" t="s">
        <v>1009</v>
      </c>
      <c r="O190" s="968" t="s">
        <v>1009</v>
      </c>
      <c r="P190" s="968"/>
      <c r="Q190" s="1652"/>
      <c r="R190" s="1038"/>
    </row>
    <row r="191" spans="1:18" s="1007" customFormat="1" ht="30" customHeight="1">
      <c r="A191" s="1012"/>
      <c r="B191" s="968"/>
      <c r="C191" s="968"/>
      <c r="D191" s="968"/>
      <c r="E191" s="968"/>
      <c r="F191" s="968"/>
      <c r="G191" s="968"/>
      <c r="H191" s="968"/>
      <c r="I191" s="968"/>
      <c r="J191" s="972">
        <v>419.36</v>
      </c>
      <c r="K191" s="968"/>
      <c r="L191" s="968"/>
      <c r="M191" s="968"/>
      <c r="N191" s="968"/>
      <c r="O191" s="968"/>
      <c r="P191" s="968"/>
      <c r="Q191" s="1652"/>
      <c r="R191" s="1038"/>
    </row>
    <row r="192" spans="1:18" s="1007" customFormat="1" ht="30" customHeight="1">
      <c r="A192" s="1012">
        <v>93</v>
      </c>
      <c r="B192" s="968" t="s">
        <v>719</v>
      </c>
      <c r="C192" s="968" t="s">
        <v>76</v>
      </c>
      <c r="D192" s="968"/>
      <c r="E192" s="968">
        <v>0</v>
      </c>
      <c r="F192" s="968">
        <v>0</v>
      </c>
      <c r="G192" s="968">
        <v>0</v>
      </c>
      <c r="H192" s="968">
        <v>0</v>
      </c>
      <c r="I192" s="968" t="s">
        <v>3287</v>
      </c>
      <c r="J192" s="972"/>
      <c r="K192" s="968"/>
      <c r="L192" s="968" t="s">
        <v>2919</v>
      </c>
      <c r="M192" s="968" t="s">
        <v>1009</v>
      </c>
      <c r="N192" s="968" t="s">
        <v>1009</v>
      </c>
      <c r="O192" s="968" t="s">
        <v>1009</v>
      </c>
      <c r="P192" s="968"/>
      <c r="Q192" s="1652"/>
      <c r="R192" s="1038"/>
    </row>
    <row r="193" spans="1:18" s="1007" customFormat="1" ht="30" customHeight="1">
      <c r="A193" s="1012"/>
      <c r="B193" s="968"/>
      <c r="C193" s="968"/>
      <c r="D193" s="968"/>
      <c r="E193" s="968"/>
      <c r="F193" s="968"/>
      <c r="G193" s="968"/>
      <c r="H193" s="968"/>
      <c r="I193" s="968"/>
      <c r="J193" s="972">
        <v>348.12900000000002</v>
      </c>
      <c r="K193" s="968"/>
      <c r="L193" s="968"/>
      <c r="M193" s="968"/>
      <c r="N193" s="968"/>
      <c r="O193" s="968"/>
      <c r="P193" s="968"/>
      <c r="Q193" s="1652"/>
      <c r="R193" s="1038"/>
    </row>
    <row r="194" spans="1:18" s="1007" customFormat="1" ht="30" customHeight="1">
      <c r="A194" s="1012">
        <v>94</v>
      </c>
      <c r="B194" s="968" t="s">
        <v>3064</v>
      </c>
      <c r="C194" s="968" t="s">
        <v>1269</v>
      </c>
      <c r="D194" s="968" t="s">
        <v>1997</v>
      </c>
      <c r="E194" s="968">
        <v>0</v>
      </c>
      <c r="F194" s="968">
        <v>0</v>
      </c>
      <c r="G194" s="968">
        <v>0</v>
      </c>
      <c r="H194" s="968">
        <v>0</v>
      </c>
      <c r="I194" s="968" t="s">
        <v>2736</v>
      </c>
      <c r="J194" s="972"/>
      <c r="K194" s="1014">
        <f>J185+J187+J189+J191+J193</f>
        <v>1911.8959999999997</v>
      </c>
      <c r="L194" s="1014" t="s">
        <v>2919</v>
      </c>
      <c r="M194" s="1014" t="s">
        <v>1009</v>
      </c>
      <c r="N194" s="968" t="s">
        <v>1009</v>
      </c>
      <c r="O194" s="1014" t="s">
        <v>1009</v>
      </c>
      <c r="P194" s="1014"/>
      <c r="Q194" s="1014"/>
      <c r="R194" s="1016"/>
    </row>
    <row r="195" spans="1:18" s="1007" customFormat="1" ht="30" customHeight="1">
      <c r="A195" s="1012"/>
      <c r="B195" s="968"/>
      <c r="C195" s="968"/>
      <c r="D195" s="968"/>
      <c r="E195" s="968"/>
      <c r="F195" s="968"/>
      <c r="G195" s="968"/>
      <c r="H195" s="968"/>
      <c r="I195" s="968"/>
      <c r="J195" s="972">
        <v>367.84800000000001</v>
      </c>
      <c r="K195" s="968"/>
      <c r="L195" s="968"/>
      <c r="M195" s="968"/>
      <c r="N195" s="968"/>
      <c r="O195" s="968"/>
      <c r="P195" s="968"/>
      <c r="Q195" s="1652"/>
      <c r="R195" s="1038"/>
    </row>
    <row r="196" spans="1:18" s="1007" customFormat="1" ht="30" customHeight="1">
      <c r="A196" s="1012">
        <v>95</v>
      </c>
      <c r="B196" s="968" t="s">
        <v>502</v>
      </c>
      <c r="C196" s="968" t="s">
        <v>76</v>
      </c>
      <c r="D196" s="968"/>
      <c r="E196" s="968">
        <v>0</v>
      </c>
      <c r="F196" s="968">
        <v>0</v>
      </c>
      <c r="G196" s="968">
        <v>0</v>
      </c>
      <c r="H196" s="968">
        <v>0</v>
      </c>
      <c r="I196" s="968" t="s">
        <v>2736</v>
      </c>
      <c r="J196" s="972"/>
      <c r="K196" s="968"/>
      <c r="L196" s="968" t="s">
        <v>2919</v>
      </c>
      <c r="M196" s="968" t="s">
        <v>1009</v>
      </c>
      <c r="N196" s="968" t="s">
        <v>1009</v>
      </c>
      <c r="O196" s="968" t="s">
        <v>1009</v>
      </c>
      <c r="P196" s="968"/>
      <c r="Q196" s="1652"/>
      <c r="R196" s="1038"/>
    </row>
    <row r="197" spans="1:18" s="1007" customFormat="1" ht="30" customHeight="1">
      <c r="A197" s="1012"/>
      <c r="B197" s="968"/>
      <c r="C197" s="968"/>
      <c r="D197" s="968"/>
      <c r="E197" s="968"/>
      <c r="F197" s="968"/>
      <c r="G197" s="968"/>
      <c r="H197" s="968"/>
      <c r="I197" s="968"/>
      <c r="J197" s="972">
        <v>396.726</v>
      </c>
      <c r="K197" s="968"/>
      <c r="L197" s="968"/>
      <c r="M197" s="968"/>
      <c r="N197" s="968"/>
      <c r="O197" s="968"/>
      <c r="P197" s="968"/>
      <c r="Q197" s="1652"/>
      <c r="R197" s="1038"/>
    </row>
    <row r="198" spans="1:18" s="1007" customFormat="1" ht="30" customHeight="1">
      <c r="A198" s="1012">
        <v>96</v>
      </c>
      <c r="B198" s="968" t="s">
        <v>503</v>
      </c>
      <c r="C198" s="968" t="s">
        <v>76</v>
      </c>
      <c r="D198" s="968"/>
      <c r="E198" s="968">
        <v>0</v>
      </c>
      <c r="F198" s="968">
        <v>0</v>
      </c>
      <c r="G198" s="968">
        <v>0</v>
      </c>
      <c r="H198" s="968">
        <v>0</v>
      </c>
      <c r="I198" s="968" t="s">
        <v>897</v>
      </c>
      <c r="J198" s="972"/>
      <c r="K198" s="968"/>
      <c r="L198" s="968" t="s">
        <v>2919</v>
      </c>
      <c r="M198" s="968" t="s">
        <v>1009</v>
      </c>
      <c r="N198" s="968" t="s">
        <v>1009</v>
      </c>
      <c r="O198" s="968" t="s">
        <v>1009</v>
      </c>
      <c r="P198" s="968"/>
      <c r="Q198" s="1652"/>
      <c r="R198" s="1038"/>
    </row>
    <row r="199" spans="1:18" s="1007" customFormat="1" ht="30" customHeight="1">
      <c r="A199" s="1012"/>
      <c r="B199" s="968"/>
      <c r="C199" s="968"/>
      <c r="D199" s="968"/>
      <c r="E199" s="968"/>
      <c r="F199" s="968"/>
      <c r="G199" s="968"/>
      <c r="H199" s="968"/>
      <c r="I199" s="968"/>
      <c r="J199" s="972">
        <v>375.11099999999999</v>
      </c>
      <c r="K199" s="968"/>
      <c r="L199" s="968"/>
      <c r="M199" s="968"/>
      <c r="N199" s="968"/>
      <c r="O199" s="968"/>
      <c r="P199" s="968"/>
      <c r="Q199" s="1652"/>
      <c r="R199" s="1038"/>
    </row>
    <row r="200" spans="1:18" s="1007" customFormat="1" ht="30" customHeight="1">
      <c r="A200" s="1012">
        <v>97</v>
      </c>
      <c r="B200" s="968" t="s">
        <v>555</v>
      </c>
      <c r="C200" s="968" t="s">
        <v>76</v>
      </c>
      <c r="D200" s="968"/>
      <c r="E200" s="968">
        <v>0</v>
      </c>
      <c r="F200" s="968">
        <v>0</v>
      </c>
      <c r="G200" s="968">
        <v>0</v>
      </c>
      <c r="H200" s="968">
        <v>0</v>
      </c>
      <c r="I200" s="968" t="s">
        <v>897</v>
      </c>
      <c r="J200" s="972"/>
      <c r="K200" s="968"/>
      <c r="L200" s="968" t="s">
        <v>2919</v>
      </c>
      <c r="M200" s="968" t="s">
        <v>1009</v>
      </c>
      <c r="N200" s="968" t="s">
        <v>1009</v>
      </c>
      <c r="O200" s="968" t="s">
        <v>1009</v>
      </c>
      <c r="P200" s="968"/>
      <c r="Q200" s="1652"/>
      <c r="R200" s="1038"/>
    </row>
    <row r="201" spans="1:18" s="1007" customFormat="1" ht="30" customHeight="1">
      <c r="A201" s="1012"/>
      <c r="B201" s="968"/>
      <c r="C201" s="968"/>
      <c r="D201" s="968"/>
      <c r="E201" s="968"/>
      <c r="F201" s="968"/>
      <c r="G201" s="968"/>
      <c r="H201" s="968"/>
      <c r="I201" s="968"/>
      <c r="J201" s="972">
        <v>335.00299999999999</v>
      </c>
      <c r="K201" s="968"/>
      <c r="L201" s="968"/>
      <c r="M201" s="968"/>
      <c r="N201" s="968"/>
      <c r="O201" s="968"/>
      <c r="P201" s="968"/>
      <c r="Q201" s="1652"/>
      <c r="R201" s="1038"/>
    </row>
    <row r="202" spans="1:18" s="1007" customFormat="1" ht="30" customHeight="1">
      <c r="A202" s="1012">
        <v>98</v>
      </c>
      <c r="B202" s="968" t="s">
        <v>3065</v>
      </c>
      <c r="C202" s="968" t="s">
        <v>1269</v>
      </c>
      <c r="D202" s="968" t="s">
        <v>2002</v>
      </c>
      <c r="E202" s="968">
        <v>0</v>
      </c>
      <c r="F202" s="968">
        <v>0</v>
      </c>
      <c r="G202" s="968">
        <v>0</v>
      </c>
      <c r="H202" s="968">
        <v>0</v>
      </c>
      <c r="I202" s="968" t="s">
        <v>1765</v>
      </c>
      <c r="J202" s="972"/>
      <c r="K202" s="1014">
        <f>J195+J197+J199+J201</f>
        <v>1474.6879999999999</v>
      </c>
      <c r="L202" s="1014" t="s">
        <v>2919</v>
      </c>
      <c r="M202" s="1014" t="s">
        <v>1009</v>
      </c>
      <c r="N202" s="968" t="s">
        <v>1009</v>
      </c>
      <c r="P202" s="1014"/>
      <c r="Q202" s="1014"/>
      <c r="R202" s="1016"/>
    </row>
    <row r="203" spans="1:18" s="1007" customFormat="1" ht="30" customHeight="1">
      <c r="A203" s="1012"/>
      <c r="B203" s="968"/>
      <c r="C203" s="968"/>
      <c r="D203" s="968"/>
      <c r="E203" s="968"/>
      <c r="F203" s="968"/>
      <c r="G203" s="968"/>
      <c r="H203" s="968"/>
      <c r="I203" s="968"/>
      <c r="J203" s="972">
        <v>360</v>
      </c>
      <c r="K203" s="968"/>
      <c r="L203" s="968"/>
      <c r="M203" s="968"/>
      <c r="N203" s="968"/>
      <c r="O203" s="968"/>
      <c r="P203" s="968"/>
      <c r="Q203" s="1652"/>
      <c r="R203" s="1038"/>
    </row>
    <row r="204" spans="1:18" s="1007" customFormat="1" ht="30" customHeight="1">
      <c r="A204" s="1012">
        <v>99</v>
      </c>
      <c r="B204" s="968" t="s">
        <v>564</v>
      </c>
      <c r="C204" s="968" t="s">
        <v>62</v>
      </c>
      <c r="D204" s="968"/>
      <c r="E204" s="968">
        <v>0</v>
      </c>
      <c r="F204" s="968">
        <v>0</v>
      </c>
      <c r="G204" s="968">
        <v>0</v>
      </c>
      <c r="H204" s="968">
        <v>0</v>
      </c>
      <c r="I204" s="968" t="s">
        <v>2736</v>
      </c>
      <c r="J204" s="972"/>
      <c r="K204" s="968"/>
      <c r="L204" s="968" t="s">
        <v>2919</v>
      </c>
      <c r="M204" s="968" t="s">
        <v>1009</v>
      </c>
      <c r="N204" s="968" t="s">
        <v>1009</v>
      </c>
      <c r="O204" s="968" t="s">
        <v>1009</v>
      </c>
      <c r="P204" s="968"/>
      <c r="Q204" s="1652"/>
      <c r="R204" s="1038"/>
    </row>
    <row r="205" spans="1:18" s="1007" customFormat="1" ht="30" customHeight="1">
      <c r="A205" s="1012"/>
      <c r="B205" s="968"/>
      <c r="C205" s="968"/>
      <c r="D205" s="968"/>
      <c r="E205" s="968"/>
      <c r="F205" s="968"/>
      <c r="G205" s="968"/>
      <c r="H205" s="968"/>
      <c r="I205" s="968"/>
      <c r="J205" s="972">
        <v>360</v>
      </c>
      <c r="K205" s="968"/>
      <c r="L205" s="968"/>
      <c r="M205" s="968"/>
      <c r="N205" s="968"/>
      <c r="O205" s="968"/>
      <c r="P205" s="968"/>
      <c r="Q205" s="1652"/>
      <c r="R205" s="1038"/>
    </row>
    <row r="206" spans="1:18" s="1007" customFormat="1" ht="30" customHeight="1">
      <c r="A206" s="1012">
        <v>100</v>
      </c>
      <c r="B206" s="968" t="s">
        <v>2004</v>
      </c>
      <c r="C206" s="968" t="s">
        <v>76</v>
      </c>
      <c r="D206" s="968"/>
      <c r="E206" s="968">
        <v>0</v>
      </c>
      <c r="F206" s="968">
        <v>0</v>
      </c>
      <c r="G206" s="968">
        <v>0</v>
      </c>
      <c r="H206" s="968">
        <v>0</v>
      </c>
      <c r="I206" s="968" t="s">
        <v>2736</v>
      </c>
      <c r="J206" s="972"/>
      <c r="K206" s="968"/>
      <c r="L206" s="968" t="s">
        <v>2919</v>
      </c>
      <c r="M206" s="968" t="s">
        <v>1009</v>
      </c>
      <c r="N206" s="968" t="s">
        <v>1009</v>
      </c>
      <c r="O206" s="1014" t="s">
        <v>1009</v>
      </c>
      <c r="P206" s="968"/>
      <c r="Q206" s="1652"/>
      <c r="R206" s="1038"/>
    </row>
    <row r="207" spans="1:18" s="1007" customFormat="1" ht="30" customHeight="1">
      <c r="A207" s="1012"/>
      <c r="B207" s="968"/>
      <c r="C207" s="968"/>
      <c r="D207" s="968"/>
      <c r="E207" s="968"/>
      <c r="F207" s="968"/>
      <c r="G207" s="968"/>
      <c r="H207" s="968"/>
      <c r="I207" s="968"/>
      <c r="J207" s="972">
        <v>359.49599999999998</v>
      </c>
      <c r="K207" s="968"/>
      <c r="L207" s="968"/>
      <c r="M207" s="968"/>
      <c r="N207" s="968"/>
      <c r="O207" s="968"/>
      <c r="P207" s="968"/>
      <c r="Q207" s="1652"/>
      <c r="R207" s="1038"/>
    </row>
    <row r="208" spans="1:18" s="1007" customFormat="1" ht="30" customHeight="1">
      <c r="A208" s="1012">
        <v>101</v>
      </c>
      <c r="B208" s="968" t="s">
        <v>3066</v>
      </c>
      <c r="C208" s="968" t="s">
        <v>1269</v>
      </c>
      <c r="D208" s="968" t="s">
        <v>2008</v>
      </c>
      <c r="E208" s="968">
        <v>0</v>
      </c>
      <c r="F208" s="968">
        <v>0</v>
      </c>
      <c r="G208" s="968">
        <v>0</v>
      </c>
      <c r="H208" s="968">
        <v>0</v>
      </c>
      <c r="I208" s="968" t="s">
        <v>897</v>
      </c>
      <c r="J208" s="972"/>
      <c r="K208" s="1014">
        <f>J203+J205+J207</f>
        <v>1079.4960000000001</v>
      </c>
      <c r="L208" s="1014" t="s">
        <v>2919</v>
      </c>
      <c r="M208" s="1014" t="s">
        <v>1009</v>
      </c>
      <c r="N208" s="1014"/>
      <c r="O208" s="1014"/>
      <c r="P208" s="1014"/>
      <c r="Q208" s="1014"/>
      <c r="R208" s="1016"/>
    </row>
    <row r="209" spans="1:18" s="1007" customFormat="1" ht="30" customHeight="1">
      <c r="A209" s="1012"/>
      <c r="B209" s="968"/>
      <c r="C209" s="968"/>
      <c r="D209" s="968"/>
      <c r="E209" s="968"/>
      <c r="F209" s="968"/>
      <c r="G209" s="968"/>
      <c r="H209" s="968"/>
      <c r="I209" s="968"/>
      <c r="J209" s="972">
        <v>350.73899999999998</v>
      </c>
      <c r="K209" s="968"/>
      <c r="L209" s="968"/>
      <c r="M209" s="968"/>
      <c r="N209" s="968"/>
      <c r="O209" s="968"/>
      <c r="P209" s="968"/>
      <c r="Q209" s="1652"/>
      <c r="R209" s="1038"/>
    </row>
    <row r="210" spans="1:18" s="1007" customFormat="1" ht="30" customHeight="1">
      <c r="A210" s="1012">
        <v>102</v>
      </c>
      <c r="B210" s="968" t="s">
        <v>985</v>
      </c>
      <c r="C210" s="968" t="s">
        <v>76</v>
      </c>
      <c r="D210" s="968"/>
      <c r="E210" s="968">
        <v>0</v>
      </c>
      <c r="F210" s="968">
        <v>0</v>
      </c>
      <c r="G210" s="968">
        <v>0</v>
      </c>
      <c r="H210" s="968">
        <v>0</v>
      </c>
      <c r="I210" s="968" t="s">
        <v>2736</v>
      </c>
      <c r="J210" s="972"/>
      <c r="K210" s="968"/>
      <c r="L210" s="968" t="s">
        <v>2919</v>
      </c>
      <c r="M210" s="968" t="s">
        <v>1009</v>
      </c>
      <c r="N210" s="968" t="s">
        <v>1009</v>
      </c>
      <c r="O210" s="968" t="s">
        <v>1009</v>
      </c>
      <c r="P210" s="968"/>
      <c r="Q210" s="1652"/>
      <c r="R210" s="1038"/>
    </row>
    <row r="211" spans="1:18" s="1007" customFormat="1" ht="30" customHeight="1">
      <c r="A211" s="1012"/>
      <c r="B211" s="968"/>
      <c r="C211" s="968"/>
      <c r="D211" s="968"/>
      <c r="E211" s="968"/>
      <c r="F211" s="968"/>
      <c r="G211" s="968"/>
      <c r="H211" s="968"/>
      <c r="I211" s="968"/>
      <c r="J211" s="972">
        <v>337.89100000000002</v>
      </c>
      <c r="K211" s="968"/>
      <c r="L211" s="968"/>
      <c r="M211" s="968"/>
      <c r="N211" s="968"/>
      <c r="O211" s="968"/>
      <c r="P211" s="968"/>
      <c r="Q211" s="1652"/>
      <c r="R211" s="1038"/>
    </row>
    <row r="212" spans="1:18" s="1007" customFormat="1" ht="30" customHeight="1">
      <c r="A212" s="1012">
        <v>103</v>
      </c>
      <c r="B212" s="968" t="s">
        <v>777</v>
      </c>
      <c r="C212" s="968" t="s">
        <v>76</v>
      </c>
      <c r="D212" s="968"/>
      <c r="E212" s="968">
        <v>0</v>
      </c>
      <c r="F212" s="968">
        <v>0</v>
      </c>
      <c r="G212" s="968">
        <v>0</v>
      </c>
      <c r="H212" s="968">
        <v>0</v>
      </c>
      <c r="I212" s="968" t="s">
        <v>3287</v>
      </c>
      <c r="J212" s="972"/>
      <c r="K212" s="968"/>
      <c r="L212" s="968" t="s">
        <v>2919</v>
      </c>
      <c r="M212" s="968" t="s">
        <v>1009</v>
      </c>
      <c r="N212" s="968" t="s">
        <v>1009</v>
      </c>
      <c r="O212" s="968" t="s">
        <v>1009</v>
      </c>
      <c r="P212" s="968"/>
      <c r="Q212" s="1652"/>
      <c r="R212" s="1038"/>
    </row>
    <row r="213" spans="1:18" s="1007" customFormat="1" ht="30" customHeight="1">
      <c r="A213" s="1012"/>
      <c r="B213" s="968"/>
      <c r="C213" s="968"/>
      <c r="D213" s="968"/>
      <c r="E213" s="968"/>
      <c r="F213" s="968"/>
      <c r="G213" s="968"/>
      <c r="H213" s="968"/>
      <c r="I213" s="968"/>
      <c r="J213" s="972">
        <v>331.00099999999998</v>
      </c>
      <c r="K213" s="968"/>
      <c r="L213" s="968"/>
      <c r="M213" s="968"/>
      <c r="N213" s="968"/>
      <c r="O213" s="968"/>
      <c r="P213" s="968"/>
      <c r="Q213" s="1652"/>
      <c r="R213" s="1038"/>
    </row>
    <row r="214" spans="1:18" s="1007" customFormat="1" ht="30" customHeight="1">
      <c r="A214" s="1012">
        <v>104</v>
      </c>
      <c r="B214" s="968" t="s">
        <v>786</v>
      </c>
      <c r="C214" s="968" t="s">
        <v>76</v>
      </c>
      <c r="D214" s="968"/>
      <c r="E214" s="968">
        <v>0</v>
      </c>
      <c r="F214" s="968">
        <v>0</v>
      </c>
      <c r="G214" s="968">
        <v>0</v>
      </c>
      <c r="H214" s="968">
        <v>0</v>
      </c>
      <c r="I214" s="968" t="s">
        <v>897</v>
      </c>
      <c r="J214" s="972"/>
      <c r="K214" s="968"/>
      <c r="L214" s="968" t="s">
        <v>2919</v>
      </c>
      <c r="M214" s="968" t="s">
        <v>1009</v>
      </c>
      <c r="N214" s="968" t="s">
        <v>1009</v>
      </c>
      <c r="O214" s="968" t="s">
        <v>1009</v>
      </c>
      <c r="P214" s="968"/>
      <c r="Q214" s="1652"/>
      <c r="R214" s="1038"/>
    </row>
    <row r="215" spans="1:18" s="1007" customFormat="1" ht="30" customHeight="1">
      <c r="A215" s="1012"/>
      <c r="B215" s="968"/>
      <c r="C215" s="968"/>
      <c r="D215" s="968"/>
      <c r="E215" s="968"/>
      <c r="F215" s="968"/>
      <c r="G215" s="968"/>
      <c r="H215" s="968"/>
      <c r="I215" s="968"/>
      <c r="J215" s="972">
        <v>360.36900000000003</v>
      </c>
      <c r="K215" s="968"/>
      <c r="L215" s="968"/>
      <c r="M215" s="968"/>
      <c r="N215" s="968"/>
      <c r="O215" s="968"/>
      <c r="P215" s="968"/>
      <c r="Q215" s="1652"/>
      <c r="R215" s="1038"/>
    </row>
    <row r="216" spans="1:18" s="1007" customFormat="1" ht="30" customHeight="1">
      <c r="A216" s="1012">
        <v>105</v>
      </c>
      <c r="B216" s="968" t="s">
        <v>800</v>
      </c>
      <c r="C216" s="968" t="s">
        <v>76</v>
      </c>
      <c r="D216" s="968"/>
      <c r="E216" s="968">
        <v>0</v>
      </c>
      <c r="F216" s="968">
        <v>0</v>
      </c>
      <c r="G216" s="968">
        <v>0</v>
      </c>
      <c r="H216" s="968">
        <v>0</v>
      </c>
      <c r="I216" s="968" t="s">
        <v>897</v>
      </c>
      <c r="J216" s="972"/>
      <c r="K216" s="968"/>
      <c r="L216" s="968" t="s">
        <v>2919</v>
      </c>
      <c r="M216" s="968" t="s">
        <v>1009</v>
      </c>
      <c r="N216" s="968" t="s">
        <v>1009</v>
      </c>
      <c r="O216" s="968" t="s">
        <v>1009</v>
      </c>
      <c r="P216" s="968"/>
      <c r="Q216" s="1652"/>
      <c r="R216" s="1038"/>
    </row>
    <row r="217" spans="1:18" s="1007" customFormat="1" ht="30" customHeight="1">
      <c r="A217" s="1012"/>
      <c r="B217" s="968"/>
      <c r="C217" s="968"/>
      <c r="D217" s="968"/>
      <c r="E217" s="968"/>
      <c r="F217" s="968"/>
      <c r="G217" s="968"/>
      <c r="H217" s="968"/>
      <c r="I217" s="968"/>
      <c r="J217" s="972">
        <v>425</v>
      </c>
      <c r="K217" s="968"/>
      <c r="L217" s="968"/>
      <c r="M217" s="968"/>
      <c r="N217" s="968"/>
      <c r="O217" s="968"/>
      <c r="P217" s="968"/>
      <c r="Q217" s="1652"/>
      <c r="R217" s="1038"/>
    </row>
    <row r="218" spans="1:18" s="1007" customFormat="1" ht="30" customHeight="1">
      <c r="A218" s="1012">
        <v>106</v>
      </c>
      <c r="B218" s="968" t="s">
        <v>2009</v>
      </c>
      <c r="C218" s="968" t="s">
        <v>53</v>
      </c>
      <c r="D218" s="968"/>
      <c r="E218" s="968">
        <v>0</v>
      </c>
      <c r="F218" s="968">
        <v>0</v>
      </c>
      <c r="G218" s="968">
        <v>0</v>
      </c>
      <c r="H218" s="968">
        <v>0</v>
      </c>
      <c r="I218" s="968" t="s">
        <v>897</v>
      </c>
      <c r="J218" s="972"/>
      <c r="K218" s="968"/>
      <c r="L218" s="968" t="s">
        <v>2919</v>
      </c>
      <c r="M218" s="968" t="s">
        <v>1009</v>
      </c>
      <c r="N218" s="968" t="s">
        <v>1009</v>
      </c>
      <c r="O218" s="968" t="s">
        <v>1009</v>
      </c>
      <c r="P218" s="968"/>
      <c r="Q218" s="1652"/>
      <c r="R218" s="1038"/>
    </row>
    <row r="219" spans="1:18" s="1007" customFormat="1" ht="30" customHeight="1">
      <c r="A219" s="1012"/>
      <c r="B219" s="968"/>
      <c r="C219" s="968"/>
      <c r="D219" s="968"/>
      <c r="E219" s="968"/>
      <c r="F219" s="968"/>
      <c r="G219" s="968"/>
      <c r="H219" s="968"/>
      <c r="I219" s="968"/>
      <c r="J219" s="972">
        <v>411.44799999999998</v>
      </c>
      <c r="K219" s="968"/>
      <c r="L219" s="968"/>
      <c r="M219" s="968"/>
      <c r="N219" s="968"/>
      <c r="O219" s="968"/>
      <c r="P219" s="968"/>
      <c r="Q219" s="1652"/>
      <c r="R219" s="1038"/>
    </row>
    <row r="220" spans="1:18" s="1007" customFormat="1" ht="30" customHeight="1">
      <c r="A220" s="1012">
        <v>107</v>
      </c>
      <c r="B220" s="968" t="s">
        <v>3067</v>
      </c>
      <c r="C220" s="968" t="s">
        <v>1269</v>
      </c>
      <c r="D220" s="968" t="s">
        <v>2012</v>
      </c>
      <c r="E220" s="968">
        <v>0</v>
      </c>
      <c r="F220" s="968">
        <v>0</v>
      </c>
      <c r="G220" s="968">
        <v>0</v>
      </c>
      <c r="H220" s="968">
        <v>0</v>
      </c>
      <c r="I220" s="968"/>
      <c r="J220" s="972"/>
      <c r="K220" s="1014">
        <f>J209+J211+J213+J215+J217+J219</f>
        <v>2216.4479999999999</v>
      </c>
      <c r="L220" s="1014" t="s">
        <v>2919</v>
      </c>
      <c r="M220" s="1014" t="s">
        <v>22</v>
      </c>
      <c r="N220" s="1014"/>
      <c r="O220" s="1014"/>
      <c r="P220" s="1014"/>
      <c r="Q220" s="1014"/>
      <c r="R220" s="1016"/>
    </row>
    <row r="221" spans="1:18" s="1007" customFormat="1" ht="30" customHeight="1">
      <c r="A221" s="1012"/>
      <c r="B221" s="968"/>
      <c r="C221" s="968"/>
      <c r="D221" s="968"/>
      <c r="E221" s="968"/>
      <c r="F221" s="968"/>
      <c r="G221" s="968"/>
      <c r="H221" s="968"/>
      <c r="I221" s="968"/>
      <c r="J221" s="972">
        <v>298</v>
      </c>
      <c r="K221" s="968"/>
      <c r="L221" s="968"/>
      <c r="M221" s="968"/>
      <c r="N221" s="968"/>
      <c r="O221" s="968"/>
      <c r="P221" s="968"/>
      <c r="Q221" s="1652"/>
      <c r="R221" s="1038"/>
    </row>
    <row r="222" spans="1:18" s="1007" customFormat="1" ht="30" customHeight="1">
      <c r="A222" s="1012">
        <v>108</v>
      </c>
      <c r="B222" s="968" t="s">
        <v>562</v>
      </c>
      <c r="C222" s="968" t="s">
        <v>76</v>
      </c>
      <c r="D222" s="968"/>
      <c r="E222" s="968">
        <v>1</v>
      </c>
      <c r="F222" s="968">
        <v>1</v>
      </c>
      <c r="G222" s="968">
        <v>1</v>
      </c>
      <c r="H222" s="968">
        <v>1</v>
      </c>
      <c r="I222" s="968" t="s">
        <v>2736</v>
      </c>
      <c r="J222" s="972"/>
      <c r="K222" s="968"/>
      <c r="L222" s="968" t="s">
        <v>2919</v>
      </c>
      <c r="M222" s="968" t="s">
        <v>1009</v>
      </c>
      <c r="N222" s="968"/>
      <c r="O222" s="968"/>
      <c r="P222" s="968"/>
      <c r="Q222" s="1652"/>
      <c r="R222" s="1038"/>
    </row>
    <row r="223" spans="1:18" s="1007" customFormat="1" ht="30" customHeight="1">
      <c r="A223" s="1012"/>
      <c r="B223" s="968"/>
      <c r="C223" s="968"/>
      <c r="D223" s="968"/>
      <c r="E223" s="968"/>
      <c r="F223" s="968"/>
      <c r="G223" s="968"/>
      <c r="H223" s="968"/>
      <c r="I223" s="968"/>
      <c r="J223" s="972">
        <v>349</v>
      </c>
      <c r="K223" s="968"/>
      <c r="L223" s="968"/>
      <c r="M223" s="968"/>
      <c r="N223" s="968"/>
      <c r="O223" s="968"/>
      <c r="P223" s="968"/>
      <c r="Q223" s="1652"/>
      <c r="R223" s="1038"/>
    </row>
    <row r="224" spans="1:18" s="1007" customFormat="1" ht="30" customHeight="1">
      <c r="A224" s="1012">
        <v>109</v>
      </c>
      <c r="B224" s="968" t="s">
        <v>322</v>
      </c>
      <c r="C224" s="968" t="s">
        <v>76</v>
      </c>
      <c r="D224" s="968"/>
      <c r="E224" s="968">
        <v>0</v>
      </c>
      <c r="F224" s="968">
        <v>0</v>
      </c>
      <c r="G224" s="968">
        <v>0</v>
      </c>
      <c r="H224" s="968">
        <v>0</v>
      </c>
      <c r="I224" s="968"/>
      <c r="J224" s="972"/>
      <c r="K224" s="968"/>
      <c r="L224" s="968" t="s">
        <v>2919</v>
      </c>
      <c r="M224" s="968"/>
      <c r="N224" s="968"/>
      <c r="O224" s="968"/>
      <c r="P224" s="968"/>
      <c r="Q224" s="1652"/>
      <c r="R224" s="1038"/>
    </row>
    <row r="225" spans="1:18" s="1007" customFormat="1" ht="30" customHeight="1">
      <c r="A225" s="1012"/>
      <c r="B225" s="968"/>
      <c r="C225" s="968"/>
      <c r="D225" s="968"/>
      <c r="E225" s="968"/>
      <c r="F225" s="968"/>
      <c r="G225" s="968"/>
      <c r="H225" s="968"/>
      <c r="I225" s="968"/>
      <c r="J225" s="972">
        <v>350</v>
      </c>
      <c r="K225" s="968"/>
      <c r="L225" s="968"/>
      <c r="M225" s="968"/>
      <c r="N225" s="968"/>
      <c r="O225" s="968"/>
      <c r="P225" s="968"/>
      <c r="Q225" s="1652"/>
      <c r="R225" s="1038"/>
    </row>
    <row r="226" spans="1:18" s="1007" customFormat="1" ht="30" customHeight="1">
      <c r="A226" s="1012">
        <v>110</v>
      </c>
      <c r="B226" s="968" t="s">
        <v>336</v>
      </c>
      <c r="C226" s="968" t="s">
        <v>76</v>
      </c>
      <c r="D226" s="968"/>
      <c r="E226" s="968">
        <v>0</v>
      </c>
      <c r="F226" s="968">
        <v>0</v>
      </c>
      <c r="G226" s="968">
        <v>0</v>
      </c>
      <c r="H226" s="968">
        <v>0</v>
      </c>
      <c r="I226" s="968"/>
      <c r="J226" s="972"/>
      <c r="K226" s="968"/>
      <c r="L226" s="968"/>
      <c r="M226" s="968"/>
      <c r="N226" s="968"/>
      <c r="O226" s="968"/>
      <c r="P226" s="968"/>
      <c r="Q226" s="1652"/>
      <c r="R226" s="1038"/>
    </row>
    <row r="227" spans="1:18" s="1007" customFormat="1" ht="30" customHeight="1">
      <c r="A227" s="1012"/>
      <c r="B227" s="968"/>
      <c r="C227" s="968"/>
      <c r="D227" s="968"/>
      <c r="E227" s="968"/>
      <c r="F227" s="968"/>
      <c r="G227" s="968"/>
      <c r="H227" s="968"/>
      <c r="I227" s="968"/>
      <c r="J227" s="972">
        <v>363.36399999999998</v>
      </c>
      <c r="K227" s="968"/>
      <c r="L227" s="968"/>
      <c r="M227" s="968"/>
      <c r="N227" s="968"/>
      <c r="O227" s="968"/>
      <c r="P227" s="968"/>
      <c r="Q227" s="1652"/>
      <c r="R227" s="1038"/>
    </row>
    <row r="228" spans="1:18" s="1007" customFormat="1" ht="30" customHeight="1">
      <c r="A228" s="1012">
        <v>111</v>
      </c>
      <c r="B228" s="968" t="s">
        <v>3068</v>
      </c>
      <c r="C228" s="968" t="s">
        <v>1269</v>
      </c>
      <c r="D228" s="968" t="s">
        <v>2017</v>
      </c>
      <c r="E228" s="968">
        <v>0</v>
      </c>
      <c r="F228" s="968">
        <v>0</v>
      </c>
      <c r="G228" s="968">
        <v>0</v>
      </c>
      <c r="H228" s="968">
        <v>0</v>
      </c>
      <c r="I228" s="968"/>
      <c r="J228" s="972"/>
      <c r="K228" s="1014">
        <f>J221+J223+J225+J227</f>
        <v>1360.364</v>
      </c>
      <c r="L228" s="1014"/>
      <c r="M228" s="1014"/>
      <c r="N228" s="1014"/>
      <c r="O228" s="1014"/>
      <c r="P228" s="1014"/>
      <c r="Q228" s="1014"/>
      <c r="R228" s="1016"/>
    </row>
    <row r="229" spans="1:18" s="1007" customFormat="1" ht="30" customHeight="1">
      <c r="A229" s="1012"/>
      <c r="B229" s="968"/>
      <c r="C229" s="968"/>
      <c r="D229" s="968"/>
      <c r="E229" s="968"/>
      <c r="F229" s="968"/>
      <c r="G229" s="968"/>
      <c r="H229" s="968"/>
      <c r="I229" s="968"/>
      <c r="J229" s="972">
        <v>371.50400000000002</v>
      </c>
      <c r="K229" s="1014"/>
      <c r="L229" s="1014"/>
      <c r="M229" s="1014"/>
      <c r="N229" s="1014"/>
      <c r="O229" s="1014"/>
      <c r="P229" s="1014"/>
      <c r="Q229" s="1014"/>
      <c r="R229" s="1016"/>
    </row>
    <row r="230" spans="1:18" s="1007" customFormat="1" ht="30" customHeight="1">
      <c r="A230" s="1012">
        <v>112</v>
      </c>
      <c r="B230" s="968" t="s">
        <v>3069</v>
      </c>
      <c r="C230" s="968" t="s">
        <v>1988</v>
      </c>
      <c r="D230" s="968" t="s">
        <v>2019</v>
      </c>
      <c r="E230" s="968">
        <v>2</v>
      </c>
      <c r="F230" s="968">
        <v>2</v>
      </c>
      <c r="G230" s="968">
        <v>2</v>
      </c>
      <c r="H230" s="968">
        <v>2</v>
      </c>
      <c r="I230" s="968"/>
      <c r="J230" s="972"/>
      <c r="K230" s="1014">
        <f>J229</f>
        <v>371.50400000000002</v>
      </c>
      <c r="L230" s="1014"/>
      <c r="M230" s="1014"/>
      <c r="N230" s="1014"/>
      <c r="O230" s="1014"/>
      <c r="P230" s="1014"/>
      <c r="Q230" s="1014"/>
      <c r="R230" s="1016"/>
    </row>
    <row r="231" spans="1:18" s="1007" customFormat="1" ht="30" customHeight="1">
      <c r="A231" s="1012"/>
      <c r="B231" s="968"/>
      <c r="C231" s="968"/>
      <c r="D231" s="968"/>
      <c r="E231" s="968"/>
      <c r="F231" s="968"/>
      <c r="G231" s="968"/>
      <c r="H231" s="968"/>
      <c r="I231" s="968"/>
      <c r="J231" s="972">
        <v>203.304</v>
      </c>
      <c r="K231" s="1014"/>
      <c r="L231" s="1014"/>
      <c r="M231" s="1014"/>
      <c r="N231" s="1014"/>
      <c r="O231" s="1014"/>
      <c r="P231" s="1014"/>
      <c r="Q231" s="1014"/>
      <c r="R231" s="1016" t="s">
        <v>3026</v>
      </c>
    </row>
    <row r="232" spans="1:18" s="1007" customFormat="1" ht="30" customHeight="1">
      <c r="A232" s="1012">
        <v>113</v>
      </c>
      <c r="B232" s="968" t="s">
        <v>3070</v>
      </c>
      <c r="C232" s="968" t="s">
        <v>1988</v>
      </c>
      <c r="D232" s="968" t="s">
        <v>2022</v>
      </c>
      <c r="E232" s="968">
        <v>2</v>
      </c>
      <c r="F232" s="968">
        <v>2</v>
      </c>
      <c r="G232" s="968">
        <v>2</v>
      </c>
      <c r="H232" s="968">
        <v>2</v>
      </c>
      <c r="I232" s="968"/>
      <c r="J232" s="972"/>
      <c r="K232" s="1014">
        <f>J231</f>
        <v>203.304</v>
      </c>
      <c r="L232" s="1014"/>
      <c r="M232" s="1014"/>
      <c r="N232" s="1014"/>
      <c r="O232" s="1014"/>
      <c r="P232" s="1014"/>
      <c r="Q232" s="1014"/>
      <c r="R232" s="1016"/>
    </row>
    <row r="233" spans="1:18" s="1007" customFormat="1" ht="30" customHeight="1">
      <c r="A233" s="1012"/>
      <c r="B233" s="968"/>
      <c r="C233" s="968"/>
      <c r="D233" s="968"/>
      <c r="E233" s="968"/>
      <c r="F233" s="968"/>
      <c r="G233" s="968"/>
      <c r="H233" s="968"/>
      <c r="I233" s="968"/>
      <c r="J233" s="972">
        <v>409.90800000000002</v>
      </c>
      <c r="K233" s="1014"/>
      <c r="L233" s="1014"/>
      <c r="M233" s="1014"/>
      <c r="N233" s="1014"/>
      <c r="O233" s="1014"/>
      <c r="P233" s="1014"/>
      <c r="Q233" s="1014"/>
      <c r="R233" s="1016"/>
    </row>
    <row r="234" spans="1:18" s="1007" customFormat="1" ht="30" customHeight="1">
      <c r="A234" s="1012">
        <v>114</v>
      </c>
      <c r="B234" s="968" t="s">
        <v>3071</v>
      </c>
      <c r="C234" s="968" t="s">
        <v>1277</v>
      </c>
      <c r="D234" s="968" t="s">
        <v>2026</v>
      </c>
      <c r="E234" s="968">
        <v>0</v>
      </c>
      <c r="F234" s="968">
        <v>0</v>
      </c>
      <c r="G234" s="968">
        <v>0</v>
      </c>
      <c r="H234" s="968">
        <v>0</v>
      </c>
      <c r="I234" s="968"/>
      <c r="J234" s="972"/>
      <c r="K234" s="1014">
        <f>J233</f>
        <v>409.90800000000002</v>
      </c>
      <c r="L234" s="1014"/>
      <c r="M234" s="1014"/>
      <c r="N234" s="1014"/>
      <c r="O234" s="1014"/>
      <c r="P234" s="1014"/>
      <c r="Q234" s="1014"/>
      <c r="R234" s="1016"/>
    </row>
    <row r="235" spans="1:18" s="1007" customFormat="1" ht="30" customHeight="1">
      <c r="A235" s="1012"/>
      <c r="B235" s="968"/>
      <c r="C235" s="968"/>
      <c r="D235" s="968"/>
      <c r="E235" s="968"/>
      <c r="F235" s="968"/>
      <c r="G235" s="968"/>
      <c r="H235" s="968"/>
      <c r="I235" s="968"/>
      <c r="J235" s="972">
        <v>412</v>
      </c>
      <c r="K235" s="968"/>
      <c r="L235" s="968"/>
      <c r="M235" s="968"/>
      <c r="N235" s="968"/>
      <c r="O235" s="968"/>
      <c r="P235" s="968"/>
      <c r="Q235" s="1652"/>
      <c r="R235" s="1038"/>
    </row>
    <row r="236" spans="1:18" s="1007" customFormat="1" ht="30" customHeight="1">
      <c r="A236" s="1012">
        <v>115</v>
      </c>
      <c r="B236" s="968" t="s">
        <v>2027</v>
      </c>
      <c r="C236" s="968" t="s">
        <v>62</v>
      </c>
      <c r="D236" s="968"/>
      <c r="E236" s="968">
        <v>0</v>
      </c>
      <c r="F236" s="968">
        <v>0</v>
      </c>
      <c r="G236" s="968">
        <v>0</v>
      </c>
      <c r="H236" s="968">
        <v>0</v>
      </c>
      <c r="I236" s="968"/>
      <c r="J236" s="972"/>
      <c r="K236" s="968"/>
      <c r="L236" s="968"/>
      <c r="M236" s="968"/>
      <c r="N236" s="968"/>
      <c r="O236" s="968"/>
      <c r="P236" s="968"/>
      <c r="Q236" s="1652"/>
      <c r="R236" s="1038"/>
    </row>
    <row r="237" spans="1:18" s="1007" customFormat="1" ht="30" customHeight="1">
      <c r="A237" s="1012"/>
      <c r="B237" s="968"/>
      <c r="C237" s="968"/>
      <c r="D237" s="968"/>
      <c r="E237" s="968"/>
      <c r="F237" s="968"/>
      <c r="G237" s="968"/>
      <c r="H237" s="968"/>
      <c r="I237" s="968"/>
      <c r="J237" s="972">
        <v>428</v>
      </c>
      <c r="K237" s="968"/>
      <c r="L237" s="968"/>
      <c r="M237" s="968"/>
      <c r="N237" s="968"/>
      <c r="O237" s="968"/>
      <c r="P237" s="968"/>
      <c r="Q237" s="1652"/>
      <c r="R237" s="1038"/>
    </row>
    <row r="238" spans="1:18" s="1007" customFormat="1" ht="30" customHeight="1">
      <c r="A238" s="1012">
        <v>116</v>
      </c>
      <c r="B238" s="968" t="s">
        <v>2030</v>
      </c>
      <c r="C238" s="968" t="s">
        <v>62</v>
      </c>
      <c r="D238" s="968"/>
      <c r="E238" s="968">
        <v>0</v>
      </c>
      <c r="F238" s="968">
        <v>0</v>
      </c>
      <c r="G238" s="968">
        <v>0</v>
      </c>
      <c r="H238" s="968">
        <v>0</v>
      </c>
      <c r="I238" s="968"/>
      <c r="J238" s="972"/>
      <c r="K238" s="968"/>
      <c r="L238" s="968"/>
      <c r="M238" s="968"/>
      <c r="N238" s="968"/>
      <c r="O238" s="968"/>
      <c r="P238" s="968"/>
      <c r="Q238" s="1652"/>
      <c r="R238" s="1038"/>
    </row>
    <row r="239" spans="1:18" s="1007" customFormat="1" ht="30" customHeight="1">
      <c r="A239" s="1012"/>
      <c r="B239" s="968"/>
      <c r="C239" s="968"/>
      <c r="D239" s="968"/>
      <c r="E239" s="968"/>
      <c r="F239" s="968"/>
      <c r="G239" s="968"/>
      <c r="H239" s="968"/>
      <c r="I239" s="968"/>
      <c r="J239" s="972">
        <v>409</v>
      </c>
      <c r="K239" s="968"/>
      <c r="L239" s="968"/>
      <c r="M239" s="968"/>
      <c r="N239" s="968"/>
      <c r="O239" s="968"/>
      <c r="P239" s="968"/>
      <c r="Q239" s="1652"/>
      <c r="R239" s="1038"/>
    </row>
    <row r="240" spans="1:18" s="1007" customFormat="1" ht="30" customHeight="1">
      <c r="A240" s="1012">
        <v>117</v>
      </c>
      <c r="B240" s="968" t="s">
        <v>2031</v>
      </c>
      <c r="C240" s="968" t="s">
        <v>62</v>
      </c>
      <c r="D240" s="968"/>
      <c r="E240" s="968">
        <v>0</v>
      </c>
      <c r="F240" s="968">
        <v>0</v>
      </c>
      <c r="G240" s="968">
        <v>0</v>
      </c>
      <c r="H240" s="968">
        <v>0</v>
      </c>
      <c r="I240" s="968" t="s">
        <v>3287</v>
      </c>
      <c r="J240" s="972"/>
      <c r="K240" s="968"/>
      <c r="L240" s="968" t="s">
        <v>2919</v>
      </c>
      <c r="M240" s="968" t="s">
        <v>1009</v>
      </c>
      <c r="N240" s="968" t="s">
        <v>1009</v>
      </c>
      <c r="O240" s="968"/>
      <c r="P240" s="968"/>
      <c r="Q240" s="1652"/>
      <c r="R240" s="1038"/>
    </row>
    <row r="241" spans="1:18" s="1007" customFormat="1" ht="30" customHeight="1">
      <c r="A241" s="1012"/>
      <c r="B241" s="968"/>
      <c r="C241" s="968"/>
      <c r="D241" s="968"/>
      <c r="E241" s="968"/>
      <c r="F241" s="968"/>
      <c r="G241" s="968"/>
      <c r="H241" s="968"/>
      <c r="I241" s="968"/>
      <c r="J241" s="972">
        <v>416</v>
      </c>
      <c r="K241" s="968"/>
      <c r="L241" s="968"/>
      <c r="M241" s="968"/>
      <c r="N241" s="968"/>
      <c r="O241" s="968"/>
      <c r="P241" s="968"/>
      <c r="Q241" s="1652"/>
      <c r="R241" s="1038"/>
    </row>
    <row r="242" spans="1:18" s="1007" customFormat="1" ht="30" customHeight="1">
      <c r="A242" s="1012">
        <v>118</v>
      </c>
      <c r="B242" s="968" t="s">
        <v>2032</v>
      </c>
      <c r="C242" s="968" t="s">
        <v>76</v>
      </c>
      <c r="D242" s="968"/>
      <c r="E242" s="968">
        <v>0</v>
      </c>
      <c r="F242" s="968">
        <v>0</v>
      </c>
      <c r="G242" s="968">
        <v>0</v>
      </c>
      <c r="H242" s="968">
        <v>0</v>
      </c>
      <c r="I242" s="968"/>
      <c r="J242" s="972"/>
      <c r="K242" s="968"/>
      <c r="L242" s="968"/>
      <c r="M242" s="968"/>
      <c r="N242" s="968"/>
      <c r="O242" s="968"/>
      <c r="P242" s="968"/>
      <c r="Q242" s="1652"/>
      <c r="R242" s="1038"/>
    </row>
    <row r="243" spans="1:18" s="1007" customFormat="1" ht="30" customHeight="1">
      <c r="A243" s="1012"/>
      <c r="B243" s="968"/>
      <c r="C243" s="968"/>
      <c r="D243" s="968"/>
      <c r="E243" s="968"/>
      <c r="F243" s="968"/>
      <c r="G243" s="968"/>
      <c r="H243" s="968"/>
      <c r="I243" s="968"/>
      <c r="J243" s="972">
        <v>397</v>
      </c>
      <c r="K243" s="968"/>
      <c r="L243" s="968"/>
      <c r="M243" s="968"/>
      <c r="N243" s="968"/>
      <c r="O243" s="968"/>
      <c r="P243" s="968"/>
      <c r="Q243" s="1652"/>
      <c r="R243" s="1038"/>
    </row>
    <row r="244" spans="1:18" s="1007" customFormat="1" ht="30" customHeight="1">
      <c r="A244" s="1012">
        <v>119</v>
      </c>
      <c r="B244" s="968" t="s">
        <v>2034</v>
      </c>
      <c r="C244" s="968" t="s">
        <v>76</v>
      </c>
      <c r="D244" s="968"/>
      <c r="E244" s="968">
        <v>0</v>
      </c>
      <c r="F244" s="968">
        <v>0</v>
      </c>
      <c r="G244" s="968">
        <v>0</v>
      </c>
      <c r="H244" s="968">
        <v>0</v>
      </c>
      <c r="I244" s="968"/>
      <c r="J244" s="972"/>
      <c r="K244" s="968"/>
      <c r="L244" s="968"/>
      <c r="M244" s="968"/>
      <c r="N244" s="968"/>
      <c r="O244" s="968"/>
      <c r="P244" s="968"/>
      <c r="Q244" s="1652"/>
      <c r="R244" s="1038"/>
    </row>
    <row r="245" spans="1:18" s="1007" customFormat="1" ht="30" customHeight="1">
      <c r="A245" s="1012"/>
      <c r="B245" s="968"/>
      <c r="C245" s="968"/>
      <c r="D245" s="968"/>
      <c r="E245" s="968"/>
      <c r="F245" s="968"/>
      <c r="G245" s="968"/>
      <c r="H245" s="968"/>
      <c r="I245" s="968"/>
      <c r="J245" s="972">
        <v>337</v>
      </c>
      <c r="K245" s="968"/>
      <c r="L245" s="968"/>
      <c r="M245" s="968"/>
      <c r="N245" s="968"/>
      <c r="O245" s="968"/>
      <c r="P245" s="968"/>
      <c r="Q245" s="1652"/>
      <c r="R245" s="1038"/>
    </row>
    <row r="246" spans="1:18" s="1007" customFormat="1" ht="30" customHeight="1">
      <c r="A246" s="1012">
        <v>120</v>
      </c>
      <c r="B246" s="968" t="s">
        <v>2036</v>
      </c>
      <c r="C246" s="968" t="s">
        <v>62</v>
      </c>
      <c r="D246" s="968"/>
      <c r="E246" s="968">
        <v>0</v>
      </c>
      <c r="F246" s="968">
        <v>0</v>
      </c>
      <c r="G246" s="968">
        <v>0</v>
      </c>
      <c r="H246" s="968">
        <v>0</v>
      </c>
      <c r="I246" s="968"/>
      <c r="J246" s="972"/>
      <c r="K246" s="968"/>
      <c r="L246" s="968"/>
      <c r="M246" s="968"/>
      <c r="N246" s="968"/>
      <c r="O246" s="968"/>
      <c r="P246" s="968"/>
      <c r="Q246" s="1652"/>
      <c r="R246" s="1038"/>
    </row>
    <row r="247" spans="1:18" s="1007" customFormat="1" ht="30" customHeight="1">
      <c r="A247" s="1012"/>
      <c r="B247" s="968"/>
      <c r="C247" s="968"/>
      <c r="D247" s="968"/>
      <c r="E247" s="968"/>
      <c r="F247" s="968"/>
      <c r="G247" s="968"/>
      <c r="H247" s="968"/>
      <c r="I247" s="968"/>
      <c r="J247" s="972">
        <v>451</v>
      </c>
      <c r="K247" s="968"/>
      <c r="L247" s="968"/>
      <c r="M247" s="968"/>
      <c r="N247" s="968"/>
      <c r="O247" s="968"/>
      <c r="P247" s="968"/>
      <c r="Q247" s="1652"/>
      <c r="R247" s="1038"/>
    </row>
    <row r="248" spans="1:18" s="1007" customFormat="1" ht="30" customHeight="1">
      <c r="A248" s="1012">
        <v>121</v>
      </c>
      <c r="B248" s="968" t="s">
        <v>2038</v>
      </c>
      <c r="C248" s="968" t="s">
        <v>53</v>
      </c>
      <c r="D248" s="968"/>
      <c r="E248" s="968">
        <v>0</v>
      </c>
      <c r="F248" s="968">
        <v>0</v>
      </c>
      <c r="G248" s="968">
        <v>0</v>
      </c>
      <c r="H248" s="968">
        <v>0</v>
      </c>
      <c r="I248" s="968" t="s">
        <v>897</v>
      </c>
      <c r="J248" s="972"/>
      <c r="K248" s="968"/>
      <c r="L248" s="968" t="s">
        <v>2919</v>
      </c>
      <c r="M248" s="968" t="s">
        <v>1009</v>
      </c>
      <c r="N248" s="968" t="s">
        <v>1009</v>
      </c>
      <c r="O248" s="968" t="s">
        <v>1009</v>
      </c>
      <c r="P248" s="968"/>
      <c r="Q248" s="1652"/>
      <c r="R248" s="1038"/>
    </row>
    <row r="249" spans="1:18" s="1007" customFormat="1" ht="30" customHeight="1">
      <c r="A249" s="1012"/>
      <c r="B249" s="968"/>
      <c r="C249" s="968"/>
      <c r="D249" s="968"/>
      <c r="E249" s="968"/>
      <c r="F249" s="968"/>
      <c r="G249" s="968"/>
      <c r="H249" s="968"/>
      <c r="I249" s="968"/>
      <c r="J249" s="972">
        <v>389</v>
      </c>
      <c r="K249" s="968"/>
      <c r="L249" s="968"/>
      <c r="M249" s="968"/>
      <c r="N249" s="968"/>
      <c r="O249" s="968"/>
      <c r="P249" s="968"/>
      <c r="Q249" s="1652"/>
      <c r="R249" s="1038"/>
    </row>
    <row r="250" spans="1:18" s="1007" customFormat="1" ht="30" customHeight="1">
      <c r="A250" s="1012">
        <v>122</v>
      </c>
      <c r="B250" s="968" t="s">
        <v>2040</v>
      </c>
      <c r="C250" s="968" t="s">
        <v>76</v>
      </c>
      <c r="D250" s="968"/>
      <c r="E250" s="968">
        <v>0</v>
      </c>
      <c r="F250" s="968">
        <v>0</v>
      </c>
      <c r="G250" s="968">
        <v>0</v>
      </c>
      <c r="H250" s="968">
        <v>0</v>
      </c>
      <c r="I250" s="968" t="s">
        <v>2736</v>
      </c>
      <c r="J250" s="972"/>
      <c r="K250" s="968"/>
      <c r="L250" s="968" t="s">
        <v>2919</v>
      </c>
      <c r="M250" s="968" t="s">
        <v>1009</v>
      </c>
      <c r="N250" s="968" t="s">
        <v>1009</v>
      </c>
      <c r="O250" s="968" t="s">
        <v>22</v>
      </c>
      <c r="P250" s="968"/>
      <c r="Q250" s="1652"/>
      <c r="R250" s="1038"/>
    </row>
    <row r="251" spans="1:18" s="1007" customFormat="1" ht="30" customHeight="1">
      <c r="A251" s="1012"/>
      <c r="B251" s="968"/>
      <c r="C251" s="968"/>
      <c r="D251" s="968"/>
      <c r="E251" s="968"/>
      <c r="F251" s="968"/>
      <c r="G251" s="968"/>
      <c r="H251" s="968"/>
      <c r="I251" s="968"/>
      <c r="J251" s="972">
        <v>395</v>
      </c>
      <c r="K251" s="968"/>
      <c r="L251" s="968"/>
      <c r="M251" s="968"/>
      <c r="N251" s="968"/>
      <c r="O251" s="968"/>
      <c r="P251" s="968"/>
      <c r="Q251" s="1652"/>
      <c r="R251" s="1038"/>
    </row>
    <row r="252" spans="1:18" s="1007" customFormat="1" ht="30" customHeight="1">
      <c r="A252" s="1012">
        <v>123</v>
      </c>
      <c r="B252" s="968" t="s">
        <v>2042</v>
      </c>
      <c r="C252" s="968" t="s">
        <v>76</v>
      </c>
      <c r="D252" s="968"/>
      <c r="E252" s="968">
        <v>0</v>
      </c>
      <c r="F252" s="968">
        <v>0</v>
      </c>
      <c r="G252" s="968">
        <v>0</v>
      </c>
      <c r="H252" s="968">
        <v>0</v>
      </c>
      <c r="I252" s="968"/>
      <c r="J252" s="972"/>
      <c r="K252" s="968"/>
      <c r="L252" s="968"/>
      <c r="M252" s="968"/>
      <c r="N252" s="968"/>
      <c r="O252" s="968"/>
      <c r="P252" s="968"/>
      <c r="Q252" s="1652"/>
      <c r="R252" s="1038"/>
    </row>
    <row r="253" spans="1:18" s="1007" customFormat="1" ht="30" customHeight="1">
      <c r="A253" s="1012"/>
      <c r="B253" s="968"/>
      <c r="C253" s="968"/>
      <c r="D253" s="968"/>
      <c r="E253" s="968"/>
      <c r="F253" s="968"/>
      <c r="G253" s="968"/>
      <c r="H253" s="968"/>
      <c r="I253" s="968"/>
      <c r="J253" s="972">
        <v>391</v>
      </c>
      <c r="K253" s="968"/>
      <c r="L253" s="968"/>
      <c r="M253" s="968"/>
      <c r="N253" s="968"/>
      <c r="O253" s="968"/>
      <c r="P253" s="968"/>
      <c r="Q253" s="1652"/>
      <c r="R253" s="1038"/>
    </row>
    <row r="254" spans="1:18" s="1007" customFormat="1" ht="30" customHeight="1">
      <c r="A254" s="1012">
        <v>124</v>
      </c>
      <c r="B254" s="968" t="s">
        <v>2044</v>
      </c>
      <c r="C254" s="968" t="s">
        <v>76</v>
      </c>
      <c r="D254" s="968"/>
      <c r="E254" s="968">
        <v>0</v>
      </c>
      <c r="F254" s="968">
        <v>0</v>
      </c>
      <c r="G254" s="968">
        <v>0</v>
      </c>
      <c r="H254" s="968">
        <v>0</v>
      </c>
      <c r="I254" s="968"/>
      <c r="J254" s="972"/>
      <c r="K254" s="968"/>
      <c r="L254" s="968"/>
      <c r="M254" s="968"/>
      <c r="N254" s="968"/>
      <c r="O254" s="968"/>
      <c r="P254" s="968"/>
      <c r="Q254" s="1652"/>
      <c r="R254" s="1038"/>
    </row>
    <row r="255" spans="1:18" s="1007" customFormat="1" ht="30" customHeight="1">
      <c r="A255" s="1012"/>
      <c r="B255" s="968"/>
      <c r="C255" s="968"/>
      <c r="D255" s="968"/>
      <c r="E255" s="968"/>
      <c r="F255" s="968"/>
      <c r="G255" s="968"/>
      <c r="H255" s="968"/>
      <c r="I255" s="968"/>
      <c r="J255" s="972">
        <v>425.90300000000002</v>
      </c>
      <c r="K255" s="968"/>
      <c r="L255" s="968"/>
      <c r="M255" s="968"/>
      <c r="N255" s="968"/>
      <c r="O255" s="968"/>
      <c r="P255" s="968"/>
      <c r="Q255" s="1652"/>
      <c r="R255" s="1038"/>
    </row>
    <row r="256" spans="1:18" s="1007" customFormat="1" ht="30" customHeight="1">
      <c r="A256" s="1012">
        <v>125</v>
      </c>
      <c r="B256" s="968" t="s">
        <v>3072</v>
      </c>
      <c r="C256" s="968" t="s">
        <v>1953</v>
      </c>
      <c r="D256" s="968"/>
      <c r="E256" s="968">
        <v>0</v>
      </c>
      <c r="F256" s="968">
        <v>0</v>
      </c>
      <c r="G256" s="968">
        <v>0</v>
      </c>
      <c r="H256" s="968">
        <v>0</v>
      </c>
      <c r="I256" s="968"/>
      <c r="J256" s="1036"/>
      <c r="K256" s="1014">
        <f>J235+J237+J239+J241+J243+J245+J247+J249+J251+J253+J255</f>
        <v>4450.9030000000002</v>
      </c>
      <c r="L256" s="1014"/>
      <c r="M256" s="1014"/>
      <c r="N256" s="1014"/>
      <c r="O256" s="1014"/>
      <c r="P256" s="1014"/>
      <c r="Q256" s="1014"/>
      <c r="R256" s="1016"/>
    </row>
    <row r="257" spans="2:10" ht="30" customHeight="1">
      <c r="J257" s="987">
        <f>SUM(J8:J256)/1000</f>
        <v>46.051480999999995</v>
      </c>
    </row>
    <row r="260" spans="2:10">
      <c r="B260" s="1070"/>
    </row>
    <row r="261" spans="2:10">
      <c r="B261" s="1071"/>
    </row>
    <row r="263" spans="2:10">
      <c r="B263" s="1071"/>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601" priority="3" operator="equal">
      <formula>"WIP"</formula>
    </cfRule>
    <cfRule type="cellIs" dxfId="3600" priority="4" operator="equal">
      <formula>"C"</formula>
    </cfRule>
  </conditionalFormatting>
  <conditionalFormatting sqref="B1:B1048576">
    <cfRule type="duplicateValues" dxfId="3599" priority="1"/>
  </conditionalFormatting>
  <conditionalFormatting sqref="L1:L1048576">
    <cfRule type="cellIs" dxfId="359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5"/>
  <cols>
    <col min="2" max="2" width="4.5703125" style="2" bestFit="1" customWidth="1"/>
    <col min="3" max="3" width="15.5703125" style="2" bestFit="1" customWidth="1"/>
    <col min="4" max="5" width="8.7109375" style="2"/>
    <col min="6" max="6" width="13.140625" style="2" customWidth="1"/>
    <col min="7" max="7" width="13.7109375" style="2" customWidth="1"/>
    <col min="9" max="10" width="14.7109375" customWidth="1"/>
    <col min="11" max="11" width="84.85546875" customWidth="1"/>
  </cols>
  <sheetData>
    <row r="2" spans="2:11" ht="60">
      <c r="B2" s="33" t="s">
        <v>1782</v>
      </c>
      <c r="C2" s="33" t="s">
        <v>2401</v>
      </c>
      <c r="D2" s="33" t="s">
        <v>2704</v>
      </c>
      <c r="E2" s="33" t="s">
        <v>3475</v>
      </c>
      <c r="F2" s="466" t="s">
        <v>3476</v>
      </c>
      <c r="G2" s="466" t="s">
        <v>3477</v>
      </c>
      <c r="H2" s="466" t="s">
        <v>3478</v>
      </c>
      <c r="I2" s="466" t="s">
        <v>3479</v>
      </c>
      <c r="J2" s="466" t="s">
        <v>3483</v>
      </c>
      <c r="K2" s="466" t="s">
        <v>19</v>
      </c>
    </row>
    <row r="3" spans="2:11" ht="60">
      <c r="B3" s="33">
        <v>1</v>
      </c>
      <c r="C3" s="33" t="s">
        <v>2691</v>
      </c>
      <c r="D3" s="33" t="s">
        <v>2371</v>
      </c>
      <c r="E3" s="33">
        <v>137</v>
      </c>
      <c r="F3" s="33">
        <v>81</v>
      </c>
      <c r="G3" s="33">
        <v>51</v>
      </c>
      <c r="H3" s="33">
        <v>4</v>
      </c>
      <c r="I3" s="33">
        <f>F3-G3-H3</f>
        <v>26</v>
      </c>
      <c r="J3" s="33">
        <v>5</v>
      </c>
      <c r="K3" s="1207" t="s">
        <v>3481</v>
      </c>
    </row>
    <row r="4" spans="2:11" ht="75">
      <c r="B4" s="33">
        <f>B3+1</f>
        <v>2</v>
      </c>
      <c r="C4" s="33" t="s">
        <v>2691</v>
      </c>
      <c r="D4" s="33" t="s">
        <v>2376</v>
      </c>
      <c r="E4" s="33">
        <v>262</v>
      </c>
      <c r="F4" s="33">
        <v>154</v>
      </c>
      <c r="G4" s="33">
        <v>66</v>
      </c>
      <c r="H4" s="33">
        <v>6</v>
      </c>
      <c r="I4" s="33">
        <f>F4-G4-H4</f>
        <v>82</v>
      </c>
      <c r="J4" s="33">
        <v>7</v>
      </c>
      <c r="K4" s="1207" t="s">
        <v>3480</v>
      </c>
    </row>
    <row r="5" spans="2:11" s="367" customFormat="1" ht="45">
      <c r="B5" s="33">
        <f>B4+1</f>
        <v>3</v>
      </c>
      <c r="C5" s="33" t="s">
        <v>2835</v>
      </c>
      <c r="D5" s="33"/>
      <c r="E5" s="33">
        <v>116</v>
      </c>
      <c r="F5" s="33">
        <v>44</v>
      </c>
      <c r="G5" s="33">
        <v>2</v>
      </c>
      <c r="H5" s="33">
        <v>1</v>
      </c>
      <c r="I5" s="33">
        <f>F5-G5-H5</f>
        <v>41</v>
      </c>
      <c r="J5" s="33">
        <v>1</v>
      </c>
      <c r="K5" s="1207" t="s">
        <v>3482</v>
      </c>
    </row>
    <row r="6" spans="2:11">
      <c r="H6" s="2"/>
      <c r="I6" s="2"/>
      <c r="J6"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theme="4" tint="0.39997558519241921"/>
  </sheetPr>
  <dimension ref="A1:P17"/>
  <sheetViews>
    <sheetView view="pageBreakPreview" topLeftCell="A10" zoomScaleNormal="100" zoomScaleSheetLayoutView="100" workbookViewId="0">
      <selection activeCell="N12" sqref="N12"/>
    </sheetView>
  </sheetViews>
  <sheetFormatPr defaultRowHeight="15"/>
  <cols>
    <col min="2" max="2" width="4.5703125" bestFit="1" customWidth="1"/>
    <col min="3" max="3" width="9.85546875" bestFit="1" customWidth="1"/>
    <col min="5" max="5" width="10.85546875" bestFit="1" customWidth="1"/>
    <col min="6" max="7" width="9.7109375" bestFit="1" customWidth="1"/>
    <col min="8" max="11" width="10.42578125" customWidth="1"/>
    <col min="12" max="13" width="11.5703125" customWidth="1"/>
    <col min="14" max="14" width="44.140625" bestFit="1" customWidth="1"/>
    <col min="15" max="15" width="10.85546875" bestFit="1" customWidth="1"/>
    <col min="16" max="16" width="10" bestFit="1" customWidth="1"/>
  </cols>
  <sheetData>
    <row r="1" spans="1:16">
      <c r="B1" s="645" t="s">
        <v>37</v>
      </c>
    </row>
    <row r="2" spans="1:16">
      <c r="B2" s="651" t="s">
        <v>2739</v>
      </c>
    </row>
    <row r="3" spans="1:16">
      <c r="B3" s="651" t="s">
        <v>614</v>
      </c>
    </row>
    <row r="4" spans="1:16">
      <c r="A4" s="651"/>
      <c r="B4" s="651"/>
    </row>
    <row r="5" spans="1:16">
      <c r="B5" s="1522" t="s">
        <v>1782</v>
      </c>
      <c r="C5" s="1522" t="s">
        <v>1433</v>
      </c>
      <c r="D5" s="1523" t="s">
        <v>1869</v>
      </c>
      <c r="E5" s="1522" t="s">
        <v>3603</v>
      </c>
      <c r="F5" s="1522" t="s">
        <v>1418</v>
      </c>
      <c r="G5" s="1522"/>
      <c r="H5" s="1522" t="s">
        <v>1434</v>
      </c>
      <c r="I5" s="1522"/>
      <c r="J5" s="1522" t="s">
        <v>3610</v>
      </c>
      <c r="K5" s="1522"/>
      <c r="L5" s="1522" t="s">
        <v>1435</v>
      </c>
      <c r="M5" s="1522"/>
      <c r="N5" s="1522" t="s">
        <v>19</v>
      </c>
      <c r="O5" s="1522" t="s">
        <v>3419</v>
      </c>
      <c r="P5" s="1522" t="s">
        <v>1412</v>
      </c>
    </row>
    <row r="6" spans="1:16" ht="29.1" customHeight="1">
      <c r="B6" s="1522"/>
      <c r="C6" s="1522"/>
      <c r="D6" s="1523"/>
      <c r="E6" s="1522"/>
      <c r="F6" s="10" t="s">
        <v>1441</v>
      </c>
      <c r="G6" s="10" t="s">
        <v>3605</v>
      </c>
      <c r="H6" s="10" t="s">
        <v>1441</v>
      </c>
      <c r="I6" s="10" t="s">
        <v>3605</v>
      </c>
      <c r="J6" s="10" t="s">
        <v>1441</v>
      </c>
      <c r="K6" s="10" t="s">
        <v>3605</v>
      </c>
      <c r="L6" s="10" t="s">
        <v>1441</v>
      </c>
      <c r="M6" s="10" t="s">
        <v>3605</v>
      </c>
      <c r="N6" s="1522"/>
      <c r="O6" s="1522"/>
      <c r="P6" s="1522"/>
    </row>
    <row r="7" spans="1:16" s="367" customFormat="1" ht="27" customHeight="1">
      <c r="B7" s="143">
        <v>1</v>
      </c>
      <c r="C7" s="143" t="s">
        <v>1875</v>
      </c>
      <c r="D7" s="1304">
        <v>1.028</v>
      </c>
      <c r="E7" s="143" t="s">
        <v>3604</v>
      </c>
      <c r="F7" s="1305">
        <v>46183</v>
      </c>
      <c r="G7" s="1305">
        <v>46185</v>
      </c>
      <c r="H7" s="1305">
        <v>46190</v>
      </c>
      <c r="I7" s="1305">
        <v>46194</v>
      </c>
      <c r="J7" s="1305">
        <v>46190</v>
      </c>
      <c r="K7" s="1305">
        <v>46194</v>
      </c>
      <c r="L7" s="1305">
        <v>46196</v>
      </c>
      <c r="M7" s="1305">
        <v>46197</v>
      </c>
      <c r="N7" s="1306" t="s">
        <v>3628</v>
      </c>
      <c r="O7" s="33" t="s">
        <v>3560</v>
      </c>
      <c r="P7" s="1525">
        <v>32</v>
      </c>
    </row>
    <row r="8" spans="1:16" s="367" customFormat="1" ht="31.5" customHeight="1">
      <c r="B8" s="143">
        <f t="shared" ref="B8:B17" si="0">B7+1</f>
        <v>2</v>
      </c>
      <c r="C8" s="143" t="s">
        <v>1876</v>
      </c>
      <c r="D8" s="1304">
        <v>0.442</v>
      </c>
      <c r="E8" s="143" t="s">
        <v>3609</v>
      </c>
      <c r="F8" s="1305">
        <v>46187</v>
      </c>
      <c r="G8" s="1305">
        <v>46187</v>
      </c>
      <c r="H8" s="1305">
        <v>46187</v>
      </c>
      <c r="I8" s="1305">
        <v>46189</v>
      </c>
      <c r="J8" s="1305">
        <v>46187</v>
      </c>
      <c r="K8" s="1305">
        <v>46189</v>
      </c>
      <c r="L8" s="1305">
        <v>46190</v>
      </c>
      <c r="M8" s="1305">
        <v>46195</v>
      </c>
      <c r="N8" s="1306" t="s">
        <v>3628</v>
      </c>
      <c r="O8" s="33" t="s">
        <v>3560</v>
      </c>
      <c r="P8" s="1525"/>
    </row>
    <row r="9" spans="1:16" s="367" customFormat="1" ht="36.950000000000003" customHeight="1">
      <c r="B9" s="143">
        <f t="shared" si="0"/>
        <v>3</v>
      </c>
      <c r="C9" s="143" t="s">
        <v>2600</v>
      </c>
      <c r="D9" s="1304">
        <v>1.06</v>
      </c>
      <c r="E9" s="143" t="s">
        <v>3604</v>
      </c>
      <c r="F9" s="1305">
        <v>46193</v>
      </c>
      <c r="G9" s="1305">
        <v>46201</v>
      </c>
      <c r="H9" s="1305">
        <v>46210</v>
      </c>
      <c r="I9" s="1305">
        <v>46215</v>
      </c>
      <c r="J9" s="1305">
        <v>46211</v>
      </c>
      <c r="K9" s="1305">
        <v>46215</v>
      </c>
      <c r="L9" s="1305">
        <v>46219</v>
      </c>
      <c r="M9" s="1305">
        <v>46223</v>
      </c>
      <c r="N9" s="1306" t="s">
        <v>3628</v>
      </c>
      <c r="O9" s="33" t="s">
        <v>3622</v>
      </c>
      <c r="P9" s="33">
        <v>25</v>
      </c>
    </row>
    <row r="10" spans="1:16" s="367" customFormat="1" ht="31.5" customHeight="1">
      <c r="B10" s="143">
        <f t="shared" si="0"/>
        <v>4</v>
      </c>
      <c r="C10" s="143" t="s">
        <v>1874</v>
      </c>
      <c r="D10" s="1304">
        <v>0.36599999999999999</v>
      </c>
      <c r="E10" s="143" t="s">
        <v>3609</v>
      </c>
      <c r="F10" s="1305">
        <v>46198</v>
      </c>
      <c r="G10" s="1305">
        <v>46199</v>
      </c>
      <c r="H10" s="1305">
        <v>46199</v>
      </c>
      <c r="I10" s="1305">
        <v>46208</v>
      </c>
      <c r="J10" s="1305">
        <v>46200</v>
      </c>
      <c r="K10" s="1305">
        <v>46208</v>
      </c>
      <c r="L10" s="1305">
        <v>46207</v>
      </c>
      <c r="M10" s="1305">
        <v>46209</v>
      </c>
      <c r="N10" s="1306" t="s">
        <v>3628</v>
      </c>
      <c r="O10" s="33" t="s">
        <v>3560</v>
      </c>
      <c r="P10" s="33">
        <v>35</v>
      </c>
    </row>
    <row r="11" spans="1:16" s="367" customFormat="1" ht="36.950000000000003" customHeight="1">
      <c r="B11" s="143">
        <f>B10+1</f>
        <v>5</v>
      </c>
      <c r="C11" s="1343" t="s">
        <v>1870</v>
      </c>
      <c r="D11" s="1304">
        <v>0.48599999999999999</v>
      </c>
      <c r="E11" s="1343" t="s">
        <v>3609</v>
      </c>
      <c r="F11" s="1305">
        <v>46203</v>
      </c>
      <c r="G11" s="1305">
        <v>46204</v>
      </c>
      <c r="H11" s="1305">
        <v>46204</v>
      </c>
      <c r="I11" s="1305">
        <v>46205</v>
      </c>
      <c r="J11" s="1305">
        <v>46206</v>
      </c>
      <c r="K11" s="1305">
        <v>46208</v>
      </c>
      <c r="L11" s="1305">
        <v>46237</v>
      </c>
      <c r="M11" s="1305">
        <v>46239</v>
      </c>
      <c r="N11" s="1306" t="s">
        <v>3628</v>
      </c>
      <c r="O11" s="33" t="s">
        <v>3622</v>
      </c>
      <c r="P11" s="33">
        <v>25</v>
      </c>
    </row>
    <row r="12" spans="1:16" s="367" customFormat="1" ht="36.950000000000003" customHeight="1">
      <c r="B12" s="143">
        <f t="shared" si="0"/>
        <v>6</v>
      </c>
      <c r="C12" s="1342" t="s">
        <v>1877</v>
      </c>
      <c r="D12" s="1304">
        <v>0.73899999999999999</v>
      </c>
      <c r="E12" s="1343" t="s">
        <v>3609</v>
      </c>
      <c r="F12" s="1305">
        <v>46210</v>
      </c>
      <c r="G12" s="1305">
        <v>46213</v>
      </c>
      <c r="H12" s="1305">
        <v>46214</v>
      </c>
      <c r="I12" s="1305">
        <v>46217</v>
      </c>
      <c r="J12" s="1305">
        <v>46215</v>
      </c>
      <c r="K12" s="1305">
        <v>46217</v>
      </c>
      <c r="L12" s="1305">
        <v>46220</v>
      </c>
      <c r="M12" s="1305">
        <v>46221</v>
      </c>
      <c r="N12" s="1306" t="s">
        <v>3628</v>
      </c>
      <c r="O12" s="1311" t="s">
        <v>3560</v>
      </c>
      <c r="P12" s="33">
        <v>35</v>
      </c>
    </row>
    <row r="13" spans="1:16" s="367" customFormat="1" ht="36.950000000000003" customHeight="1">
      <c r="B13" s="143">
        <f t="shared" si="0"/>
        <v>7</v>
      </c>
      <c r="C13" s="143" t="s">
        <v>2601</v>
      </c>
      <c r="D13" s="1304">
        <v>1.089</v>
      </c>
      <c r="E13" s="143" t="s">
        <v>3604</v>
      </c>
      <c r="F13" s="1305">
        <v>46211</v>
      </c>
      <c r="G13" s="1305">
        <v>46213</v>
      </c>
      <c r="H13" s="1305">
        <v>46218</v>
      </c>
      <c r="I13" s="1305">
        <v>46222</v>
      </c>
      <c r="J13" s="1305">
        <v>46219</v>
      </c>
      <c r="K13" s="1305">
        <v>46222</v>
      </c>
      <c r="L13" s="1305">
        <v>46226</v>
      </c>
      <c r="M13" s="1305">
        <v>46228</v>
      </c>
      <c r="N13" s="1306" t="s">
        <v>3628</v>
      </c>
      <c r="O13" s="33" t="s">
        <v>3622</v>
      </c>
      <c r="P13" s="33">
        <v>25</v>
      </c>
    </row>
    <row r="14" spans="1:16" s="367" customFormat="1" ht="36.950000000000003" customHeight="1">
      <c r="B14" s="143">
        <f t="shared" si="0"/>
        <v>8</v>
      </c>
      <c r="C14" s="143" t="s">
        <v>1878</v>
      </c>
      <c r="D14" s="1304">
        <v>0.44600000000000001</v>
      </c>
      <c r="E14" s="143" t="s">
        <v>3609</v>
      </c>
      <c r="F14" s="1305">
        <v>46218</v>
      </c>
      <c r="G14" s="1305">
        <v>46219</v>
      </c>
      <c r="H14" s="1305">
        <v>46218</v>
      </c>
      <c r="I14" s="1305">
        <v>46219</v>
      </c>
      <c r="J14" s="1305">
        <v>46220</v>
      </c>
      <c r="K14" s="1305">
        <v>46232</v>
      </c>
      <c r="L14" s="1305">
        <v>46234</v>
      </c>
      <c r="M14" s="1305">
        <v>46236</v>
      </c>
      <c r="N14" s="1306" t="s">
        <v>3628</v>
      </c>
      <c r="O14" s="1311" t="s">
        <v>3560</v>
      </c>
      <c r="P14" s="33">
        <v>35</v>
      </c>
    </row>
    <row r="15" spans="1:16" s="367" customFormat="1">
      <c r="B15" s="33">
        <f t="shared" si="0"/>
        <v>9</v>
      </c>
      <c r="C15" s="33" t="s">
        <v>1896</v>
      </c>
      <c r="D15" s="1167">
        <v>2.2160000000000002</v>
      </c>
      <c r="E15" s="33" t="s">
        <v>3604</v>
      </c>
      <c r="F15" s="50">
        <v>46220</v>
      </c>
      <c r="G15" s="50">
        <v>46236</v>
      </c>
      <c r="H15" s="50"/>
      <c r="I15" s="50"/>
      <c r="J15" s="50"/>
      <c r="K15" s="50"/>
      <c r="L15" s="50"/>
      <c r="M15" s="33"/>
      <c r="N15" s="1443" t="s">
        <v>3816</v>
      </c>
      <c r="O15" s="1341" t="s">
        <v>3672</v>
      </c>
      <c r="P15" s="33">
        <v>80</v>
      </c>
    </row>
    <row r="16" spans="1:16" s="367" customFormat="1" ht="36.950000000000003" customHeight="1">
      <c r="B16" s="33">
        <f t="shared" si="0"/>
        <v>10</v>
      </c>
      <c r="C16" s="33" t="s">
        <v>1879</v>
      </c>
      <c r="D16" s="1167">
        <v>2.57</v>
      </c>
      <c r="E16" s="33" t="s">
        <v>3604</v>
      </c>
      <c r="F16" s="50">
        <v>46229</v>
      </c>
      <c r="G16" s="50">
        <v>46238</v>
      </c>
      <c r="H16" s="50"/>
      <c r="I16" s="50"/>
      <c r="J16" s="50"/>
      <c r="K16" s="50"/>
      <c r="L16" s="50"/>
      <c r="M16" s="33"/>
      <c r="N16" s="1443" t="s">
        <v>3809</v>
      </c>
      <c r="O16" s="1311" t="s">
        <v>3560</v>
      </c>
      <c r="P16" s="33">
        <v>35</v>
      </c>
    </row>
    <row r="17" spans="2:16" s="367" customFormat="1" ht="63" customHeight="1">
      <c r="B17" s="33">
        <f t="shared" si="0"/>
        <v>11</v>
      </c>
      <c r="C17" s="1398" t="s">
        <v>2599</v>
      </c>
      <c r="D17" s="1167">
        <f>401.159/1000</f>
        <v>0.40115899999999999</v>
      </c>
      <c r="E17" s="33" t="s">
        <v>3609</v>
      </c>
      <c r="F17" s="50">
        <v>46244</v>
      </c>
      <c r="G17" s="50"/>
      <c r="H17" s="50"/>
      <c r="I17" s="50"/>
      <c r="J17" s="50"/>
      <c r="K17" s="50"/>
      <c r="L17" s="50"/>
      <c r="M17" s="33"/>
      <c r="N17" s="1443" t="s">
        <v>3815</v>
      </c>
      <c r="O17" s="1399" t="s">
        <v>3777</v>
      </c>
      <c r="P17" s="33">
        <v>20</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7" priority="1"/>
  </conditionalFormatting>
  <pageMargins left="0.7" right="0.7" top="0.75" bottom="0.75" header="0.3" footer="0.3"/>
  <pageSetup scale="46"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filterMode="1">
    <tabColor theme="4" tint="0.39997558519241921"/>
  </sheetPr>
  <dimension ref="A1:R96"/>
  <sheetViews>
    <sheetView zoomScale="115" zoomScaleNormal="115" workbookViewId="0">
      <pane xSplit="6" ySplit="6" topLeftCell="I7" activePane="bottomRight" state="frozen"/>
      <selection pane="topRight" activeCell="G1" sqref="G1"/>
      <selection pane="bottomLeft" activeCell="A7" sqref="A7"/>
      <selection pane="bottomRight" activeCell="N63" sqref="N7:N63"/>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customWidth="1"/>
    <col min="6" max="6" width="9.140625" style="648" customWidth="1"/>
    <col min="7" max="7" width="10.140625" style="648" bestFit="1" customWidth="1"/>
    <col min="8" max="8" width="11.140625" style="648" bestFit="1" customWidth="1"/>
    <col min="9" max="9" width="9.42578125" style="648" bestFit="1" customWidth="1"/>
    <col min="10" max="10" width="12.5703125" style="648" bestFit="1" customWidth="1"/>
    <col min="11" max="11" width="9.140625" style="648" customWidth="1"/>
    <col min="12" max="12" width="12.140625" style="649" customWidth="1"/>
    <col min="13" max="13" width="9.28515625" style="648" bestFit="1" customWidth="1"/>
    <col min="14" max="14" width="10.7109375" style="648" bestFit="1" customWidth="1"/>
    <col min="15" max="15" width="19.140625" style="650" bestFit="1" customWidth="1"/>
    <col min="16" max="16" width="12.5703125" style="650" bestFit="1" customWidth="1"/>
    <col min="17" max="17" width="38.5703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46246</v>
      </c>
    </row>
    <row r="2" spans="1:17" ht="12.75">
      <c r="A2" s="651" t="s">
        <v>2823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33" customHeight="1">
      <c r="A5" s="1645" t="s">
        <v>1782</v>
      </c>
      <c r="B5" s="1645" t="s">
        <v>998</v>
      </c>
      <c r="C5" s="1645" t="s">
        <v>44</v>
      </c>
      <c r="D5" s="1645" t="s">
        <v>45</v>
      </c>
      <c r="E5" s="1650" t="s">
        <v>3612</v>
      </c>
      <c r="F5" s="1645" t="s">
        <v>1441</v>
      </c>
      <c r="G5" s="1647" t="s">
        <v>28</v>
      </c>
      <c r="H5" s="1648"/>
      <c r="I5" s="1648"/>
      <c r="J5" s="1648"/>
      <c r="K5" s="1649"/>
      <c r="L5" s="1658" t="s">
        <v>2396</v>
      </c>
      <c r="M5" s="1645" t="s">
        <v>627</v>
      </c>
      <c r="N5" s="1645" t="s">
        <v>609</v>
      </c>
      <c r="O5" s="656" t="s">
        <v>1762</v>
      </c>
      <c r="P5" s="657" t="s">
        <v>1763</v>
      </c>
      <c r="Q5" s="657" t="s">
        <v>1764</v>
      </c>
    </row>
    <row r="6" spans="1:17" s="658" customFormat="1" ht="17.45" customHeight="1">
      <c r="A6" s="1646"/>
      <c r="B6" s="1646"/>
      <c r="C6" s="1646"/>
      <c r="D6" s="1646"/>
      <c r="E6" s="1651"/>
      <c r="F6" s="1646"/>
      <c r="G6" s="656" t="s">
        <v>1416</v>
      </c>
      <c r="H6" s="656" t="s">
        <v>2394</v>
      </c>
      <c r="I6" s="656" t="s">
        <v>2368</v>
      </c>
      <c r="J6" s="656" t="s">
        <v>2395</v>
      </c>
      <c r="K6" s="656" t="s">
        <v>2386</v>
      </c>
      <c r="L6" s="1659"/>
      <c r="M6" s="1646"/>
      <c r="N6" s="1646"/>
      <c r="O6" s="656"/>
      <c r="P6" s="657"/>
      <c r="Q6" s="657"/>
    </row>
    <row r="7" spans="1:17" s="655" customFormat="1" ht="29.45" customHeight="1">
      <c r="A7" s="747">
        <v>1</v>
      </c>
      <c r="B7" s="748" t="s">
        <v>2824</v>
      </c>
      <c r="C7" s="747" t="s">
        <v>1277</v>
      </c>
      <c r="D7" s="747" t="s">
        <v>92</v>
      </c>
      <c r="E7" s="747" t="s">
        <v>3613</v>
      </c>
      <c r="F7" s="749">
        <v>45931</v>
      </c>
      <c r="G7" s="749">
        <v>45945</v>
      </c>
      <c r="H7" s="749">
        <v>45953</v>
      </c>
      <c r="I7" s="749">
        <v>45953</v>
      </c>
      <c r="J7" s="749">
        <v>45954</v>
      </c>
      <c r="K7" s="749">
        <v>45956</v>
      </c>
      <c r="L7" s="749">
        <v>45956</v>
      </c>
      <c r="M7" s="937" t="s">
        <v>631</v>
      </c>
      <c r="N7" s="999">
        <v>45970</v>
      </c>
      <c r="O7" s="747" t="s">
        <v>3092</v>
      </c>
      <c r="P7" s="747">
        <v>8</v>
      </c>
      <c r="Q7" s="854"/>
    </row>
    <row r="8" spans="1:17" s="655" customFormat="1" ht="29.45" customHeight="1">
      <c r="A8" s="747">
        <v>2</v>
      </c>
      <c r="B8" s="748" t="s">
        <v>2850</v>
      </c>
      <c r="C8" s="747" t="s">
        <v>1319</v>
      </c>
      <c r="D8" s="747" t="s">
        <v>92</v>
      </c>
      <c r="E8" s="747" t="s">
        <v>3613</v>
      </c>
      <c r="F8" s="749">
        <v>45954</v>
      </c>
      <c r="G8" s="749">
        <v>45967</v>
      </c>
      <c r="H8" s="749">
        <v>45968</v>
      </c>
      <c r="I8" s="749">
        <v>45970</v>
      </c>
      <c r="J8" s="749">
        <v>45970</v>
      </c>
      <c r="K8" s="749">
        <v>45971</v>
      </c>
      <c r="L8" s="749">
        <v>45971</v>
      </c>
      <c r="M8" s="937" t="s">
        <v>631</v>
      </c>
      <c r="N8" s="999">
        <v>45972</v>
      </c>
      <c r="O8" s="747" t="s">
        <v>3092</v>
      </c>
      <c r="P8" s="747">
        <v>13</v>
      </c>
      <c r="Q8" s="854"/>
    </row>
    <row r="9" spans="1:17" s="655" customFormat="1" ht="29.45" customHeight="1">
      <c r="A9" s="747">
        <v>3</v>
      </c>
      <c r="B9" s="748" t="s">
        <v>2839</v>
      </c>
      <c r="C9" s="747" t="s">
        <v>1269</v>
      </c>
      <c r="D9" s="747" t="s">
        <v>92</v>
      </c>
      <c r="E9" s="747" t="s">
        <v>3613</v>
      </c>
      <c r="F9" s="749">
        <v>45944</v>
      </c>
      <c r="G9" s="749">
        <v>45953</v>
      </c>
      <c r="H9" s="749">
        <v>45960</v>
      </c>
      <c r="I9" s="749">
        <v>45960</v>
      </c>
      <c r="J9" s="749">
        <v>45961</v>
      </c>
      <c r="K9" s="749">
        <v>45961</v>
      </c>
      <c r="L9" s="749">
        <v>45961</v>
      </c>
      <c r="M9" s="937" t="s">
        <v>631</v>
      </c>
      <c r="N9" s="999">
        <v>45981</v>
      </c>
      <c r="O9" s="747" t="s">
        <v>2840</v>
      </c>
      <c r="P9" s="747">
        <v>8</v>
      </c>
      <c r="Q9" s="854"/>
    </row>
    <row r="10" spans="1:17" s="655" customFormat="1" ht="29.45" customHeight="1">
      <c r="A10" s="747">
        <v>4</v>
      </c>
      <c r="B10" s="748" t="s">
        <v>1650</v>
      </c>
      <c r="C10" s="747" t="s">
        <v>1361</v>
      </c>
      <c r="D10" s="747" t="s">
        <v>92</v>
      </c>
      <c r="E10" s="747" t="s">
        <v>3613</v>
      </c>
      <c r="F10" s="749">
        <v>45954</v>
      </c>
      <c r="G10" s="749">
        <v>45960</v>
      </c>
      <c r="H10" s="749">
        <v>45967</v>
      </c>
      <c r="I10" s="749">
        <v>45967</v>
      </c>
      <c r="J10" s="749">
        <v>45968</v>
      </c>
      <c r="K10" s="749">
        <v>45969</v>
      </c>
      <c r="L10" s="749">
        <v>45969</v>
      </c>
      <c r="M10" s="937" t="s">
        <v>631</v>
      </c>
      <c r="N10" s="999">
        <v>45975</v>
      </c>
      <c r="O10" s="747" t="s">
        <v>2849</v>
      </c>
      <c r="P10" s="747">
        <v>9</v>
      </c>
      <c r="Q10" s="854"/>
    </row>
    <row r="11" spans="1:17" s="655" customFormat="1" ht="29.45" customHeight="1">
      <c r="A11" s="747">
        <v>5</v>
      </c>
      <c r="B11" s="748" t="s">
        <v>1138</v>
      </c>
      <c r="C11" s="747" t="s">
        <v>90</v>
      </c>
      <c r="D11" s="747" t="s">
        <v>92</v>
      </c>
      <c r="E11" s="747" t="s">
        <v>3613</v>
      </c>
      <c r="F11" s="749">
        <v>45968</v>
      </c>
      <c r="G11" s="749">
        <v>45990</v>
      </c>
      <c r="H11" s="749">
        <v>45991</v>
      </c>
      <c r="I11" s="749">
        <v>45991</v>
      </c>
      <c r="J11" s="749">
        <v>45991</v>
      </c>
      <c r="K11" s="749">
        <v>45991</v>
      </c>
      <c r="L11" s="749">
        <v>45991</v>
      </c>
      <c r="M11" s="937" t="s">
        <v>631</v>
      </c>
      <c r="N11" s="999">
        <v>45995</v>
      </c>
      <c r="O11" s="1643" t="s">
        <v>2849</v>
      </c>
      <c r="P11" s="1643">
        <v>10</v>
      </c>
      <c r="Q11" s="854"/>
    </row>
    <row r="12" spans="1:17" s="655" customFormat="1" ht="29.45" customHeight="1">
      <c r="A12" s="747">
        <v>6</v>
      </c>
      <c r="B12" s="748" t="s">
        <v>1124</v>
      </c>
      <c r="C12" s="747" t="s">
        <v>1269</v>
      </c>
      <c r="D12" s="747" t="s">
        <v>92</v>
      </c>
      <c r="E12" s="747" t="s">
        <v>3613</v>
      </c>
      <c r="F12" s="749">
        <v>45975</v>
      </c>
      <c r="G12" s="749">
        <v>45979</v>
      </c>
      <c r="H12" s="749">
        <v>45981</v>
      </c>
      <c r="I12" s="749">
        <v>45982</v>
      </c>
      <c r="J12" s="749" t="s">
        <v>3110</v>
      </c>
      <c r="K12" s="749">
        <v>45983</v>
      </c>
      <c r="L12" s="749">
        <v>45983</v>
      </c>
      <c r="M12" s="937" t="s">
        <v>631</v>
      </c>
      <c r="N12" s="999">
        <v>45995</v>
      </c>
      <c r="O12" s="1644"/>
      <c r="P12" s="1644"/>
      <c r="Q12" s="854"/>
    </row>
    <row r="13" spans="1:17" s="655" customFormat="1" ht="29.45" customHeight="1">
      <c r="A13" s="747">
        <v>7</v>
      </c>
      <c r="B13" s="748" t="s">
        <v>2857</v>
      </c>
      <c r="C13" s="747" t="s">
        <v>2662</v>
      </c>
      <c r="D13" s="747" t="s">
        <v>92</v>
      </c>
      <c r="E13" s="747" t="s">
        <v>3613</v>
      </c>
      <c r="F13" s="749">
        <v>45958</v>
      </c>
      <c r="G13" s="749">
        <v>45965</v>
      </c>
      <c r="H13" s="749">
        <v>45988</v>
      </c>
      <c r="I13" s="749">
        <v>45989</v>
      </c>
      <c r="J13" s="749">
        <v>45990</v>
      </c>
      <c r="K13" s="749">
        <v>45990</v>
      </c>
      <c r="L13" s="749">
        <v>45990</v>
      </c>
      <c r="M13" s="937" t="s">
        <v>631</v>
      </c>
      <c r="N13" s="999">
        <v>45995</v>
      </c>
      <c r="O13" s="747" t="s">
        <v>3492</v>
      </c>
      <c r="P13" s="747">
        <v>10</v>
      </c>
      <c r="Q13" s="854"/>
    </row>
    <row r="14" spans="1:17" s="655" customFormat="1" ht="29.45" customHeight="1">
      <c r="A14" s="747">
        <v>8</v>
      </c>
      <c r="B14" s="748" t="s">
        <v>2388</v>
      </c>
      <c r="C14" s="747" t="s">
        <v>1277</v>
      </c>
      <c r="D14" s="747" t="s">
        <v>92</v>
      </c>
      <c r="E14" s="747" t="s">
        <v>3613</v>
      </c>
      <c r="F14" s="749">
        <v>45963</v>
      </c>
      <c r="G14" s="749">
        <v>45979</v>
      </c>
      <c r="H14" s="749">
        <v>45981</v>
      </c>
      <c r="I14" s="749">
        <v>45982</v>
      </c>
      <c r="J14" s="749" t="s">
        <v>3110</v>
      </c>
      <c r="K14" s="749">
        <v>45983</v>
      </c>
      <c r="L14" s="749">
        <v>45983</v>
      </c>
      <c r="M14" s="937" t="s">
        <v>631</v>
      </c>
      <c r="N14" s="999">
        <v>45994</v>
      </c>
      <c r="O14" s="747" t="s">
        <v>2840</v>
      </c>
      <c r="P14" s="747">
        <v>12</v>
      </c>
      <c r="Q14" s="854"/>
    </row>
    <row r="15" spans="1:17" s="655" customFormat="1" ht="29.45" customHeight="1">
      <c r="A15" s="747">
        <v>9</v>
      </c>
      <c r="B15" s="748" t="s">
        <v>2930</v>
      </c>
      <c r="C15" s="747" t="s">
        <v>2212</v>
      </c>
      <c r="D15" s="747" t="s">
        <v>92</v>
      </c>
      <c r="E15" s="747" t="s">
        <v>3613</v>
      </c>
      <c r="F15" s="749">
        <v>45971</v>
      </c>
      <c r="G15" s="749">
        <v>45988</v>
      </c>
      <c r="H15" s="749">
        <v>45988</v>
      </c>
      <c r="I15" s="749">
        <v>45988</v>
      </c>
      <c r="J15" s="749">
        <v>45988</v>
      </c>
      <c r="K15" s="749">
        <v>45988</v>
      </c>
      <c r="L15" s="749">
        <v>45988</v>
      </c>
      <c r="M15" s="937" t="s">
        <v>631</v>
      </c>
      <c r="N15" s="999">
        <v>45999</v>
      </c>
      <c r="O15" s="747" t="s">
        <v>3092</v>
      </c>
      <c r="P15" s="747">
        <v>13</v>
      </c>
      <c r="Q15" s="854"/>
    </row>
    <row r="16" spans="1:17" s="655" customFormat="1" ht="29.45" customHeight="1">
      <c r="A16" s="747">
        <v>10</v>
      </c>
      <c r="B16" s="748" t="s">
        <v>3053</v>
      </c>
      <c r="C16" s="747" t="s">
        <v>1934</v>
      </c>
      <c r="D16" s="747" t="s">
        <v>92</v>
      </c>
      <c r="E16" s="747" t="s">
        <v>3613</v>
      </c>
      <c r="F16" s="749">
        <v>45975</v>
      </c>
      <c r="G16" s="749">
        <v>45979</v>
      </c>
      <c r="H16" s="749">
        <v>45989</v>
      </c>
      <c r="I16" s="749">
        <v>45989</v>
      </c>
      <c r="J16" s="749">
        <v>45990</v>
      </c>
      <c r="K16" s="749">
        <v>45990</v>
      </c>
      <c r="L16" s="749">
        <v>45990</v>
      </c>
      <c r="M16" s="937" t="s">
        <v>631</v>
      </c>
      <c r="N16" s="999">
        <v>45994</v>
      </c>
      <c r="O16" s="747" t="s">
        <v>3102</v>
      </c>
      <c r="P16" s="747">
        <v>10</v>
      </c>
      <c r="Q16" s="854"/>
    </row>
    <row r="17" spans="1:17" s="655" customFormat="1" ht="29.45" customHeight="1">
      <c r="A17" s="747">
        <f t="shared" ref="A17:A22" si="0">A16+1</f>
        <v>11</v>
      </c>
      <c r="B17" s="748" t="s">
        <v>3049</v>
      </c>
      <c r="C17" s="747" t="s">
        <v>3113</v>
      </c>
      <c r="D17" s="747" t="s">
        <v>1765</v>
      </c>
      <c r="E17" s="747" t="s">
        <v>3613</v>
      </c>
      <c r="F17" s="749">
        <v>45984</v>
      </c>
      <c r="G17" s="749">
        <v>45997</v>
      </c>
      <c r="H17" s="749">
        <v>45997</v>
      </c>
      <c r="I17" s="749">
        <v>45997</v>
      </c>
      <c r="J17" s="749">
        <v>45998</v>
      </c>
      <c r="K17" s="749">
        <v>45999</v>
      </c>
      <c r="L17" s="749">
        <v>45999</v>
      </c>
      <c r="M17" s="937" t="s">
        <v>631</v>
      </c>
      <c r="N17" s="1080">
        <v>46024</v>
      </c>
      <c r="O17" s="747" t="s">
        <v>2849</v>
      </c>
      <c r="P17" s="747">
        <v>10</v>
      </c>
      <c r="Q17" s="854"/>
    </row>
    <row r="18" spans="1:17" s="655" customFormat="1" ht="30" customHeight="1">
      <c r="A18" s="747">
        <f t="shared" si="0"/>
        <v>12</v>
      </c>
      <c r="B18" s="748" t="s">
        <v>3052</v>
      </c>
      <c r="C18" s="747" t="s">
        <v>2662</v>
      </c>
      <c r="D18" s="747" t="s">
        <v>1765</v>
      </c>
      <c r="E18" s="747" t="s">
        <v>3613</v>
      </c>
      <c r="F18" s="749">
        <v>45987</v>
      </c>
      <c r="G18" s="749">
        <v>46008</v>
      </c>
      <c r="H18" s="749">
        <v>46009</v>
      </c>
      <c r="I18" s="749">
        <v>46009</v>
      </c>
      <c r="J18" s="749">
        <v>46009</v>
      </c>
      <c r="K18" s="749">
        <v>46010</v>
      </c>
      <c r="L18" s="749">
        <v>46010</v>
      </c>
      <c r="M18" s="937" t="s">
        <v>631</v>
      </c>
      <c r="N18" s="999">
        <v>46012</v>
      </c>
      <c r="O18" s="747" t="s">
        <v>3102</v>
      </c>
      <c r="P18" s="747">
        <v>10</v>
      </c>
      <c r="Q18" s="854"/>
    </row>
    <row r="19" spans="1:17" s="655" customFormat="1" ht="36.6" customHeight="1">
      <c r="A19" s="747">
        <f t="shared" si="0"/>
        <v>13</v>
      </c>
      <c r="B19" s="748" t="s">
        <v>2933</v>
      </c>
      <c r="C19" s="747" t="s">
        <v>1995</v>
      </c>
      <c r="D19" s="747" t="s">
        <v>92</v>
      </c>
      <c r="E19" s="747" t="s">
        <v>3613</v>
      </c>
      <c r="F19" s="749">
        <v>45989</v>
      </c>
      <c r="G19" s="749">
        <v>46009</v>
      </c>
      <c r="H19" s="749">
        <v>46010</v>
      </c>
      <c r="I19" s="749">
        <v>46011</v>
      </c>
      <c r="J19" s="749">
        <v>46012</v>
      </c>
      <c r="K19" s="749">
        <v>46012</v>
      </c>
      <c r="L19" s="749">
        <v>46012</v>
      </c>
      <c r="M19" s="937" t="s">
        <v>631</v>
      </c>
      <c r="N19" s="999">
        <v>46014</v>
      </c>
      <c r="O19" s="747" t="s">
        <v>3092</v>
      </c>
      <c r="P19" s="747">
        <v>13</v>
      </c>
      <c r="Q19" s="854"/>
    </row>
    <row r="20" spans="1:17" s="655" customFormat="1" ht="30" customHeight="1">
      <c r="A20" s="747">
        <f t="shared" si="0"/>
        <v>14</v>
      </c>
      <c r="B20" s="748" t="s">
        <v>2978</v>
      </c>
      <c r="C20" s="747" t="s">
        <v>1319</v>
      </c>
      <c r="D20" s="747" t="s">
        <v>92</v>
      </c>
      <c r="E20" s="747" t="s">
        <v>3613</v>
      </c>
      <c r="F20" s="749">
        <v>45993</v>
      </c>
      <c r="G20" s="749">
        <v>46000</v>
      </c>
      <c r="H20" s="749">
        <v>46006</v>
      </c>
      <c r="I20" s="749">
        <v>46006</v>
      </c>
      <c r="J20" s="749">
        <v>46007</v>
      </c>
      <c r="K20" s="749">
        <v>46008</v>
      </c>
      <c r="L20" s="749">
        <v>46008</v>
      </c>
      <c r="M20" s="937" t="s">
        <v>631</v>
      </c>
      <c r="N20" s="999">
        <v>46009</v>
      </c>
      <c r="O20" s="747" t="s">
        <v>2840</v>
      </c>
      <c r="P20" s="747">
        <v>12</v>
      </c>
      <c r="Q20" s="854"/>
    </row>
    <row r="21" spans="1:17" s="655" customFormat="1" ht="36.6" customHeight="1">
      <c r="A21" s="747">
        <f t="shared" si="0"/>
        <v>15</v>
      </c>
      <c r="B21" s="748" t="s">
        <v>2960</v>
      </c>
      <c r="C21" s="747" t="s">
        <v>2662</v>
      </c>
      <c r="D21" s="747" t="s">
        <v>92</v>
      </c>
      <c r="E21" s="747" t="s">
        <v>3613</v>
      </c>
      <c r="F21" s="749">
        <v>45994</v>
      </c>
      <c r="G21" s="749">
        <v>46009</v>
      </c>
      <c r="H21" s="749">
        <v>46009</v>
      </c>
      <c r="I21" s="749">
        <v>46009</v>
      </c>
      <c r="J21" s="749">
        <v>46012</v>
      </c>
      <c r="K21" s="749">
        <v>46012</v>
      </c>
      <c r="L21" s="749">
        <v>46012</v>
      </c>
      <c r="M21" s="937" t="s">
        <v>631</v>
      </c>
      <c r="N21" s="999">
        <v>46017</v>
      </c>
      <c r="O21" s="747" t="s">
        <v>3492</v>
      </c>
      <c r="P21" s="747">
        <v>10</v>
      </c>
      <c r="Q21" s="854"/>
    </row>
    <row r="22" spans="1:17" s="655" customFormat="1" ht="30" customHeight="1">
      <c r="A22" s="747">
        <f t="shared" si="0"/>
        <v>16</v>
      </c>
      <c r="B22" s="748" t="s">
        <v>1659</v>
      </c>
      <c r="C22" s="747" t="s">
        <v>76</v>
      </c>
      <c r="D22" s="747" t="s">
        <v>1765</v>
      </c>
      <c r="E22" s="747" t="s">
        <v>3613</v>
      </c>
      <c r="F22" s="749">
        <v>45999</v>
      </c>
      <c r="G22" s="749">
        <v>46007</v>
      </c>
      <c r="H22" s="749">
        <v>46007</v>
      </c>
      <c r="I22" s="749">
        <v>46007</v>
      </c>
      <c r="J22" s="749">
        <v>46007</v>
      </c>
      <c r="K22" s="749">
        <v>46008</v>
      </c>
      <c r="L22" s="749">
        <v>46008</v>
      </c>
      <c r="M22" s="937" t="s">
        <v>631</v>
      </c>
      <c r="N22" s="1080">
        <v>46025</v>
      </c>
      <c r="O22" s="747" t="s">
        <v>2849</v>
      </c>
      <c r="P22" s="747">
        <v>10</v>
      </c>
      <c r="Q22" s="854"/>
    </row>
    <row r="23" spans="1:17" s="1035" customFormat="1" ht="27.6" customHeight="1">
      <c r="A23" s="747">
        <f t="shared" ref="A23:A64" si="1">A22+1</f>
        <v>17</v>
      </c>
      <c r="B23" s="748" t="s">
        <v>3063</v>
      </c>
      <c r="C23" s="747" t="s">
        <v>2662</v>
      </c>
      <c r="D23" s="747" t="s">
        <v>92</v>
      </c>
      <c r="E23" s="747" t="s">
        <v>3613</v>
      </c>
      <c r="F23" s="749">
        <v>46012</v>
      </c>
      <c r="G23" s="749">
        <v>46019</v>
      </c>
      <c r="H23" s="749">
        <v>46021</v>
      </c>
      <c r="I23" s="749">
        <v>46022</v>
      </c>
      <c r="J23" s="749">
        <v>46022</v>
      </c>
      <c r="K23" s="749">
        <v>46022</v>
      </c>
      <c r="L23" s="749">
        <v>46022</v>
      </c>
      <c r="M23" s="937" t="s">
        <v>631</v>
      </c>
      <c r="N23" s="999">
        <v>46024</v>
      </c>
      <c r="O23" s="747" t="s">
        <v>3102</v>
      </c>
      <c r="P23" s="747">
        <v>10</v>
      </c>
      <c r="Q23" s="854"/>
    </row>
    <row r="24" spans="1:17" s="1035" customFormat="1" ht="30" customHeight="1">
      <c r="A24" s="747">
        <f t="shared" si="1"/>
        <v>18</v>
      </c>
      <c r="B24" s="748" t="s">
        <v>3051</v>
      </c>
      <c r="C24" s="747" t="s">
        <v>1977</v>
      </c>
      <c r="D24" s="747" t="s">
        <v>1765</v>
      </c>
      <c r="E24" s="747" t="s">
        <v>3613</v>
      </c>
      <c r="F24" s="749">
        <v>46012</v>
      </c>
      <c r="G24" s="749">
        <v>46016</v>
      </c>
      <c r="H24" s="749">
        <v>46017</v>
      </c>
      <c r="I24" s="749">
        <v>46017</v>
      </c>
      <c r="J24" s="749">
        <v>46018</v>
      </c>
      <c r="K24" s="749">
        <v>46019</v>
      </c>
      <c r="L24" s="749">
        <v>46019</v>
      </c>
      <c r="M24" s="937" t="s">
        <v>631</v>
      </c>
      <c r="N24" s="1080">
        <v>46032</v>
      </c>
      <c r="O24" s="747" t="s">
        <v>2849</v>
      </c>
      <c r="P24" s="747">
        <v>10</v>
      </c>
      <c r="Q24" s="854"/>
    </row>
    <row r="25" spans="1:17" s="1035" customFormat="1" ht="32.1" customHeight="1">
      <c r="A25" s="747">
        <f t="shared" si="1"/>
        <v>19</v>
      </c>
      <c r="B25" s="748" t="s">
        <v>3072</v>
      </c>
      <c r="C25" s="747" t="s">
        <v>1269</v>
      </c>
      <c r="D25" s="747" t="s">
        <v>92</v>
      </c>
      <c r="E25" s="747" t="s">
        <v>3613</v>
      </c>
      <c r="F25" s="749">
        <v>46016</v>
      </c>
      <c r="G25" s="749">
        <v>46019</v>
      </c>
      <c r="H25" s="749">
        <v>46025</v>
      </c>
      <c r="I25" s="749">
        <v>46026</v>
      </c>
      <c r="J25" s="749">
        <v>46026</v>
      </c>
      <c r="K25" s="749">
        <v>46027</v>
      </c>
      <c r="L25" s="749">
        <v>46027</v>
      </c>
      <c r="M25" s="937" t="s">
        <v>631</v>
      </c>
      <c r="N25" s="999">
        <v>46030</v>
      </c>
      <c r="O25" s="747" t="s">
        <v>3492</v>
      </c>
      <c r="P25" s="747">
        <v>10</v>
      </c>
      <c r="Q25" s="854"/>
    </row>
    <row r="26" spans="1:17" s="1035" customFormat="1" ht="30" customHeight="1">
      <c r="A26" s="747">
        <f t="shared" si="1"/>
        <v>20</v>
      </c>
      <c r="B26" s="748" t="s">
        <v>3239</v>
      </c>
      <c r="C26" s="747" t="s">
        <v>2662</v>
      </c>
      <c r="D26" s="747" t="s">
        <v>92</v>
      </c>
      <c r="E26" s="747" t="s">
        <v>3613</v>
      </c>
      <c r="F26" s="749">
        <v>46016</v>
      </c>
      <c r="G26" s="749">
        <v>46019</v>
      </c>
      <c r="H26" s="749">
        <v>46021</v>
      </c>
      <c r="I26" s="749">
        <v>46021</v>
      </c>
      <c r="J26" s="749">
        <v>46021</v>
      </c>
      <c r="K26" s="749">
        <v>46025</v>
      </c>
      <c r="L26" s="749">
        <v>46025</v>
      </c>
      <c r="M26" s="937" t="s">
        <v>631</v>
      </c>
      <c r="N26" s="999">
        <v>46026</v>
      </c>
      <c r="O26" s="747" t="s">
        <v>2840</v>
      </c>
      <c r="P26" s="747">
        <v>12</v>
      </c>
      <c r="Q26" s="854"/>
    </row>
    <row r="27" spans="1:17" s="1035" customFormat="1" ht="32.1" customHeight="1">
      <c r="A27" s="747">
        <f t="shared" si="1"/>
        <v>21</v>
      </c>
      <c r="B27" s="748" t="s">
        <v>2882</v>
      </c>
      <c r="C27" s="747" t="s">
        <v>2212</v>
      </c>
      <c r="D27" s="747" t="s">
        <v>92</v>
      </c>
      <c r="E27" s="747" t="s">
        <v>3613</v>
      </c>
      <c r="F27" s="749">
        <v>46016</v>
      </c>
      <c r="G27" s="749">
        <v>46022</v>
      </c>
      <c r="H27" s="749">
        <v>46025</v>
      </c>
      <c r="I27" s="749">
        <v>46026</v>
      </c>
      <c r="J27" s="749">
        <v>46027</v>
      </c>
      <c r="K27" s="749">
        <v>46029</v>
      </c>
      <c r="L27" s="749">
        <v>46029</v>
      </c>
      <c r="M27" s="937" t="s">
        <v>631</v>
      </c>
      <c r="N27" s="999">
        <v>46034</v>
      </c>
      <c r="O27" s="747" t="s">
        <v>3092</v>
      </c>
      <c r="P27" s="747">
        <v>13</v>
      </c>
      <c r="Q27" s="854"/>
    </row>
    <row r="28" spans="1:17" s="1035" customFormat="1" ht="30" customHeight="1">
      <c r="A28" s="747">
        <f t="shared" si="1"/>
        <v>22</v>
      </c>
      <c r="B28" s="748" t="s">
        <v>3050</v>
      </c>
      <c r="C28" s="747" t="s">
        <v>1319</v>
      </c>
      <c r="D28" s="747" t="s">
        <v>1765</v>
      </c>
      <c r="E28" s="747" t="s">
        <v>3613</v>
      </c>
      <c r="F28" s="749">
        <v>46019</v>
      </c>
      <c r="G28" s="749">
        <v>46031</v>
      </c>
      <c r="H28" s="749">
        <v>46033</v>
      </c>
      <c r="I28" s="749">
        <v>46033</v>
      </c>
      <c r="J28" s="749">
        <v>46033</v>
      </c>
      <c r="K28" s="749">
        <v>46034</v>
      </c>
      <c r="L28" s="749">
        <v>46034</v>
      </c>
      <c r="M28" s="937" t="s">
        <v>631</v>
      </c>
      <c r="N28" s="937" t="s">
        <v>631</v>
      </c>
      <c r="O28" s="747" t="s">
        <v>2849</v>
      </c>
      <c r="P28" s="747">
        <v>10</v>
      </c>
      <c r="Q28" s="854"/>
    </row>
    <row r="29" spans="1:17" s="1035" customFormat="1" ht="30" customHeight="1">
      <c r="A29" s="747">
        <f t="shared" si="1"/>
        <v>23</v>
      </c>
      <c r="B29" s="748" t="s">
        <v>3064</v>
      </c>
      <c r="C29" s="747" t="s">
        <v>3113</v>
      </c>
      <c r="D29" s="747" t="s">
        <v>92</v>
      </c>
      <c r="E29" s="747" t="s">
        <v>3613</v>
      </c>
      <c r="F29" s="749">
        <v>46020</v>
      </c>
      <c r="G29" s="749">
        <v>46034</v>
      </c>
      <c r="H29" s="749">
        <v>46038</v>
      </c>
      <c r="I29" s="749">
        <v>46039</v>
      </c>
      <c r="J29" s="749">
        <v>46039</v>
      </c>
      <c r="K29" s="749">
        <v>46041</v>
      </c>
      <c r="L29" s="749">
        <v>46041</v>
      </c>
      <c r="M29" s="937" t="s">
        <v>631</v>
      </c>
      <c r="N29" s="999">
        <v>46043</v>
      </c>
      <c r="O29" s="747" t="s">
        <v>3102</v>
      </c>
      <c r="P29" s="747">
        <v>10</v>
      </c>
      <c r="Q29" s="854"/>
    </row>
    <row r="30" spans="1:17" s="1035" customFormat="1" ht="30" customHeight="1">
      <c r="A30" s="747">
        <f t="shared" si="1"/>
        <v>24</v>
      </c>
      <c r="B30" s="748" t="s">
        <v>3047</v>
      </c>
      <c r="C30" s="747" t="s">
        <v>3251</v>
      </c>
      <c r="D30" s="747" t="s">
        <v>92</v>
      </c>
      <c r="E30" s="747" t="s">
        <v>3613</v>
      </c>
      <c r="F30" s="749">
        <v>46033</v>
      </c>
      <c r="G30" s="749">
        <v>46041</v>
      </c>
      <c r="H30" s="749">
        <v>46041</v>
      </c>
      <c r="I30" s="749">
        <v>46042</v>
      </c>
      <c r="J30" s="749">
        <v>46042</v>
      </c>
      <c r="K30" s="749">
        <v>46043</v>
      </c>
      <c r="L30" s="749">
        <v>46043</v>
      </c>
      <c r="M30" s="937" t="s">
        <v>631</v>
      </c>
      <c r="N30" s="999">
        <v>46044</v>
      </c>
      <c r="O30" s="747" t="s">
        <v>2849</v>
      </c>
      <c r="P30" s="747">
        <v>10</v>
      </c>
      <c r="Q30" s="854"/>
    </row>
    <row r="31" spans="1:17" s="1035" customFormat="1" ht="30" customHeight="1">
      <c r="A31" s="747">
        <f t="shared" si="1"/>
        <v>25</v>
      </c>
      <c r="B31" s="748" t="s">
        <v>2935</v>
      </c>
      <c r="C31" s="747" t="s">
        <v>2197</v>
      </c>
      <c r="D31" s="747" t="s">
        <v>1765</v>
      </c>
      <c r="E31" s="747" t="s">
        <v>3613</v>
      </c>
      <c r="F31" s="749">
        <v>46034</v>
      </c>
      <c r="G31" s="749">
        <v>46076</v>
      </c>
      <c r="H31" s="749">
        <v>46078</v>
      </c>
      <c r="I31" s="749">
        <v>46079</v>
      </c>
      <c r="J31" s="749">
        <v>46079</v>
      </c>
      <c r="K31" s="749">
        <v>46079</v>
      </c>
      <c r="L31" s="749">
        <v>46079</v>
      </c>
      <c r="M31" s="937" t="s">
        <v>631</v>
      </c>
      <c r="N31" s="937" t="s">
        <v>631</v>
      </c>
      <c r="O31" s="747" t="s">
        <v>3092</v>
      </c>
      <c r="P31" s="747">
        <v>13</v>
      </c>
      <c r="Q31" s="854"/>
    </row>
    <row r="32" spans="1:17" s="1035" customFormat="1" ht="30" customHeight="1">
      <c r="A32" s="747">
        <f t="shared" si="1"/>
        <v>26</v>
      </c>
      <c r="B32" s="748" t="s">
        <v>2392</v>
      </c>
      <c r="C32" s="747" t="s">
        <v>1319</v>
      </c>
      <c r="D32" s="747" t="s">
        <v>54</v>
      </c>
      <c r="E32" s="747" t="s">
        <v>3613</v>
      </c>
      <c r="F32" s="749">
        <v>46037</v>
      </c>
      <c r="G32" s="749">
        <v>46056</v>
      </c>
      <c r="H32" s="749">
        <v>46060</v>
      </c>
      <c r="I32" s="749">
        <v>46060</v>
      </c>
      <c r="J32" s="749">
        <v>46060</v>
      </c>
      <c r="K32" s="749">
        <v>46063</v>
      </c>
      <c r="L32" s="749">
        <v>46063</v>
      </c>
      <c r="M32" s="937" t="s">
        <v>631</v>
      </c>
      <c r="N32" s="999">
        <v>46064</v>
      </c>
      <c r="O32" s="747" t="s">
        <v>3253</v>
      </c>
      <c r="P32" s="747">
        <v>6</v>
      </c>
      <c r="Q32" s="854"/>
    </row>
    <row r="33" spans="1:17" s="1035" customFormat="1" ht="30" customHeight="1">
      <c r="A33" s="747">
        <f t="shared" si="1"/>
        <v>27</v>
      </c>
      <c r="B33" s="748" t="s">
        <v>2981</v>
      </c>
      <c r="C33" s="747" t="s">
        <v>1277</v>
      </c>
      <c r="D33" s="747" t="s">
        <v>92</v>
      </c>
      <c r="E33" s="747" t="s">
        <v>3613</v>
      </c>
      <c r="F33" s="749">
        <v>46039</v>
      </c>
      <c r="G33" s="749">
        <v>46053</v>
      </c>
      <c r="H33" s="749">
        <v>46053</v>
      </c>
      <c r="I33" s="749">
        <v>46053</v>
      </c>
      <c r="J33" s="749">
        <v>46053</v>
      </c>
      <c r="K33" s="749">
        <v>46053</v>
      </c>
      <c r="L33" s="749">
        <v>46053</v>
      </c>
      <c r="M33" s="937" t="s">
        <v>631</v>
      </c>
      <c r="N33" s="937" t="s">
        <v>631</v>
      </c>
      <c r="O33" s="747" t="s">
        <v>2840</v>
      </c>
      <c r="P33" s="747">
        <v>12</v>
      </c>
      <c r="Q33" s="854"/>
    </row>
    <row r="34" spans="1:17" s="1035" customFormat="1" ht="30" customHeight="1">
      <c r="A34" s="747">
        <f t="shared" si="1"/>
        <v>28</v>
      </c>
      <c r="B34" s="748" t="s">
        <v>3256</v>
      </c>
      <c r="C34" s="747" t="s">
        <v>1934</v>
      </c>
      <c r="D34" s="747" t="s">
        <v>897</v>
      </c>
      <c r="E34" s="747" t="s">
        <v>3613</v>
      </c>
      <c r="F34" s="749">
        <v>46040</v>
      </c>
      <c r="G34" s="749">
        <v>46053</v>
      </c>
      <c r="H34" s="749">
        <v>46053</v>
      </c>
      <c r="I34" s="749">
        <v>46053</v>
      </c>
      <c r="J34" s="749">
        <v>46053</v>
      </c>
      <c r="K34" s="749">
        <v>46053</v>
      </c>
      <c r="L34" s="749">
        <v>46053</v>
      </c>
      <c r="M34" s="937" t="s">
        <v>631</v>
      </c>
      <c r="N34" s="937" t="s">
        <v>631</v>
      </c>
      <c r="O34" s="747" t="s">
        <v>2849</v>
      </c>
      <c r="P34" s="747">
        <v>10</v>
      </c>
      <c r="Q34" s="854"/>
    </row>
    <row r="35" spans="1:17" s="1035" customFormat="1" ht="30" customHeight="1">
      <c r="A35" s="747">
        <f t="shared" si="1"/>
        <v>29</v>
      </c>
      <c r="B35" s="748" t="s">
        <v>3259</v>
      </c>
      <c r="C35" s="747" t="s">
        <v>90</v>
      </c>
      <c r="D35" s="747" t="s">
        <v>92</v>
      </c>
      <c r="E35" s="747" t="s">
        <v>3613</v>
      </c>
      <c r="F35" s="749">
        <v>46044</v>
      </c>
      <c r="G35" s="749">
        <v>46053</v>
      </c>
      <c r="H35" s="749">
        <v>46053</v>
      </c>
      <c r="I35" s="749">
        <v>46053</v>
      </c>
      <c r="J35" s="749">
        <v>46053</v>
      </c>
      <c r="K35" s="749">
        <v>46053</v>
      </c>
      <c r="L35" s="749">
        <v>46053</v>
      </c>
      <c r="M35" s="937" t="s">
        <v>631</v>
      </c>
      <c r="N35" s="937" t="s">
        <v>631</v>
      </c>
      <c r="O35" s="747" t="s">
        <v>3100</v>
      </c>
      <c r="P35" s="747">
        <v>6</v>
      </c>
      <c r="Q35" s="854"/>
    </row>
    <row r="36" spans="1:17" s="1035" customFormat="1" ht="30" customHeight="1">
      <c r="A36" s="747">
        <f t="shared" si="1"/>
        <v>30</v>
      </c>
      <c r="B36" s="1043" t="s">
        <v>3027</v>
      </c>
      <c r="C36" s="1042" t="s">
        <v>1977</v>
      </c>
      <c r="D36" s="1042" t="s">
        <v>92</v>
      </c>
      <c r="E36" s="747" t="s">
        <v>3613</v>
      </c>
      <c r="F36" s="1044">
        <v>46056</v>
      </c>
      <c r="G36" s="1044">
        <v>46079</v>
      </c>
      <c r="H36" s="1044">
        <v>46080</v>
      </c>
      <c r="I36" s="1044">
        <v>46080</v>
      </c>
      <c r="J36" s="1044">
        <v>46080</v>
      </c>
      <c r="K36" s="1044">
        <v>46080</v>
      </c>
      <c r="L36" s="1044">
        <v>46080</v>
      </c>
      <c r="M36" s="1045" t="s">
        <v>631</v>
      </c>
      <c r="N36" s="937" t="s">
        <v>631</v>
      </c>
      <c r="O36" s="1042" t="s">
        <v>2849</v>
      </c>
      <c r="P36" s="1042">
        <v>10</v>
      </c>
      <c r="Q36" s="1046"/>
    </row>
    <row r="37" spans="1:17" s="1035" customFormat="1" ht="30" customHeight="1">
      <c r="A37" s="747">
        <f t="shared" si="1"/>
        <v>31</v>
      </c>
      <c r="B37" s="748" t="s">
        <v>3030</v>
      </c>
      <c r="C37" s="747" t="s">
        <v>2197</v>
      </c>
      <c r="D37" s="747" t="s">
        <v>92</v>
      </c>
      <c r="E37" s="747" t="s">
        <v>3613</v>
      </c>
      <c r="F37" s="749">
        <v>46056</v>
      </c>
      <c r="G37" s="749">
        <v>46076</v>
      </c>
      <c r="H37" s="749">
        <v>46077</v>
      </c>
      <c r="I37" s="749">
        <v>46077</v>
      </c>
      <c r="J37" s="749">
        <v>46077</v>
      </c>
      <c r="K37" s="749">
        <v>46077</v>
      </c>
      <c r="L37" s="749">
        <v>46077</v>
      </c>
      <c r="M37" s="937" t="s">
        <v>631</v>
      </c>
      <c r="N37" s="937" t="s">
        <v>631</v>
      </c>
      <c r="O37" s="747" t="s">
        <v>3102</v>
      </c>
      <c r="P37" s="747">
        <v>10</v>
      </c>
      <c r="Q37" s="854"/>
    </row>
    <row r="38" spans="1:17" s="1035" customFormat="1" ht="30" customHeight="1">
      <c r="A38" s="747">
        <f t="shared" si="1"/>
        <v>32</v>
      </c>
      <c r="B38" s="748" t="s">
        <v>3285</v>
      </c>
      <c r="C38" s="747" t="s">
        <v>90</v>
      </c>
      <c r="D38" s="747" t="s">
        <v>92</v>
      </c>
      <c r="E38" s="747" t="s">
        <v>3613</v>
      </c>
      <c r="F38" s="749">
        <v>46058</v>
      </c>
      <c r="G38" s="749">
        <v>46071</v>
      </c>
      <c r="H38" s="749">
        <v>46071</v>
      </c>
      <c r="I38" s="749">
        <v>46071</v>
      </c>
      <c r="J38" s="749">
        <v>46071</v>
      </c>
      <c r="K38" s="749">
        <v>46071</v>
      </c>
      <c r="L38" s="749">
        <v>46071</v>
      </c>
      <c r="M38" s="937" t="s">
        <v>631</v>
      </c>
      <c r="N38" s="937" t="s">
        <v>631</v>
      </c>
      <c r="O38" s="747" t="s">
        <v>3253</v>
      </c>
      <c r="P38" s="747">
        <v>6</v>
      </c>
      <c r="Q38" s="854"/>
    </row>
    <row r="39" spans="1:17" s="1035" customFormat="1" ht="30" customHeight="1">
      <c r="A39" s="747">
        <f t="shared" si="1"/>
        <v>33</v>
      </c>
      <c r="B39" s="1043" t="s">
        <v>1131</v>
      </c>
      <c r="C39" s="1042" t="s">
        <v>2397</v>
      </c>
      <c r="D39" s="1042" t="s">
        <v>92</v>
      </c>
      <c r="E39" s="747" t="s">
        <v>3613</v>
      </c>
      <c r="F39" s="1044">
        <v>46060</v>
      </c>
      <c r="G39" s="1044">
        <v>46077</v>
      </c>
      <c r="H39" s="1044">
        <v>46080</v>
      </c>
      <c r="I39" s="1044">
        <v>46080</v>
      </c>
      <c r="J39" s="1044">
        <v>46080</v>
      </c>
      <c r="K39" s="1044">
        <v>46080</v>
      </c>
      <c r="L39" s="1044">
        <v>46080</v>
      </c>
      <c r="M39" s="1045" t="s">
        <v>631</v>
      </c>
      <c r="N39" s="937" t="s">
        <v>631</v>
      </c>
      <c r="O39" s="1042" t="s">
        <v>2849</v>
      </c>
      <c r="P39" s="1042">
        <v>10</v>
      </c>
      <c r="Q39" s="1046"/>
    </row>
    <row r="40" spans="1:17" s="1035" customFormat="1" ht="30" customHeight="1">
      <c r="A40" s="747">
        <f t="shared" si="1"/>
        <v>34</v>
      </c>
      <c r="B40" s="748" t="s">
        <v>3295</v>
      </c>
      <c r="C40" s="1120" t="s">
        <v>2197</v>
      </c>
      <c r="D40" s="747" t="s">
        <v>92</v>
      </c>
      <c r="E40" s="747" t="s">
        <v>3613</v>
      </c>
      <c r="F40" s="749">
        <v>46063</v>
      </c>
      <c r="G40" s="749">
        <v>46079</v>
      </c>
      <c r="H40" s="749">
        <v>46081</v>
      </c>
      <c r="I40" s="749">
        <v>46081</v>
      </c>
      <c r="J40" s="749">
        <v>46081</v>
      </c>
      <c r="K40" s="749">
        <v>46081</v>
      </c>
      <c r="L40" s="749">
        <v>46081</v>
      </c>
      <c r="M40" s="937" t="s">
        <v>631</v>
      </c>
      <c r="N40" s="937" t="s">
        <v>631</v>
      </c>
      <c r="O40" s="747" t="s">
        <v>2849</v>
      </c>
      <c r="P40" s="747">
        <v>10</v>
      </c>
      <c r="Q40" s="854"/>
    </row>
    <row r="41" spans="1:17" s="1035" customFormat="1" ht="35.1" customHeight="1">
      <c r="A41" s="747">
        <f t="shared" si="1"/>
        <v>35</v>
      </c>
      <c r="B41" s="748" t="s">
        <v>2880</v>
      </c>
      <c r="C41" s="1120" t="s">
        <v>1361</v>
      </c>
      <c r="D41" s="747" t="s">
        <v>92</v>
      </c>
      <c r="E41" s="747" t="s">
        <v>3613</v>
      </c>
      <c r="F41" s="749">
        <v>46064</v>
      </c>
      <c r="G41" s="749">
        <v>46072</v>
      </c>
      <c r="H41" s="749">
        <v>46077</v>
      </c>
      <c r="I41" s="749">
        <v>46077</v>
      </c>
      <c r="J41" s="749">
        <v>46079</v>
      </c>
      <c r="K41" s="749">
        <v>46079</v>
      </c>
      <c r="L41" s="749">
        <v>46079</v>
      </c>
      <c r="M41" s="937" t="s">
        <v>631</v>
      </c>
      <c r="N41" s="937" t="s">
        <v>631</v>
      </c>
      <c r="O41" s="747" t="s">
        <v>3492</v>
      </c>
      <c r="P41" s="747">
        <v>10</v>
      </c>
      <c r="Q41" s="854"/>
    </row>
    <row r="42" spans="1:17" s="1035" customFormat="1" ht="30" customHeight="1">
      <c r="A42" s="747">
        <f t="shared" si="1"/>
        <v>36</v>
      </c>
      <c r="B42" s="748" t="s">
        <v>2941</v>
      </c>
      <c r="C42" s="1120" t="s">
        <v>1953</v>
      </c>
      <c r="D42" s="747" t="s">
        <v>92</v>
      </c>
      <c r="E42" s="747" t="s">
        <v>3613</v>
      </c>
      <c r="F42" s="749">
        <v>46071</v>
      </c>
      <c r="G42" s="749">
        <v>46076</v>
      </c>
      <c r="H42" s="749">
        <v>46077</v>
      </c>
      <c r="I42" s="749">
        <v>46080</v>
      </c>
      <c r="J42" s="749">
        <v>46080</v>
      </c>
      <c r="K42" s="749">
        <v>46081</v>
      </c>
      <c r="L42" s="749">
        <v>46081</v>
      </c>
      <c r="M42" s="937" t="s">
        <v>631</v>
      </c>
      <c r="N42" s="937" t="s">
        <v>631</v>
      </c>
      <c r="O42" s="747" t="s">
        <v>2840</v>
      </c>
      <c r="P42" s="747">
        <v>10</v>
      </c>
      <c r="Q42" s="854"/>
    </row>
    <row r="43" spans="1:17" s="1035" customFormat="1" ht="30" customHeight="1">
      <c r="A43" s="747">
        <f t="shared" si="1"/>
        <v>37</v>
      </c>
      <c r="B43" s="748" t="s">
        <v>2939</v>
      </c>
      <c r="C43" s="1120" t="s">
        <v>1988</v>
      </c>
      <c r="D43" s="747" t="s">
        <v>92</v>
      </c>
      <c r="E43" s="747" t="s">
        <v>3613</v>
      </c>
      <c r="F43" s="749">
        <v>46071</v>
      </c>
      <c r="G43" s="749">
        <v>46105</v>
      </c>
      <c r="H43" s="749">
        <v>46106</v>
      </c>
      <c r="I43" s="749">
        <v>46107</v>
      </c>
      <c r="J43" s="749">
        <v>46107</v>
      </c>
      <c r="K43" s="749">
        <v>46107</v>
      </c>
      <c r="L43" s="749">
        <v>46107</v>
      </c>
      <c r="M43" s="937" t="s">
        <v>631</v>
      </c>
      <c r="N43" s="937" t="s">
        <v>631</v>
      </c>
      <c r="O43" s="747" t="s">
        <v>3092</v>
      </c>
      <c r="P43" s="747">
        <v>10</v>
      </c>
      <c r="Q43" s="854"/>
    </row>
    <row r="44" spans="1:17" s="1035" customFormat="1" ht="30" customHeight="1">
      <c r="A44" s="747">
        <f t="shared" si="1"/>
        <v>38</v>
      </c>
      <c r="B44" s="748" t="s">
        <v>3025</v>
      </c>
      <c r="C44" s="1120" t="s">
        <v>1953</v>
      </c>
      <c r="D44" s="747" t="s">
        <v>92</v>
      </c>
      <c r="E44" s="747" t="s">
        <v>3613</v>
      </c>
      <c r="F44" s="749">
        <v>46073</v>
      </c>
      <c r="G44" s="749">
        <v>46079</v>
      </c>
      <c r="H44" s="749">
        <v>46080</v>
      </c>
      <c r="I44" s="749">
        <v>46080</v>
      </c>
      <c r="J44" s="749">
        <v>46080</v>
      </c>
      <c r="K44" s="749">
        <v>46080</v>
      </c>
      <c r="L44" s="749">
        <v>46080</v>
      </c>
      <c r="M44" s="937" t="s">
        <v>631</v>
      </c>
      <c r="N44" s="937" t="s">
        <v>631</v>
      </c>
      <c r="O44" s="747" t="s">
        <v>3253</v>
      </c>
      <c r="P44" s="747">
        <v>12</v>
      </c>
      <c r="Q44" s="854"/>
    </row>
    <row r="45" spans="1:17" s="1035" customFormat="1" ht="30" customHeight="1">
      <c r="A45" s="747">
        <f t="shared" si="1"/>
        <v>39</v>
      </c>
      <c r="B45" s="748" t="s">
        <v>3029</v>
      </c>
      <c r="C45" s="1120" t="s">
        <v>1977</v>
      </c>
      <c r="D45" s="747" t="s">
        <v>92</v>
      </c>
      <c r="E45" s="747" t="s">
        <v>3613</v>
      </c>
      <c r="F45" s="749">
        <v>46081</v>
      </c>
      <c r="G45" s="749">
        <v>46088</v>
      </c>
      <c r="H45" s="749">
        <v>46089</v>
      </c>
      <c r="I45" s="749">
        <v>46089</v>
      </c>
      <c r="J45" s="749">
        <v>46089</v>
      </c>
      <c r="K45" s="749">
        <v>46089</v>
      </c>
      <c r="L45" s="749">
        <v>46089</v>
      </c>
      <c r="M45" s="937" t="s">
        <v>631</v>
      </c>
      <c r="N45" s="937" t="s">
        <v>631</v>
      </c>
      <c r="O45" s="747" t="s">
        <v>3102</v>
      </c>
      <c r="P45" s="747">
        <v>10</v>
      </c>
      <c r="Q45" s="854"/>
    </row>
    <row r="46" spans="1:17" s="1035" customFormat="1" ht="30" customHeight="1">
      <c r="A46" s="747">
        <f t="shared" si="1"/>
        <v>40</v>
      </c>
      <c r="B46" s="748" t="s">
        <v>3045</v>
      </c>
      <c r="C46" s="1120" t="s">
        <v>1277</v>
      </c>
      <c r="D46" s="747" t="s">
        <v>92</v>
      </c>
      <c r="E46" s="747" t="s">
        <v>3613</v>
      </c>
      <c r="F46" s="749">
        <v>46089</v>
      </c>
      <c r="G46" s="749">
        <v>46106</v>
      </c>
      <c r="H46" s="749">
        <v>46108</v>
      </c>
      <c r="I46" s="749">
        <v>46108</v>
      </c>
      <c r="J46" s="749">
        <v>46110</v>
      </c>
      <c r="K46" s="749">
        <v>46111</v>
      </c>
      <c r="L46" s="749">
        <v>46111</v>
      </c>
      <c r="M46" s="937" t="s">
        <v>631</v>
      </c>
      <c r="N46" s="937" t="s">
        <v>631</v>
      </c>
      <c r="O46" s="747" t="s">
        <v>86</v>
      </c>
      <c r="P46" s="747">
        <v>10</v>
      </c>
      <c r="Q46" s="854"/>
    </row>
    <row r="47" spans="1:17" s="1035" customFormat="1" ht="30" customHeight="1">
      <c r="A47" s="747">
        <f t="shared" si="1"/>
        <v>41</v>
      </c>
      <c r="B47" s="748" t="s">
        <v>3024</v>
      </c>
      <c r="C47" s="1120" t="s">
        <v>1953</v>
      </c>
      <c r="D47" s="747" t="s">
        <v>92</v>
      </c>
      <c r="E47" s="747" t="s">
        <v>3613</v>
      </c>
      <c r="F47" s="749">
        <v>46089</v>
      </c>
      <c r="G47" s="749">
        <v>46106</v>
      </c>
      <c r="H47" s="749">
        <v>46107</v>
      </c>
      <c r="I47" s="749">
        <v>46107</v>
      </c>
      <c r="J47" s="749">
        <v>46108</v>
      </c>
      <c r="K47" s="749">
        <v>46109</v>
      </c>
      <c r="L47" s="749">
        <v>46109</v>
      </c>
      <c r="M47" s="937" t="s">
        <v>631</v>
      </c>
      <c r="N47" s="937" t="s">
        <v>631</v>
      </c>
      <c r="O47" s="747" t="s">
        <v>3253</v>
      </c>
      <c r="P47" s="747">
        <v>12</v>
      </c>
      <c r="Q47" s="854"/>
    </row>
    <row r="48" spans="1:17" s="1035" customFormat="1" ht="30" customHeight="1">
      <c r="A48" s="747">
        <f t="shared" si="1"/>
        <v>42</v>
      </c>
      <c r="B48" s="748" t="s">
        <v>2958</v>
      </c>
      <c r="C48" s="1120" t="s">
        <v>1319</v>
      </c>
      <c r="D48" s="747" t="s">
        <v>92</v>
      </c>
      <c r="E48" s="747" t="s">
        <v>3613</v>
      </c>
      <c r="F48" s="749">
        <v>46089</v>
      </c>
      <c r="G48" s="749">
        <v>46108</v>
      </c>
      <c r="H48" s="749">
        <v>46109</v>
      </c>
      <c r="I48" s="749">
        <v>46110</v>
      </c>
      <c r="J48" s="749">
        <v>46111</v>
      </c>
      <c r="K48" s="749">
        <v>46112</v>
      </c>
      <c r="L48" s="749">
        <v>46112</v>
      </c>
      <c r="M48" s="937" t="s">
        <v>631</v>
      </c>
      <c r="N48" s="937" t="s">
        <v>631</v>
      </c>
      <c r="O48" s="747" t="s">
        <v>3492</v>
      </c>
      <c r="P48" s="747">
        <v>10</v>
      </c>
      <c r="Q48" s="854"/>
    </row>
    <row r="49" spans="1:18" s="1035" customFormat="1" ht="30" customHeight="1">
      <c r="A49" s="747">
        <f t="shared" si="1"/>
        <v>43</v>
      </c>
      <c r="B49" s="748" t="s">
        <v>3060</v>
      </c>
      <c r="C49" s="1120" t="s">
        <v>3251</v>
      </c>
      <c r="D49" s="747" t="s">
        <v>92</v>
      </c>
      <c r="E49" s="747" t="s">
        <v>3613</v>
      </c>
      <c r="F49" s="749">
        <v>46092</v>
      </c>
      <c r="G49" s="749">
        <v>46108</v>
      </c>
      <c r="H49" s="749">
        <v>46109</v>
      </c>
      <c r="I49" s="749">
        <v>46109</v>
      </c>
      <c r="J49" s="749">
        <v>46109</v>
      </c>
      <c r="K49" s="749">
        <v>46110</v>
      </c>
      <c r="L49" s="749">
        <v>46110</v>
      </c>
      <c r="M49" s="937" t="s">
        <v>631</v>
      </c>
      <c r="N49" s="937" t="s">
        <v>631</v>
      </c>
      <c r="O49" s="747" t="s">
        <v>86</v>
      </c>
      <c r="P49" s="747">
        <v>10</v>
      </c>
      <c r="Q49" s="854"/>
    </row>
    <row r="50" spans="1:18" s="1035" customFormat="1" ht="30" customHeight="1">
      <c r="A50" s="747">
        <f t="shared" si="1"/>
        <v>44</v>
      </c>
      <c r="B50" s="748" t="s">
        <v>2938</v>
      </c>
      <c r="C50" s="1120" t="s">
        <v>2197</v>
      </c>
      <c r="D50" s="747" t="s">
        <v>92</v>
      </c>
      <c r="E50" s="747" t="s">
        <v>3613</v>
      </c>
      <c r="F50" s="749">
        <v>46093</v>
      </c>
      <c r="G50" s="749">
        <v>46106</v>
      </c>
      <c r="H50" s="749">
        <v>46107</v>
      </c>
      <c r="I50" s="749">
        <v>46107</v>
      </c>
      <c r="J50" s="749">
        <v>46107</v>
      </c>
      <c r="K50" s="749">
        <v>46108</v>
      </c>
      <c r="L50" s="749">
        <v>46108</v>
      </c>
      <c r="M50" s="937" t="s">
        <v>631</v>
      </c>
      <c r="N50" s="937" t="s">
        <v>631</v>
      </c>
      <c r="O50" s="747" t="s">
        <v>2840</v>
      </c>
      <c r="P50" s="747">
        <v>13</v>
      </c>
      <c r="Q50" s="854"/>
    </row>
    <row r="51" spans="1:18" s="1035" customFormat="1" ht="30" customHeight="1">
      <c r="A51" s="747">
        <f t="shared" si="1"/>
        <v>45</v>
      </c>
      <c r="B51" s="748" t="s">
        <v>2946</v>
      </c>
      <c r="C51" s="1120" t="s">
        <v>1953</v>
      </c>
      <c r="D51" s="747" t="s">
        <v>92</v>
      </c>
      <c r="E51" s="747" t="s">
        <v>3613</v>
      </c>
      <c r="F51" s="749">
        <v>46103</v>
      </c>
      <c r="G51" s="749">
        <v>46123</v>
      </c>
      <c r="H51" s="749">
        <v>46123</v>
      </c>
      <c r="I51" s="749">
        <v>46125</v>
      </c>
      <c r="J51" s="749">
        <v>46125</v>
      </c>
      <c r="K51" s="749">
        <v>46127</v>
      </c>
      <c r="L51" s="749">
        <v>46127</v>
      </c>
      <c r="M51" s="937" t="s">
        <v>631</v>
      </c>
      <c r="N51" s="937" t="s">
        <v>631</v>
      </c>
      <c r="O51" s="747" t="s">
        <v>3092</v>
      </c>
      <c r="P51" s="747">
        <v>10</v>
      </c>
      <c r="Q51" s="854"/>
    </row>
    <row r="52" spans="1:18" s="1035" customFormat="1" ht="30" customHeight="1">
      <c r="A52" s="747">
        <f t="shared" si="1"/>
        <v>46</v>
      </c>
      <c r="B52" s="748" t="s">
        <v>3023</v>
      </c>
      <c r="C52" s="1120" t="s">
        <v>1995</v>
      </c>
      <c r="D52" s="747" t="s">
        <v>92</v>
      </c>
      <c r="E52" s="747" t="s">
        <v>3613</v>
      </c>
      <c r="F52" s="749">
        <v>46111</v>
      </c>
      <c r="G52" s="749">
        <v>46134</v>
      </c>
      <c r="H52" s="749">
        <v>46136</v>
      </c>
      <c r="I52" s="749">
        <v>46136</v>
      </c>
      <c r="J52" s="749">
        <v>46138</v>
      </c>
      <c r="K52" s="749">
        <v>46139</v>
      </c>
      <c r="L52" s="749">
        <v>46139</v>
      </c>
      <c r="M52" s="937" t="s">
        <v>631</v>
      </c>
      <c r="N52" s="937" t="s">
        <v>631</v>
      </c>
      <c r="O52" s="747" t="s">
        <v>3253</v>
      </c>
      <c r="P52" s="747">
        <v>12</v>
      </c>
      <c r="Q52" s="854"/>
    </row>
    <row r="53" spans="1:18" s="1035" customFormat="1" ht="30" customHeight="1">
      <c r="A53" s="747">
        <f t="shared" si="1"/>
        <v>47</v>
      </c>
      <c r="B53" s="748" t="s">
        <v>2984</v>
      </c>
      <c r="C53" s="1120" t="s">
        <v>1319</v>
      </c>
      <c r="D53" s="747" t="s">
        <v>92</v>
      </c>
      <c r="E53" s="747" t="s">
        <v>3613</v>
      </c>
      <c r="F53" s="749">
        <v>46116</v>
      </c>
      <c r="G53" s="749">
        <v>46121</v>
      </c>
      <c r="H53" s="749">
        <v>46127</v>
      </c>
      <c r="I53" s="749">
        <v>46127</v>
      </c>
      <c r="J53" s="749">
        <v>46127</v>
      </c>
      <c r="K53" s="749">
        <v>46128</v>
      </c>
      <c r="L53" s="749">
        <v>46132</v>
      </c>
      <c r="M53" s="937" t="s">
        <v>631</v>
      </c>
      <c r="N53" s="937" t="s">
        <v>631</v>
      </c>
      <c r="O53" s="747" t="s">
        <v>2840</v>
      </c>
      <c r="P53" s="747">
        <v>13</v>
      </c>
      <c r="Q53" s="854"/>
    </row>
    <row r="54" spans="1:18" s="1035" customFormat="1" ht="30" customHeight="1">
      <c r="A54" s="747">
        <f t="shared" si="1"/>
        <v>48</v>
      </c>
      <c r="B54" s="748" t="s">
        <v>2957</v>
      </c>
      <c r="C54" s="1120" t="s">
        <v>1277</v>
      </c>
      <c r="D54" s="747" t="s">
        <v>92</v>
      </c>
      <c r="E54" s="747" t="s">
        <v>3613</v>
      </c>
      <c r="F54" s="749">
        <v>46119</v>
      </c>
      <c r="G54" s="749">
        <v>46141</v>
      </c>
      <c r="H54" s="749">
        <v>46142</v>
      </c>
      <c r="I54" s="749">
        <v>46142</v>
      </c>
      <c r="J54" s="749">
        <v>46142</v>
      </c>
      <c r="K54" s="749">
        <v>46142</v>
      </c>
      <c r="L54" s="749">
        <v>46142</v>
      </c>
      <c r="M54" s="937" t="s">
        <v>631</v>
      </c>
      <c r="N54" s="937" t="s">
        <v>631</v>
      </c>
      <c r="O54" s="747" t="s">
        <v>3492</v>
      </c>
      <c r="P54" s="747">
        <v>12</v>
      </c>
      <c r="Q54" s="854"/>
    </row>
    <row r="55" spans="1:18" s="1035" customFormat="1" ht="30" customHeight="1">
      <c r="A55" s="747">
        <f t="shared" si="1"/>
        <v>49</v>
      </c>
      <c r="B55" s="748" t="s">
        <v>3062</v>
      </c>
      <c r="C55" s="1120" t="s">
        <v>90</v>
      </c>
      <c r="D55" s="747" t="s">
        <v>92</v>
      </c>
      <c r="E55" s="747" t="s">
        <v>3613</v>
      </c>
      <c r="F55" s="749">
        <v>46116</v>
      </c>
      <c r="G55" s="749">
        <v>46130</v>
      </c>
      <c r="H55" s="749">
        <v>46130</v>
      </c>
      <c r="I55" s="749">
        <v>46132</v>
      </c>
      <c r="J55" s="749">
        <v>46133</v>
      </c>
      <c r="K55" s="749">
        <v>46139</v>
      </c>
      <c r="L55" s="749">
        <v>46139</v>
      </c>
      <c r="M55" s="937" t="s">
        <v>631</v>
      </c>
      <c r="N55" s="937" t="s">
        <v>631</v>
      </c>
      <c r="O55" s="747" t="s">
        <v>86</v>
      </c>
      <c r="P55" s="747">
        <v>10</v>
      </c>
      <c r="Q55" s="854"/>
    </row>
    <row r="56" spans="1:18" s="1035" customFormat="1" ht="30" customHeight="1">
      <c r="A56" s="747">
        <f t="shared" si="1"/>
        <v>50</v>
      </c>
      <c r="B56" s="748" t="s">
        <v>2948</v>
      </c>
      <c r="C56" s="1120" t="s">
        <v>1319</v>
      </c>
      <c r="D56" s="747" t="s">
        <v>1765</v>
      </c>
      <c r="E56" s="747" t="s">
        <v>3613</v>
      </c>
      <c r="F56" s="749">
        <v>46127</v>
      </c>
      <c r="G56" s="749">
        <v>46138</v>
      </c>
      <c r="H56" s="749">
        <v>46139</v>
      </c>
      <c r="I56" s="749">
        <v>46139</v>
      </c>
      <c r="J56" s="749">
        <v>46140</v>
      </c>
      <c r="K56" s="749">
        <v>46141</v>
      </c>
      <c r="L56" s="749">
        <v>46141</v>
      </c>
      <c r="M56" s="937" t="s">
        <v>631</v>
      </c>
      <c r="N56" s="937" t="s">
        <v>631</v>
      </c>
      <c r="O56" s="747" t="s">
        <v>3092</v>
      </c>
      <c r="P56" s="747">
        <v>10</v>
      </c>
      <c r="Q56" s="854"/>
    </row>
    <row r="57" spans="1:18" s="1035" customFormat="1" ht="30" customHeight="1">
      <c r="A57" s="747">
        <f t="shared" si="1"/>
        <v>51</v>
      </c>
      <c r="B57" s="748" t="s">
        <v>2976</v>
      </c>
      <c r="C57" s="1120" t="s">
        <v>2212</v>
      </c>
      <c r="D57" s="747" t="s">
        <v>92</v>
      </c>
      <c r="E57" s="747" t="s">
        <v>3613</v>
      </c>
      <c r="F57" s="749">
        <v>46131</v>
      </c>
      <c r="G57" s="749">
        <v>46146</v>
      </c>
      <c r="H57" s="749">
        <v>46147</v>
      </c>
      <c r="I57" s="749">
        <v>46147</v>
      </c>
      <c r="J57" s="749">
        <v>46147</v>
      </c>
      <c r="K57" s="749">
        <v>46149</v>
      </c>
      <c r="L57" s="749">
        <v>46149</v>
      </c>
      <c r="M57" s="937" t="s">
        <v>631</v>
      </c>
      <c r="N57" s="937" t="s">
        <v>631</v>
      </c>
      <c r="O57" s="747" t="s">
        <v>2840</v>
      </c>
      <c r="P57" s="747">
        <v>13</v>
      </c>
      <c r="Q57" s="854"/>
    </row>
    <row r="58" spans="1:18" s="1035" customFormat="1" ht="30" hidden="1" customHeight="1">
      <c r="A58" s="747">
        <f t="shared" si="1"/>
        <v>52</v>
      </c>
      <c r="B58" s="748" t="s">
        <v>3065</v>
      </c>
      <c r="C58" s="1120" t="s">
        <v>2212</v>
      </c>
      <c r="D58" s="747" t="s">
        <v>92</v>
      </c>
      <c r="E58" s="747" t="s">
        <v>3613</v>
      </c>
      <c r="F58" s="749">
        <v>46131</v>
      </c>
      <c r="G58" s="749">
        <v>46158</v>
      </c>
      <c r="H58" s="749">
        <v>46159</v>
      </c>
      <c r="I58" s="749">
        <v>46171</v>
      </c>
      <c r="J58" s="749">
        <v>46171</v>
      </c>
      <c r="K58" s="749">
        <v>46171</v>
      </c>
      <c r="L58" s="749">
        <v>46171</v>
      </c>
      <c r="M58" s="937" t="s">
        <v>631</v>
      </c>
      <c r="N58" s="937"/>
      <c r="O58" s="747" t="s">
        <v>86</v>
      </c>
      <c r="P58" s="747">
        <v>10</v>
      </c>
      <c r="Q58" s="854"/>
    </row>
    <row r="59" spans="1:18" s="1035" customFormat="1" ht="30" hidden="1" customHeight="1">
      <c r="A59" s="747">
        <f t="shared" si="1"/>
        <v>53</v>
      </c>
      <c r="B59" s="748" t="s">
        <v>3069</v>
      </c>
      <c r="C59" s="1120" t="s">
        <v>1953</v>
      </c>
      <c r="D59" s="747" t="s">
        <v>92</v>
      </c>
      <c r="E59" s="747" t="s">
        <v>3613</v>
      </c>
      <c r="F59" s="749">
        <v>46133</v>
      </c>
      <c r="G59" s="749">
        <v>46158</v>
      </c>
      <c r="H59" s="749">
        <v>46159</v>
      </c>
      <c r="I59" s="749">
        <v>46162</v>
      </c>
      <c r="J59" s="749">
        <v>46162</v>
      </c>
      <c r="K59" s="749">
        <v>46163</v>
      </c>
      <c r="L59" s="749">
        <v>46163</v>
      </c>
      <c r="M59" s="937" t="s">
        <v>631</v>
      </c>
      <c r="N59" s="937"/>
      <c r="O59" s="747" t="s">
        <v>3495</v>
      </c>
      <c r="P59" s="747">
        <v>7</v>
      </c>
      <c r="Q59" s="854"/>
    </row>
    <row r="60" spans="1:18" s="1035" customFormat="1" ht="30" customHeight="1">
      <c r="A60" s="747">
        <f t="shared" si="1"/>
        <v>54</v>
      </c>
      <c r="B60" s="748" t="s">
        <v>3500</v>
      </c>
      <c r="C60" s="1120" t="s">
        <v>1319</v>
      </c>
      <c r="D60" s="747" t="s">
        <v>1765</v>
      </c>
      <c r="E60" s="747" t="s">
        <v>3613</v>
      </c>
      <c r="F60" s="749">
        <v>46142</v>
      </c>
      <c r="G60" s="749">
        <v>46159</v>
      </c>
      <c r="H60" s="749">
        <v>46162</v>
      </c>
      <c r="I60" s="749">
        <v>46162</v>
      </c>
      <c r="J60" s="749">
        <v>46162</v>
      </c>
      <c r="K60" s="749">
        <v>46163</v>
      </c>
      <c r="L60" s="749">
        <v>46163</v>
      </c>
      <c r="M60" s="937" t="s">
        <v>631</v>
      </c>
      <c r="N60" s="937" t="s">
        <v>631</v>
      </c>
      <c r="O60" s="747" t="s">
        <v>3092</v>
      </c>
      <c r="P60" s="747">
        <v>10</v>
      </c>
      <c r="Q60" s="854"/>
    </row>
    <row r="61" spans="1:18" s="1035" customFormat="1" ht="36" hidden="1" customHeight="1">
      <c r="A61" s="747">
        <f t="shared" si="1"/>
        <v>55</v>
      </c>
      <c r="B61" s="748" t="s">
        <v>2867</v>
      </c>
      <c r="C61" s="1120" t="s">
        <v>1319</v>
      </c>
      <c r="D61" s="747" t="s">
        <v>1765</v>
      </c>
      <c r="E61" s="747" t="s">
        <v>3613</v>
      </c>
      <c r="F61" s="749">
        <v>46147</v>
      </c>
      <c r="G61" s="749">
        <v>46167</v>
      </c>
      <c r="H61" s="749">
        <v>46167</v>
      </c>
      <c r="I61" s="749">
        <v>46167</v>
      </c>
      <c r="J61" s="749">
        <v>46168</v>
      </c>
      <c r="K61" s="749">
        <v>46171</v>
      </c>
      <c r="L61" s="749">
        <v>46171</v>
      </c>
      <c r="M61" s="937" t="s">
        <v>631</v>
      </c>
      <c r="N61" s="937"/>
      <c r="O61" s="747" t="s">
        <v>3492</v>
      </c>
      <c r="P61" s="747">
        <v>10</v>
      </c>
      <c r="Q61" s="854"/>
    </row>
    <row r="62" spans="1:18" s="1035" customFormat="1" ht="36" hidden="1" customHeight="1">
      <c r="A62" s="747">
        <f t="shared" si="1"/>
        <v>56</v>
      </c>
      <c r="B62" s="748" t="s">
        <v>2974</v>
      </c>
      <c r="C62" s="1120" t="s">
        <v>1935</v>
      </c>
      <c r="D62" s="747" t="s">
        <v>1765</v>
      </c>
      <c r="E62" s="747" t="s">
        <v>3613</v>
      </c>
      <c r="F62" s="749">
        <v>46147</v>
      </c>
      <c r="G62" s="749">
        <v>46161</v>
      </c>
      <c r="H62" s="749">
        <v>46164</v>
      </c>
      <c r="I62" s="749">
        <v>46166</v>
      </c>
      <c r="J62" s="749">
        <v>46166</v>
      </c>
      <c r="K62" s="749">
        <v>46173</v>
      </c>
      <c r="L62" s="749">
        <v>46173</v>
      </c>
      <c r="M62" s="937" t="s">
        <v>631</v>
      </c>
      <c r="N62" s="937"/>
      <c r="O62" s="747" t="s">
        <v>2840</v>
      </c>
      <c r="P62" s="747">
        <v>13</v>
      </c>
      <c r="Q62" s="854"/>
    </row>
    <row r="63" spans="1:18" s="1035" customFormat="1" ht="30" customHeight="1">
      <c r="A63" s="747">
        <f t="shared" si="1"/>
        <v>57</v>
      </c>
      <c r="B63" s="748" t="s">
        <v>3426</v>
      </c>
      <c r="C63" s="1120" t="s">
        <v>1319</v>
      </c>
      <c r="D63" s="747" t="s">
        <v>92</v>
      </c>
      <c r="E63" s="747" t="s">
        <v>3613</v>
      </c>
      <c r="F63" s="749">
        <v>46152</v>
      </c>
      <c r="G63" s="749">
        <v>46171</v>
      </c>
      <c r="H63" s="749">
        <v>46171</v>
      </c>
      <c r="I63" s="749">
        <v>46171</v>
      </c>
      <c r="J63" s="749">
        <v>46173</v>
      </c>
      <c r="K63" s="749">
        <v>46173</v>
      </c>
      <c r="L63" s="749">
        <v>46173</v>
      </c>
      <c r="M63" s="937" t="s">
        <v>631</v>
      </c>
      <c r="N63" s="937" t="s">
        <v>631</v>
      </c>
      <c r="O63" s="747" t="s">
        <v>3253</v>
      </c>
      <c r="P63" s="747">
        <v>10</v>
      </c>
      <c r="Q63" s="854"/>
    </row>
    <row r="64" spans="1:18" s="1035" customFormat="1" ht="30" hidden="1" customHeight="1">
      <c r="A64" s="747">
        <f t="shared" si="1"/>
        <v>58</v>
      </c>
      <c r="B64" s="748" t="s">
        <v>3059</v>
      </c>
      <c r="C64" s="1120" t="s">
        <v>1269</v>
      </c>
      <c r="D64" s="747" t="s">
        <v>92</v>
      </c>
      <c r="E64" s="747" t="s">
        <v>3571</v>
      </c>
      <c r="F64" s="749">
        <v>46157</v>
      </c>
      <c r="G64" s="749">
        <v>46161</v>
      </c>
      <c r="H64" s="749">
        <v>46162</v>
      </c>
      <c r="I64" s="749">
        <v>46162</v>
      </c>
      <c r="J64" s="749">
        <v>46163</v>
      </c>
      <c r="K64" s="749">
        <v>46164</v>
      </c>
      <c r="L64" s="749">
        <v>46164</v>
      </c>
      <c r="M64" s="937" t="s">
        <v>631</v>
      </c>
      <c r="N64" s="937"/>
      <c r="O64" s="747" t="s">
        <v>86</v>
      </c>
      <c r="P64" s="747">
        <v>10</v>
      </c>
      <c r="Q64" s="854"/>
      <c r="R64" s="1035" t="s">
        <v>3571</v>
      </c>
    </row>
    <row r="65" spans="1:17" s="1035" customFormat="1" ht="30" hidden="1" customHeight="1">
      <c r="A65" s="747">
        <f t="shared" ref="A65:A96" si="2">A64+1</f>
        <v>59</v>
      </c>
      <c r="B65" s="748" t="s">
        <v>3055</v>
      </c>
      <c r="C65" s="1120" t="s">
        <v>1953</v>
      </c>
      <c r="D65" s="747" t="s">
        <v>92</v>
      </c>
      <c r="E65" s="747" t="s">
        <v>3571</v>
      </c>
      <c r="F65" s="749">
        <v>46158</v>
      </c>
      <c r="G65" s="749">
        <v>46192</v>
      </c>
      <c r="H65" s="749">
        <v>46194</v>
      </c>
      <c r="I65" s="749">
        <v>46194</v>
      </c>
      <c r="J65" s="749">
        <v>46194</v>
      </c>
      <c r="K65" s="749">
        <v>46196</v>
      </c>
      <c r="L65" s="749">
        <v>46196</v>
      </c>
      <c r="M65" s="937" t="s">
        <v>631</v>
      </c>
      <c r="N65" s="937"/>
      <c r="O65" s="747" t="s">
        <v>3557</v>
      </c>
      <c r="P65" s="747">
        <v>14</v>
      </c>
      <c r="Q65" s="854"/>
    </row>
    <row r="66" spans="1:17" s="1035" customFormat="1" ht="30" hidden="1" customHeight="1">
      <c r="A66" s="747">
        <f t="shared" si="2"/>
        <v>60</v>
      </c>
      <c r="B66" s="748" t="s">
        <v>3570</v>
      </c>
      <c r="C66" s="1120" t="s">
        <v>1319</v>
      </c>
      <c r="D66" s="747" t="s">
        <v>1765</v>
      </c>
      <c r="E66" s="747" t="s">
        <v>3613</v>
      </c>
      <c r="F66" s="749">
        <v>46165</v>
      </c>
      <c r="G66" s="749">
        <v>46178</v>
      </c>
      <c r="H66" s="749">
        <v>46181</v>
      </c>
      <c r="I66" s="749">
        <v>46181</v>
      </c>
      <c r="J66" s="749">
        <v>46181</v>
      </c>
      <c r="K66" s="749">
        <v>46182</v>
      </c>
      <c r="L66" s="749">
        <v>46182</v>
      </c>
      <c r="M66" s="937" t="s">
        <v>631</v>
      </c>
      <c r="N66" s="937"/>
      <c r="O66" s="747" t="s">
        <v>3092</v>
      </c>
      <c r="P66" s="747">
        <v>11</v>
      </c>
      <c r="Q66" s="854"/>
    </row>
    <row r="67" spans="1:17" s="1035" customFormat="1" ht="30" hidden="1" customHeight="1">
      <c r="A67" s="747">
        <f t="shared" si="2"/>
        <v>61</v>
      </c>
      <c r="B67" s="748" t="s">
        <v>3070</v>
      </c>
      <c r="C67" s="1120" t="s">
        <v>1995</v>
      </c>
      <c r="D67" s="747" t="s">
        <v>92</v>
      </c>
      <c r="E67" s="747" t="s">
        <v>3571</v>
      </c>
      <c r="F67" s="749">
        <v>46165</v>
      </c>
      <c r="G67" s="749">
        <v>46199</v>
      </c>
      <c r="H67" s="749">
        <v>46200</v>
      </c>
      <c r="I67" s="749">
        <v>46200</v>
      </c>
      <c r="J67" s="749">
        <v>46200</v>
      </c>
      <c r="K67" s="749">
        <v>46202</v>
      </c>
      <c r="L67" s="749">
        <v>46202</v>
      </c>
      <c r="M67" s="937" t="s">
        <v>631</v>
      </c>
      <c r="N67" s="937"/>
      <c r="O67" s="747" t="s">
        <v>3495</v>
      </c>
      <c r="P67" s="747">
        <v>7</v>
      </c>
      <c r="Q67" s="854"/>
    </row>
    <row r="68" spans="1:17" s="1035" customFormat="1" ht="30" hidden="1" customHeight="1">
      <c r="A68" s="747">
        <f t="shared" si="2"/>
        <v>62</v>
      </c>
      <c r="B68" s="748" t="s">
        <v>2971</v>
      </c>
      <c r="C68" s="1120" t="s">
        <v>1319</v>
      </c>
      <c r="D68" s="747" t="s">
        <v>92</v>
      </c>
      <c r="E68" s="747" t="s">
        <v>3613</v>
      </c>
      <c r="F68" s="749">
        <v>46167</v>
      </c>
      <c r="G68" s="749">
        <v>46178</v>
      </c>
      <c r="H68" s="749">
        <v>46179</v>
      </c>
      <c r="I68" s="749">
        <v>46179</v>
      </c>
      <c r="J68" s="749">
        <v>46182</v>
      </c>
      <c r="K68" s="749">
        <v>46198</v>
      </c>
      <c r="L68" s="749">
        <v>46198</v>
      </c>
      <c r="M68" s="937" t="s">
        <v>631</v>
      </c>
      <c r="N68" s="937"/>
      <c r="O68" s="747" t="s">
        <v>2840</v>
      </c>
      <c r="P68" s="747">
        <v>13</v>
      </c>
      <c r="Q68" s="854"/>
    </row>
    <row r="69" spans="1:17" s="1035" customFormat="1" ht="30" hidden="1" customHeight="1">
      <c r="A69" s="747">
        <f t="shared" si="2"/>
        <v>63</v>
      </c>
      <c r="B69" s="748" t="s">
        <v>2951</v>
      </c>
      <c r="C69" s="1120" t="s">
        <v>2212</v>
      </c>
      <c r="D69" s="747" t="s">
        <v>1765</v>
      </c>
      <c r="E69" s="747" t="s">
        <v>3613</v>
      </c>
      <c r="F69" s="749">
        <v>46175</v>
      </c>
      <c r="G69" s="749">
        <v>46185</v>
      </c>
      <c r="H69" s="749">
        <v>46185</v>
      </c>
      <c r="I69" s="749">
        <v>46186</v>
      </c>
      <c r="J69" s="749">
        <v>46187</v>
      </c>
      <c r="K69" s="749">
        <v>46190</v>
      </c>
      <c r="L69" s="749">
        <v>46190</v>
      </c>
      <c r="M69" s="937" t="s">
        <v>631</v>
      </c>
      <c r="N69" s="937"/>
      <c r="O69" s="747" t="s">
        <v>3492</v>
      </c>
      <c r="P69" s="747">
        <v>11</v>
      </c>
      <c r="Q69" s="854"/>
    </row>
    <row r="70" spans="1:17" s="1035" customFormat="1" ht="30" hidden="1" customHeight="1">
      <c r="A70" s="747">
        <f t="shared" si="2"/>
        <v>64</v>
      </c>
      <c r="B70" s="748" t="s">
        <v>3056</v>
      </c>
      <c r="C70" s="1120" t="s">
        <v>1269</v>
      </c>
      <c r="D70" s="747" t="s">
        <v>92</v>
      </c>
      <c r="E70" s="747" t="s">
        <v>3571</v>
      </c>
      <c r="F70" s="749">
        <v>46184</v>
      </c>
      <c r="G70" s="749">
        <v>46203</v>
      </c>
      <c r="H70" s="749">
        <v>46210</v>
      </c>
      <c r="I70" s="749">
        <v>46210</v>
      </c>
      <c r="J70" s="749">
        <v>46212</v>
      </c>
      <c r="K70" s="749">
        <v>46214</v>
      </c>
      <c r="L70" s="749">
        <v>46214</v>
      </c>
      <c r="M70" s="937" t="s">
        <v>631</v>
      </c>
      <c r="N70" s="937"/>
      <c r="O70" s="747" t="s">
        <v>3557</v>
      </c>
      <c r="P70" s="747">
        <v>14</v>
      </c>
      <c r="Q70" s="854"/>
    </row>
    <row r="71" spans="1:17" s="1035" customFormat="1" ht="38.25" hidden="1">
      <c r="A71" s="1081">
        <f t="shared" si="2"/>
        <v>65</v>
      </c>
      <c r="B71" s="1082" t="s">
        <v>2928</v>
      </c>
      <c r="C71" s="1382" t="s">
        <v>1953</v>
      </c>
      <c r="D71" s="1081" t="s">
        <v>92</v>
      </c>
      <c r="E71" s="1081" t="s">
        <v>3613</v>
      </c>
      <c r="F71" s="1084">
        <v>46194</v>
      </c>
      <c r="G71" s="1084">
        <v>46221</v>
      </c>
      <c r="H71" s="1084"/>
      <c r="I71" s="1084"/>
      <c r="J71" s="1084"/>
      <c r="K71" s="1084"/>
      <c r="L71" s="1084"/>
      <c r="M71" s="1085" t="s">
        <v>22</v>
      </c>
      <c r="N71" s="1085"/>
      <c r="O71" s="1081" t="s">
        <v>2840</v>
      </c>
      <c r="P71" s="1081">
        <v>13</v>
      </c>
      <c r="Q71" s="1440" t="s">
        <v>3773</v>
      </c>
    </row>
    <row r="72" spans="1:17" s="1035" customFormat="1" ht="30" hidden="1" customHeight="1">
      <c r="A72" s="747">
        <f t="shared" si="2"/>
        <v>66</v>
      </c>
      <c r="B72" s="748" t="s">
        <v>2915</v>
      </c>
      <c r="C72" s="1120" t="s">
        <v>2212</v>
      </c>
      <c r="D72" s="747" t="s">
        <v>92</v>
      </c>
      <c r="E72" s="747" t="s">
        <v>3571</v>
      </c>
      <c r="F72" s="749">
        <v>46189</v>
      </c>
      <c r="G72" s="749">
        <v>46202</v>
      </c>
      <c r="H72" s="749">
        <v>46231</v>
      </c>
      <c r="I72" s="749">
        <v>46231</v>
      </c>
      <c r="J72" s="749">
        <v>46232</v>
      </c>
      <c r="K72" s="749">
        <v>46233</v>
      </c>
      <c r="L72" s="749">
        <v>46233</v>
      </c>
      <c r="M72" s="937" t="s">
        <v>631</v>
      </c>
      <c r="N72" s="937"/>
      <c r="O72" s="747" t="s">
        <v>3092</v>
      </c>
      <c r="P72" s="747">
        <v>13</v>
      </c>
      <c r="Q72" s="854"/>
    </row>
    <row r="73" spans="1:17" s="1035" customFormat="1" ht="30" hidden="1" customHeight="1">
      <c r="A73" s="747">
        <f t="shared" si="2"/>
        <v>67</v>
      </c>
      <c r="B73" s="748" t="s">
        <v>3031</v>
      </c>
      <c r="C73" s="1120" t="s">
        <v>1269</v>
      </c>
      <c r="D73" s="747" t="s">
        <v>92</v>
      </c>
      <c r="E73" s="747" t="s">
        <v>3571</v>
      </c>
      <c r="F73" s="749">
        <v>46193</v>
      </c>
      <c r="G73" s="749">
        <v>46230</v>
      </c>
      <c r="H73" s="749">
        <v>46231</v>
      </c>
      <c r="I73" s="749">
        <v>46231</v>
      </c>
      <c r="J73" s="749">
        <v>46232</v>
      </c>
      <c r="K73" s="749">
        <v>46233</v>
      </c>
      <c r="L73" s="749">
        <v>46233</v>
      </c>
      <c r="M73" s="937" t="s">
        <v>631</v>
      </c>
      <c r="N73" s="937"/>
      <c r="O73" s="747" t="s">
        <v>3611</v>
      </c>
      <c r="P73" s="747">
        <v>13</v>
      </c>
      <c r="Q73" s="854"/>
    </row>
    <row r="74" spans="1:17" s="1035" customFormat="1" ht="30" hidden="1" customHeight="1">
      <c r="A74" s="747">
        <f t="shared" si="2"/>
        <v>68</v>
      </c>
      <c r="B74" s="748" t="s">
        <v>3033</v>
      </c>
      <c r="C74" s="1120" t="s">
        <v>1977</v>
      </c>
      <c r="D74" s="747" t="s">
        <v>92</v>
      </c>
      <c r="E74" s="747" t="s">
        <v>3571</v>
      </c>
      <c r="F74" s="749">
        <v>46193</v>
      </c>
      <c r="G74" s="749">
        <v>46201</v>
      </c>
      <c r="H74" s="749">
        <v>46201</v>
      </c>
      <c r="I74" s="749">
        <v>46202</v>
      </c>
      <c r="J74" s="749">
        <v>46202</v>
      </c>
      <c r="K74" s="749">
        <v>46203</v>
      </c>
      <c r="L74" s="749">
        <v>46203</v>
      </c>
      <c r="M74" s="937" t="s">
        <v>631</v>
      </c>
      <c r="N74" s="937"/>
      <c r="O74" s="747" t="s">
        <v>86</v>
      </c>
      <c r="P74" s="747">
        <v>10</v>
      </c>
      <c r="Q74" s="854"/>
    </row>
    <row r="75" spans="1:17" s="1035" customFormat="1" ht="38.25" hidden="1">
      <c r="A75" s="1008">
        <f t="shared" si="2"/>
        <v>69</v>
      </c>
      <c r="B75" s="1323" t="s">
        <v>3614</v>
      </c>
      <c r="C75" s="1114" t="s">
        <v>2023</v>
      </c>
      <c r="D75" s="1008" t="s">
        <v>92</v>
      </c>
      <c r="E75" s="1008" t="s">
        <v>3613</v>
      </c>
      <c r="F75" s="1011">
        <v>46189</v>
      </c>
      <c r="G75" s="1011"/>
      <c r="H75" s="1011"/>
      <c r="I75" s="1011"/>
      <c r="J75" s="1011"/>
      <c r="K75" s="1011"/>
      <c r="L75" s="1011"/>
      <c r="M75" s="925" t="s">
        <v>22</v>
      </c>
      <c r="N75" s="925"/>
      <c r="O75" s="923" t="s">
        <v>3611</v>
      </c>
      <c r="P75" s="923">
        <v>10</v>
      </c>
      <c r="Q75" s="1411" t="s">
        <v>3753</v>
      </c>
    </row>
    <row r="76" spans="1:17" s="1035" customFormat="1" ht="30" hidden="1" customHeight="1">
      <c r="A76" s="747">
        <f t="shared" si="2"/>
        <v>70</v>
      </c>
      <c r="B76" s="748" t="s">
        <v>3044</v>
      </c>
      <c r="C76" s="1120" t="s">
        <v>3251</v>
      </c>
      <c r="D76" s="747" t="s">
        <v>92</v>
      </c>
      <c r="E76" s="747" t="s">
        <v>3571</v>
      </c>
      <c r="F76" s="749">
        <v>46201</v>
      </c>
      <c r="G76" s="749">
        <v>46232</v>
      </c>
      <c r="H76" s="749">
        <v>46236</v>
      </c>
      <c r="I76" s="749">
        <v>46237</v>
      </c>
      <c r="J76" s="749">
        <v>46238</v>
      </c>
      <c r="K76" s="749">
        <v>46243</v>
      </c>
      <c r="L76" s="749">
        <v>46243</v>
      </c>
      <c r="M76" s="937" t="s">
        <v>631</v>
      </c>
      <c r="N76" s="937"/>
      <c r="O76" s="747" t="s">
        <v>3133</v>
      </c>
      <c r="P76" s="747">
        <v>10</v>
      </c>
      <c r="Q76" s="854" t="s">
        <v>3762</v>
      </c>
    </row>
    <row r="77" spans="1:17" s="1035" customFormat="1" ht="30" hidden="1" customHeight="1">
      <c r="A77" s="747">
        <f t="shared" si="2"/>
        <v>71</v>
      </c>
      <c r="B77" s="748" t="s">
        <v>3039</v>
      </c>
      <c r="C77" s="1120" t="s">
        <v>1934</v>
      </c>
      <c r="D77" s="747" t="s">
        <v>1765</v>
      </c>
      <c r="E77" s="747" t="s">
        <v>3571</v>
      </c>
      <c r="F77" s="749">
        <v>46192</v>
      </c>
      <c r="G77" s="749">
        <v>46217</v>
      </c>
      <c r="H77" s="749">
        <v>46218</v>
      </c>
      <c r="I77" s="749">
        <v>46218</v>
      </c>
      <c r="J77" s="749">
        <v>46219</v>
      </c>
      <c r="K77" s="749">
        <v>46220</v>
      </c>
      <c r="L77" s="749">
        <v>46220</v>
      </c>
      <c r="M77" s="937" t="s">
        <v>631</v>
      </c>
      <c r="N77" s="937"/>
      <c r="O77" s="747" t="s">
        <v>2838</v>
      </c>
      <c r="P77" s="747">
        <v>13</v>
      </c>
      <c r="Q77" s="854"/>
    </row>
    <row r="78" spans="1:17" s="1035" customFormat="1" ht="30" hidden="1" customHeight="1">
      <c r="A78" s="747">
        <f t="shared" si="2"/>
        <v>72</v>
      </c>
      <c r="B78" s="748" t="s">
        <v>3054</v>
      </c>
      <c r="C78" s="1120" t="s">
        <v>1995</v>
      </c>
      <c r="D78" s="747" t="s">
        <v>92</v>
      </c>
      <c r="E78" s="747" t="s">
        <v>3571</v>
      </c>
      <c r="F78" s="749">
        <v>46199</v>
      </c>
      <c r="G78" s="749">
        <v>46218</v>
      </c>
      <c r="H78" s="749">
        <v>46219</v>
      </c>
      <c r="I78" s="749">
        <v>46221</v>
      </c>
      <c r="J78" s="749">
        <v>46222</v>
      </c>
      <c r="K78" s="749">
        <v>46230</v>
      </c>
      <c r="L78" s="749">
        <v>46230</v>
      </c>
      <c r="M78" s="937" t="s">
        <v>631</v>
      </c>
      <c r="N78" s="937"/>
      <c r="O78" s="747" t="s">
        <v>3557</v>
      </c>
      <c r="P78" s="747">
        <v>14</v>
      </c>
      <c r="Q78" s="854"/>
    </row>
    <row r="79" spans="1:17" s="1035" customFormat="1" ht="38.25" hidden="1">
      <c r="A79" s="1081">
        <f t="shared" si="2"/>
        <v>73</v>
      </c>
      <c r="B79" s="1082" t="s">
        <v>2927</v>
      </c>
      <c r="C79" s="1382" t="s">
        <v>2197</v>
      </c>
      <c r="D79" s="1081" t="s">
        <v>92</v>
      </c>
      <c r="E79" s="1081" t="s">
        <v>3613</v>
      </c>
      <c r="F79" s="1084">
        <v>46201</v>
      </c>
      <c r="G79" s="1084"/>
      <c r="H79" s="1084"/>
      <c r="I79" s="1084"/>
      <c r="J79" s="1084"/>
      <c r="K79" s="1084"/>
      <c r="L79" s="1084"/>
      <c r="M79" s="1085" t="s">
        <v>22</v>
      </c>
      <c r="N79" s="1085"/>
      <c r="O79" s="1081" t="s">
        <v>3492</v>
      </c>
      <c r="P79" s="1081"/>
      <c r="Q79" s="1440" t="s">
        <v>3774</v>
      </c>
    </row>
    <row r="80" spans="1:17" s="1035" customFormat="1" ht="38.25" hidden="1">
      <c r="A80" s="1008">
        <f t="shared" si="2"/>
        <v>74</v>
      </c>
      <c r="B80" s="1323" t="s">
        <v>3061</v>
      </c>
      <c r="C80" s="1114" t="s">
        <v>1402</v>
      </c>
      <c r="D80" s="1008" t="s">
        <v>92</v>
      </c>
      <c r="E80" s="1008" t="s">
        <v>3571</v>
      </c>
      <c r="F80" s="1011">
        <v>46202</v>
      </c>
      <c r="G80" s="1011"/>
      <c r="H80" s="1011"/>
      <c r="I80" s="1011"/>
      <c r="J80" s="1011"/>
      <c r="K80" s="1011"/>
      <c r="L80" s="1011"/>
      <c r="M80" s="925" t="s">
        <v>22</v>
      </c>
      <c r="N80" s="925"/>
      <c r="O80" s="923" t="s">
        <v>3637</v>
      </c>
      <c r="P80" s="923">
        <v>10</v>
      </c>
      <c r="Q80" s="1440" t="s">
        <v>3805</v>
      </c>
    </row>
    <row r="81" spans="1:17" s="1035" customFormat="1" ht="30" hidden="1" customHeight="1">
      <c r="A81" s="747">
        <f t="shared" si="2"/>
        <v>75</v>
      </c>
      <c r="B81" s="748" t="s">
        <v>2885</v>
      </c>
      <c r="C81" s="1120" t="s">
        <v>1277</v>
      </c>
      <c r="D81" s="747" t="s">
        <v>92</v>
      </c>
      <c r="E81" s="747" t="s">
        <v>3571</v>
      </c>
      <c r="F81" s="749">
        <v>46205</v>
      </c>
      <c r="G81" s="749">
        <v>46218</v>
      </c>
      <c r="H81" s="749">
        <v>46220</v>
      </c>
      <c r="I81" s="749">
        <v>46222</v>
      </c>
      <c r="J81" s="749">
        <v>46223</v>
      </c>
      <c r="K81" s="749">
        <v>46230</v>
      </c>
      <c r="L81" s="749">
        <v>46230</v>
      </c>
      <c r="M81" s="937" t="s">
        <v>631</v>
      </c>
      <c r="N81" s="937"/>
      <c r="O81" s="747" t="s">
        <v>3497</v>
      </c>
      <c r="P81" s="747">
        <v>8</v>
      </c>
      <c r="Q81" s="854"/>
    </row>
    <row r="82" spans="1:17" s="1035" customFormat="1" ht="38.25" hidden="1">
      <c r="A82" s="1008">
        <f t="shared" si="2"/>
        <v>76</v>
      </c>
      <c r="B82" s="1323" t="s">
        <v>3034</v>
      </c>
      <c r="C82" s="1114" t="s">
        <v>3251</v>
      </c>
      <c r="D82" s="1008" t="s">
        <v>92</v>
      </c>
      <c r="E82" s="1008" t="s">
        <v>3571</v>
      </c>
      <c r="F82" s="1011">
        <v>46208</v>
      </c>
      <c r="G82" s="1011">
        <v>46241</v>
      </c>
      <c r="H82" s="1011"/>
      <c r="I82" s="1011"/>
      <c r="J82" s="1011"/>
      <c r="K82" s="1011"/>
      <c r="L82" s="1011"/>
      <c r="M82" s="925" t="s">
        <v>22</v>
      </c>
      <c r="N82" s="925"/>
      <c r="O82" s="923" t="s">
        <v>86</v>
      </c>
      <c r="P82" s="923">
        <v>10</v>
      </c>
      <c r="Q82" s="1411" t="s">
        <v>3776</v>
      </c>
    </row>
    <row r="83" spans="1:17" s="1035" customFormat="1" ht="38.25" hidden="1">
      <c r="A83" s="1008">
        <f t="shared" si="2"/>
        <v>77</v>
      </c>
      <c r="B83" s="1323" t="s">
        <v>2892</v>
      </c>
      <c r="C83" s="1114" t="s">
        <v>1269</v>
      </c>
      <c r="D83" s="1008" t="s">
        <v>92</v>
      </c>
      <c r="E83" s="1008" t="s">
        <v>3571</v>
      </c>
      <c r="F83" s="1011">
        <v>46208</v>
      </c>
      <c r="G83" s="1011"/>
      <c r="H83" s="1011"/>
      <c r="I83" s="1011"/>
      <c r="J83" s="1011"/>
      <c r="K83" s="1011"/>
      <c r="L83" s="1011"/>
      <c r="M83" s="925" t="s">
        <v>22</v>
      </c>
      <c r="N83" s="925"/>
      <c r="O83" s="923" t="s">
        <v>3495</v>
      </c>
      <c r="P83" s="923">
        <v>12</v>
      </c>
      <c r="Q83" s="1440" t="s">
        <v>3765</v>
      </c>
    </row>
    <row r="84" spans="1:17" s="1035" customFormat="1" ht="51" hidden="1">
      <c r="A84" s="1008">
        <f t="shared" si="2"/>
        <v>78</v>
      </c>
      <c r="B84" s="1323" t="s">
        <v>3068</v>
      </c>
      <c r="C84" s="1114" t="s">
        <v>2662</v>
      </c>
      <c r="D84" s="1008" t="s">
        <v>92</v>
      </c>
      <c r="E84" s="1008" t="s">
        <v>3571</v>
      </c>
      <c r="F84" s="1011">
        <v>46215</v>
      </c>
      <c r="G84" s="1011"/>
      <c r="H84" s="1011"/>
      <c r="I84" s="1011"/>
      <c r="J84" s="1011"/>
      <c r="K84" s="1011"/>
      <c r="L84" s="1011"/>
      <c r="M84" s="925" t="s">
        <v>22</v>
      </c>
      <c r="N84" s="925"/>
      <c r="O84" s="923" t="s">
        <v>3637</v>
      </c>
      <c r="P84" s="923">
        <v>8</v>
      </c>
      <c r="Q84" s="1440" t="s">
        <v>3806</v>
      </c>
    </row>
    <row r="85" spans="1:17" s="1035" customFormat="1" ht="30" hidden="1" customHeight="1">
      <c r="A85" s="1008">
        <f>A84+1</f>
        <v>79</v>
      </c>
      <c r="B85" s="1323" t="s">
        <v>3040</v>
      </c>
      <c r="C85" s="1114" t="s">
        <v>1269</v>
      </c>
      <c r="D85" s="1008" t="s">
        <v>92</v>
      </c>
      <c r="E85" s="1008" t="s">
        <v>3571</v>
      </c>
      <c r="F85" s="1011">
        <v>46227</v>
      </c>
      <c r="G85" s="1011">
        <v>46238</v>
      </c>
      <c r="H85" s="1011">
        <v>46239</v>
      </c>
      <c r="I85" s="1011">
        <v>46240</v>
      </c>
      <c r="J85" s="1011">
        <v>46241</v>
      </c>
      <c r="K85" s="1011"/>
      <c r="L85" s="1011"/>
      <c r="M85" s="925" t="s">
        <v>22</v>
      </c>
      <c r="N85" s="925"/>
      <c r="O85" s="923" t="s">
        <v>2838</v>
      </c>
      <c r="P85" s="923">
        <v>11</v>
      </c>
      <c r="Q85" s="1411" t="s">
        <v>3752</v>
      </c>
    </row>
    <row r="86" spans="1:17" s="1035" customFormat="1" ht="38.25" hidden="1">
      <c r="A86" s="1008">
        <f t="shared" si="2"/>
        <v>80</v>
      </c>
      <c r="B86" s="1323" t="s">
        <v>2887</v>
      </c>
      <c r="C86" s="1114" t="s">
        <v>1953</v>
      </c>
      <c r="D86" s="1008" t="s">
        <v>92</v>
      </c>
      <c r="E86" s="1008" t="s">
        <v>3571</v>
      </c>
      <c r="F86" s="1011">
        <v>46233</v>
      </c>
      <c r="G86" s="1011"/>
      <c r="H86" s="1011"/>
      <c r="I86" s="1011"/>
      <c r="J86" s="1011"/>
      <c r="K86" s="1011"/>
      <c r="L86" s="1011"/>
      <c r="M86" s="925" t="s">
        <v>22</v>
      </c>
      <c r="N86" s="925"/>
      <c r="O86" s="923" t="s">
        <v>3674</v>
      </c>
      <c r="P86" s="923">
        <v>8</v>
      </c>
      <c r="Q86" s="1440" t="s">
        <v>3807</v>
      </c>
    </row>
    <row r="87" spans="1:17" s="1035" customFormat="1" ht="30" hidden="1" customHeight="1">
      <c r="A87" s="1008">
        <f>A86+1</f>
        <v>81</v>
      </c>
      <c r="B87" s="1323" t="s">
        <v>2890</v>
      </c>
      <c r="C87" s="1114" t="s">
        <v>2662</v>
      </c>
      <c r="D87" s="1008" t="s">
        <v>92</v>
      </c>
      <c r="E87" s="1008" t="s">
        <v>3571</v>
      </c>
      <c r="F87" s="1011">
        <v>46235</v>
      </c>
      <c r="G87" s="1011"/>
      <c r="H87" s="1011"/>
      <c r="I87" s="1011"/>
      <c r="J87" s="1011"/>
      <c r="K87" s="1011"/>
      <c r="L87" s="1011"/>
      <c r="M87" s="925" t="s">
        <v>22</v>
      </c>
      <c r="N87" s="925"/>
      <c r="O87" s="923" t="s">
        <v>3675</v>
      </c>
      <c r="P87" s="923">
        <v>5</v>
      </c>
      <c r="Q87" s="1440" t="s">
        <v>3754</v>
      </c>
    </row>
    <row r="88" spans="1:17" s="1035" customFormat="1" ht="30" hidden="1" customHeight="1">
      <c r="A88" s="1008">
        <f t="shared" si="2"/>
        <v>82</v>
      </c>
      <c r="B88" s="1323" t="s">
        <v>2902</v>
      </c>
      <c r="C88" s="1114" t="s">
        <v>2212</v>
      </c>
      <c r="D88" s="1008" t="s">
        <v>92</v>
      </c>
      <c r="E88" s="1008" t="s">
        <v>3571</v>
      </c>
      <c r="F88" s="1011"/>
      <c r="G88" s="1011"/>
      <c r="H88" s="1011"/>
      <c r="I88" s="1011"/>
      <c r="J88" s="1011"/>
      <c r="K88" s="1011"/>
      <c r="L88" s="1011"/>
      <c r="M88" s="925" t="s">
        <v>22</v>
      </c>
      <c r="N88" s="925"/>
      <c r="O88" s="923" t="s">
        <v>2840</v>
      </c>
      <c r="P88" s="923"/>
      <c r="Q88" s="1441" t="s">
        <v>3755</v>
      </c>
    </row>
    <row r="89" spans="1:17" s="1035" customFormat="1" ht="30" hidden="1" customHeight="1">
      <c r="A89" s="1008">
        <f t="shared" si="2"/>
        <v>83</v>
      </c>
      <c r="B89" s="1323" t="s">
        <v>2893</v>
      </c>
      <c r="C89" s="1114" t="s">
        <v>1277</v>
      </c>
      <c r="D89" s="1008" t="s">
        <v>92</v>
      </c>
      <c r="E89" s="1008" t="s">
        <v>3571</v>
      </c>
      <c r="F89" s="1011">
        <v>46240</v>
      </c>
      <c r="G89" s="1011"/>
      <c r="H89" s="1011"/>
      <c r="I89" s="1011"/>
      <c r="J89" s="1011"/>
      <c r="K89" s="1011"/>
      <c r="L89" s="1011"/>
      <c r="M89" s="925" t="s">
        <v>22</v>
      </c>
      <c r="N89" s="925"/>
      <c r="O89" s="923" t="s">
        <v>3495</v>
      </c>
      <c r="P89" s="923"/>
      <c r="Q89" s="1440" t="s">
        <v>3766</v>
      </c>
    </row>
    <row r="90" spans="1:17" s="1035" customFormat="1" ht="30" hidden="1" customHeight="1">
      <c r="A90" s="1008">
        <f t="shared" si="2"/>
        <v>84</v>
      </c>
      <c r="B90" s="1323" t="s">
        <v>2884</v>
      </c>
      <c r="C90" s="1114" t="s">
        <v>2662</v>
      </c>
      <c r="D90" s="1008" t="s">
        <v>92</v>
      </c>
      <c r="E90" s="1008" t="s">
        <v>3571</v>
      </c>
      <c r="F90" s="1011">
        <v>46237</v>
      </c>
      <c r="G90" s="1011"/>
      <c r="H90" s="1011"/>
      <c r="I90" s="1011"/>
      <c r="J90" s="1011"/>
      <c r="K90" s="1011"/>
      <c r="L90" s="1011"/>
      <c r="M90" s="925" t="s">
        <v>22</v>
      </c>
      <c r="N90" s="925"/>
      <c r="O90" s="923" t="s">
        <v>3497</v>
      </c>
      <c r="P90" s="923">
        <v>8</v>
      </c>
      <c r="Q90" s="1440" t="s">
        <v>3767</v>
      </c>
    </row>
    <row r="91" spans="1:17" s="1035" customFormat="1" ht="30" hidden="1" customHeight="1">
      <c r="A91" s="1008">
        <f t="shared" si="2"/>
        <v>85</v>
      </c>
      <c r="B91" s="1323" t="s">
        <v>3043</v>
      </c>
      <c r="C91" s="1114" t="s">
        <v>1277</v>
      </c>
      <c r="D91" s="1008" t="s">
        <v>92</v>
      </c>
      <c r="E91" s="1008" t="s">
        <v>3571</v>
      </c>
      <c r="F91" s="1011"/>
      <c r="G91" s="1011"/>
      <c r="H91" s="1011"/>
      <c r="I91" s="1011"/>
      <c r="J91" s="1011"/>
      <c r="K91" s="1011"/>
      <c r="L91" s="1011"/>
      <c r="M91" s="925" t="s">
        <v>22</v>
      </c>
      <c r="N91" s="925"/>
      <c r="O91" s="923" t="s">
        <v>3133</v>
      </c>
      <c r="P91" s="923"/>
      <c r="Q91" s="1411" t="s">
        <v>3751</v>
      </c>
    </row>
    <row r="92" spans="1:17" s="1035" customFormat="1" ht="30" hidden="1" customHeight="1">
      <c r="A92" s="1008">
        <f t="shared" si="2"/>
        <v>86</v>
      </c>
      <c r="B92" s="1323" t="s">
        <v>2374</v>
      </c>
      <c r="C92" s="1114" t="s">
        <v>1934</v>
      </c>
      <c r="D92" s="1008" t="s">
        <v>92</v>
      </c>
      <c r="E92" s="1008" t="s">
        <v>3571</v>
      </c>
      <c r="F92" s="1011"/>
      <c r="G92" s="1011"/>
      <c r="H92" s="1011"/>
      <c r="I92" s="1011"/>
      <c r="J92" s="1011"/>
      <c r="K92" s="1011"/>
      <c r="L92" s="1011"/>
      <c r="M92" s="925" t="s">
        <v>22</v>
      </c>
      <c r="N92" s="925"/>
      <c r="O92" s="923" t="s">
        <v>2838</v>
      </c>
      <c r="P92" s="923">
        <v>7</v>
      </c>
      <c r="Q92" s="1411" t="s">
        <v>3780</v>
      </c>
    </row>
    <row r="93" spans="1:17" s="1035" customFormat="1" ht="30" hidden="1" customHeight="1">
      <c r="A93" s="1008">
        <f t="shared" si="2"/>
        <v>87</v>
      </c>
      <c r="B93" s="1323" t="s">
        <v>2918</v>
      </c>
      <c r="C93" s="1114" t="s">
        <v>3113</v>
      </c>
      <c r="D93" s="1008" t="s">
        <v>92</v>
      </c>
      <c r="E93" s="1008" t="s">
        <v>3571</v>
      </c>
      <c r="F93" s="1011">
        <v>46240</v>
      </c>
      <c r="G93" s="1011"/>
      <c r="H93" s="1011"/>
      <c r="I93" s="1011"/>
      <c r="J93" s="1011"/>
      <c r="K93" s="1011"/>
      <c r="L93" s="1011"/>
      <c r="M93" s="925" t="s">
        <v>22</v>
      </c>
      <c r="N93" s="925"/>
      <c r="O93" s="923" t="s">
        <v>3092</v>
      </c>
      <c r="P93" s="923">
        <v>13</v>
      </c>
      <c r="Q93" s="1440" t="s">
        <v>3775</v>
      </c>
    </row>
    <row r="94" spans="1:17" s="1035" customFormat="1" ht="30" hidden="1" customHeight="1">
      <c r="A94" s="1008">
        <f t="shared" si="2"/>
        <v>88</v>
      </c>
      <c r="B94" s="1323" t="s">
        <v>2904</v>
      </c>
      <c r="C94" s="1114" t="s">
        <v>1953</v>
      </c>
      <c r="D94" s="1008" t="s">
        <v>92</v>
      </c>
      <c r="E94" s="1008" t="s">
        <v>3571</v>
      </c>
      <c r="F94" s="1011"/>
      <c r="G94" s="1011"/>
      <c r="H94" s="1011"/>
      <c r="I94" s="1011"/>
      <c r="J94" s="1011"/>
      <c r="K94" s="1011"/>
      <c r="L94" s="1011"/>
      <c r="M94" s="925" t="s">
        <v>22</v>
      </c>
      <c r="N94" s="925"/>
      <c r="O94" s="923" t="s">
        <v>3492</v>
      </c>
      <c r="P94" s="923">
        <v>10</v>
      </c>
      <c r="Q94" s="1441" t="s">
        <v>3755</v>
      </c>
    </row>
    <row r="95" spans="1:17" s="1035" customFormat="1" ht="30.75" hidden="1" customHeight="1">
      <c r="A95" s="1008">
        <f t="shared" si="2"/>
        <v>89</v>
      </c>
      <c r="B95" s="1323" t="s">
        <v>2898</v>
      </c>
      <c r="C95" s="1114" t="s">
        <v>2662</v>
      </c>
      <c r="D95" s="1008" t="s">
        <v>92</v>
      </c>
      <c r="E95" s="1008" t="s">
        <v>3571</v>
      </c>
      <c r="F95" s="1011">
        <v>46242</v>
      </c>
      <c r="G95" s="1011"/>
      <c r="H95" s="1011"/>
      <c r="I95" s="1011"/>
      <c r="J95" s="1011"/>
      <c r="K95" s="1011"/>
      <c r="L95" s="1011"/>
      <c r="M95" s="925" t="s">
        <v>22</v>
      </c>
      <c r="N95" s="925"/>
      <c r="O95" s="923" t="s">
        <v>2840</v>
      </c>
      <c r="P95" s="923"/>
      <c r="Q95" s="1440" t="s">
        <v>3763</v>
      </c>
    </row>
    <row r="96" spans="1:17" s="1035" customFormat="1" ht="30.75" hidden="1" customHeight="1">
      <c r="A96" s="1008">
        <f t="shared" si="2"/>
        <v>90</v>
      </c>
      <c r="B96" s="1323" t="s">
        <v>2900</v>
      </c>
      <c r="C96" s="1114" t="s">
        <v>2662</v>
      </c>
      <c r="D96" s="1008" t="s">
        <v>92</v>
      </c>
      <c r="E96" s="1008" t="s">
        <v>3571</v>
      </c>
      <c r="F96" s="1011">
        <v>46244</v>
      </c>
      <c r="G96" s="1011"/>
      <c r="H96" s="1011"/>
      <c r="I96" s="1011"/>
      <c r="J96" s="1011"/>
      <c r="K96" s="1011"/>
      <c r="L96" s="1011"/>
      <c r="M96" s="925" t="s">
        <v>22</v>
      </c>
      <c r="N96" s="925"/>
      <c r="O96" s="923" t="s">
        <v>2840</v>
      </c>
      <c r="P96" s="923"/>
      <c r="Q96" s="1440" t="s">
        <v>3750</v>
      </c>
    </row>
  </sheetData>
  <autoFilter ref="A6:R96" xr:uid="{F0B569F2-8232-44B1-9A8D-202F3F5E5D6A}">
    <filterColumn colId="13">
      <customFilters>
        <customFilter operator="notEqual" val=" "/>
      </customFilters>
    </filterColumn>
  </autoFilter>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filterMode="1">
    <tabColor theme="4" tint="0.39997558519241921"/>
  </sheetPr>
  <dimension ref="A1:M39"/>
  <sheetViews>
    <sheetView zoomScale="90" zoomScaleNormal="90" workbookViewId="0">
      <pane ySplit="6" topLeftCell="A34" activePane="bottomLeft" state="frozen"/>
      <selection activeCell="I87" sqref="I87"/>
      <selection pane="bottomLeft" activeCell="G42" sqref="G42"/>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2.140625" style="648" bestFit="1" customWidth="1"/>
    <col min="6" max="6" width="12.28515625" style="649" customWidth="1"/>
    <col min="7" max="7" width="19.5703125" style="648" bestFit="1" customWidth="1"/>
    <col min="8" max="8" width="19.140625" style="650" bestFit="1" customWidth="1"/>
    <col min="9" max="9" width="12.5703125" style="650" bestFit="1" customWidth="1"/>
    <col min="10" max="10" width="33.42578125" style="648" customWidth="1"/>
    <col min="11" max="11" width="7.85546875" style="648" customWidth="1"/>
    <col min="12" max="12" width="12.42578125" style="648" customWidth="1"/>
    <col min="13" max="16384" width="7.85546875" style="648"/>
  </cols>
  <sheetData>
    <row r="1" spans="1:10" ht="12.75">
      <c r="A1" s="645" t="s">
        <v>37</v>
      </c>
      <c r="B1" s="646"/>
      <c r="C1" s="647"/>
      <c r="D1" s="647"/>
      <c r="E1" s="647"/>
      <c r="G1" s="647"/>
      <c r="H1" s="695" t="s">
        <v>38</v>
      </c>
      <c r="I1" s="696">
        <f>'TB-605'!E1</f>
        <v>46246</v>
      </c>
    </row>
    <row r="2" spans="1:10" ht="12.75">
      <c r="A2" s="651" t="s">
        <v>3344</v>
      </c>
      <c r="B2" s="652"/>
      <c r="C2" s="653"/>
      <c r="D2" s="653"/>
      <c r="E2" s="653"/>
      <c r="G2" s="653"/>
    </row>
    <row r="3" spans="1:10" ht="12.75">
      <c r="A3" s="651" t="s">
        <v>3200</v>
      </c>
      <c r="B3" s="651"/>
      <c r="C3" s="654"/>
      <c r="D3" s="654"/>
      <c r="E3" s="654"/>
      <c r="G3" s="654"/>
    </row>
    <row r="5" spans="1:10" s="658" customFormat="1" ht="31.5" customHeight="1">
      <c r="A5" s="1645" t="s">
        <v>1782</v>
      </c>
      <c r="B5" s="1645" t="s">
        <v>998</v>
      </c>
      <c r="C5" s="1645" t="s">
        <v>44</v>
      </c>
      <c r="D5" s="1650" t="s">
        <v>3199</v>
      </c>
      <c r="E5" s="1650" t="s">
        <v>3234</v>
      </c>
      <c r="F5" s="1650" t="s">
        <v>3201</v>
      </c>
      <c r="G5" s="1645" t="s">
        <v>627</v>
      </c>
      <c r="H5" s="1645" t="s">
        <v>1762</v>
      </c>
      <c r="I5" s="1650" t="s">
        <v>1763</v>
      </c>
      <c r="J5" s="657" t="s">
        <v>1764</v>
      </c>
    </row>
    <row r="6" spans="1:10" s="658" customFormat="1" ht="30.75" customHeight="1">
      <c r="A6" s="1646"/>
      <c r="B6" s="1646"/>
      <c r="C6" s="1646"/>
      <c r="D6" s="1646"/>
      <c r="E6" s="1646"/>
      <c r="F6" s="1646"/>
      <c r="G6" s="1646"/>
      <c r="H6" s="1646"/>
      <c r="I6" s="1651"/>
      <c r="J6" s="657"/>
    </row>
    <row r="7" spans="1:10" s="1035" customFormat="1" ht="30.95" hidden="1" customHeight="1">
      <c r="A7" s="747">
        <v>1</v>
      </c>
      <c r="B7" s="748" t="s">
        <v>1659</v>
      </c>
      <c r="C7" s="747" t="s">
        <v>76</v>
      </c>
      <c r="D7" s="1118">
        <v>18.34</v>
      </c>
      <c r="E7" s="749">
        <v>46099</v>
      </c>
      <c r="F7" s="749">
        <v>46105</v>
      </c>
      <c r="G7" s="747" t="s">
        <v>631</v>
      </c>
      <c r="H7" s="747" t="s">
        <v>3288</v>
      </c>
      <c r="I7" s="747">
        <v>18</v>
      </c>
      <c r="J7" s="856"/>
    </row>
    <row r="8" spans="1:10" s="1035" customFormat="1" ht="30.95" hidden="1" customHeight="1">
      <c r="A8" s="747">
        <f t="shared" ref="A8:A39" si="0">A7+1</f>
        <v>2</v>
      </c>
      <c r="B8" s="748" t="s">
        <v>3256</v>
      </c>
      <c r="C8" s="747" t="s">
        <v>1934</v>
      </c>
      <c r="D8" s="1118">
        <v>34.578000000000003</v>
      </c>
      <c r="E8" s="749">
        <v>46105</v>
      </c>
      <c r="F8" s="749">
        <v>46112</v>
      </c>
      <c r="G8" s="747" t="s">
        <v>631</v>
      </c>
      <c r="H8" s="747" t="s">
        <v>3288</v>
      </c>
      <c r="I8" s="747">
        <v>23</v>
      </c>
      <c r="J8" s="856"/>
    </row>
    <row r="9" spans="1:10" s="1035" customFormat="1" ht="30.95" hidden="1" customHeight="1">
      <c r="A9" s="747">
        <f t="shared" si="0"/>
        <v>3</v>
      </c>
      <c r="B9" s="748" t="s">
        <v>3051</v>
      </c>
      <c r="C9" s="747" t="s">
        <v>1977</v>
      </c>
      <c r="D9" s="1118">
        <v>36.353999999999999</v>
      </c>
      <c r="E9" s="749">
        <v>46121</v>
      </c>
      <c r="F9" s="749">
        <v>46163</v>
      </c>
      <c r="G9" s="747" t="s">
        <v>631</v>
      </c>
      <c r="H9" s="747" t="s">
        <v>3288</v>
      </c>
      <c r="I9" s="747">
        <v>18</v>
      </c>
      <c r="J9" s="856" t="s">
        <v>3556</v>
      </c>
    </row>
    <row r="10" spans="1:10" s="1035" customFormat="1" ht="30.95" hidden="1" customHeight="1">
      <c r="A10" s="747">
        <f t="shared" si="0"/>
        <v>4</v>
      </c>
      <c r="B10" s="748" t="s">
        <v>3050</v>
      </c>
      <c r="C10" s="747" t="s">
        <v>1319</v>
      </c>
      <c r="D10" s="1118">
        <v>42.225999999999999</v>
      </c>
      <c r="E10" s="749">
        <v>46163</v>
      </c>
      <c r="F10" s="749">
        <v>46176</v>
      </c>
      <c r="G10" s="747" t="s">
        <v>631</v>
      </c>
      <c r="H10" s="747" t="s">
        <v>3288</v>
      </c>
      <c r="I10" s="747">
        <v>18</v>
      </c>
      <c r="J10" s="856"/>
    </row>
    <row r="11" spans="1:10" s="1035" customFormat="1" ht="30.95" hidden="1" customHeight="1">
      <c r="A11" s="747">
        <f t="shared" si="0"/>
        <v>5</v>
      </c>
      <c r="B11" s="748" t="s">
        <v>3049</v>
      </c>
      <c r="C11" s="747" t="s">
        <v>3113</v>
      </c>
      <c r="D11" s="1118">
        <v>38.988424000000002</v>
      </c>
      <c r="E11" s="749">
        <v>46176</v>
      </c>
      <c r="F11" s="749">
        <v>46186</v>
      </c>
      <c r="G11" s="747" t="s">
        <v>631</v>
      </c>
      <c r="H11" s="747" t="s">
        <v>3288</v>
      </c>
      <c r="I11" s="747">
        <v>18</v>
      </c>
      <c r="J11" s="856"/>
    </row>
    <row r="12" spans="1:10" s="1035" customFormat="1" ht="30.95" hidden="1" customHeight="1">
      <c r="A12" s="747">
        <f t="shared" si="0"/>
        <v>6</v>
      </c>
      <c r="B12" s="748" t="s">
        <v>2423</v>
      </c>
      <c r="C12" s="747" t="s">
        <v>90</v>
      </c>
      <c r="D12" s="1118">
        <v>29.31</v>
      </c>
      <c r="E12" s="749">
        <v>46094</v>
      </c>
      <c r="F12" s="749">
        <v>46200</v>
      </c>
      <c r="G12" s="747" t="s">
        <v>631</v>
      </c>
      <c r="H12" s="747" t="s">
        <v>3288</v>
      </c>
      <c r="I12" s="747">
        <v>18</v>
      </c>
      <c r="J12" s="856"/>
    </row>
    <row r="13" spans="1:10" s="1035" customFormat="1" ht="30.95" hidden="1" customHeight="1">
      <c r="A13" s="747">
        <f t="shared" si="0"/>
        <v>7</v>
      </c>
      <c r="B13" s="748" t="s">
        <v>1131</v>
      </c>
      <c r="C13" s="747" t="s">
        <v>1977</v>
      </c>
      <c r="D13" s="1118">
        <v>30.035</v>
      </c>
      <c r="E13" s="749">
        <v>46200</v>
      </c>
      <c r="F13" s="749">
        <v>46215</v>
      </c>
      <c r="G13" s="747" t="s">
        <v>631</v>
      </c>
      <c r="H13" s="747" t="s">
        <v>3288</v>
      </c>
      <c r="I13" s="747">
        <v>20</v>
      </c>
      <c r="J13" s="856"/>
    </row>
    <row r="14" spans="1:10" s="1035" customFormat="1" ht="30.95" hidden="1" customHeight="1">
      <c r="A14" s="747">
        <f t="shared" si="0"/>
        <v>8</v>
      </c>
      <c r="B14" s="748" t="s">
        <v>3063</v>
      </c>
      <c r="C14" s="747" t="s">
        <v>2662</v>
      </c>
      <c r="D14" s="1118">
        <v>29.864999999999998</v>
      </c>
      <c r="E14" s="749">
        <v>46201</v>
      </c>
      <c r="F14" s="749">
        <v>46210</v>
      </c>
      <c r="G14" s="747" t="s">
        <v>631</v>
      </c>
      <c r="H14" s="747" t="s">
        <v>3292</v>
      </c>
      <c r="I14" s="747">
        <v>22</v>
      </c>
      <c r="J14" s="856"/>
    </row>
    <row r="15" spans="1:10" s="1035" customFormat="1" ht="30.95" hidden="1" customHeight="1">
      <c r="A15" s="747">
        <f t="shared" si="0"/>
        <v>9</v>
      </c>
      <c r="B15" s="748" t="s">
        <v>2882</v>
      </c>
      <c r="C15" s="747" t="s">
        <v>2212</v>
      </c>
      <c r="D15" s="1118">
        <v>56.156999999999996</v>
      </c>
      <c r="E15" s="749">
        <v>46202</v>
      </c>
      <c r="F15" s="749">
        <v>46212</v>
      </c>
      <c r="G15" s="747" t="s">
        <v>631</v>
      </c>
      <c r="H15" s="747" t="s">
        <v>3264</v>
      </c>
      <c r="I15" s="747">
        <v>24</v>
      </c>
      <c r="J15" s="856"/>
    </row>
    <row r="16" spans="1:10" s="1035" customFormat="1" ht="30.95" hidden="1" customHeight="1">
      <c r="A16" s="747">
        <f t="shared" si="0"/>
        <v>10</v>
      </c>
      <c r="B16" s="748" t="s">
        <v>2946</v>
      </c>
      <c r="C16" s="747" t="s">
        <v>1953</v>
      </c>
      <c r="D16" s="1118">
        <v>41.524999999999999</v>
      </c>
      <c r="E16" s="749">
        <v>46208</v>
      </c>
      <c r="F16" s="749">
        <v>46234</v>
      </c>
      <c r="G16" s="747" t="s">
        <v>631</v>
      </c>
      <c r="H16" s="747" t="s">
        <v>3643</v>
      </c>
      <c r="I16" s="747">
        <v>20</v>
      </c>
      <c r="J16" s="856"/>
    </row>
    <row r="17" spans="1:13" s="1035" customFormat="1" ht="30.95" hidden="1" customHeight="1">
      <c r="A17" s="747">
        <f t="shared" si="0"/>
        <v>11</v>
      </c>
      <c r="B17" s="748" t="s">
        <v>2951</v>
      </c>
      <c r="C17" s="747" t="s">
        <v>2212</v>
      </c>
      <c r="D17" s="1118">
        <v>56.156999999999996</v>
      </c>
      <c r="E17" s="749">
        <v>46208</v>
      </c>
      <c r="F17" s="749">
        <v>46220</v>
      </c>
      <c r="G17" s="747" t="s">
        <v>631</v>
      </c>
      <c r="H17" s="747" t="s">
        <v>3646</v>
      </c>
      <c r="I17" s="747">
        <v>30</v>
      </c>
      <c r="J17" s="856"/>
    </row>
    <row r="18" spans="1:13" s="1035" customFormat="1" ht="30.95" hidden="1" customHeight="1">
      <c r="A18" s="747">
        <f t="shared" si="0"/>
        <v>12</v>
      </c>
      <c r="B18" s="748" t="s">
        <v>3059</v>
      </c>
      <c r="C18" s="747" t="s">
        <v>1269</v>
      </c>
      <c r="D18" s="1118">
        <v>27.922000000000001</v>
      </c>
      <c r="E18" s="749">
        <v>46208</v>
      </c>
      <c r="F18" s="749">
        <v>46218</v>
      </c>
      <c r="G18" s="747" t="s">
        <v>631</v>
      </c>
      <c r="H18" s="747" t="s">
        <v>3644</v>
      </c>
      <c r="I18" s="747">
        <v>22</v>
      </c>
      <c r="J18" s="856"/>
    </row>
    <row r="19" spans="1:13" s="1035" customFormat="1" ht="30.95" hidden="1" customHeight="1">
      <c r="A19" s="747">
        <f t="shared" si="0"/>
        <v>13</v>
      </c>
      <c r="B19" s="748" t="s">
        <v>2867</v>
      </c>
      <c r="C19" s="747" t="s">
        <v>1319</v>
      </c>
      <c r="D19" s="1118">
        <v>41.911999999999999</v>
      </c>
      <c r="E19" s="749">
        <v>46212</v>
      </c>
      <c r="F19" s="749">
        <v>46227</v>
      </c>
      <c r="G19" s="747" t="s">
        <v>631</v>
      </c>
      <c r="H19" s="747" t="s">
        <v>3647</v>
      </c>
      <c r="I19" s="747">
        <v>25</v>
      </c>
      <c r="J19" s="856"/>
    </row>
    <row r="20" spans="1:13" s="1035" customFormat="1" ht="30.95" hidden="1" customHeight="1">
      <c r="A20" s="747">
        <f t="shared" si="0"/>
        <v>14</v>
      </c>
      <c r="B20" s="748" t="s">
        <v>3064</v>
      </c>
      <c r="C20" s="747" t="s">
        <v>3113</v>
      </c>
      <c r="D20" s="1118">
        <v>39.295999999999999</v>
      </c>
      <c r="E20" s="749">
        <v>46210</v>
      </c>
      <c r="F20" s="749">
        <v>46221</v>
      </c>
      <c r="G20" s="747" t="s">
        <v>631</v>
      </c>
      <c r="H20" s="747" t="s">
        <v>3292</v>
      </c>
      <c r="I20" s="747">
        <v>28</v>
      </c>
      <c r="J20" s="856"/>
    </row>
    <row r="21" spans="1:13" s="1035" customFormat="1" ht="30.95" hidden="1" customHeight="1">
      <c r="A21" s="747">
        <f t="shared" si="0"/>
        <v>15</v>
      </c>
      <c r="B21" s="748" t="s">
        <v>3047</v>
      </c>
      <c r="C21" s="747" t="s">
        <v>3251</v>
      </c>
      <c r="D21" s="1118">
        <v>26.709</v>
      </c>
      <c r="E21" s="749">
        <v>46215</v>
      </c>
      <c r="F21" s="749">
        <v>46230</v>
      </c>
      <c r="G21" s="747" t="s">
        <v>631</v>
      </c>
      <c r="H21" s="747" t="s">
        <v>3288</v>
      </c>
      <c r="I21" s="747">
        <v>20</v>
      </c>
      <c r="J21" s="856"/>
    </row>
    <row r="22" spans="1:13" s="1035" customFormat="1" ht="30.95" hidden="1" customHeight="1">
      <c r="A22" s="747">
        <f t="shared" si="0"/>
        <v>16</v>
      </c>
      <c r="B22" s="748" t="s">
        <v>3056</v>
      </c>
      <c r="C22" s="747" t="s">
        <v>1269</v>
      </c>
      <c r="D22" s="1118">
        <v>27.91</v>
      </c>
      <c r="E22" s="749">
        <v>46229</v>
      </c>
      <c r="F22" s="749">
        <v>46240</v>
      </c>
      <c r="G22" s="747" t="s">
        <v>631</v>
      </c>
      <c r="H22" s="747" t="s">
        <v>3644</v>
      </c>
      <c r="I22" s="747">
        <v>25</v>
      </c>
      <c r="J22" s="856"/>
    </row>
    <row r="23" spans="1:13" s="1035" customFormat="1" ht="30.95" hidden="1" customHeight="1">
      <c r="A23" s="747">
        <f t="shared" si="0"/>
        <v>17</v>
      </c>
      <c r="B23" s="748" t="s">
        <v>2948</v>
      </c>
      <c r="C23" s="747" t="s">
        <v>1319</v>
      </c>
      <c r="D23" s="1118">
        <v>41.773000000000003</v>
      </c>
      <c r="E23" s="749">
        <v>46221</v>
      </c>
      <c r="F23" s="749">
        <v>46232</v>
      </c>
      <c r="G23" s="747" t="s">
        <v>631</v>
      </c>
      <c r="H23" s="747" t="s">
        <v>3646</v>
      </c>
      <c r="I23" s="747">
        <v>30</v>
      </c>
      <c r="J23" s="856"/>
    </row>
    <row r="24" spans="1:13" s="1035" customFormat="1" ht="30.95" hidden="1" customHeight="1">
      <c r="A24" s="747">
        <f t="shared" si="0"/>
        <v>18</v>
      </c>
      <c r="B24" s="748" t="s">
        <v>3053</v>
      </c>
      <c r="C24" s="747" t="s">
        <v>1934</v>
      </c>
      <c r="D24" s="1118">
        <v>34.634</v>
      </c>
      <c r="E24" s="749">
        <v>46229</v>
      </c>
      <c r="F24" s="749">
        <v>46243</v>
      </c>
      <c r="G24" s="747" t="s">
        <v>631</v>
      </c>
      <c r="H24" s="747" t="s">
        <v>3292</v>
      </c>
      <c r="I24" s="747">
        <v>28</v>
      </c>
      <c r="J24" s="856"/>
    </row>
    <row r="25" spans="1:13" s="1035" customFormat="1" ht="30.95" customHeight="1">
      <c r="A25" s="1008">
        <f t="shared" si="0"/>
        <v>19</v>
      </c>
      <c r="B25" s="1009" t="s">
        <v>2880</v>
      </c>
      <c r="C25" s="1008" t="s">
        <v>1361</v>
      </c>
      <c r="D25" s="1115">
        <v>33.4</v>
      </c>
      <c r="E25" s="1011">
        <v>46230</v>
      </c>
      <c r="F25" s="1011"/>
      <c r="G25" s="1442" t="s">
        <v>3808</v>
      </c>
      <c r="H25" s="1008" t="s">
        <v>3671</v>
      </c>
      <c r="I25" s="1396">
        <v>18</v>
      </c>
      <c r="J25" s="1395"/>
    </row>
    <row r="26" spans="1:13" s="1035" customFormat="1" ht="30.95" hidden="1" customHeight="1">
      <c r="A26" s="747">
        <f t="shared" si="0"/>
        <v>20</v>
      </c>
      <c r="B26" s="748" t="s">
        <v>2942</v>
      </c>
      <c r="C26" s="747" t="s">
        <v>1277</v>
      </c>
      <c r="D26" s="1118">
        <v>32.066000000000003</v>
      </c>
      <c r="E26" s="749">
        <v>46229</v>
      </c>
      <c r="F26" s="749">
        <v>46237</v>
      </c>
      <c r="G26" s="747" t="s">
        <v>631</v>
      </c>
      <c r="H26" s="747" t="s">
        <v>3647</v>
      </c>
      <c r="I26" s="747">
        <v>25</v>
      </c>
      <c r="J26" s="856"/>
    </row>
    <row r="27" spans="1:13" s="1035" customFormat="1" ht="30.95" customHeight="1">
      <c r="A27" s="1008">
        <f t="shared" si="0"/>
        <v>21</v>
      </c>
      <c r="B27" s="1009" t="s">
        <v>3295</v>
      </c>
      <c r="C27" s="1008" t="s">
        <v>2197</v>
      </c>
      <c r="D27" s="1115">
        <v>71.31</v>
      </c>
      <c r="E27" s="1011">
        <v>46229</v>
      </c>
      <c r="F27" s="1011"/>
      <c r="G27" s="1442" t="s">
        <v>3818</v>
      </c>
      <c r="H27" s="1008" t="s">
        <v>1360</v>
      </c>
      <c r="I27" s="1008">
        <v>25</v>
      </c>
      <c r="J27" s="1395"/>
    </row>
    <row r="28" spans="1:13" s="1035" customFormat="1" ht="30.95" hidden="1" customHeight="1">
      <c r="A28" s="747">
        <f t="shared" si="0"/>
        <v>22</v>
      </c>
      <c r="B28" s="748" t="s">
        <v>3046</v>
      </c>
      <c r="C28" s="747" t="s">
        <v>1269</v>
      </c>
      <c r="D28" s="1118">
        <v>27.922000000000001</v>
      </c>
      <c r="E28" s="749">
        <v>46230</v>
      </c>
      <c r="F28" s="749">
        <v>46244</v>
      </c>
      <c r="G28" s="747" t="s">
        <v>631</v>
      </c>
      <c r="H28" s="747" t="s">
        <v>3288</v>
      </c>
      <c r="I28" s="747">
        <v>20</v>
      </c>
      <c r="J28" s="856"/>
    </row>
    <row r="29" spans="1:13" s="1035" customFormat="1" ht="30.95" customHeight="1">
      <c r="A29" s="1008">
        <f t="shared" si="0"/>
        <v>23</v>
      </c>
      <c r="B29" s="1009" t="s">
        <v>3030</v>
      </c>
      <c r="C29" s="1008" t="s">
        <v>2197</v>
      </c>
      <c r="D29" s="1115">
        <v>71.31</v>
      </c>
      <c r="E29" s="1011">
        <v>46231</v>
      </c>
      <c r="F29" s="1011"/>
      <c r="G29" s="1442" t="s">
        <v>3818</v>
      </c>
      <c r="H29" s="1008" t="s">
        <v>3284</v>
      </c>
      <c r="I29" s="1008">
        <v>25</v>
      </c>
      <c r="J29" s="1395"/>
    </row>
    <row r="30" spans="1:13" s="1035" customFormat="1" ht="30.95" hidden="1" customHeight="1">
      <c r="A30" s="747">
        <f t="shared" si="0"/>
        <v>24</v>
      </c>
      <c r="B30" s="748" t="s">
        <v>3500</v>
      </c>
      <c r="C30" s="747" t="s">
        <v>1319</v>
      </c>
      <c r="D30" s="1118">
        <v>42.253999999999998</v>
      </c>
      <c r="E30" s="749">
        <v>46232</v>
      </c>
      <c r="F30" s="749">
        <v>46238</v>
      </c>
      <c r="G30" s="747" t="s">
        <v>631</v>
      </c>
      <c r="H30" s="747" t="s">
        <v>3646</v>
      </c>
      <c r="I30" s="747">
        <v>30</v>
      </c>
      <c r="J30" s="856"/>
    </row>
    <row r="31" spans="1:13" s="1035" customFormat="1" ht="30.95" customHeight="1">
      <c r="A31" s="1008">
        <f t="shared" si="0"/>
        <v>25</v>
      </c>
      <c r="B31" s="1009" t="s">
        <v>2944</v>
      </c>
      <c r="C31" s="1008" t="s">
        <v>1319</v>
      </c>
      <c r="D31" s="1115">
        <v>42.43</v>
      </c>
      <c r="E31" s="1011">
        <v>46234</v>
      </c>
      <c r="F31" s="1011"/>
      <c r="G31" s="1442" t="s">
        <v>3782</v>
      </c>
      <c r="H31" s="1442" t="s">
        <v>3643</v>
      </c>
      <c r="I31" s="1008">
        <v>20</v>
      </c>
      <c r="J31" s="1395"/>
    </row>
    <row r="32" spans="1:13" s="1035" customFormat="1" ht="30.95" hidden="1" customHeight="1">
      <c r="A32" s="747">
        <f t="shared" si="0"/>
        <v>26</v>
      </c>
      <c r="B32" s="748" t="s">
        <v>3029</v>
      </c>
      <c r="C32" s="747" t="s">
        <v>1977</v>
      </c>
      <c r="D32" s="1118">
        <v>36.354999999999997</v>
      </c>
      <c r="E32" s="749">
        <v>46234</v>
      </c>
      <c r="F32" s="749">
        <v>46241</v>
      </c>
      <c r="G32" s="747" t="s">
        <v>631</v>
      </c>
      <c r="H32" s="747" t="s">
        <v>3639</v>
      </c>
      <c r="I32" s="747">
        <v>35</v>
      </c>
      <c r="J32" s="856"/>
      <c r="M32" s="1008"/>
    </row>
    <row r="33" spans="1:10" s="1035" customFormat="1" ht="30.95" hidden="1" customHeight="1">
      <c r="A33" s="747">
        <f t="shared" si="0"/>
        <v>27</v>
      </c>
      <c r="B33" s="748" t="s">
        <v>3570</v>
      </c>
      <c r="C33" s="747" t="s">
        <v>1319</v>
      </c>
      <c r="D33" s="1118">
        <v>42.744</v>
      </c>
      <c r="E33" s="749">
        <v>46237</v>
      </c>
      <c r="F33" s="749">
        <v>46246</v>
      </c>
      <c r="G33" s="747" t="s">
        <v>631</v>
      </c>
      <c r="H33" s="747" t="s">
        <v>3647</v>
      </c>
      <c r="I33" s="747">
        <v>25</v>
      </c>
      <c r="J33" s="856"/>
    </row>
    <row r="34" spans="1:10" s="1035" customFormat="1" ht="30.95" customHeight="1">
      <c r="A34" s="1008">
        <f t="shared" si="0"/>
        <v>28</v>
      </c>
      <c r="B34" s="1009" t="s">
        <v>2933</v>
      </c>
      <c r="C34" s="1008" t="s">
        <v>1995</v>
      </c>
      <c r="D34" s="1115">
        <v>43.792200000000001</v>
      </c>
      <c r="E34" s="1011">
        <v>46239</v>
      </c>
      <c r="F34" s="1011"/>
      <c r="G34" s="1442" t="s">
        <v>3676</v>
      </c>
      <c r="H34" s="1008" t="s">
        <v>3646</v>
      </c>
      <c r="I34" s="1008">
        <v>30</v>
      </c>
      <c r="J34" s="1395"/>
    </row>
    <row r="35" spans="1:10" s="1035" customFormat="1" ht="30.95" customHeight="1">
      <c r="A35" s="1008">
        <f t="shared" si="0"/>
        <v>29</v>
      </c>
      <c r="B35" s="1009" t="s">
        <v>3055</v>
      </c>
      <c r="C35" s="1008" t="s">
        <v>1953</v>
      </c>
      <c r="D35" s="1115">
        <v>41.283000000000001</v>
      </c>
      <c r="E35" s="1011">
        <v>46241</v>
      </c>
      <c r="F35" s="1011"/>
      <c r="G35" s="1442" t="s">
        <v>3676</v>
      </c>
      <c r="H35" s="1442" t="s">
        <v>3644</v>
      </c>
      <c r="I35" s="1396">
        <v>25</v>
      </c>
      <c r="J35" s="1395"/>
    </row>
    <row r="36" spans="1:10" s="1035" customFormat="1" ht="30.95" customHeight="1">
      <c r="A36" s="1008">
        <f t="shared" si="0"/>
        <v>30</v>
      </c>
      <c r="B36" s="1009" t="s">
        <v>3033</v>
      </c>
      <c r="C36" s="1008" t="s">
        <v>1977</v>
      </c>
      <c r="D36" s="1115">
        <v>36.354999999999997</v>
      </c>
      <c r="E36" s="1011">
        <v>46241</v>
      </c>
      <c r="F36" s="1011"/>
      <c r="G36" s="1442" t="s">
        <v>3772</v>
      </c>
      <c r="H36" s="1008" t="s">
        <v>3639</v>
      </c>
      <c r="I36" s="1008">
        <v>35</v>
      </c>
      <c r="J36" s="1395"/>
    </row>
    <row r="37" spans="1:10" s="1035" customFormat="1" ht="30.95" customHeight="1">
      <c r="A37" s="1008">
        <f t="shared" si="0"/>
        <v>31</v>
      </c>
      <c r="B37" s="1009" t="s">
        <v>3062</v>
      </c>
      <c r="C37" s="1008" t="s">
        <v>90</v>
      </c>
      <c r="D37" s="1115">
        <v>29.492000000000001</v>
      </c>
      <c r="E37" s="1011">
        <v>46243</v>
      </c>
      <c r="F37" s="1011"/>
      <c r="G37" s="1442" t="s">
        <v>3642</v>
      </c>
      <c r="H37" s="1008" t="s">
        <v>3292</v>
      </c>
      <c r="I37" s="1396">
        <v>28</v>
      </c>
      <c r="J37" s="1395"/>
    </row>
    <row r="38" spans="1:10" s="1035" customFormat="1" ht="30.95" customHeight="1">
      <c r="A38" s="1008">
        <f t="shared" si="0"/>
        <v>32</v>
      </c>
      <c r="B38" s="1009" t="s">
        <v>2930</v>
      </c>
      <c r="C38" s="1008" t="s">
        <v>2212</v>
      </c>
      <c r="D38" s="1115">
        <v>52.690537999999997</v>
      </c>
      <c r="E38" s="1011">
        <v>46246</v>
      </c>
      <c r="F38" s="1011"/>
      <c r="G38" s="1442" t="s">
        <v>3642</v>
      </c>
      <c r="H38" s="1396" t="s">
        <v>3647</v>
      </c>
      <c r="I38" s="1396">
        <v>25</v>
      </c>
      <c r="J38" s="1395"/>
    </row>
    <row r="39" spans="1:10" s="1035" customFormat="1" ht="30.95" customHeight="1">
      <c r="A39" s="1008">
        <f t="shared" si="0"/>
        <v>33</v>
      </c>
      <c r="B39" s="1009" t="s">
        <v>2885</v>
      </c>
      <c r="C39" s="1008" t="s">
        <v>1277</v>
      </c>
      <c r="D39" s="1115">
        <v>31.99</v>
      </c>
      <c r="E39" s="1011">
        <v>46246</v>
      </c>
      <c r="F39" s="1011"/>
      <c r="G39" s="1442" t="s">
        <v>3642</v>
      </c>
      <c r="H39" s="1396" t="s">
        <v>3819</v>
      </c>
      <c r="I39" s="1396">
        <v>12</v>
      </c>
      <c r="J39" s="1395"/>
    </row>
  </sheetData>
  <autoFilter ref="A6:M39" xr:uid="{CC92978F-8711-42F8-8EBE-6F3D1E8A4D76}">
    <filterColumn colId="6">
      <filters>
        <filter val="1st section"/>
        <filter val="2nd section"/>
        <filter val="3rd section"/>
        <filter val="Cage 1"/>
        <filter val="Cage 2"/>
        <filter val="Material Shifting"/>
      </filters>
    </filterColumn>
  </autoFilter>
  <mergeCells count="9">
    <mergeCell ref="F5:F6"/>
    <mergeCell ref="G5:G6"/>
    <mergeCell ref="H5:H6"/>
    <mergeCell ref="I5:I6"/>
    <mergeCell ref="A5:A6"/>
    <mergeCell ref="B5:B6"/>
    <mergeCell ref="C5:C6"/>
    <mergeCell ref="D5:D6"/>
    <mergeCell ref="E5:E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ColWidth="8.7109375" defaultRowHeight="15"/>
  <cols>
    <col min="1" max="16384" width="8.7109375" style="1048"/>
  </cols>
  <sheetData>
    <row r="3" spans="2:9">
      <c r="B3" s="1050" t="s">
        <v>1782</v>
      </c>
      <c r="C3" s="1050" t="s">
        <v>3214</v>
      </c>
      <c r="D3" s="1050" t="s">
        <v>1405</v>
      </c>
      <c r="E3" s="1050" t="s">
        <v>997</v>
      </c>
      <c r="F3" s="1050" t="s">
        <v>997</v>
      </c>
      <c r="G3" s="1050" t="s">
        <v>997</v>
      </c>
      <c r="H3" s="1050" t="s">
        <v>997</v>
      </c>
      <c r="I3" s="1050"/>
    </row>
    <row r="4" spans="2:9">
      <c r="B4" s="1050">
        <v>1</v>
      </c>
      <c r="C4" s="1049" t="s">
        <v>3182</v>
      </c>
      <c r="D4" s="1049" t="s">
        <v>1269</v>
      </c>
      <c r="E4" s="1049"/>
      <c r="F4" s="1049"/>
      <c r="G4" s="1049"/>
      <c r="H4" s="1049"/>
      <c r="I4" s="1050"/>
    </row>
    <row r="5" spans="2:9">
      <c r="B5" s="1050">
        <f>B4+1</f>
        <v>2</v>
      </c>
      <c r="E5" s="1049"/>
      <c r="F5" s="1049"/>
      <c r="G5" s="1049"/>
      <c r="H5" s="1049"/>
      <c r="I5" s="1050"/>
    </row>
    <row r="6" spans="2:9">
      <c r="B6" s="1050">
        <f t="shared" ref="B6:B59" si="0">B5+1</f>
        <v>3</v>
      </c>
      <c r="E6" s="1049"/>
      <c r="F6" s="1049"/>
      <c r="G6" s="1049"/>
      <c r="H6" s="1049"/>
      <c r="I6" s="1050"/>
    </row>
    <row r="7" spans="2:9">
      <c r="B7" s="1050">
        <f t="shared" si="0"/>
        <v>4</v>
      </c>
      <c r="E7" s="1049">
        <v>1</v>
      </c>
      <c r="F7" s="1049">
        <v>1</v>
      </c>
      <c r="G7" s="1049">
        <v>1</v>
      </c>
      <c r="H7" s="1049">
        <v>1</v>
      </c>
      <c r="I7" s="1050"/>
    </row>
    <row r="8" spans="2:9">
      <c r="B8" s="1050">
        <f t="shared" si="0"/>
        <v>5</v>
      </c>
      <c r="E8" s="1049"/>
      <c r="F8" s="1049"/>
      <c r="G8" s="1049"/>
      <c r="H8" s="1049"/>
      <c r="I8" s="1050"/>
    </row>
    <row r="9" spans="2:9">
      <c r="B9" s="1050">
        <f t="shared" si="0"/>
        <v>6</v>
      </c>
      <c r="C9" s="1051" t="s">
        <v>3014</v>
      </c>
      <c r="D9" s="1049" t="s">
        <v>1269</v>
      </c>
      <c r="E9" s="1049">
        <v>2</v>
      </c>
      <c r="F9" s="1049">
        <v>2</v>
      </c>
      <c r="G9" s="1049">
        <v>2</v>
      </c>
      <c r="H9" s="1049">
        <v>2</v>
      </c>
      <c r="I9" s="1050"/>
    </row>
    <row r="10" spans="2:9">
      <c r="B10" s="1050">
        <f t="shared" si="0"/>
        <v>7</v>
      </c>
      <c r="E10" s="1049"/>
      <c r="F10" s="1049"/>
      <c r="G10" s="1049"/>
      <c r="H10" s="1049"/>
      <c r="I10" s="1050"/>
    </row>
    <row r="11" spans="2:9">
      <c r="B11" s="1050">
        <f t="shared" si="0"/>
        <v>8</v>
      </c>
      <c r="E11" s="1049"/>
      <c r="F11" s="1049"/>
      <c r="G11" s="1049"/>
      <c r="H11" s="1049"/>
      <c r="I11" s="1050"/>
    </row>
    <row r="12" spans="2:9">
      <c r="B12" s="1050">
        <f t="shared" si="0"/>
        <v>9</v>
      </c>
      <c r="E12" s="1049"/>
      <c r="F12" s="1049"/>
      <c r="G12" s="1049"/>
      <c r="H12" s="1049"/>
      <c r="I12" s="1050"/>
    </row>
    <row r="13" spans="2:9">
      <c r="B13" s="1050">
        <f t="shared" si="0"/>
        <v>10</v>
      </c>
      <c r="E13" s="1049"/>
      <c r="F13" s="1049"/>
      <c r="G13" s="1049"/>
      <c r="H13" s="1049"/>
      <c r="I13" s="1050"/>
    </row>
    <row r="14" spans="2:9">
      <c r="B14" s="1050">
        <f t="shared" si="0"/>
        <v>11</v>
      </c>
      <c r="E14" s="1049"/>
      <c r="F14" s="1049"/>
      <c r="G14" s="1049"/>
      <c r="H14" s="1049"/>
      <c r="I14" s="1050"/>
    </row>
    <row r="15" spans="2:9">
      <c r="B15" s="1050">
        <f t="shared" si="0"/>
        <v>12</v>
      </c>
      <c r="E15" s="1049"/>
      <c r="F15" s="1049"/>
      <c r="G15" s="1049"/>
      <c r="H15" s="1049"/>
      <c r="I15" s="1052" t="s">
        <v>3212</v>
      </c>
    </row>
    <row r="16" spans="2:9">
      <c r="B16" s="1050">
        <f t="shared" si="0"/>
        <v>13</v>
      </c>
      <c r="E16" s="1049"/>
      <c r="F16" s="1049"/>
      <c r="G16" s="1049"/>
      <c r="H16" s="1049"/>
      <c r="I16" s="1052" t="s">
        <v>3212</v>
      </c>
    </row>
    <row r="17" spans="2:9">
      <c r="B17" s="1050">
        <f t="shared" si="0"/>
        <v>14</v>
      </c>
      <c r="E17" s="1049"/>
      <c r="F17" s="1049"/>
      <c r="G17" s="1049"/>
      <c r="H17" s="1049"/>
      <c r="I17" s="1052" t="s">
        <v>3212</v>
      </c>
    </row>
    <row r="18" spans="2:9">
      <c r="B18" s="1050">
        <f t="shared" si="0"/>
        <v>15</v>
      </c>
      <c r="E18" s="1049"/>
      <c r="F18" s="1049"/>
      <c r="G18" s="1049"/>
      <c r="H18" s="1049"/>
      <c r="I18" s="1052" t="s">
        <v>3212</v>
      </c>
    </row>
    <row r="19" spans="2:9">
      <c r="B19" s="1050">
        <f t="shared" si="0"/>
        <v>16</v>
      </c>
      <c r="E19" s="1049"/>
      <c r="F19" s="1049"/>
      <c r="G19" s="1049"/>
      <c r="H19" s="1049"/>
      <c r="I19" s="1050"/>
    </row>
    <row r="20" spans="2:9">
      <c r="B20" s="1050">
        <f t="shared" si="0"/>
        <v>17</v>
      </c>
      <c r="E20" s="1049"/>
      <c r="F20" s="1049"/>
      <c r="G20" s="1049"/>
      <c r="H20" s="1049"/>
      <c r="I20" s="1050"/>
    </row>
    <row r="21" spans="2:9">
      <c r="B21" s="1050">
        <f t="shared" si="0"/>
        <v>18</v>
      </c>
      <c r="E21" s="1049"/>
      <c r="F21" s="1049"/>
      <c r="G21" s="1049"/>
      <c r="H21" s="1049"/>
      <c r="I21" s="1050"/>
    </row>
    <row r="22" spans="2:9">
      <c r="B22" s="1050">
        <f t="shared" si="0"/>
        <v>19</v>
      </c>
      <c r="E22" s="1049">
        <v>1</v>
      </c>
      <c r="F22" s="1049">
        <v>1</v>
      </c>
      <c r="G22" s="1049">
        <v>1</v>
      </c>
      <c r="H22" s="1049">
        <v>1</v>
      </c>
      <c r="I22" s="1050"/>
    </row>
    <row r="23" spans="2:9">
      <c r="B23" s="1050">
        <f t="shared" si="0"/>
        <v>20</v>
      </c>
      <c r="C23" s="1049"/>
      <c r="D23" s="1049"/>
      <c r="E23" s="1049"/>
      <c r="F23" s="1049"/>
      <c r="G23" s="1049"/>
      <c r="H23" s="1049"/>
      <c r="I23" s="1050"/>
    </row>
    <row r="24" spans="2:9">
      <c r="B24" s="1050">
        <f t="shared" si="0"/>
        <v>21</v>
      </c>
      <c r="C24" s="1049"/>
      <c r="D24" s="1049"/>
      <c r="E24" s="1049"/>
      <c r="F24" s="1049"/>
      <c r="G24" s="1049"/>
      <c r="H24" s="1049"/>
      <c r="I24" s="1050"/>
    </row>
    <row r="25" spans="2:9">
      <c r="B25" s="1050">
        <f t="shared" si="0"/>
        <v>22</v>
      </c>
      <c r="E25" s="1049"/>
      <c r="F25" s="1049"/>
      <c r="G25" s="1049"/>
      <c r="H25" s="1049"/>
      <c r="I25" s="1050"/>
    </row>
    <row r="26" spans="2:9">
      <c r="B26" s="1050">
        <f t="shared" si="0"/>
        <v>23</v>
      </c>
      <c r="E26" s="1049"/>
      <c r="F26" s="1049"/>
      <c r="G26" s="1049"/>
      <c r="H26" s="1049"/>
      <c r="I26" s="1050"/>
    </row>
    <row r="27" spans="2:9">
      <c r="B27" s="1050">
        <f t="shared" si="0"/>
        <v>24</v>
      </c>
      <c r="E27" s="1049"/>
      <c r="F27" s="1049"/>
      <c r="G27" s="1049"/>
      <c r="H27" s="1049"/>
      <c r="I27" s="1050"/>
    </row>
    <row r="28" spans="2:9">
      <c r="B28" s="1050">
        <f t="shared" si="0"/>
        <v>25</v>
      </c>
      <c r="E28" s="1049"/>
      <c r="F28" s="1049"/>
      <c r="G28" s="1049"/>
      <c r="H28" s="1049"/>
      <c r="I28" s="1052"/>
    </row>
    <row r="29" spans="2:9">
      <c r="B29" s="1050">
        <f t="shared" si="0"/>
        <v>26</v>
      </c>
      <c r="E29" s="1049"/>
      <c r="F29" s="1049"/>
      <c r="G29" s="1049"/>
      <c r="H29" s="1049"/>
      <c r="I29" s="1052"/>
    </row>
    <row r="30" spans="2:9">
      <c r="B30" s="1050">
        <f t="shared" si="0"/>
        <v>27</v>
      </c>
      <c r="E30" s="1049"/>
      <c r="F30" s="1049"/>
      <c r="G30" s="1049"/>
      <c r="H30" s="1049"/>
      <c r="I30" s="1052"/>
    </row>
    <row r="31" spans="2:9">
      <c r="B31" s="1050">
        <f t="shared" si="0"/>
        <v>28</v>
      </c>
      <c r="E31" s="1049"/>
      <c r="F31" s="1049"/>
      <c r="G31" s="1049"/>
      <c r="H31" s="1049"/>
      <c r="I31" s="1052"/>
    </row>
    <row r="32" spans="2:9">
      <c r="B32" s="1050">
        <f t="shared" si="0"/>
        <v>29</v>
      </c>
      <c r="E32" s="1049"/>
      <c r="F32" s="1049"/>
      <c r="G32" s="1049"/>
      <c r="H32" s="1049"/>
      <c r="I32" s="1052"/>
    </row>
    <row r="33" spans="2:9">
      <c r="B33" s="1050">
        <f t="shared" si="0"/>
        <v>30</v>
      </c>
      <c r="E33" s="1049"/>
      <c r="F33" s="1049"/>
      <c r="G33" s="1049"/>
      <c r="H33" s="1049"/>
      <c r="I33" s="1052"/>
    </row>
    <row r="34" spans="2:9">
      <c r="B34" s="1050">
        <f t="shared" si="0"/>
        <v>31</v>
      </c>
      <c r="E34" s="1049"/>
      <c r="F34" s="1049"/>
      <c r="G34" s="1049"/>
      <c r="H34" s="1049"/>
      <c r="I34" s="1052"/>
    </row>
    <row r="35" spans="2:9">
      <c r="B35" s="1050">
        <f t="shared" si="0"/>
        <v>32</v>
      </c>
      <c r="E35" s="1049"/>
      <c r="F35" s="1049"/>
      <c r="G35" s="1049"/>
      <c r="H35" s="1049"/>
      <c r="I35" s="1052"/>
    </row>
    <row r="36" spans="2:9">
      <c r="B36" s="1050">
        <f t="shared" si="0"/>
        <v>33</v>
      </c>
      <c r="E36" s="1049"/>
      <c r="F36" s="1049"/>
      <c r="G36" s="1049"/>
      <c r="H36" s="1049"/>
      <c r="I36" s="1050"/>
    </row>
    <row r="37" spans="2:9">
      <c r="B37" s="1050">
        <f t="shared" si="0"/>
        <v>34</v>
      </c>
      <c r="E37" s="1049"/>
      <c r="F37" s="1049"/>
      <c r="G37" s="1049"/>
      <c r="H37" s="1049"/>
      <c r="I37" s="1050"/>
    </row>
    <row r="38" spans="2:9">
      <c r="B38" s="1050">
        <f t="shared" si="0"/>
        <v>35</v>
      </c>
      <c r="E38" s="1049"/>
      <c r="F38" s="1049"/>
      <c r="G38" s="1049"/>
      <c r="H38" s="1049"/>
      <c r="I38" s="1050"/>
    </row>
    <row r="39" spans="2:9">
      <c r="B39" s="1050">
        <f t="shared" si="0"/>
        <v>36</v>
      </c>
      <c r="E39" s="1049"/>
      <c r="F39" s="1049"/>
      <c r="G39" s="1049"/>
      <c r="H39" s="1049"/>
      <c r="I39" s="1050"/>
    </row>
    <row r="40" spans="2:9">
      <c r="B40" s="1050">
        <f t="shared" si="0"/>
        <v>37</v>
      </c>
      <c r="E40" s="1049"/>
      <c r="F40" s="1049"/>
      <c r="G40" s="1049"/>
      <c r="H40" s="1049"/>
      <c r="I40" s="1050"/>
    </row>
    <row r="41" spans="2:9">
      <c r="B41" s="1050">
        <f t="shared" si="0"/>
        <v>38</v>
      </c>
      <c r="E41" s="1049"/>
      <c r="F41" s="1049"/>
      <c r="G41" s="1049"/>
      <c r="H41" s="1049"/>
      <c r="I41" s="1050"/>
    </row>
    <row r="42" spans="2:9">
      <c r="B42" s="1050">
        <f t="shared" si="0"/>
        <v>39</v>
      </c>
      <c r="E42" s="1049"/>
      <c r="F42" s="1049"/>
      <c r="G42" s="1049"/>
      <c r="H42" s="1049"/>
      <c r="I42" s="1050"/>
    </row>
    <row r="43" spans="2:9">
      <c r="B43" s="1050">
        <f t="shared" si="0"/>
        <v>40</v>
      </c>
      <c r="E43" s="1050"/>
      <c r="F43" s="1050"/>
      <c r="G43" s="1050"/>
      <c r="H43" s="1050"/>
      <c r="I43" s="1050"/>
    </row>
    <row r="44" spans="2:9">
      <c r="B44" s="1050">
        <f t="shared" si="0"/>
        <v>41</v>
      </c>
      <c r="E44" s="1050"/>
      <c r="F44" s="1050"/>
      <c r="G44" s="1050"/>
      <c r="H44" s="1050"/>
      <c r="I44" s="1050"/>
    </row>
    <row r="45" spans="2:9">
      <c r="B45" s="1050">
        <f t="shared" si="0"/>
        <v>42</v>
      </c>
      <c r="E45" s="1050"/>
      <c r="F45" s="1050"/>
      <c r="G45" s="1050"/>
      <c r="H45" s="1050"/>
      <c r="I45" s="1050"/>
    </row>
    <row r="46" spans="2:9">
      <c r="B46" s="1050">
        <f t="shared" si="0"/>
        <v>43</v>
      </c>
      <c r="E46" s="1050"/>
      <c r="F46" s="1050"/>
      <c r="G46" s="1050"/>
      <c r="H46" s="1050"/>
      <c r="I46" s="1050"/>
    </row>
    <row r="47" spans="2:9">
      <c r="B47" s="1050">
        <f t="shared" si="0"/>
        <v>44</v>
      </c>
      <c r="E47" s="1050"/>
      <c r="F47" s="1050"/>
      <c r="G47" s="1050"/>
      <c r="H47" s="1050"/>
      <c r="I47" s="1050"/>
    </row>
    <row r="48" spans="2:9">
      <c r="B48" s="1050">
        <f t="shared" si="0"/>
        <v>45</v>
      </c>
      <c r="E48" s="1050"/>
      <c r="F48" s="1050"/>
      <c r="G48" s="1050"/>
      <c r="H48" s="1050"/>
      <c r="I48" s="1050"/>
    </row>
    <row r="49" spans="2:9">
      <c r="B49" s="1050">
        <f t="shared" si="0"/>
        <v>46</v>
      </c>
      <c r="C49" s="1050" t="s">
        <v>2902</v>
      </c>
      <c r="D49" s="1050" t="s">
        <v>1277</v>
      </c>
      <c r="E49" s="1050"/>
      <c r="F49" s="1050"/>
      <c r="G49" s="1050"/>
      <c r="H49" s="1050"/>
      <c r="I49" s="1050"/>
    </row>
    <row r="50" spans="2:9">
      <c r="B50" s="1050">
        <f t="shared" si="0"/>
        <v>47</v>
      </c>
      <c r="C50" s="1050" t="s">
        <v>2904</v>
      </c>
      <c r="D50" s="1050" t="s">
        <v>1319</v>
      </c>
      <c r="E50" s="1050"/>
      <c r="F50" s="1050"/>
      <c r="G50" s="1050"/>
      <c r="H50" s="1050"/>
      <c r="I50" s="1050"/>
    </row>
    <row r="51" spans="2:9">
      <c r="B51" s="1050">
        <f t="shared" si="0"/>
        <v>48</v>
      </c>
      <c r="C51" s="1053" t="s">
        <v>2906</v>
      </c>
      <c r="D51" s="1049" t="s">
        <v>76</v>
      </c>
      <c r="E51" s="1050"/>
      <c r="F51" s="1050"/>
      <c r="G51" s="1050"/>
      <c r="H51" s="1050"/>
      <c r="I51" s="1050"/>
    </row>
    <row r="52" spans="2:9">
      <c r="B52" s="1050">
        <f t="shared" si="0"/>
        <v>49</v>
      </c>
      <c r="C52" s="1053" t="s">
        <v>2907</v>
      </c>
      <c r="D52" s="1049" t="s">
        <v>76</v>
      </c>
      <c r="E52" s="1050"/>
      <c r="F52" s="1050"/>
      <c r="G52" s="1050"/>
      <c r="H52" s="1050"/>
      <c r="I52" s="1050"/>
    </row>
    <row r="53" spans="2:9">
      <c r="B53" s="1050">
        <f t="shared" si="0"/>
        <v>50</v>
      </c>
      <c r="C53" s="1053" t="s">
        <v>2909</v>
      </c>
      <c r="D53" s="1049" t="s">
        <v>76</v>
      </c>
      <c r="E53" s="1050"/>
      <c r="F53" s="1050"/>
      <c r="G53" s="1050"/>
      <c r="H53" s="1050"/>
      <c r="I53" s="1050"/>
    </row>
    <row r="54" spans="2:9">
      <c r="B54" s="1050">
        <f t="shared" si="0"/>
        <v>51</v>
      </c>
      <c r="C54" s="1053" t="s">
        <v>2910</v>
      </c>
      <c r="D54" s="1049" t="s">
        <v>1269</v>
      </c>
      <c r="E54" s="1050"/>
      <c r="F54" s="1050"/>
      <c r="G54" s="1050"/>
      <c r="H54" s="1050"/>
      <c r="I54" s="1050"/>
    </row>
    <row r="55" spans="2:9">
      <c r="B55" s="1050">
        <f t="shared" si="0"/>
        <v>52</v>
      </c>
      <c r="E55" s="1050"/>
      <c r="F55" s="1050"/>
      <c r="G55" s="1050"/>
      <c r="H55" s="1050"/>
      <c r="I55" s="1050"/>
    </row>
    <row r="56" spans="2:9">
      <c r="B56" s="1050">
        <f t="shared" si="0"/>
        <v>53</v>
      </c>
      <c r="E56" s="1050"/>
      <c r="F56" s="1050"/>
      <c r="G56" s="1050"/>
      <c r="H56" s="1050"/>
      <c r="I56" s="1050"/>
    </row>
    <row r="57" spans="2:9">
      <c r="B57" s="1050">
        <f t="shared" si="0"/>
        <v>54</v>
      </c>
      <c r="E57" s="1050"/>
      <c r="F57" s="1050"/>
      <c r="G57" s="1050"/>
      <c r="H57" s="1050"/>
      <c r="I57" s="1050"/>
    </row>
    <row r="58" spans="2:9">
      <c r="B58" s="1050">
        <f t="shared" si="0"/>
        <v>55</v>
      </c>
      <c r="C58" s="1050" t="s">
        <v>2914</v>
      </c>
      <c r="D58" s="1049" t="s">
        <v>76</v>
      </c>
      <c r="E58" s="1050"/>
      <c r="F58" s="1050"/>
      <c r="G58" s="1050"/>
      <c r="H58" s="1050"/>
      <c r="I58" s="1050"/>
    </row>
    <row r="59" spans="2:9">
      <c r="B59" s="1050">
        <f t="shared" si="0"/>
        <v>56</v>
      </c>
      <c r="C59" s="1050" t="s">
        <v>2915</v>
      </c>
      <c r="D59" s="1050" t="s">
        <v>1361</v>
      </c>
      <c r="E59" s="1050"/>
      <c r="F59" s="1050"/>
      <c r="G59" s="1050"/>
      <c r="H59" s="1050"/>
      <c r="I59" s="1050"/>
    </row>
  </sheetData>
  <autoFilter ref="B3:I59" xr:uid="{80E5F10C-F54D-4C19-93E3-DB507B8CC745}"/>
  <conditionalFormatting sqref="C4:H4 E5:H8 C9:H9 E10:H22 C23:H24 E25:H42 D58">
    <cfRule type="cellIs" dxfId="3596" priority="3" operator="equal">
      <formula>"WIP"</formula>
    </cfRule>
    <cfRule type="cellIs" dxfId="3595" priority="4" operator="equal">
      <formula>"C"</formula>
    </cfRule>
  </conditionalFormatting>
  <conditionalFormatting sqref="D51:D54">
    <cfRule type="cellIs" dxfId="3594" priority="1" operator="equal">
      <formula>"WIP"</formula>
    </cfRule>
    <cfRule type="cellIs" dxfId="3593"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ColWidth="8.7109375" defaultRowHeight="15"/>
  <cols>
    <col min="1" max="2" width="8.7109375" style="1090"/>
    <col min="3" max="3" width="6.140625" style="1090" bestFit="1" customWidth="1"/>
    <col min="4" max="4" width="15.42578125" style="1090" bestFit="1" customWidth="1"/>
    <col min="5" max="5" width="10.5703125" style="1089" bestFit="1" customWidth="1"/>
    <col min="6" max="6" width="16.42578125" style="1089" customWidth="1"/>
    <col min="7" max="7" width="8.5703125" style="1089" customWidth="1"/>
    <col min="8" max="8" width="1.7109375" style="1090" customWidth="1"/>
    <col min="9" max="10" width="8.7109375" style="1090"/>
    <col min="11" max="11" width="11.42578125" style="1089" customWidth="1"/>
    <col min="12" max="16384" width="8.7109375" style="1090"/>
  </cols>
  <sheetData>
    <row r="2" spans="3:12" s="1098" customFormat="1" ht="60">
      <c r="C2" s="1095" t="s">
        <v>2877</v>
      </c>
      <c r="D2" s="1095" t="s">
        <v>3267</v>
      </c>
      <c r="E2" s="1096" t="s">
        <v>3080</v>
      </c>
      <c r="F2" s="1096" t="s">
        <v>3276</v>
      </c>
      <c r="G2" s="1096" t="s">
        <v>994</v>
      </c>
      <c r="I2" s="1100" t="s">
        <v>2877</v>
      </c>
      <c r="J2" s="1096" t="s">
        <v>3277</v>
      </c>
      <c r="K2" s="1096" t="s">
        <v>3278</v>
      </c>
      <c r="L2" s="1096" t="s">
        <v>994</v>
      </c>
    </row>
    <row r="3" spans="3:12" ht="30">
      <c r="C3" s="1660" t="s">
        <v>1675</v>
      </c>
      <c r="D3" s="822" t="s">
        <v>3268</v>
      </c>
      <c r="E3" s="1092">
        <f>34+39+12+2</f>
        <v>87</v>
      </c>
      <c r="F3" s="1092"/>
      <c r="G3" s="1092">
        <f>E3+F3</f>
        <v>87</v>
      </c>
      <c r="I3" s="1099" t="s">
        <v>76</v>
      </c>
      <c r="J3" s="1099">
        <v>34</v>
      </c>
      <c r="K3" s="1099"/>
      <c r="L3" s="1099">
        <f>J3+K3</f>
        <v>34</v>
      </c>
    </row>
    <row r="4" spans="3:12">
      <c r="C4" s="1660"/>
      <c r="D4" s="1093" t="s">
        <v>3269</v>
      </c>
      <c r="E4" s="1092">
        <f>34+12+2</f>
        <v>48</v>
      </c>
      <c r="F4" s="1092"/>
      <c r="G4" s="1092">
        <f t="shared" ref="G4:G25" si="0">E4+F4</f>
        <v>48</v>
      </c>
      <c r="I4" s="1099" t="s">
        <v>62</v>
      </c>
      <c r="J4" s="1099">
        <v>39</v>
      </c>
      <c r="K4" s="1099"/>
      <c r="L4" s="1099">
        <f t="shared" ref="L4:L28" si="1">J4+K4</f>
        <v>39</v>
      </c>
    </row>
    <row r="5" spans="3:12">
      <c r="C5" s="1660"/>
      <c r="D5" s="1093" t="s">
        <v>3270</v>
      </c>
      <c r="E5" s="1092">
        <v>39</v>
      </c>
      <c r="F5" s="1092"/>
      <c r="G5" s="1092">
        <f t="shared" si="0"/>
        <v>39</v>
      </c>
      <c r="I5" s="1099" t="s">
        <v>53</v>
      </c>
      <c r="J5" s="1099">
        <v>12</v>
      </c>
      <c r="K5" s="1099"/>
      <c r="L5" s="1099">
        <f t="shared" si="1"/>
        <v>12</v>
      </c>
    </row>
    <row r="6" spans="3:12">
      <c r="C6" s="1660"/>
      <c r="D6" s="1093" t="s">
        <v>3271</v>
      </c>
      <c r="E6" s="1092">
        <v>12</v>
      </c>
      <c r="F6" s="1092"/>
      <c r="G6" s="1092">
        <f t="shared" si="0"/>
        <v>12</v>
      </c>
      <c r="I6" s="1099" t="s">
        <v>249</v>
      </c>
      <c r="J6" s="1099">
        <v>2</v>
      </c>
      <c r="K6" s="1099"/>
      <c r="L6" s="1099">
        <f t="shared" si="1"/>
        <v>2</v>
      </c>
    </row>
    <row r="7" spans="3:12">
      <c r="C7" s="1660"/>
      <c r="D7" s="1093" t="s">
        <v>3272</v>
      </c>
      <c r="E7" s="1092">
        <v>2</v>
      </c>
      <c r="F7" s="1092"/>
      <c r="G7" s="1092">
        <f t="shared" si="0"/>
        <v>2</v>
      </c>
      <c r="I7" s="1099"/>
      <c r="J7" s="1099"/>
      <c r="K7" s="1099"/>
      <c r="L7" s="1099">
        <f t="shared" si="1"/>
        <v>0</v>
      </c>
    </row>
    <row r="8" spans="3:12" ht="6.95" customHeight="1">
      <c r="C8" s="1091"/>
      <c r="D8" s="1091"/>
      <c r="E8" s="1094"/>
      <c r="F8" s="1094"/>
      <c r="G8" s="1094"/>
      <c r="I8" s="1099"/>
      <c r="J8" s="1099"/>
      <c r="K8" s="1099"/>
      <c r="L8" s="1099"/>
    </row>
    <row r="9" spans="3:12" ht="30">
      <c r="C9" s="1660" t="s">
        <v>2397</v>
      </c>
      <c r="D9" s="822" t="s">
        <v>3268</v>
      </c>
      <c r="E9" s="1092">
        <f>10+2+1</f>
        <v>13</v>
      </c>
      <c r="F9" s="1092">
        <v>16</v>
      </c>
      <c r="G9" s="1092">
        <f t="shared" si="0"/>
        <v>29</v>
      </c>
      <c r="I9" s="1099" t="s">
        <v>1269</v>
      </c>
      <c r="J9" s="1099">
        <v>10</v>
      </c>
      <c r="K9" s="1099">
        <v>14</v>
      </c>
      <c r="L9" s="1099">
        <f t="shared" si="1"/>
        <v>24</v>
      </c>
    </row>
    <row r="10" spans="3:12">
      <c r="C10" s="1660"/>
      <c r="D10" s="1093" t="s">
        <v>3269</v>
      </c>
      <c r="E10" s="1092">
        <v>11</v>
      </c>
      <c r="F10" s="1092">
        <v>16</v>
      </c>
      <c r="G10" s="1092">
        <f t="shared" si="0"/>
        <v>27</v>
      </c>
      <c r="I10" s="1099" t="s">
        <v>90</v>
      </c>
      <c r="J10" s="1099">
        <v>2</v>
      </c>
      <c r="K10" s="1099"/>
      <c r="L10" s="1099">
        <f t="shared" si="1"/>
        <v>2</v>
      </c>
    </row>
    <row r="11" spans="3:12">
      <c r="C11" s="1660"/>
      <c r="D11" s="1093" t="s">
        <v>3270</v>
      </c>
      <c r="E11" s="1092">
        <v>2</v>
      </c>
      <c r="F11" s="1092"/>
      <c r="G11" s="1092">
        <f t="shared" si="0"/>
        <v>2</v>
      </c>
      <c r="I11" s="1099" t="s">
        <v>1934</v>
      </c>
      <c r="J11" s="1099">
        <v>1</v>
      </c>
      <c r="K11" s="1099"/>
      <c r="L11" s="1099">
        <f t="shared" si="1"/>
        <v>1</v>
      </c>
    </row>
    <row r="12" spans="3:12">
      <c r="C12" s="1660"/>
      <c r="D12" s="1093" t="s">
        <v>3271</v>
      </c>
      <c r="E12" s="1092">
        <v>1</v>
      </c>
      <c r="F12" s="1092"/>
      <c r="G12" s="1092">
        <f t="shared" si="0"/>
        <v>1</v>
      </c>
      <c r="I12" s="1099" t="s">
        <v>1977</v>
      </c>
      <c r="J12" s="1099"/>
      <c r="K12" s="1099">
        <v>2</v>
      </c>
      <c r="L12" s="1099">
        <f t="shared" si="1"/>
        <v>2</v>
      </c>
    </row>
    <row r="13" spans="3:12">
      <c r="C13" s="1660"/>
      <c r="D13" s="1093" t="s">
        <v>3272</v>
      </c>
      <c r="E13" s="1092"/>
      <c r="F13" s="1092">
        <v>2</v>
      </c>
      <c r="G13" s="1092">
        <f t="shared" si="0"/>
        <v>2</v>
      </c>
      <c r="I13" s="1099"/>
      <c r="J13" s="1099"/>
      <c r="K13" s="1099"/>
      <c r="L13" s="1099">
        <f t="shared" si="1"/>
        <v>0</v>
      </c>
    </row>
    <row r="14" spans="3:12" ht="6.95" customHeight="1">
      <c r="C14" s="1091"/>
      <c r="D14" s="1091"/>
      <c r="E14" s="1094"/>
      <c r="F14" s="1094"/>
      <c r="G14" s="1094"/>
      <c r="I14" s="1099"/>
      <c r="J14" s="1099"/>
      <c r="K14" s="1099"/>
      <c r="L14" s="1099"/>
    </row>
    <row r="15" spans="3:12" ht="30">
      <c r="C15" s="1660" t="s">
        <v>2398</v>
      </c>
      <c r="D15" s="822" t="s">
        <v>3268</v>
      </c>
      <c r="E15" s="1092">
        <v>5</v>
      </c>
      <c r="F15" s="1092"/>
      <c r="G15" s="1092">
        <f t="shared" si="0"/>
        <v>5</v>
      </c>
      <c r="I15" s="1099" t="s">
        <v>1277</v>
      </c>
      <c r="J15" s="1099"/>
      <c r="K15" s="1099"/>
      <c r="L15" s="1099">
        <f t="shared" si="1"/>
        <v>0</v>
      </c>
    </row>
    <row r="16" spans="3:12">
      <c r="C16" s="1660"/>
      <c r="D16" s="1093" t="s">
        <v>3269</v>
      </c>
      <c r="E16" s="1092">
        <v>2</v>
      </c>
      <c r="F16" s="1092"/>
      <c r="G16" s="1092">
        <f t="shared" si="0"/>
        <v>2</v>
      </c>
      <c r="I16" s="1099" t="s">
        <v>1361</v>
      </c>
      <c r="J16" s="1099">
        <v>3</v>
      </c>
      <c r="K16" s="1099"/>
      <c r="L16" s="1099">
        <f t="shared" si="1"/>
        <v>3</v>
      </c>
    </row>
    <row r="17" spans="3:12">
      <c r="C17" s="1660"/>
      <c r="D17" s="1093" t="s">
        <v>3270</v>
      </c>
      <c r="E17" s="1092">
        <v>3</v>
      </c>
      <c r="F17" s="1092"/>
      <c r="G17" s="1092">
        <f t="shared" si="0"/>
        <v>3</v>
      </c>
      <c r="I17" s="1099" t="s">
        <v>1402</v>
      </c>
      <c r="J17" s="1099">
        <v>2</v>
      </c>
      <c r="K17" s="1099"/>
      <c r="L17" s="1099">
        <f t="shared" si="1"/>
        <v>2</v>
      </c>
    </row>
    <row r="18" spans="3:12">
      <c r="C18" s="1660"/>
      <c r="D18" s="1093" t="s">
        <v>3271</v>
      </c>
      <c r="E18" s="1092">
        <v>2</v>
      </c>
      <c r="F18" s="1092"/>
      <c r="G18" s="1092">
        <f t="shared" si="0"/>
        <v>2</v>
      </c>
      <c r="I18" s="1099" t="s">
        <v>1953</v>
      </c>
      <c r="J18" s="1099"/>
      <c r="K18" s="1099"/>
      <c r="L18" s="1099">
        <f t="shared" si="1"/>
        <v>0</v>
      </c>
    </row>
    <row r="19" spans="3:12">
      <c r="C19" s="1660"/>
      <c r="D19" s="1093" t="s">
        <v>3272</v>
      </c>
      <c r="E19" s="1092"/>
      <c r="F19" s="1092"/>
      <c r="G19" s="1092"/>
      <c r="I19" s="1099"/>
      <c r="J19" s="1099"/>
      <c r="K19" s="1099"/>
      <c r="L19" s="1099">
        <f t="shared" si="1"/>
        <v>0</v>
      </c>
    </row>
    <row r="20" spans="3:12" ht="6" customHeight="1">
      <c r="C20" s="1091"/>
      <c r="D20" s="1091"/>
      <c r="E20" s="1094"/>
      <c r="F20" s="1094"/>
      <c r="G20" s="1094"/>
      <c r="I20" s="1099"/>
      <c r="J20" s="1099"/>
      <c r="K20" s="1099"/>
      <c r="L20" s="1099"/>
    </row>
    <row r="21" spans="3:12" ht="30">
      <c r="C21" s="1660" t="s">
        <v>2425</v>
      </c>
      <c r="D21" s="822" t="s">
        <v>3268</v>
      </c>
      <c r="E21" s="1092">
        <v>5</v>
      </c>
      <c r="F21" s="1092">
        <f>20-1</f>
        <v>19</v>
      </c>
      <c r="G21" s="1092">
        <f t="shared" si="0"/>
        <v>24</v>
      </c>
      <c r="I21" s="1099" t="s">
        <v>1319</v>
      </c>
      <c r="J21" s="1099"/>
      <c r="K21" s="1099">
        <v>13</v>
      </c>
      <c r="L21" s="1099">
        <f t="shared" si="1"/>
        <v>13</v>
      </c>
    </row>
    <row r="22" spans="3:12">
      <c r="C22" s="1660"/>
      <c r="D22" s="1093" t="s">
        <v>3269</v>
      </c>
      <c r="E22" s="1092">
        <v>2</v>
      </c>
      <c r="F22" s="1092">
        <v>18</v>
      </c>
      <c r="G22" s="1092">
        <f t="shared" si="0"/>
        <v>20</v>
      </c>
      <c r="I22" s="1099" t="s">
        <v>1995</v>
      </c>
      <c r="J22" s="1099">
        <v>3</v>
      </c>
      <c r="K22" s="1099">
        <v>1</v>
      </c>
      <c r="L22" s="1099">
        <f t="shared" si="1"/>
        <v>4</v>
      </c>
    </row>
    <row r="23" spans="3:12">
      <c r="C23" s="1660"/>
      <c r="D23" s="1093" t="s">
        <v>3270</v>
      </c>
      <c r="E23" s="1092">
        <v>3</v>
      </c>
      <c r="F23" s="1092">
        <v>1</v>
      </c>
      <c r="G23" s="1092">
        <f t="shared" si="0"/>
        <v>4</v>
      </c>
      <c r="I23" s="1099" t="s">
        <v>1935</v>
      </c>
      <c r="J23" s="1099">
        <v>2</v>
      </c>
      <c r="K23" s="1099"/>
      <c r="L23" s="1099">
        <f t="shared" si="1"/>
        <v>2</v>
      </c>
    </row>
    <row r="24" spans="3:12">
      <c r="C24" s="1660"/>
      <c r="D24" s="1093" t="s">
        <v>3271</v>
      </c>
      <c r="E24" s="1092">
        <v>2</v>
      </c>
      <c r="F24" s="1092"/>
      <c r="G24" s="1092">
        <f t="shared" si="0"/>
        <v>2</v>
      </c>
      <c r="I24" s="1099" t="s">
        <v>2212</v>
      </c>
      <c r="J24" s="1099"/>
      <c r="K24" s="1099">
        <v>5</v>
      </c>
      <c r="L24" s="1099">
        <f t="shared" si="1"/>
        <v>5</v>
      </c>
    </row>
    <row r="25" spans="3:12">
      <c r="C25" s="1660"/>
      <c r="D25" s="1093" t="s">
        <v>3272</v>
      </c>
      <c r="E25" s="1092"/>
      <c r="F25" s="1092">
        <v>5</v>
      </c>
      <c r="G25" s="1092">
        <f t="shared" si="0"/>
        <v>5</v>
      </c>
      <c r="I25" s="1099"/>
      <c r="J25" s="1099"/>
      <c r="K25" s="1099"/>
      <c r="L25" s="1099">
        <f t="shared" si="1"/>
        <v>0</v>
      </c>
    </row>
    <row r="26" spans="3:12">
      <c r="C26" s="1660"/>
      <c r="D26" s="1093" t="s">
        <v>3273</v>
      </c>
      <c r="E26" s="1092"/>
      <c r="F26" s="1092"/>
      <c r="G26" s="1092"/>
      <c r="I26" s="1099"/>
      <c r="J26" s="1099"/>
      <c r="K26" s="1099"/>
      <c r="L26" s="1099">
        <f t="shared" si="1"/>
        <v>0</v>
      </c>
    </row>
    <row r="27" spans="3:12">
      <c r="C27" s="1660"/>
      <c r="D27" s="1093" t="s">
        <v>3274</v>
      </c>
      <c r="E27" s="1092"/>
      <c r="F27" s="1092"/>
      <c r="G27" s="1092"/>
      <c r="I27" s="1099"/>
      <c r="J27" s="1099"/>
      <c r="K27" s="1099"/>
      <c r="L27" s="1099">
        <f t="shared" si="1"/>
        <v>0</v>
      </c>
    </row>
    <row r="28" spans="3:12">
      <c r="C28" s="1660"/>
      <c r="D28" s="1093" t="s">
        <v>3275</v>
      </c>
      <c r="E28" s="1092"/>
      <c r="F28" s="1092"/>
      <c r="G28" s="1092"/>
      <c r="I28" s="1099"/>
      <c r="J28" s="1099"/>
      <c r="K28" s="1099"/>
      <c r="L28" s="1099">
        <f t="shared" si="1"/>
        <v>0</v>
      </c>
    </row>
    <row r="29" spans="3:12">
      <c r="C29" s="1661" t="s">
        <v>994</v>
      </c>
      <c r="D29" s="1661"/>
      <c r="E29" s="1097">
        <f>E21+E15+E9+E3</f>
        <v>110</v>
      </c>
      <c r="F29" s="1097">
        <f>F21+F15+F9+F3</f>
        <v>35</v>
      </c>
      <c r="G29" s="1097">
        <f>G21+G15+G9+G3</f>
        <v>145</v>
      </c>
      <c r="I29" s="1097" t="s">
        <v>994</v>
      </c>
      <c r="J29" s="1097">
        <f>SUM(J3:J28)</f>
        <v>110</v>
      </c>
      <c r="K29" s="1097">
        <f>SUM(K3:K28)</f>
        <v>35</v>
      </c>
      <c r="L29" s="109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8EAC-54E8-4B79-ABE9-228DE2A07F9F}">
  <sheetPr>
    <tabColor theme="4" tint="0.39997558519241921"/>
  </sheetPr>
  <dimension ref="A1:O29"/>
  <sheetViews>
    <sheetView zoomScale="110" zoomScaleNormal="110" workbookViewId="0">
      <pane xSplit="3" ySplit="3" topLeftCell="D14" activePane="bottomRight" state="frozen"/>
      <selection pane="topRight" activeCell="D1" sqref="D1"/>
      <selection pane="bottomLeft" activeCell="A4" sqref="A4"/>
      <selection pane="bottomRight" activeCell="A29" sqref="A29"/>
    </sheetView>
  </sheetViews>
  <sheetFormatPr defaultColWidth="10" defaultRowHeight="12"/>
  <cols>
    <col min="1" max="1" width="10" style="1418"/>
    <col min="2" max="2" width="9.28515625" style="1418" customWidth="1"/>
    <col min="3" max="4" width="10" style="1418"/>
    <col min="5" max="5" width="12.85546875" style="1418" customWidth="1"/>
    <col min="6" max="7" width="10" style="1418"/>
    <col min="8" max="8" width="14.85546875" style="1418" customWidth="1"/>
    <col min="9" max="9" width="18.140625" style="1418" customWidth="1"/>
    <col min="10" max="10" width="17.7109375" style="1418" customWidth="1"/>
    <col min="11" max="11" width="14.42578125" style="1418" bestFit="1" customWidth="1"/>
    <col min="12" max="12" width="3" style="1418" customWidth="1"/>
    <col min="13" max="15" width="10.28515625" style="1418" hidden="1" customWidth="1"/>
    <col min="16" max="16384" width="10" style="1418"/>
  </cols>
  <sheetData>
    <row r="1" spans="1:15">
      <c r="A1" s="1667" t="s">
        <v>3790</v>
      </c>
      <c r="B1" s="1667"/>
      <c r="C1" s="1667"/>
      <c r="D1" s="1667"/>
      <c r="E1" s="1667"/>
      <c r="F1" s="1667"/>
      <c r="G1" s="1667"/>
    </row>
    <row r="2" spans="1:15" ht="12" customHeight="1">
      <c r="A2" s="1668" t="s">
        <v>3787</v>
      </c>
      <c r="B2" s="1668"/>
      <c r="C2" s="1668"/>
      <c r="D2" s="1668"/>
      <c r="E2" s="1668"/>
      <c r="F2" s="1668"/>
      <c r="G2" s="1668"/>
      <c r="H2" s="1665" t="s">
        <v>3788</v>
      </c>
      <c r="I2" s="1665" t="s">
        <v>3789</v>
      </c>
      <c r="J2" s="1665" t="s">
        <v>3785</v>
      </c>
      <c r="K2" s="1663" t="s">
        <v>627</v>
      </c>
      <c r="L2" s="1436"/>
      <c r="N2" s="1418" t="s">
        <v>3800</v>
      </c>
      <c r="O2" s="1418" t="s">
        <v>3801</v>
      </c>
    </row>
    <row r="3" spans="1:15" ht="12" customHeight="1">
      <c r="A3" s="1419" t="s">
        <v>1782</v>
      </c>
      <c r="B3" s="1419" t="s">
        <v>3214</v>
      </c>
      <c r="C3" s="1419" t="s">
        <v>2877</v>
      </c>
      <c r="D3" s="1419" t="s">
        <v>1849</v>
      </c>
      <c r="E3" s="1420" t="s">
        <v>3419</v>
      </c>
      <c r="F3" s="1420" t="s">
        <v>1441</v>
      </c>
      <c r="G3" s="1420" t="s">
        <v>3605</v>
      </c>
      <c r="H3" s="1665"/>
      <c r="I3" s="1665"/>
      <c r="J3" s="1666"/>
      <c r="K3" s="1664"/>
      <c r="L3" s="1436"/>
      <c r="M3" s="1418" t="s">
        <v>3799</v>
      </c>
      <c r="N3" s="1418" t="s">
        <v>593</v>
      </c>
    </row>
    <row r="4" spans="1:15" ht="12.75">
      <c r="A4" s="1423">
        <v>1</v>
      </c>
      <c r="B4" s="1421" t="s">
        <v>3046</v>
      </c>
      <c r="C4" s="1423" t="s">
        <v>1269</v>
      </c>
      <c r="D4" s="1424">
        <v>27.921720000000001</v>
      </c>
      <c r="E4" s="1421" t="s">
        <v>3549</v>
      </c>
      <c r="F4" s="1425">
        <v>46235</v>
      </c>
      <c r="G4" s="1425">
        <f>F4+10</f>
        <v>46245</v>
      </c>
      <c r="H4" s="1429">
        <v>100</v>
      </c>
      <c r="I4" s="1429">
        <v>100</v>
      </c>
      <c r="J4" s="1423" t="s">
        <v>3786</v>
      </c>
      <c r="K4" s="1423" t="s">
        <v>631</v>
      </c>
      <c r="L4" s="1437"/>
    </row>
    <row r="5" spans="1:15" ht="12.75">
      <c r="A5" s="1423">
        <f>A4+1</f>
        <v>2</v>
      </c>
      <c r="B5" s="1421" t="s">
        <v>3053</v>
      </c>
      <c r="C5" s="1423" t="s">
        <v>1934</v>
      </c>
      <c r="D5" s="1424">
        <v>34.630000000000003</v>
      </c>
      <c r="E5" s="1662" t="s">
        <v>3292</v>
      </c>
      <c r="F5" s="1425">
        <v>46233</v>
      </c>
      <c r="G5" s="1425">
        <f>F5+10</f>
        <v>46243</v>
      </c>
      <c r="H5" s="1417">
        <v>100</v>
      </c>
      <c r="I5" s="1417">
        <v>100</v>
      </c>
      <c r="J5" s="1423" t="s">
        <v>3786</v>
      </c>
      <c r="K5" s="1423" t="s">
        <v>631</v>
      </c>
      <c r="L5" s="1437"/>
    </row>
    <row r="6" spans="1:15" ht="12.75">
      <c r="A6" s="1423">
        <f>A5+1</f>
        <v>3</v>
      </c>
      <c r="B6" s="1421" t="s">
        <v>3062</v>
      </c>
      <c r="C6" s="1423" t="s">
        <v>90</v>
      </c>
      <c r="D6" s="1424">
        <v>29.492056000000002</v>
      </c>
      <c r="E6" s="1662"/>
      <c r="F6" s="1425">
        <v>46244</v>
      </c>
      <c r="G6" s="1425">
        <f>F6+9</f>
        <v>46253</v>
      </c>
      <c r="H6" s="1426">
        <v>60</v>
      </c>
      <c r="I6" s="1426">
        <v>30</v>
      </c>
      <c r="J6" s="1423" t="s">
        <v>3786</v>
      </c>
      <c r="K6" s="1448" t="s">
        <v>3642</v>
      </c>
      <c r="L6" s="1438"/>
      <c r="M6" s="1418">
        <v>3</v>
      </c>
      <c r="N6" s="1418">
        <v>2</v>
      </c>
    </row>
    <row r="7" spans="1:15" ht="12.75">
      <c r="A7" s="1423">
        <f t="shared" ref="A7:A29" si="0">A6+1</f>
        <v>4</v>
      </c>
      <c r="B7" s="1421" t="s">
        <v>3052</v>
      </c>
      <c r="C7" s="1423" t="s">
        <v>2662</v>
      </c>
      <c r="D7" s="1424">
        <v>29.864999999999998</v>
      </c>
      <c r="E7" s="1662"/>
      <c r="F7" s="1422">
        <v>46254</v>
      </c>
      <c r="G7" s="1422">
        <f>F7+9</f>
        <v>46263</v>
      </c>
      <c r="H7" s="1448">
        <v>25</v>
      </c>
      <c r="I7" s="1417"/>
      <c r="J7" s="1423" t="s">
        <v>3797</v>
      </c>
      <c r="K7" s="1448" t="s">
        <v>3642</v>
      </c>
      <c r="L7" s="1438"/>
    </row>
    <row r="8" spans="1:15" ht="12.75">
      <c r="A8" s="1423">
        <f t="shared" si="0"/>
        <v>5</v>
      </c>
      <c r="B8" s="1421" t="s">
        <v>3056</v>
      </c>
      <c r="C8" s="1423" t="s">
        <v>1269</v>
      </c>
      <c r="D8" s="1424">
        <v>27.91</v>
      </c>
      <c r="E8" s="1662" t="s">
        <v>3644</v>
      </c>
      <c r="F8" s="1422">
        <v>46230</v>
      </c>
      <c r="G8" s="1422">
        <f>F8+10</f>
        <v>46240</v>
      </c>
      <c r="H8" s="1417">
        <v>100</v>
      </c>
      <c r="I8" s="1417">
        <v>100</v>
      </c>
      <c r="J8" s="1423" t="s">
        <v>3786</v>
      </c>
      <c r="K8" s="1423" t="s">
        <v>631</v>
      </c>
      <c r="L8" s="1437"/>
    </row>
    <row r="9" spans="1:15" ht="12.75">
      <c r="A9" s="1423">
        <f t="shared" si="0"/>
        <v>6</v>
      </c>
      <c r="B9" s="1421" t="s">
        <v>3055</v>
      </c>
      <c r="C9" s="1423" t="s">
        <v>1953</v>
      </c>
      <c r="D9" s="1424">
        <v>41.283000000000001</v>
      </c>
      <c r="E9" s="1662"/>
      <c r="F9" s="1422">
        <v>46242</v>
      </c>
      <c r="G9" s="1422">
        <f>F9+9</f>
        <v>46251</v>
      </c>
      <c r="H9" s="1426">
        <v>100</v>
      </c>
      <c r="I9" s="1426">
        <v>100</v>
      </c>
      <c r="J9" s="1423" t="s">
        <v>3786</v>
      </c>
      <c r="K9" s="1448" t="str">
        <f>'Erection -SK'!G35</f>
        <v>1st section</v>
      </c>
      <c r="L9" s="1438"/>
    </row>
    <row r="10" spans="1:15" ht="12.75">
      <c r="A10" s="1423">
        <f t="shared" si="0"/>
        <v>7</v>
      </c>
      <c r="B10" s="1421" t="s">
        <v>3054</v>
      </c>
      <c r="C10" s="1423" t="s">
        <v>1995</v>
      </c>
      <c r="D10" s="1424">
        <v>43.198092000000003</v>
      </c>
      <c r="E10" s="1662"/>
      <c r="F10" s="1422">
        <v>46253</v>
      </c>
      <c r="G10" s="1422">
        <f>F10+9</f>
        <v>46262</v>
      </c>
      <c r="H10" s="1417">
        <v>100</v>
      </c>
      <c r="I10" s="1417">
        <v>20</v>
      </c>
      <c r="J10" s="1423" t="s">
        <v>3786</v>
      </c>
      <c r="K10" s="1417"/>
      <c r="L10" s="1438"/>
    </row>
    <row r="11" spans="1:15" ht="12.75">
      <c r="A11" s="1423">
        <f t="shared" si="0"/>
        <v>8</v>
      </c>
      <c r="B11" s="1421" t="s">
        <v>3500</v>
      </c>
      <c r="C11" s="1423" t="s">
        <v>1319</v>
      </c>
      <c r="D11" s="1424">
        <v>42.253864</v>
      </c>
      <c r="E11" s="1662" t="s">
        <v>3646</v>
      </c>
      <c r="F11" s="1425">
        <v>46233</v>
      </c>
      <c r="G11" s="1425">
        <f>F11+10</f>
        <v>46243</v>
      </c>
      <c r="H11" s="1417">
        <v>100</v>
      </c>
      <c r="I11" s="1417">
        <v>100</v>
      </c>
      <c r="J11" s="1423" t="s">
        <v>3797</v>
      </c>
      <c r="K11" s="1417" t="s">
        <v>631</v>
      </c>
      <c r="L11" s="1438"/>
    </row>
    <row r="12" spans="1:15" ht="12.75">
      <c r="A12" s="1423">
        <f t="shared" si="0"/>
        <v>9</v>
      </c>
      <c r="B12" s="1421" t="s">
        <v>3570</v>
      </c>
      <c r="C12" s="1423" t="s">
        <v>1319</v>
      </c>
      <c r="D12" s="1424">
        <v>42.744109999999999</v>
      </c>
      <c r="E12" s="1662"/>
      <c r="F12" s="1425">
        <v>46244</v>
      </c>
      <c r="G12" s="1425">
        <f>F12+9</f>
        <v>46253</v>
      </c>
      <c r="H12" s="1426">
        <v>100</v>
      </c>
      <c r="I12" s="1426">
        <v>100</v>
      </c>
      <c r="J12" s="1423" t="s">
        <v>3609</v>
      </c>
      <c r="K12" s="1417" t="s">
        <v>631</v>
      </c>
      <c r="L12" s="1438"/>
    </row>
    <row r="13" spans="1:15" ht="12.75">
      <c r="A13" s="1423">
        <f t="shared" si="0"/>
        <v>10</v>
      </c>
      <c r="B13" s="1421" t="s">
        <v>3069</v>
      </c>
      <c r="C13" s="1423" t="s">
        <v>1953</v>
      </c>
      <c r="D13" s="1424">
        <v>41.524999999999999</v>
      </c>
      <c r="E13" s="1662"/>
      <c r="F13" s="1425">
        <v>46254</v>
      </c>
      <c r="G13" s="1425">
        <f>F13+9</f>
        <v>46263</v>
      </c>
      <c r="H13" s="1417"/>
      <c r="I13" s="1417"/>
      <c r="J13" s="1423" t="s">
        <v>3786</v>
      </c>
      <c r="K13" s="1417"/>
      <c r="L13" s="1438"/>
    </row>
    <row r="14" spans="1:15" ht="12.75">
      <c r="A14" s="1423">
        <f t="shared" si="0"/>
        <v>11</v>
      </c>
      <c r="B14" s="1421" t="s">
        <v>2942</v>
      </c>
      <c r="C14" s="1421" t="s">
        <v>1277</v>
      </c>
      <c r="D14" s="1427">
        <v>32.07</v>
      </c>
      <c r="E14" s="1662" t="s">
        <v>3647</v>
      </c>
      <c r="F14" s="1425">
        <v>46233</v>
      </c>
      <c r="G14" s="1425">
        <f>F14+10</f>
        <v>46243</v>
      </c>
      <c r="H14" s="1429">
        <v>100</v>
      </c>
      <c r="I14" s="1429">
        <v>100</v>
      </c>
      <c r="J14" s="1423" t="s">
        <v>3797</v>
      </c>
      <c r="K14" s="1417" t="s">
        <v>631</v>
      </c>
      <c r="L14" s="1438"/>
    </row>
    <row r="15" spans="1:15" ht="12.75">
      <c r="A15" s="1423">
        <f t="shared" si="0"/>
        <v>12</v>
      </c>
      <c r="B15" s="1421" t="s">
        <v>2935</v>
      </c>
      <c r="C15" s="1421" t="s">
        <v>2197</v>
      </c>
      <c r="D15" s="1427">
        <v>71.310345999999996</v>
      </c>
      <c r="E15" s="1662"/>
      <c r="F15" s="1425">
        <v>46249</v>
      </c>
      <c r="G15" s="1425">
        <v>46257</v>
      </c>
      <c r="H15" s="1429">
        <v>10</v>
      </c>
      <c r="I15" s="1435"/>
      <c r="J15" s="1423" t="s">
        <v>3786</v>
      </c>
      <c r="K15" s="1448" t="s">
        <v>3642</v>
      </c>
      <c r="L15" s="1438"/>
      <c r="M15" s="1418">
        <v>1</v>
      </c>
      <c r="N15" s="1418">
        <v>7</v>
      </c>
    </row>
    <row r="16" spans="1:15" ht="12.75">
      <c r="A16" s="1423">
        <f t="shared" si="0"/>
        <v>13</v>
      </c>
      <c r="B16" s="1421" t="s">
        <v>3070</v>
      </c>
      <c r="C16" s="1421" t="s">
        <v>1995</v>
      </c>
      <c r="D16" s="1427">
        <v>43.338000000000001</v>
      </c>
      <c r="E16" s="1662"/>
      <c r="F16" s="1425">
        <v>46244</v>
      </c>
      <c r="G16" s="1425">
        <f>F16+10</f>
        <v>46254</v>
      </c>
      <c r="H16" s="1417"/>
      <c r="I16" s="1417"/>
      <c r="J16" s="1423" t="s">
        <v>3786</v>
      </c>
      <c r="K16" s="1417"/>
      <c r="L16" s="1438"/>
    </row>
    <row r="17" spans="1:14" ht="12.75">
      <c r="A17" s="1423">
        <f t="shared" si="0"/>
        <v>14</v>
      </c>
      <c r="B17" s="1421" t="s">
        <v>2944</v>
      </c>
      <c r="C17" s="1421" t="s">
        <v>1319</v>
      </c>
      <c r="D17" s="1427">
        <v>42.429763999999999</v>
      </c>
      <c r="E17" s="1421" t="s">
        <v>3643</v>
      </c>
      <c r="F17" s="1425">
        <v>46242</v>
      </c>
      <c r="G17" s="1425">
        <f>F17+12</f>
        <v>46254</v>
      </c>
      <c r="H17" s="1426">
        <v>100</v>
      </c>
      <c r="I17" s="1426">
        <v>100</v>
      </c>
      <c r="J17" s="1423" t="s">
        <v>3797</v>
      </c>
      <c r="K17" s="1448" t="str">
        <f>'Erection -SK'!G31</f>
        <v>2nd section</v>
      </c>
      <c r="L17" s="1438"/>
    </row>
    <row r="18" spans="1:14" ht="12.75">
      <c r="A18" s="1423">
        <f t="shared" si="0"/>
        <v>15</v>
      </c>
      <c r="B18" s="1421" t="s">
        <v>2930</v>
      </c>
      <c r="C18" s="1421" t="s">
        <v>2212</v>
      </c>
      <c r="D18" s="1427">
        <v>52.690537999999997</v>
      </c>
      <c r="E18" s="1439" t="s">
        <v>3647</v>
      </c>
      <c r="F18" s="1425">
        <v>46235</v>
      </c>
      <c r="G18" s="1425">
        <f>F18+10</f>
        <v>46245</v>
      </c>
      <c r="H18" s="1417">
        <v>70</v>
      </c>
      <c r="I18" s="1429">
        <v>50</v>
      </c>
      <c r="J18" s="1423" t="s">
        <v>3797</v>
      </c>
      <c r="K18" s="1448" t="str">
        <f>'Erection -SK'!G38</f>
        <v>Material Shifting</v>
      </c>
      <c r="L18" s="1438"/>
      <c r="M18" s="1418">
        <v>5</v>
      </c>
      <c r="N18" s="1418">
        <v>2</v>
      </c>
    </row>
    <row r="19" spans="1:14" ht="12.75" customHeight="1">
      <c r="A19" s="1423">
        <f t="shared" si="0"/>
        <v>16</v>
      </c>
      <c r="B19" s="1421" t="s">
        <v>2933</v>
      </c>
      <c r="C19" s="1421" t="s">
        <v>1995</v>
      </c>
      <c r="D19" s="1427">
        <v>43.791710000000002</v>
      </c>
      <c r="E19" s="1439" t="s">
        <v>3646</v>
      </c>
      <c r="F19" s="1425">
        <v>46247</v>
      </c>
      <c r="G19" s="1425">
        <f>F19+10</f>
        <v>46257</v>
      </c>
      <c r="H19" s="1426">
        <v>100</v>
      </c>
      <c r="I19" s="1426">
        <v>0</v>
      </c>
      <c r="J19" s="1423" t="s">
        <v>3797</v>
      </c>
      <c r="K19" s="1448" t="str">
        <f>'Erection -SK'!G34</f>
        <v>1st section</v>
      </c>
      <c r="L19" s="1438"/>
    </row>
    <row r="20" spans="1:14" ht="12.75">
      <c r="A20" s="1423">
        <f t="shared" si="0"/>
        <v>17</v>
      </c>
      <c r="B20" s="1428" t="s">
        <v>3295</v>
      </c>
      <c r="C20" s="1421" t="s">
        <v>2197</v>
      </c>
      <c r="D20" s="1427">
        <v>71.310345999999996</v>
      </c>
      <c r="E20" s="1825" t="s">
        <v>1360</v>
      </c>
      <c r="F20" s="1425">
        <v>46233</v>
      </c>
      <c r="G20" s="1425">
        <f>F20+15</f>
        <v>46248</v>
      </c>
      <c r="H20" s="1426">
        <v>100</v>
      </c>
      <c r="I20" s="1426">
        <v>60</v>
      </c>
      <c r="J20" s="1423" t="s">
        <v>3797</v>
      </c>
      <c r="K20" s="1449" t="str">
        <f>'Erection -SK'!G27</f>
        <v>Cage 2</v>
      </c>
      <c r="L20" s="1437"/>
    </row>
    <row r="21" spans="1:14" ht="12.75">
      <c r="A21" s="1423">
        <f t="shared" si="0"/>
        <v>18</v>
      </c>
      <c r="B21" s="1421" t="s">
        <v>3048</v>
      </c>
      <c r="C21" s="1423" t="s">
        <v>1361</v>
      </c>
      <c r="D21" s="1424">
        <v>33.547229000000002</v>
      </c>
      <c r="E21" s="1830"/>
      <c r="F21" s="1425">
        <v>46246</v>
      </c>
      <c r="G21" s="1425">
        <f>F21+9</f>
        <v>46255</v>
      </c>
      <c r="H21" s="1426"/>
      <c r="I21" s="1426"/>
      <c r="J21" s="1423" t="s">
        <v>3786</v>
      </c>
      <c r="K21" s="1423"/>
      <c r="L21" s="1437"/>
    </row>
    <row r="22" spans="1:14" ht="12.75">
      <c r="A22" s="1423">
        <f t="shared" si="0"/>
        <v>19</v>
      </c>
      <c r="B22" s="1421" t="s">
        <v>3044</v>
      </c>
      <c r="C22" s="1423" t="s">
        <v>3251</v>
      </c>
      <c r="D22" s="1424">
        <v>27.935496000000001</v>
      </c>
      <c r="E22" s="1830"/>
      <c r="F22" s="1425">
        <v>46256</v>
      </c>
      <c r="G22" s="1425">
        <f>F22+9</f>
        <v>46265</v>
      </c>
      <c r="H22" s="1426"/>
      <c r="I22" s="1426"/>
      <c r="J22" s="1423" t="s">
        <v>3786</v>
      </c>
      <c r="K22" s="1423"/>
      <c r="L22" s="1437"/>
    </row>
    <row r="23" spans="1:14" ht="12.75">
      <c r="A23" s="1423">
        <f t="shared" si="0"/>
        <v>20</v>
      </c>
      <c r="B23" s="1423" t="s">
        <v>3039</v>
      </c>
      <c r="C23" s="1423" t="s">
        <v>1934</v>
      </c>
      <c r="D23" s="1827">
        <v>35.479999999999997</v>
      </c>
      <c r="E23" s="1826"/>
      <c r="F23" s="1425">
        <v>46250</v>
      </c>
      <c r="G23" s="1425">
        <f>F23+10</f>
        <v>46260</v>
      </c>
      <c r="H23" s="1417"/>
      <c r="I23" s="1417"/>
      <c r="J23" s="1423" t="s">
        <v>3786</v>
      </c>
      <c r="K23" s="1417"/>
      <c r="L23" s="1438"/>
    </row>
    <row r="24" spans="1:14" ht="12.75">
      <c r="A24" s="1423">
        <f t="shared" si="0"/>
        <v>21</v>
      </c>
      <c r="B24" s="1421" t="s">
        <v>2880</v>
      </c>
      <c r="C24" s="1421" t="s">
        <v>1361</v>
      </c>
      <c r="D24" s="1427">
        <v>33.405017999999998</v>
      </c>
      <c r="E24" s="1662" t="s">
        <v>3791</v>
      </c>
      <c r="F24" s="1425">
        <v>46235</v>
      </c>
      <c r="G24" s="1425">
        <f>F24+10</f>
        <v>46245</v>
      </c>
      <c r="H24" s="1426">
        <v>100</v>
      </c>
      <c r="I24" s="1426">
        <v>100</v>
      </c>
      <c r="J24" s="1423" t="s">
        <v>3786</v>
      </c>
      <c r="K24" s="1449" t="str">
        <f>'Erection -SK'!G25</f>
        <v>Cage 1</v>
      </c>
      <c r="L24" s="1437"/>
    </row>
    <row r="25" spans="1:14" ht="12.75">
      <c r="A25" s="1423">
        <f t="shared" si="0"/>
        <v>22</v>
      </c>
      <c r="B25" s="1421" t="s">
        <v>3239</v>
      </c>
      <c r="C25" s="1421" t="s">
        <v>2662</v>
      </c>
      <c r="D25" s="1427">
        <v>30.932993</v>
      </c>
      <c r="E25" s="1662"/>
      <c r="F25" s="1425">
        <v>46247</v>
      </c>
      <c r="G25" s="1425">
        <f>F25+10</f>
        <v>46257</v>
      </c>
      <c r="H25" s="1417"/>
      <c r="I25" s="1417"/>
      <c r="J25" s="1423" t="s">
        <v>3786</v>
      </c>
      <c r="K25" s="1417"/>
      <c r="L25" s="1438"/>
    </row>
    <row r="26" spans="1:14" ht="12.75">
      <c r="A26" s="1423">
        <f t="shared" si="0"/>
        <v>23</v>
      </c>
      <c r="B26" s="1421" t="s">
        <v>3030</v>
      </c>
      <c r="C26" s="1421" t="s">
        <v>2197</v>
      </c>
      <c r="D26" s="1427">
        <v>71.310345999999996</v>
      </c>
      <c r="E26" s="1662" t="s">
        <v>3284</v>
      </c>
      <c r="F26" s="1425">
        <v>46235</v>
      </c>
      <c r="G26" s="1425">
        <f>F26+15</f>
        <v>46250</v>
      </c>
      <c r="H26" s="1426">
        <v>100</v>
      </c>
      <c r="I26" s="1426">
        <v>100</v>
      </c>
      <c r="J26" s="1423" t="s">
        <v>3798</v>
      </c>
      <c r="K26" s="1449" t="str">
        <f>'Erection -SK'!G29</f>
        <v>Cage 2</v>
      </c>
      <c r="L26" s="1437"/>
    </row>
    <row r="27" spans="1:14" ht="12.75">
      <c r="A27" s="1423">
        <f t="shared" si="0"/>
        <v>24</v>
      </c>
      <c r="B27" s="1421" t="s">
        <v>3031</v>
      </c>
      <c r="C27" s="1421" t="s">
        <v>1269</v>
      </c>
      <c r="D27" s="1427">
        <v>27.920999999999999</v>
      </c>
      <c r="E27" s="1662"/>
      <c r="F27" s="1425">
        <v>46251</v>
      </c>
      <c r="G27" s="1425">
        <f>F27+10</f>
        <v>46261</v>
      </c>
      <c r="H27" s="1417"/>
      <c r="I27" s="1417"/>
      <c r="J27" s="1423" t="s">
        <v>3798</v>
      </c>
      <c r="K27" s="1417"/>
      <c r="L27" s="1438"/>
    </row>
    <row r="28" spans="1:14" ht="12.75">
      <c r="A28" s="1423">
        <f t="shared" si="0"/>
        <v>25</v>
      </c>
      <c r="B28" s="1423" t="s">
        <v>3029</v>
      </c>
      <c r="C28" s="1423" t="s">
        <v>1977</v>
      </c>
      <c r="D28" s="1427">
        <v>36.355072</v>
      </c>
      <c r="E28" s="1825" t="s">
        <v>3639</v>
      </c>
      <c r="F28" s="1422">
        <v>46237</v>
      </c>
      <c r="G28" s="1422">
        <f>F28+9</f>
        <v>46246</v>
      </c>
      <c r="H28" s="1417">
        <v>100</v>
      </c>
      <c r="I28" s="1417">
        <v>100</v>
      </c>
      <c r="J28" s="1423" t="s">
        <v>3798</v>
      </c>
      <c r="K28" s="1423" t="s">
        <v>631</v>
      </c>
      <c r="L28" s="1437"/>
    </row>
    <row r="29" spans="1:14" ht="12.75">
      <c r="A29" s="1423">
        <f t="shared" si="0"/>
        <v>26</v>
      </c>
      <c r="B29" s="1423" t="s">
        <v>3033</v>
      </c>
      <c r="C29" s="1423" t="s">
        <v>1977</v>
      </c>
      <c r="D29" s="1828">
        <v>36.354999999999997</v>
      </c>
      <c r="E29" s="1826"/>
      <c r="F29" s="1425">
        <v>46239</v>
      </c>
      <c r="G29" s="1425">
        <f>F29+10</f>
        <v>46249</v>
      </c>
      <c r="H29" s="1426">
        <v>100</v>
      </c>
      <c r="I29" s="1426">
        <v>40</v>
      </c>
      <c r="J29" s="1423" t="s">
        <v>3798</v>
      </c>
      <c r="K29" s="1417"/>
      <c r="L29" s="1438"/>
    </row>
  </sheetData>
  <autoFilter ref="A3:O29" xr:uid="{C7148EAC-54E8-4B79-ABE9-228DE2A07F9F}"/>
  <mergeCells count="14">
    <mergeCell ref="K2:K3"/>
    <mergeCell ref="J2:J3"/>
    <mergeCell ref="E5:E7"/>
    <mergeCell ref="A1:G1"/>
    <mergeCell ref="A2:G2"/>
    <mergeCell ref="H2:H3"/>
    <mergeCell ref="I2:I3"/>
    <mergeCell ref="E26:E27"/>
    <mergeCell ref="E8:E10"/>
    <mergeCell ref="E11:E13"/>
    <mergeCell ref="E14:E16"/>
    <mergeCell ref="E24:E25"/>
    <mergeCell ref="E28:E29"/>
    <mergeCell ref="E20:E23"/>
  </mergeCells>
  <conditionalFormatting sqref="B3">
    <cfRule type="duplicateValues" dxfId="3592" priority="1"/>
    <cfRule type="duplicateValues" dxfId="3591" priority="2"/>
  </conditionalFormatting>
  <conditionalFormatting sqref="B28:B29">
    <cfRule type="duplicateValues" dxfId="3590" priority="3"/>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A270-C9E6-4F40-B312-52F08F90C982}">
  <sheetPr>
    <tabColor theme="4" tint="0.39997558519241921"/>
  </sheetPr>
  <dimension ref="A1:P7"/>
  <sheetViews>
    <sheetView topLeftCell="C1" workbookViewId="0">
      <selection activeCell="H13" sqref="H13"/>
    </sheetView>
  </sheetViews>
  <sheetFormatPr defaultRowHeight="15"/>
  <cols>
    <col min="2" max="2" width="4.5703125" bestFit="1" customWidth="1"/>
    <col min="3" max="3" width="9.85546875" bestFit="1" customWidth="1"/>
    <col min="5" max="5" width="10.85546875" bestFit="1" customWidth="1"/>
    <col min="6" max="7" width="9.7109375" bestFit="1" customWidth="1"/>
    <col min="8" max="11" width="10.42578125" customWidth="1"/>
    <col min="12" max="13" width="11.5703125" customWidth="1"/>
    <col min="14" max="14" width="44.140625" bestFit="1" customWidth="1"/>
    <col min="15" max="15" width="10.85546875" bestFit="1" customWidth="1"/>
    <col min="16" max="16" width="10" bestFit="1" customWidth="1"/>
  </cols>
  <sheetData>
    <row r="1" spans="1:16">
      <c r="B1" s="645" t="s">
        <v>37</v>
      </c>
    </row>
    <row r="2" spans="1:16">
      <c r="B2" s="651" t="s">
        <v>2628</v>
      </c>
    </row>
    <row r="3" spans="1:16">
      <c r="B3" s="651" t="s">
        <v>614</v>
      </c>
    </row>
    <row r="4" spans="1:16">
      <c r="A4" s="651"/>
      <c r="B4" s="651"/>
    </row>
    <row r="5" spans="1:16">
      <c r="B5" s="1522" t="s">
        <v>1782</v>
      </c>
      <c r="C5" s="1522" t="s">
        <v>1433</v>
      </c>
      <c r="D5" s="1523" t="s">
        <v>1869</v>
      </c>
      <c r="E5" s="1522" t="s">
        <v>3603</v>
      </c>
      <c r="F5" s="1522" t="s">
        <v>1418</v>
      </c>
      <c r="G5" s="1522"/>
      <c r="H5" s="1522" t="s">
        <v>1434</v>
      </c>
      <c r="I5" s="1522"/>
      <c r="J5" s="1522" t="s">
        <v>3610</v>
      </c>
      <c r="K5" s="1522"/>
      <c r="L5" s="1522" t="s">
        <v>1435</v>
      </c>
      <c r="M5" s="1522"/>
      <c r="N5" s="1522" t="s">
        <v>19</v>
      </c>
      <c r="O5" s="1522" t="s">
        <v>3419</v>
      </c>
      <c r="P5" s="1522" t="s">
        <v>1412</v>
      </c>
    </row>
    <row r="6" spans="1:16" ht="29.1" customHeight="1">
      <c r="B6" s="1522"/>
      <c r="C6" s="1522"/>
      <c r="D6" s="1523"/>
      <c r="E6" s="1522"/>
      <c r="F6" s="10" t="s">
        <v>1441</v>
      </c>
      <c r="G6" s="10" t="s">
        <v>3605</v>
      </c>
      <c r="H6" s="10" t="s">
        <v>1441</v>
      </c>
      <c r="I6" s="10" t="s">
        <v>3605</v>
      </c>
      <c r="J6" s="10" t="s">
        <v>1441</v>
      </c>
      <c r="K6" s="10" t="s">
        <v>3605</v>
      </c>
      <c r="L6" s="10" t="s">
        <v>1441</v>
      </c>
      <c r="M6" s="10" t="s">
        <v>3605</v>
      </c>
      <c r="N6" s="1522"/>
      <c r="O6" s="1522"/>
      <c r="P6" s="1522"/>
    </row>
    <row r="7" spans="1:16" s="367" customFormat="1" ht="31.5" customHeight="1">
      <c r="B7" s="33">
        <v>1</v>
      </c>
      <c r="C7" s="1398" t="s">
        <v>3778</v>
      </c>
      <c r="D7" s="1167">
        <f>1081.815/1000</f>
        <v>1.081815</v>
      </c>
      <c r="E7" s="33" t="s">
        <v>3609</v>
      </c>
      <c r="F7" s="50">
        <v>46244</v>
      </c>
      <c r="G7" s="50"/>
      <c r="H7" s="50"/>
      <c r="I7" s="50"/>
      <c r="J7" s="50"/>
      <c r="K7" s="50"/>
      <c r="L7" s="50"/>
      <c r="M7" s="50"/>
      <c r="N7" s="1450"/>
      <c r="O7" s="1400" t="s">
        <v>3779</v>
      </c>
      <c r="P7" s="33">
        <v>32</v>
      </c>
    </row>
  </sheetData>
  <mergeCells count="11">
    <mergeCell ref="J5:K5"/>
    <mergeCell ref="L5:M5"/>
    <mergeCell ref="N5:N6"/>
    <mergeCell ref="O5:O6"/>
    <mergeCell ref="P5:P6"/>
    <mergeCell ref="H5:I5"/>
    <mergeCell ref="B5:B6"/>
    <mergeCell ref="C5:C6"/>
    <mergeCell ref="D5:D6"/>
    <mergeCell ref="E5:E6"/>
    <mergeCell ref="F5:G5"/>
  </mergeCells>
  <phoneticPr fontId="206" type="noConversion"/>
  <conditionalFormatting sqref="B4">
    <cfRule type="duplicateValues" dxfId="3589"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theme="4" tint="0.39997558519241921"/>
  </sheetPr>
  <dimension ref="A1:Q19"/>
  <sheetViews>
    <sheetView zoomScale="90" workbookViewId="0">
      <pane xSplit="6" ySplit="6" topLeftCell="I15" activePane="bottomRight" state="frozen"/>
      <selection pane="topRight" activeCell="G1" sqref="G1"/>
      <selection pane="bottomLeft" activeCell="A7" sqref="A7"/>
      <selection pane="bottomRight" activeCell="Q19" sqref="Q19"/>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10.28515625" style="648" bestFit="1" customWidth="1"/>
    <col min="7" max="7" width="10.140625" style="648" bestFit="1" customWidth="1"/>
    <col min="8" max="8" width="11.140625" style="648" bestFit="1" customWidth="1"/>
    <col min="9" max="9" width="10.28515625" style="648" customWidth="1"/>
    <col min="10" max="10" width="12.5703125" style="648" bestFit="1" customWidth="1"/>
    <col min="11" max="11" width="10.28515625" style="648" bestFit="1"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46246</v>
      </c>
    </row>
    <row r="2" spans="1:17" ht="12.75">
      <c r="A2" s="651" t="s">
        <v>3203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17.45" customHeight="1">
      <c r="A5" s="1645" t="s">
        <v>1782</v>
      </c>
      <c r="B5" s="1645" t="s">
        <v>998</v>
      </c>
      <c r="C5" s="1645" t="s">
        <v>44</v>
      </c>
      <c r="D5" s="1645" t="s">
        <v>45</v>
      </c>
      <c r="E5" s="1645" t="s">
        <v>1761</v>
      </c>
      <c r="F5" s="1645" t="s">
        <v>1441</v>
      </c>
      <c r="G5" s="1647" t="s">
        <v>28</v>
      </c>
      <c r="H5" s="1648"/>
      <c r="I5" s="1648"/>
      <c r="J5" s="1648"/>
      <c r="K5" s="1649"/>
      <c r="L5" s="1650" t="s">
        <v>2396</v>
      </c>
      <c r="M5" s="1645" t="s">
        <v>627</v>
      </c>
      <c r="N5" s="1645" t="s">
        <v>609</v>
      </c>
      <c r="O5" s="656" t="s">
        <v>1762</v>
      </c>
      <c r="P5" s="657" t="s">
        <v>1763</v>
      </c>
      <c r="Q5" s="657" t="s">
        <v>1764</v>
      </c>
    </row>
    <row r="6" spans="1:17" s="658" customFormat="1" ht="17.45" customHeight="1">
      <c r="A6" s="1646"/>
      <c r="B6" s="1646"/>
      <c r="C6" s="1646"/>
      <c r="D6" s="1646"/>
      <c r="E6" s="1646"/>
      <c r="F6" s="1646"/>
      <c r="G6" s="656" t="s">
        <v>1416</v>
      </c>
      <c r="H6" s="656" t="s">
        <v>2394</v>
      </c>
      <c r="I6" s="656" t="s">
        <v>2368</v>
      </c>
      <c r="J6" s="656" t="s">
        <v>2395</v>
      </c>
      <c r="K6" s="656" t="s">
        <v>2386</v>
      </c>
      <c r="L6" s="1651"/>
      <c r="M6" s="1646"/>
      <c r="N6" s="1646"/>
      <c r="O6" s="656"/>
      <c r="P6" s="657"/>
      <c r="Q6" s="657"/>
    </row>
    <row r="7" spans="1:17" s="1035" customFormat="1" ht="41.1" customHeight="1">
      <c r="A7" s="747">
        <v>1</v>
      </c>
      <c r="B7" s="748" t="s">
        <v>3025</v>
      </c>
      <c r="C7" s="747" t="s">
        <v>3488</v>
      </c>
      <c r="D7" s="747" t="s">
        <v>92</v>
      </c>
      <c r="E7" s="779">
        <f t="shared" ref="E7:E19" si="0">31.932+4.177</f>
        <v>36.108999999999995</v>
      </c>
      <c r="F7" s="749">
        <v>46121</v>
      </c>
      <c r="G7" s="749">
        <v>46162</v>
      </c>
      <c r="H7" s="749">
        <v>46163</v>
      </c>
      <c r="I7" s="749">
        <v>46164</v>
      </c>
      <c r="J7" s="749">
        <v>46164</v>
      </c>
      <c r="K7" s="749">
        <v>46166</v>
      </c>
      <c r="L7" s="749">
        <v>46166</v>
      </c>
      <c r="M7" s="937" t="s">
        <v>631</v>
      </c>
      <c r="N7" s="937"/>
      <c r="O7" s="747" t="s">
        <v>3204</v>
      </c>
      <c r="P7" s="747">
        <v>12</v>
      </c>
      <c r="Q7" s="854" t="s">
        <v>3749</v>
      </c>
    </row>
    <row r="8" spans="1:17" s="1035" customFormat="1" ht="41.1" customHeight="1">
      <c r="A8" s="747">
        <f>A7+1</f>
        <v>2</v>
      </c>
      <c r="B8" s="748" t="s">
        <v>2392</v>
      </c>
      <c r="C8" s="747" t="s">
        <v>3489</v>
      </c>
      <c r="D8" s="747" t="s">
        <v>92</v>
      </c>
      <c r="E8" s="779">
        <f t="shared" si="0"/>
        <v>36.108999999999995</v>
      </c>
      <c r="F8" s="749">
        <v>46109</v>
      </c>
      <c r="G8" s="749">
        <v>46198</v>
      </c>
      <c r="H8" s="749">
        <v>46199</v>
      </c>
      <c r="I8" s="749">
        <v>46199</v>
      </c>
      <c r="J8" s="749">
        <v>46200</v>
      </c>
      <c r="K8" s="749">
        <v>46200</v>
      </c>
      <c r="L8" s="749">
        <v>46200</v>
      </c>
      <c r="M8" s="937" t="s">
        <v>631</v>
      </c>
      <c r="N8" s="937"/>
      <c r="O8" s="747" t="s">
        <v>3490</v>
      </c>
      <c r="P8" s="747">
        <v>8</v>
      </c>
      <c r="Q8" s="854" t="s">
        <v>3748</v>
      </c>
    </row>
    <row r="9" spans="1:17" s="1035" customFormat="1" ht="40.5" customHeight="1">
      <c r="A9" s="747">
        <f t="shared" ref="A9:A19" si="1">A8+1</f>
        <v>3</v>
      </c>
      <c r="B9" s="748" t="s">
        <v>3027</v>
      </c>
      <c r="C9" s="747" t="s">
        <v>3488</v>
      </c>
      <c r="D9" s="747" t="s">
        <v>92</v>
      </c>
      <c r="E9" s="779">
        <f t="shared" si="0"/>
        <v>36.108999999999995</v>
      </c>
      <c r="F9" s="749">
        <v>46110</v>
      </c>
      <c r="G9" s="749">
        <v>46233</v>
      </c>
      <c r="H9" s="749">
        <v>46233</v>
      </c>
      <c r="I9" s="749">
        <v>46244</v>
      </c>
      <c r="J9" s="749">
        <v>46245</v>
      </c>
      <c r="K9" s="749">
        <v>46245</v>
      </c>
      <c r="L9" s="749">
        <v>46245</v>
      </c>
      <c r="M9" s="937" t="s">
        <v>631</v>
      </c>
      <c r="N9" s="937"/>
      <c r="O9" s="747" t="s">
        <v>3496</v>
      </c>
      <c r="P9" s="747">
        <v>12</v>
      </c>
      <c r="Q9" s="854" t="s">
        <v>3629</v>
      </c>
    </row>
    <row r="10" spans="1:17" s="1035" customFormat="1" ht="40.5" customHeight="1">
      <c r="A10" s="1008">
        <f t="shared" si="1"/>
        <v>4</v>
      </c>
      <c r="B10" s="1009" t="s">
        <v>3029</v>
      </c>
      <c r="C10" s="1008" t="s">
        <v>3489</v>
      </c>
      <c r="D10" s="1008" t="s">
        <v>92</v>
      </c>
      <c r="E10" s="1010">
        <f t="shared" si="0"/>
        <v>36.108999999999995</v>
      </c>
      <c r="F10" s="1011">
        <v>46140</v>
      </c>
      <c r="G10" s="1011"/>
      <c r="H10" s="1011"/>
      <c r="I10" s="1011"/>
      <c r="J10" s="1011"/>
      <c r="K10" s="1011"/>
      <c r="L10" s="1011"/>
      <c r="M10" s="925" t="s">
        <v>22</v>
      </c>
      <c r="N10" s="807"/>
      <c r="O10" s="1008" t="s">
        <v>3496</v>
      </c>
      <c r="P10" s="1008"/>
      <c r="Q10" s="1440" t="s">
        <v>3803</v>
      </c>
    </row>
    <row r="11" spans="1:17" s="1035" customFormat="1" ht="40.5" customHeight="1">
      <c r="A11" s="747">
        <f t="shared" si="1"/>
        <v>5</v>
      </c>
      <c r="B11" s="748" t="s">
        <v>3285</v>
      </c>
      <c r="C11" s="747" t="s">
        <v>3489</v>
      </c>
      <c r="D11" s="747" t="s">
        <v>92</v>
      </c>
      <c r="E11" s="779">
        <f t="shared" si="0"/>
        <v>36.108999999999995</v>
      </c>
      <c r="F11" s="749">
        <v>46160</v>
      </c>
      <c r="G11" s="749">
        <v>46193</v>
      </c>
      <c r="H11" s="749">
        <v>46194</v>
      </c>
      <c r="I11" s="749">
        <v>46194</v>
      </c>
      <c r="J11" s="749">
        <v>46195</v>
      </c>
      <c r="K11" s="749">
        <v>46195</v>
      </c>
      <c r="L11" s="749">
        <v>46195</v>
      </c>
      <c r="M11" s="937" t="s">
        <v>631</v>
      </c>
      <c r="N11" s="937"/>
      <c r="O11" s="747" t="s">
        <v>3490</v>
      </c>
      <c r="P11" s="747">
        <v>5</v>
      </c>
      <c r="Q11" s="854" t="s">
        <v>3629</v>
      </c>
    </row>
    <row r="12" spans="1:17" s="1035" customFormat="1" ht="40.5" customHeight="1">
      <c r="A12" s="747">
        <f t="shared" si="1"/>
        <v>6</v>
      </c>
      <c r="B12" s="748" t="s">
        <v>3024</v>
      </c>
      <c r="C12" s="747" t="s">
        <v>3488</v>
      </c>
      <c r="D12" s="747" t="s">
        <v>92</v>
      </c>
      <c r="E12" s="779">
        <f t="shared" si="0"/>
        <v>36.108999999999995</v>
      </c>
      <c r="F12" s="749">
        <v>46150</v>
      </c>
      <c r="G12" s="749">
        <v>46192</v>
      </c>
      <c r="H12" s="749">
        <v>46196</v>
      </c>
      <c r="I12" s="749">
        <v>46196</v>
      </c>
      <c r="J12" s="749">
        <v>46197</v>
      </c>
      <c r="K12" s="749">
        <v>46197</v>
      </c>
      <c r="L12" s="749">
        <v>46197</v>
      </c>
      <c r="M12" s="937" t="s">
        <v>631</v>
      </c>
      <c r="N12" s="937"/>
      <c r="O12" s="747" t="s">
        <v>3204</v>
      </c>
      <c r="P12" s="747">
        <v>12</v>
      </c>
      <c r="Q12" s="854" t="s">
        <v>3629</v>
      </c>
    </row>
    <row r="13" spans="1:17" s="1035" customFormat="1" ht="40.5" customHeight="1">
      <c r="A13" s="747">
        <f t="shared" si="1"/>
        <v>7</v>
      </c>
      <c r="B13" s="748" t="s">
        <v>3023</v>
      </c>
      <c r="C13" s="747" t="s">
        <v>3488</v>
      </c>
      <c r="D13" s="747" t="s">
        <v>92</v>
      </c>
      <c r="E13" s="779">
        <f t="shared" si="0"/>
        <v>36.108999999999995</v>
      </c>
      <c r="F13" s="749">
        <v>46179</v>
      </c>
      <c r="G13" s="749">
        <v>46188</v>
      </c>
      <c r="H13" s="749">
        <v>46202</v>
      </c>
      <c r="I13" s="749">
        <v>46202</v>
      </c>
      <c r="J13" s="749">
        <v>46202</v>
      </c>
      <c r="K13" s="749">
        <v>46203</v>
      </c>
      <c r="L13" s="749">
        <v>46203</v>
      </c>
      <c r="M13" s="937" t="s">
        <v>631</v>
      </c>
      <c r="N13" s="999">
        <v>46205</v>
      </c>
      <c r="O13" s="747" t="s">
        <v>3596</v>
      </c>
      <c r="P13" s="747">
        <v>12</v>
      </c>
      <c r="Q13" s="854"/>
    </row>
    <row r="14" spans="1:17" s="1035" customFormat="1" ht="40.5" customHeight="1">
      <c r="A14" s="1008">
        <f t="shared" si="1"/>
        <v>8</v>
      </c>
      <c r="B14" s="1009" t="s">
        <v>3614</v>
      </c>
      <c r="C14" s="1008" t="s">
        <v>3489</v>
      </c>
      <c r="D14" s="1008" t="s">
        <v>92</v>
      </c>
      <c r="E14" s="1010">
        <f t="shared" si="0"/>
        <v>36.108999999999995</v>
      </c>
      <c r="F14" s="1011">
        <v>46187</v>
      </c>
      <c r="G14" s="1011"/>
      <c r="H14" s="1011"/>
      <c r="I14" s="1011"/>
      <c r="J14" s="1011"/>
      <c r="K14" s="1011"/>
      <c r="L14" s="1011"/>
      <c r="M14" s="925" t="s">
        <v>22</v>
      </c>
      <c r="N14" s="807"/>
      <c r="O14" s="1008" t="s">
        <v>3204</v>
      </c>
      <c r="P14" s="1008">
        <v>12</v>
      </c>
      <c r="Q14" s="1440" t="s">
        <v>3802</v>
      </c>
    </row>
    <row r="15" spans="1:17" s="1035" customFormat="1" ht="51">
      <c r="A15" s="1008">
        <f t="shared" si="1"/>
        <v>9</v>
      </c>
      <c r="B15" s="1009" t="s">
        <v>3030</v>
      </c>
      <c r="C15" s="1008" t="s">
        <v>3489</v>
      </c>
      <c r="D15" s="1008" t="s">
        <v>92</v>
      </c>
      <c r="E15" s="1010">
        <f t="shared" si="0"/>
        <v>36.108999999999995</v>
      </c>
      <c r="F15" s="1011">
        <v>46193</v>
      </c>
      <c r="G15" s="1011">
        <v>46243</v>
      </c>
      <c r="H15" s="1011"/>
      <c r="I15" s="1011"/>
      <c r="J15" s="1011"/>
      <c r="K15" s="1011"/>
      <c r="L15" s="1011"/>
      <c r="M15" s="925" t="s">
        <v>22</v>
      </c>
      <c r="N15" s="807"/>
      <c r="O15" s="1008" t="s">
        <v>3213</v>
      </c>
      <c r="P15" s="1008">
        <v>14</v>
      </c>
      <c r="Q15" s="1440" t="s">
        <v>3804</v>
      </c>
    </row>
    <row r="16" spans="1:17" s="1035" customFormat="1" ht="40.5" customHeight="1">
      <c r="A16" s="1008">
        <f t="shared" si="1"/>
        <v>10</v>
      </c>
      <c r="B16" s="1009" t="s">
        <v>3031</v>
      </c>
      <c r="C16" s="1008" t="s">
        <v>3636</v>
      </c>
      <c r="D16" s="1008" t="s">
        <v>92</v>
      </c>
      <c r="E16" s="1010">
        <f t="shared" si="0"/>
        <v>36.108999999999995</v>
      </c>
      <c r="F16" s="1011">
        <v>46201</v>
      </c>
      <c r="G16" s="1011">
        <v>46233</v>
      </c>
      <c r="H16" s="1011"/>
      <c r="I16" s="1011"/>
      <c r="J16" s="1011"/>
      <c r="K16" s="1011"/>
      <c r="L16" s="1011"/>
      <c r="M16" s="925" t="s">
        <v>22</v>
      </c>
      <c r="N16" s="807"/>
      <c r="O16" s="1008" t="s">
        <v>3213</v>
      </c>
      <c r="P16" s="1008"/>
      <c r="Q16" s="1440" t="s">
        <v>3699</v>
      </c>
    </row>
    <row r="17" spans="1:17" s="1035" customFormat="1" ht="40.5" customHeight="1">
      <c r="A17" s="747">
        <f t="shared" si="1"/>
        <v>11</v>
      </c>
      <c r="B17" s="748" t="s">
        <v>3638</v>
      </c>
      <c r="C17" s="747" t="s">
        <v>3489</v>
      </c>
      <c r="D17" s="747" t="s">
        <v>92</v>
      </c>
      <c r="E17" s="779">
        <f t="shared" si="0"/>
        <v>36.108999999999995</v>
      </c>
      <c r="F17" s="749">
        <v>46202</v>
      </c>
      <c r="G17" s="749">
        <v>46208</v>
      </c>
      <c r="H17" s="749">
        <v>46243</v>
      </c>
      <c r="I17" s="749">
        <v>46244</v>
      </c>
      <c r="J17" s="749">
        <v>46245</v>
      </c>
      <c r="K17" s="749">
        <v>46245</v>
      </c>
      <c r="L17" s="749">
        <v>46245</v>
      </c>
      <c r="M17" s="937" t="s">
        <v>631</v>
      </c>
      <c r="N17" s="937"/>
      <c r="O17" s="747" t="s">
        <v>3596</v>
      </c>
      <c r="P17" s="747">
        <v>16</v>
      </c>
      <c r="Q17" s="854" t="s">
        <v>3629</v>
      </c>
    </row>
    <row r="18" spans="1:17" s="1035" customFormat="1" ht="40.5" customHeight="1">
      <c r="A18" s="1008">
        <f t="shared" si="1"/>
        <v>12</v>
      </c>
      <c r="B18" s="1009" t="s">
        <v>3645</v>
      </c>
      <c r="C18" s="1008" t="s">
        <v>3489</v>
      </c>
      <c r="D18" s="1008" t="s">
        <v>92</v>
      </c>
      <c r="E18" s="1010">
        <f t="shared" si="0"/>
        <v>36.108999999999995</v>
      </c>
      <c r="F18" s="1011">
        <v>46206</v>
      </c>
      <c r="G18" s="1011"/>
      <c r="H18" s="1011"/>
      <c r="I18" s="1011"/>
      <c r="J18" s="1011"/>
      <c r="K18" s="1011"/>
      <c r="L18" s="1011"/>
      <c r="M18" s="925" t="s">
        <v>22</v>
      </c>
      <c r="N18" s="807"/>
      <c r="O18" s="1008" t="s">
        <v>3596</v>
      </c>
      <c r="P18" s="1008"/>
      <c r="Q18" s="1440" t="s">
        <v>3768</v>
      </c>
    </row>
    <row r="19" spans="1:17" s="1035" customFormat="1" ht="40.5" customHeight="1">
      <c r="A19" s="1008">
        <f t="shared" si="1"/>
        <v>13</v>
      </c>
      <c r="B19" s="1009" t="s">
        <v>3033</v>
      </c>
      <c r="C19" s="1008" t="s">
        <v>3685</v>
      </c>
      <c r="D19" s="1008" t="s">
        <v>92</v>
      </c>
      <c r="E19" s="1010">
        <f t="shared" si="0"/>
        <v>36.108999999999995</v>
      </c>
      <c r="F19" s="1011">
        <v>46233</v>
      </c>
      <c r="G19" s="1011"/>
      <c r="H19" s="1011"/>
      <c r="I19" s="1011"/>
      <c r="J19" s="1011"/>
      <c r="K19" s="1011"/>
      <c r="L19" s="1011"/>
      <c r="M19" s="925" t="s">
        <v>22</v>
      </c>
      <c r="N19" s="807"/>
      <c r="O19" s="1008" t="s">
        <v>3213</v>
      </c>
      <c r="P19" s="1008">
        <v>5</v>
      </c>
      <c r="Q19" s="1440" t="s">
        <v>3750</v>
      </c>
    </row>
  </sheetData>
  <autoFilter ref="A6:Q19"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theme="4" tint="0.39997558519241921"/>
  </sheetPr>
  <dimension ref="A1:L162"/>
  <sheetViews>
    <sheetView zoomScale="90" zoomScaleNormal="90" workbookViewId="0">
      <pane ySplit="6" topLeftCell="A157" activePane="bottomLeft" state="frozen"/>
      <selection activeCell="H158" sqref="H158"/>
      <selection pane="bottomLeft" activeCell="H162" sqref="H162"/>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4.85546875" style="648" bestFit="1" customWidth="1"/>
    <col min="9" max="9" width="19.140625" style="650" bestFit="1" customWidth="1"/>
    <col min="10" max="10" width="12.5703125" style="650" bestFit="1" customWidth="1"/>
    <col min="11" max="11" width="12.5703125" style="1295" hidden="1" customWidth="1"/>
    <col min="12" max="12" width="38.85546875" style="648" bestFit="1" customWidth="1"/>
    <col min="13" max="13" width="7.85546875" style="648" customWidth="1"/>
    <col min="14" max="14" width="12.42578125" style="648" customWidth="1"/>
    <col min="15" max="16384" width="7.85546875" style="648"/>
  </cols>
  <sheetData>
    <row r="1" spans="1:12" ht="12.75">
      <c r="A1" s="1669" t="s">
        <v>37</v>
      </c>
      <c r="B1" s="1669"/>
      <c r="C1" s="1669"/>
      <c r="D1" s="1669"/>
      <c r="E1" s="1669"/>
      <c r="F1" s="1669"/>
      <c r="G1" s="1669"/>
      <c r="H1" s="1669"/>
      <c r="I1" s="695" t="s">
        <v>38</v>
      </c>
      <c r="J1" s="696">
        <f>'TB-605'!E1</f>
        <v>46246</v>
      </c>
      <c r="K1" s="696"/>
    </row>
    <row r="2" spans="1:12" ht="12.75">
      <c r="A2" s="651" t="s">
        <v>2825</v>
      </c>
      <c r="B2" s="652"/>
      <c r="C2" s="653"/>
      <c r="D2" s="653"/>
      <c r="E2" s="653"/>
      <c r="F2" s="653"/>
      <c r="H2" s="653"/>
      <c r="K2" s="650"/>
    </row>
    <row r="3" spans="1:12" ht="12.75">
      <c r="A3" s="651" t="s">
        <v>3200</v>
      </c>
      <c r="B3" s="651"/>
      <c r="C3" s="654"/>
      <c r="D3" s="654"/>
      <c r="E3" s="654"/>
      <c r="F3" s="654"/>
      <c r="H3" s="654"/>
      <c r="K3" s="650"/>
    </row>
    <row r="4" spans="1:12" ht="12.95" customHeight="1">
      <c r="K4" s="650"/>
    </row>
    <row r="5" spans="1:12" s="658" customFormat="1" ht="17.45" customHeight="1">
      <c r="A5" s="1645" t="s">
        <v>1782</v>
      </c>
      <c r="B5" s="1645" t="s">
        <v>998</v>
      </c>
      <c r="C5" s="1645" t="s">
        <v>44</v>
      </c>
      <c r="D5" s="1650" t="s">
        <v>3199</v>
      </c>
      <c r="E5" s="1645" t="s">
        <v>1761</v>
      </c>
      <c r="F5" s="1650" t="s">
        <v>3234</v>
      </c>
      <c r="G5" s="1650" t="s">
        <v>3201</v>
      </c>
      <c r="H5" s="1645" t="s">
        <v>627</v>
      </c>
      <c r="I5" s="1645" t="s">
        <v>1762</v>
      </c>
      <c r="J5" s="1650" t="s">
        <v>1763</v>
      </c>
      <c r="K5" s="1650" t="s">
        <v>3616</v>
      </c>
      <c r="L5" s="657" t="s">
        <v>1764</v>
      </c>
    </row>
    <row r="6" spans="1:12" s="658" customFormat="1" ht="17.45" customHeight="1">
      <c r="A6" s="1646"/>
      <c r="B6" s="1646"/>
      <c r="C6" s="1646"/>
      <c r="D6" s="1646"/>
      <c r="E6" s="1646"/>
      <c r="F6" s="1646"/>
      <c r="G6" s="1646"/>
      <c r="H6" s="1646"/>
      <c r="I6" s="1646"/>
      <c r="J6" s="1651"/>
      <c r="K6" s="1651"/>
      <c r="L6" s="657"/>
    </row>
    <row r="7" spans="1:12" s="1035" customFormat="1" ht="30.95" customHeight="1">
      <c r="A7" s="747">
        <v>1</v>
      </c>
      <c r="B7" s="748" t="s">
        <v>2851</v>
      </c>
      <c r="C7" s="747" t="s">
        <v>62</v>
      </c>
      <c r="D7" s="747">
        <v>19.440000000000001</v>
      </c>
      <c r="E7" s="779">
        <v>34.389000000000003</v>
      </c>
      <c r="F7" s="749">
        <v>46055</v>
      </c>
      <c r="G7" s="749">
        <v>46059</v>
      </c>
      <c r="H7" s="747" t="s">
        <v>631</v>
      </c>
      <c r="I7" s="747" t="s">
        <v>3264</v>
      </c>
      <c r="J7" s="747">
        <v>30</v>
      </c>
      <c r="K7" s="1008"/>
      <c r="L7" s="1088"/>
    </row>
    <row r="8" spans="1:12" s="1035" customFormat="1" ht="30.95" customHeight="1">
      <c r="A8" s="747">
        <f t="shared" ref="A8:A91" si="0">A7+1</f>
        <v>2</v>
      </c>
      <c r="B8" s="748" t="s">
        <v>2379</v>
      </c>
      <c r="C8" s="747" t="s">
        <v>76</v>
      </c>
      <c r="D8" s="1118">
        <v>18.338999999999999</v>
      </c>
      <c r="E8" s="779"/>
      <c r="F8" s="749">
        <v>46056</v>
      </c>
      <c r="G8" s="749">
        <v>46060</v>
      </c>
      <c r="H8" s="747" t="s">
        <v>631</v>
      </c>
      <c r="I8" s="747" t="s">
        <v>3279</v>
      </c>
      <c r="J8" s="747">
        <v>34</v>
      </c>
      <c r="K8" s="1008"/>
      <c r="L8" s="1088"/>
    </row>
    <row r="9" spans="1:12" s="1035" customFormat="1" ht="30.95" customHeight="1">
      <c r="A9" s="747">
        <f t="shared" si="0"/>
        <v>3</v>
      </c>
      <c r="B9" s="748" t="s">
        <v>2869</v>
      </c>
      <c r="C9" s="747" t="s">
        <v>76</v>
      </c>
      <c r="D9" s="1118">
        <v>18.338999999999999</v>
      </c>
      <c r="E9" s="779"/>
      <c r="F9" s="749">
        <v>46059</v>
      </c>
      <c r="G9" s="749">
        <v>46061</v>
      </c>
      <c r="H9" s="747" t="s">
        <v>631</v>
      </c>
      <c r="I9" s="747" t="s">
        <v>3264</v>
      </c>
      <c r="J9" s="747">
        <v>30</v>
      </c>
      <c r="K9" s="1008" t="s">
        <v>631</v>
      </c>
      <c r="L9" s="1088"/>
    </row>
    <row r="10" spans="1:12" s="1035" customFormat="1" ht="30.95" customHeight="1">
      <c r="A10" s="747">
        <f t="shared" si="0"/>
        <v>4</v>
      </c>
      <c r="B10" s="748" t="s">
        <v>2860</v>
      </c>
      <c r="C10" s="747" t="s">
        <v>76</v>
      </c>
      <c r="D10" s="1118">
        <v>18.338999999999999</v>
      </c>
      <c r="E10" s="779"/>
      <c r="F10" s="749">
        <v>46058</v>
      </c>
      <c r="G10" s="749">
        <v>46062</v>
      </c>
      <c r="H10" s="747" t="s">
        <v>631</v>
      </c>
      <c r="I10" s="747" t="s">
        <v>3284</v>
      </c>
      <c r="J10" s="747">
        <v>22</v>
      </c>
      <c r="K10" s="1008"/>
      <c r="L10" s="1088"/>
    </row>
    <row r="11" spans="1:12" s="1035" customFormat="1" ht="30.95" customHeight="1">
      <c r="A11" s="747">
        <f t="shared" si="0"/>
        <v>5</v>
      </c>
      <c r="B11" s="748" t="s">
        <v>2847</v>
      </c>
      <c r="C11" s="747" t="s">
        <v>53</v>
      </c>
      <c r="D11" s="747">
        <v>22.68</v>
      </c>
      <c r="E11" s="779">
        <v>21.318000000000001</v>
      </c>
      <c r="F11" s="749">
        <v>46055</v>
      </c>
      <c r="G11" s="749">
        <v>46063</v>
      </c>
      <c r="H11" s="747" t="s">
        <v>631</v>
      </c>
      <c r="I11" s="747" t="s">
        <v>3265</v>
      </c>
      <c r="J11" s="747">
        <v>32</v>
      </c>
      <c r="K11" s="1008"/>
      <c r="L11" s="1088"/>
    </row>
    <row r="12" spans="1:12" s="1035" customFormat="1" ht="30.95" customHeight="1">
      <c r="A12" s="747">
        <f t="shared" si="0"/>
        <v>6</v>
      </c>
      <c r="B12" s="748" t="s">
        <v>2378</v>
      </c>
      <c r="C12" s="747" t="s">
        <v>76</v>
      </c>
      <c r="D12" s="1118">
        <v>18.338999999999999</v>
      </c>
      <c r="E12" s="779"/>
      <c r="F12" s="749">
        <v>46060</v>
      </c>
      <c r="G12" s="749">
        <v>46064</v>
      </c>
      <c r="H12" s="747" t="s">
        <v>631</v>
      </c>
      <c r="I12" s="747" t="s">
        <v>3279</v>
      </c>
      <c r="J12" s="747">
        <v>34</v>
      </c>
      <c r="K12" s="1008"/>
      <c r="L12" s="1088"/>
    </row>
    <row r="13" spans="1:12" s="1035" customFormat="1" ht="30.95" customHeight="1">
      <c r="A13" s="747">
        <f t="shared" si="0"/>
        <v>7</v>
      </c>
      <c r="B13" s="748" t="s">
        <v>2858</v>
      </c>
      <c r="C13" s="747" t="s">
        <v>76</v>
      </c>
      <c r="D13" s="1118">
        <v>18.338999999999999</v>
      </c>
      <c r="E13" s="779"/>
      <c r="F13" s="749">
        <v>46061</v>
      </c>
      <c r="G13" s="749">
        <v>46064</v>
      </c>
      <c r="H13" s="747" t="s">
        <v>631</v>
      </c>
      <c r="I13" s="747" t="s">
        <v>3264</v>
      </c>
      <c r="J13" s="747">
        <v>30</v>
      </c>
      <c r="K13" s="1008" t="s">
        <v>631</v>
      </c>
      <c r="L13" s="1088"/>
    </row>
    <row r="14" spans="1:12" s="1035" customFormat="1" ht="30.95" customHeight="1">
      <c r="A14" s="747">
        <f t="shared" si="0"/>
        <v>8</v>
      </c>
      <c r="B14" s="748" t="s">
        <v>2870</v>
      </c>
      <c r="C14" s="747" t="s">
        <v>76</v>
      </c>
      <c r="D14" s="1118">
        <v>18.338999999999999</v>
      </c>
      <c r="E14" s="779"/>
      <c r="F14" s="749">
        <v>46062</v>
      </c>
      <c r="G14" s="749">
        <v>46065</v>
      </c>
      <c r="H14" s="747" t="s">
        <v>631</v>
      </c>
      <c r="I14" s="747" t="s">
        <v>3284</v>
      </c>
      <c r="J14" s="747">
        <v>22</v>
      </c>
      <c r="K14" s="1008"/>
      <c r="L14" s="1088"/>
    </row>
    <row r="15" spans="1:12" s="1035" customFormat="1" ht="30.95" customHeight="1">
      <c r="A15" s="747">
        <f t="shared" si="0"/>
        <v>9</v>
      </c>
      <c r="B15" s="748" t="s">
        <v>3094</v>
      </c>
      <c r="C15" s="747" t="s">
        <v>76</v>
      </c>
      <c r="D15" s="1118">
        <v>18.338999999999999</v>
      </c>
      <c r="E15" s="779"/>
      <c r="F15" s="749">
        <v>46064</v>
      </c>
      <c r="G15" s="749">
        <v>46066</v>
      </c>
      <c r="H15" s="747" t="s">
        <v>631</v>
      </c>
      <c r="I15" s="747" t="s">
        <v>3264</v>
      </c>
      <c r="J15" s="747">
        <v>30</v>
      </c>
      <c r="K15" s="1008" t="s">
        <v>631</v>
      </c>
      <c r="L15" s="1088"/>
    </row>
    <row r="16" spans="1:12" s="1035" customFormat="1" ht="30.95" customHeight="1">
      <c r="A16" s="747">
        <f t="shared" si="0"/>
        <v>10</v>
      </c>
      <c r="B16" s="748" t="s">
        <v>2453</v>
      </c>
      <c r="C16" s="747" t="s">
        <v>62</v>
      </c>
      <c r="D16" s="747">
        <v>19.440000000000001</v>
      </c>
      <c r="E16" s="779"/>
      <c r="F16" s="749">
        <v>46064</v>
      </c>
      <c r="G16" s="749">
        <v>46069</v>
      </c>
      <c r="H16" s="747" t="s">
        <v>631</v>
      </c>
      <c r="I16" s="747" t="s">
        <v>3296</v>
      </c>
      <c r="J16" s="747">
        <v>34</v>
      </c>
      <c r="K16" s="1008"/>
      <c r="L16" s="1088"/>
    </row>
    <row r="17" spans="1:12" s="1035" customFormat="1" ht="30.95" customHeight="1">
      <c r="A17" s="747">
        <f t="shared" si="0"/>
        <v>11</v>
      </c>
      <c r="B17" s="748" t="s">
        <v>2842</v>
      </c>
      <c r="C17" s="747" t="s">
        <v>76</v>
      </c>
      <c r="D17" s="1118">
        <v>18.338999999999999</v>
      </c>
      <c r="E17" s="779"/>
      <c r="F17" s="749">
        <v>46065</v>
      </c>
      <c r="G17" s="749">
        <v>46069</v>
      </c>
      <c r="H17" s="747" t="s">
        <v>631</v>
      </c>
      <c r="I17" s="747" t="s">
        <v>3297</v>
      </c>
      <c r="J17" s="747">
        <v>30</v>
      </c>
      <c r="K17" s="1008"/>
      <c r="L17" s="1088"/>
    </row>
    <row r="18" spans="1:12" s="1035" customFormat="1" ht="30.95" customHeight="1">
      <c r="A18" s="747">
        <f t="shared" si="0"/>
        <v>12</v>
      </c>
      <c r="B18" s="748" t="s">
        <v>2503</v>
      </c>
      <c r="C18" s="747" t="s">
        <v>76</v>
      </c>
      <c r="D18" s="1118">
        <v>18.338999999999999</v>
      </c>
      <c r="E18" s="779"/>
      <c r="F18" s="749">
        <v>46065</v>
      </c>
      <c r="G18" s="749">
        <v>46070</v>
      </c>
      <c r="H18" s="747" t="s">
        <v>631</v>
      </c>
      <c r="I18" s="747" t="s">
        <v>3293</v>
      </c>
      <c r="J18" s="747">
        <v>30</v>
      </c>
      <c r="K18" s="1008"/>
      <c r="L18" s="1088"/>
    </row>
    <row r="19" spans="1:12" s="1035" customFormat="1" ht="30.95" customHeight="1">
      <c r="A19" s="747">
        <f t="shared" si="0"/>
        <v>13</v>
      </c>
      <c r="B19" s="748" t="s">
        <v>3093</v>
      </c>
      <c r="C19" s="747" t="s">
        <v>62</v>
      </c>
      <c r="D19" s="747">
        <v>19.440000000000001</v>
      </c>
      <c r="E19" s="779"/>
      <c r="F19" s="749">
        <v>46065</v>
      </c>
      <c r="G19" s="749">
        <v>46070</v>
      </c>
      <c r="H19" s="747" t="s">
        <v>631</v>
      </c>
      <c r="I19" s="747" t="s">
        <v>3284</v>
      </c>
      <c r="J19" s="747">
        <v>22</v>
      </c>
      <c r="K19" s="1008"/>
      <c r="L19" s="1088"/>
    </row>
    <row r="20" spans="1:12" s="1035" customFormat="1" ht="30.95" customHeight="1">
      <c r="A20" s="747">
        <f t="shared" si="0"/>
        <v>14</v>
      </c>
      <c r="B20" s="748" t="s">
        <v>2960</v>
      </c>
      <c r="C20" s="747" t="s">
        <v>1277</v>
      </c>
      <c r="D20" s="1118">
        <v>32.222000000000001</v>
      </c>
      <c r="E20" s="779"/>
      <c r="F20" s="749">
        <v>46066</v>
      </c>
      <c r="G20" s="749">
        <v>46070</v>
      </c>
      <c r="H20" s="747" t="s">
        <v>631</v>
      </c>
      <c r="I20" s="747" t="s">
        <v>3264</v>
      </c>
      <c r="J20" s="747">
        <v>30</v>
      </c>
      <c r="K20" s="1008" t="s">
        <v>631</v>
      </c>
      <c r="L20" s="1088"/>
    </row>
    <row r="21" spans="1:12" s="1035" customFormat="1" ht="30.95" customHeight="1">
      <c r="A21" s="747">
        <f t="shared" si="0"/>
        <v>15</v>
      </c>
      <c r="B21" s="748" t="s">
        <v>2859</v>
      </c>
      <c r="C21" s="747" t="s">
        <v>76</v>
      </c>
      <c r="D21" s="1118">
        <v>18.338999999999999</v>
      </c>
      <c r="E21" s="779"/>
      <c r="F21" s="749">
        <v>46070</v>
      </c>
      <c r="G21" s="749">
        <v>46073</v>
      </c>
      <c r="H21" s="747" t="s">
        <v>631</v>
      </c>
      <c r="I21" s="747" t="s">
        <v>3297</v>
      </c>
      <c r="J21" s="747">
        <v>30</v>
      </c>
      <c r="K21" s="1008" t="s">
        <v>631</v>
      </c>
      <c r="L21" s="1088"/>
    </row>
    <row r="22" spans="1:12" s="1035" customFormat="1" ht="30.95" customHeight="1">
      <c r="A22" s="747">
        <f t="shared" si="0"/>
        <v>16</v>
      </c>
      <c r="B22" s="748" t="s">
        <v>2995</v>
      </c>
      <c r="C22" s="747" t="s">
        <v>1269</v>
      </c>
      <c r="D22" s="1118">
        <v>27.92</v>
      </c>
      <c r="E22" s="779"/>
      <c r="F22" s="749">
        <v>46069</v>
      </c>
      <c r="G22" s="749">
        <v>46073</v>
      </c>
      <c r="H22" s="747" t="s">
        <v>631</v>
      </c>
      <c r="I22" s="747" t="s">
        <v>3296</v>
      </c>
      <c r="J22" s="747">
        <v>34</v>
      </c>
      <c r="K22" s="1008" t="s">
        <v>631</v>
      </c>
      <c r="L22" s="1088"/>
    </row>
    <row r="23" spans="1:12" s="1035" customFormat="1" ht="30.95" customHeight="1">
      <c r="A23" s="747">
        <f t="shared" si="0"/>
        <v>17</v>
      </c>
      <c r="B23" s="748" t="s">
        <v>3108</v>
      </c>
      <c r="C23" s="747" t="s">
        <v>62</v>
      </c>
      <c r="D23" s="1118">
        <v>19.440000000000001</v>
      </c>
      <c r="E23" s="779"/>
      <c r="F23" s="749">
        <v>46070</v>
      </c>
      <c r="G23" s="749">
        <v>46073</v>
      </c>
      <c r="H23" s="747" t="s">
        <v>631</v>
      </c>
      <c r="I23" s="747" t="s">
        <v>3284</v>
      </c>
      <c r="J23" s="747">
        <v>22</v>
      </c>
      <c r="K23" s="1008"/>
      <c r="L23" s="1088"/>
    </row>
    <row r="24" spans="1:12" s="1035" customFormat="1" ht="30.95" customHeight="1">
      <c r="A24" s="1042">
        <f t="shared" si="0"/>
        <v>18</v>
      </c>
      <c r="B24" s="1043" t="s">
        <v>2201</v>
      </c>
      <c r="C24" s="1042" t="s">
        <v>76</v>
      </c>
      <c r="D24" s="1118">
        <v>18.338999999999999</v>
      </c>
      <c r="E24" s="943"/>
      <c r="F24" s="1044">
        <v>46070</v>
      </c>
      <c r="G24" s="1044">
        <v>46075</v>
      </c>
      <c r="H24" s="747" t="s">
        <v>631</v>
      </c>
      <c r="I24" s="1042" t="s">
        <v>1783</v>
      </c>
      <c r="J24" s="1042">
        <v>23</v>
      </c>
      <c r="K24" s="1008" t="s">
        <v>631</v>
      </c>
      <c r="L24" s="1088"/>
    </row>
    <row r="25" spans="1:12" s="1035" customFormat="1" ht="30.95" customHeight="1">
      <c r="A25" s="1042">
        <f t="shared" si="0"/>
        <v>19</v>
      </c>
      <c r="B25" s="1043" t="s">
        <v>2957</v>
      </c>
      <c r="C25" s="1042" t="s">
        <v>1269</v>
      </c>
      <c r="D25" s="1119">
        <v>27.92</v>
      </c>
      <c r="E25" s="943"/>
      <c r="F25" s="1044">
        <v>46070</v>
      </c>
      <c r="G25" s="1044">
        <v>46074</v>
      </c>
      <c r="H25" s="747" t="s">
        <v>631</v>
      </c>
      <c r="I25" s="1042" t="s">
        <v>3264</v>
      </c>
      <c r="J25" s="1042">
        <v>30</v>
      </c>
      <c r="K25" s="1008" t="s">
        <v>631</v>
      </c>
      <c r="L25" s="1088"/>
    </row>
    <row r="26" spans="1:12" s="1035" customFormat="1" ht="30.95" customHeight="1">
      <c r="A26" s="1042">
        <f t="shared" si="0"/>
        <v>20</v>
      </c>
      <c r="B26" s="1043" t="s">
        <v>2504</v>
      </c>
      <c r="C26" s="1042" t="s">
        <v>62</v>
      </c>
      <c r="D26" s="1119">
        <v>19.440000000000001</v>
      </c>
      <c r="E26" s="943"/>
      <c r="F26" s="1044">
        <v>46070</v>
      </c>
      <c r="G26" s="1044">
        <v>46075</v>
      </c>
      <c r="H26" s="1042" t="s">
        <v>631</v>
      </c>
      <c r="I26" s="1042" t="s">
        <v>3293</v>
      </c>
      <c r="J26" s="1042">
        <v>30</v>
      </c>
      <c r="K26" s="1008"/>
      <c r="L26" s="1088"/>
    </row>
    <row r="27" spans="1:12" s="1035" customFormat="1" ht="30.95" customHeight="1">
      <c r="A27" s="747">
        <f t="shared" si="0"/>
        <v>21</v>
      </c>
      <c r="B27" s="748" t="s">
        <v>2377</v>
      </c>
      <c r="C27" s="747" t="s">
        <v>76</v>
      </c>
      <c r="D27" s="1118">
        <v>18.338999999999999</v>
      </c>
      <c r="E27" s="779"/>
      <c r="F27" s="749">
        <v>46074</v>
      </c>
      <c r="G27" s="749">
        <v>46076</v>
      </c>
      <c r="H27" s="747" t="s">
        <v>631</v>
      </c>
      <c r="I27" s="747" t="s">
        <v>3296</v>
      </c>
      <c r="J27" s="747">
        <v>34</v>
      </c>
      <c r="K27" s="1008"/>
      <c r="L27" s="1088"/>
    </row>
    <row r="28" spans="1:12" s="1035" customFormat="1" ht="30.95" customHeight="1">
      <c r="A28" s="747">
        <f t="shared" si="0"/>
        <v>22</v>
      </c>
      <c r="B28" s="748" t="s">
        <v>2963</v>
      </c>
      <c r="C28" s="747" t="s">
        <v>90</v>
      </c>
      <c r="D28" s="1118">
        <v>29.492000000000001</v>
      </c>
      <c r="E28" s="779"/>
      <c r="F28" s="749">
        <v>46075</v>
      </c>
      <c r="G28" s="749">
        <v>46079</v>
      </c>
      <c r="H28" s="747" t="s">
        <v>631</v>
      </c>
      <c r="I28" s="747" t="s">
        <v>3284</v>
      </c>
      <c r="J28" s="747">
        <v>22</v>
      </c>
      <c r="K28" s="1008"/>
      <c r="L28" s="1088"/>
    </row>
    <row r="29" spans="1:12" s="1035" customFormat="1" ht="30.95" customHeight="1">
      <c r="A29" s="747">
        <f t="shared" si="0"/>
        <v>23</v>
      </c>
      <c r="B29" s="748" t="s">
        <v>2955</v>
      </c>
      <c r="C29" s="747" t="s">
        <v>1277</v>
      </c>
      <c r="D29" s="1118">
        <v>32.222000000000001</v>
      </c>
      <c r="E29" s="779"/>
      <c r="F29" s="749">
        <v>46073</v>
      </c>
      <c r="G29" s="749">
        <v>46078</v>
      </c>
      <c r="H29" s="747" t="s">
        <v>631</v>
      </c>
      <c r="I29" s="747" t="s">
        <v>3297</v>
      </c>
      <c r="J29" s="747">
        <v>30</v>
      </c>
      <c r="K29" s="1008" t="s">
        <v>631</v>
      </c>
      <c r="L29" s="1088"/>
    </row>
    <row r="30" spans="1:12" s="1035" customFormat="1" ht="30.95" customHeight="1">
      <c r="A30" s="747">
        <f t="shared" si="0"/>
        <v>24</v>
      </c>
      <c r="B30" s="748" t="s">
        <v>2958</v>
      </c>
      <c r="C30" s="747" t="s">
        <v>1361</v>
      </c>
      <c r="D30" s="1118">
        <v>33.53</v>
      </c>
      <c r="E30" s="779"/>
      <c r="F30" s="749">
        <v>46074</v>
      </c>
      <c r="G30" s="749">
        <v>46078</v>
      </c>
      <c r="H30" s="747" t="s">
        <v>631</v>
      </c>
      <c r="I30" s="747" t="s">
        <v>3264</v>
      </c>
      <c r="J30" s="747">
        <v>30</v>
      </c>
      <c r="K30" s="1008" t="s">
        <v>631</v>
      </c>
      <c r="L30" s="1088"/>
    </row>
    <row r="31" spans="1:12" s="1035" customFormat="1" ht="30.95" customHeight="1">
      <c r="A31" s="1042">
        <f t="shared" si="0"/>
        <v>25</v>
      </c>
      <c r="B31" s="1043" t="s">
        <v>2202</v>
      </c>
      <c r="C31" s="1042" t="s">
        <v>62</v>
      </c>
      <c r="D31" s="1119">
        <v>19.440000000000001</v>
      </c>
      <c r="E31" s="943"/>
      <c r="F31" s="1044">
        <v>46075</v>
      </c>
      <c r="G31" s="1044">
        <v>46080</v>
      </c>
      <c r="H31" s="1042" t="s">
        <v>631</v>
      </c>
      <c r="I31" s="1042" t="s">
        <v>1783</v>
      </c>
      <c r="J31" s="1042">
        <v>23</v>
      </c>
      <c r="K31" s="1008" t="s">
        <v>631</v>
      </c>
      <c r="L31" s="1088"/>
    </row>
    <row r="32" spans="1:12" s="1035" customFormat="1" ht="30.95" customHeight="1">
      <c r="A32" s="1042">
        <f t="shared" si="0"/>
        <v>26</v>
      </c>
      <c r="B32" s="1043" t="s">
        <v>2502</v>
      </c>
      <c r="C32" s="1042" t="s">
        <v>62</v>
      </c>
      <c r="D32" s="1119">
        <v>19.440000000000001</v>
      </c>
      <c r="E32" s="943"/>
      <c r="F32" s="1044">
        <v>46076</v>
      </c>
      <c r="G32" s="1044">
        <v>46080</v>
      </c>
      <c r="H32" s="1042" t="s">
        <v>631</v>
      </c>
      <c r="I32" s="1042" t="s">
        <v>3293</v>
      </c>
      <c r="J32" s="1042">
        <v>30</v>
      </c>
      <c r="K32" s="1008"/>
      <c r="L32" s="1088"/>
    </row>
    <row r="33" spans="1:12" s="1035" customFormat="1" ht="30.95" customHeight="1">
      <c r="A33" s="747">
        <f t="shared" si="0"/>
        <v>27</v>
      </c>
      <c r="B33" s="748" t="s">
        <v>2997</v>
      </c>
      <c r="C33" s="747" t="s">
        <v>1269</v>
      </c>
      <c r="D33" s="1118">
        <v>27.92</v>
      </c>
      <c r="E33" s="779"/>
      <c r="F33" s="749">
        <v>46077</v>
      </c>
      <c r="G33" s="749">
        <v>46081</v>
      </c>
      <c r="H33" s="747" t="s">
        <v>631</v>
      </c>
      <c r="I33" s="747" t="s">
        <v>3297</v>
      </c>
      <c r="J33" s="747">
        <v>30</v>
      </c>
      <c r="K33" s="1008" t="s">
        <v>631</v>
      </c>
      <c r="L33" s="1088"/>
    </row>
    <row r="34" spans="1:12" s="1035" customFormat="1" ht="30.95" customHeight="1">
      <c r="A34" s="747">
        <f t="shared" si="0"/>
        <v>28</v>
      </c>
      <c r="B34" s="748" t="s">
        <v>3247</v>
      </c>
      <c r="C34" s="747" t="s">
        <v>62</v>
      </c>
      <c r="D34" s="1118">
        <v>19.440000000000001</v>
      </c>
      <c r="E34" s="779"/>
      <c r="F34" s="749">
        <v>46078</v>
      </c>
      <c r="G34" s="749">
        <v>46081</v>
      </c>
      <c r="H34" s="747" t="s">
        <v>631</v>
      </c>
      <c r="I34" s="747" t="s">
        <v>3264</v>
      </c>
      <c r="J34" s="747">
        <v>30</v>
      </c>
      <c r="K34" s="1008"/>
      <c r="L34" s="1088"/>
    </row>
    <row r="35" spans="1:12" s="1035" customFormat="1" ht="30.95" customHeight="1">
      <c r="A35" s="747">
        <f t="shared" si="0"/>
        <v>29</v>
      </c>
      <c r="B35" s="748" t="s">
        <v>2871</v>
      </c>
      <c r="C35" s="747" t="s">
        <v>62</v>
      </c>
      <c r="D35" s="1118">
        <v>19.440000000000001</v>
      </c>
      <c r="E35" s="779"/>
      <c r="F35" s="749">
        <v>46078</v>
      </c>
      <c r="G35" s="749">
        <v>46081</v>
      </c>
      <c r="H35" s="747" t="s">
        <v>631</v>
      </c>
      <c r="I35" s="747" t="s">
        <v>3297</v>
      </c>
      <c r="J35" s="747">
        <v>30</v>
      </c>
      <c r="K35" s="1008"/>
      <c r="L35" s="1088"/>
    </row>
    <row r="36" spans="1:12" s="1035" customFormat="1" ht="30.95" customHeight="1">
      <c r="A36" s="747">
        <f t="shared" si="0"/>
        <v>30</v>
      </c>
      <c r="B36" s="748" t="s">
        <v>2965</v>
      </c>
      <c r="C36" s="747" t="s">
        <v>1269</v>
      </c>
      <c r="D36" s="1118">
        <v>27.92</v>
      </c>
      <c r="E36" s="779"/>
      <c r="F36" s="749">
        <v>46079</v>
      </c>
      <c r="G36" s="749">
        <v>46083</v>
      </c>
      <c r="H36" s="747" t="s">
        <v>631</v>
      </c>
      <c r="I36" s="747" t="s">
        <v>3284</v>
      </c>
      <c r="J36" s="747">
        <v>22</v>
      </c>
      <c r="K36" s="1008"/>
      <c r="L36" s="1088"/>
    </row>
    <row r="37" spans="1:12" s="1035" customFormat="1" ht="30.95" customHeight="1">
      <c r="A37" s="1042">
        <f t="shared" si="0"/>
        <v>31</v>
      </c>
      <c r="B37" s="1043" t="s">
        <v>495</v>
      </c>
      <c r="C37" s="1042" t="s">
        <v>249</v>
      </c>
      <c r="D37" s="1119">
        <v>24.149000000000001</v>
      </c>
      <c r="E37" s="943"/>
      <c r="F37" s="1044">
        <v>46080</v>
      </c>
      <c r="G37" s="1044">
        <v>46086</v>
      </c>
      <c r="H37" s="1042" t="s">
        <v>631</v>
      </c>
      <c r="I37" s="1042" t="s">
        <v>1783</v>
      </c>
      <c r="J37" s="1042">
        <v>23</v>
      </c>
      <c r="K37" s="1008" t="s">
        <v>631</v>
      </c>
      <c r="L37" s="1088"/>
    </row>
    <row r="38" spans="1:12" s="1035" customFormat="1" ht="30.95" customHeight="1">
      <c r="A38" s="747">
        <f t="shared" si="0"/>
        <v>32</v>
      </c>
      <c r="B38" s="748" t="s">
        <v>2500</v>
      </c>
      <c r="C38" s="747" t="s">
        <v>62</v>
      </c>
      <c r="D38" s="1118">
        <v>19.440000000000001</v>
      </c>
      <c r="E38" s="779"/>
      <c r="F38" s="749">
        <v>46080</v>
      </c>
      <c r="G38" s="749">
        <v>46083</v>
      </c>
      <c r="H38" s="747" t="s">
        <v>631</v>
      </c>
      <c r="I38" s="747" t="s">
        <v>3293</v>
      </c>
      <c r="J38" s="747">
        <v>30</v>
      </c>
      <c r="K38" s="1008"/>
      <c r="L38" s="1088"/>
    </row>
    <row r="39" spans="1:12" s="1035" customFormat="1" ht="30.95" customHeight="1">
      <c r="A39" s="1042">
        <f t="shared" si="0"/>
        <v>33</v>
      </c>
      <c r="B39" s="1043" t="s">
        <v>2389</v>
      </c>
      <c r="C39" s="1042" t="s">
        <v>1995</v>
      </c>
      <c r="D39" s="1119">
        <v>44.070999999999998</v>
      </c>
      <c r="E39" s="943"/>
      <c r="F39" s="1044">
        <v>46082</v>
      </c>
      <c r="G39" s="1044">
        <v>46090</v>
      </c>
      <c r="H39" s="1042" t="s">
        <v>631</v>
      </c>
      <c r="I39" s="1042" t="s">
        <v>3264</v>
      </c>
      <c r="J39" s="1042">
        <v>30</v>
      </c>
      <c r="K39" s="1008" t="s">
        <v>631</v>
      </c>
      <c r="L39" s="1088"/>
    </row>
    <row r="40" spans="1:12" s="1035" customFormat="1" ht="30.95" customHeight="1">
      <c r="A40" s="1042">
        <f t="shared" si="0"/>
        <v>34</v>
      </c>
      <c r="B40" s="1043" t="s">
        <v>2387</v>
      </c>
      <c r="C40" s="1042" t="s">
        <v>1935</v>
      </c>
      <c r="D40" s="1119">
        <v>52.662999999999997</v>
      </c>
      <c r="E40" s="943"/>
      <c r="F40" s="1044">
        <v>46082</v>
      </c>
      <c r="G40" s="1044">
        <v>46094</v>
      </c>
      <c r="H40" s="1042" t="s">
        <v>631</v>
      </c>
      <c r="I40" s="1042" t="s">
        <v>3279</v>
      </c>
      <c r="J40" s="1042">
        <v>30</v>
      </c>
      <c r="K40" s="1008"/>
      <c r="L40" s="1088"/>
    </row>
    <row r="41" spans="1:12" s="1035" customFormat="1" ht="30.95" customHeight="1">
      <c r="A41" s="1042">
        <f t="shared" si="0"/>
        <v>35</v>
      </c>
      <c r="B41" s="1043" t="s">
        <v>3109</v>
      </c>
      <c r="C41" s="1042" t="s">
        <v>76</v>
      </c>
      <c r="D41" s="1119">
        <v>18.338999999999999</v>
      </c>
      <c r="E41" s="943"/>
      <c r="F41" s="1044">
        <v>46083</v>
      </c>
      <c r="G41" s="1044">
        <v>46088</v>
      </c>
      <c r="H41" s="1042" t="s">
        <v>631</v>
      </c>
      <c r="I41" s="1042" t="s">
        <v>3284</v>
      </c>
      <c r="J41" s="1042">
        <v>22</v>
      </c>
      <c r="K41" s="1008"/>
      <c r="L41" s="1088"/>
    </row>
    <row r="42" spans="1:12" s="1035" customFormat="1" ht="30.95" customHeight="1">
      <c r="A42" s="747">
        <f t="shared" si="0"/>
        <v>36</v>
      </c>
      <c r="B42" s="748" t="s">
        <v>2508</v>
      </c>
      <c r="C42" s="747" t="s">
        <v>62</v>
      </c>
      <c r="D42" s="1118">
        <v>19.442</v>
      </c>
      <c r="E42" s="779"/>
      <c r="F42" s="749">
        <v>46083</v>
      </c>
      <c r="G42" s="749">
        <v>46089</v>
      </c>
      <c r="H42" s="747" t="s">
        <v>631</v>
      </c>
      <c r="I42" s="747" t="s">
        <v>3293</v>
      </c>
      <c r="J42" s="747">
        <v>30</v>
      </c>
      <c r="K42" s="1008"/>
      <c r="L42" s="1088"/>
    </row>
    <row r="43" spans="1:12" s="1035" customFormat="1" ht="30.95" customHeight="1">
      <c r="A43" s="747">
        <f t="shared" si="0"/>
        <v>37</v>
      </c>
      <c r="B43" s="748" t="s">
        <v>2203</v>
      </c>
      <c r="C43" s="747" t="s">
        <v>62</v>
      </c>
      <c r="D43" s="1118">
        <v>19.442</v>
      </c>
      <c r="E43" s="779"/>
      <c r="F43" s="749">
        <v>46086</v>
      </c>
      <c r="G43" s="749">
        <v>46091</v>
      </c>
      <c r="H43" s="747" t="s">
        <v>631</v>
      </c>
      <c r="I43" s="747" t="s">
        <v>1783</v>
      </c>
      <c r="J43" s="747">
        <v>23</v>
      </c>
      <c r="K43" s="1008" t="s">
        <v>631</v>
      </c>
      <c r="L43" s="1088"/>
    </row>
    <row r="44" spans="1:12" s="1035" customFormat="1" ht="30.95" customHeight="1">
      <c r="A44" s="1042">
        <f t="shared" si="0"/>
        <v>38</v>
      </c>
      <c r="B44" s="1043" t="s">
        <v>2450</v>
      </c>
      <c r="C44" s="1042" t="s">
        <v>76</v>
      </c>
      <c r="D44" s="1119">
        <v>18.34</v>
      </c>
      <c r="E44" s="943"/>
      <c r="F44" s="1044">
        <v>46088</v>
      </c>
      <c r="G44" s="1044">
        <v>46090</v>
      </c>
      <c r="H44" s="747" t="s">
        <v>631</v>
      </c>
      <c r="I44" s="1042" t="s">
        <v>3284</v>
      </c>
      <c r="J44" s="1042">
        <v>22</v>
      </c>
      <c r="K44" s="1008"/>
      <c r="L44" s="1088"/>
    </row>
    <row r="45" spans="1:12" s="1035" customFormat="1" ht="30.95" customHeight="1">
      <c r="A45" s="1042">
        <f t="shared" si="0"/>
        <v>39</v>
      </c>
      <c r="B45" s="1043" t="s">
        <v>3160</v>
      </c>
      <c r="C45" s="1042" t="s">
        <v>76</v>
      </c>
      <c r="D45" s="1119">
        <v>18.34</v>
      </c>
      <c r="E45" s="943"/>
      <c r="F45" s="1044">
        <v>46088</v>
      </c>
      <c r="G45" s="1044">
        <v>46094</v>
      </c>
      <c r="H45" s="747" t="s">
        <v>631</v>
      </c>
      <c r="I45" s="1042" t="s">
        <v>3327</v>
      </c>
      <c r="J45" s="1042">
        <v>25</v>
      </c>
      <c r="K45" s="1008"/>
      <c r="L45" s="1088"/>
    </row>
    <row r="46" spans="1:12" s="1035" customFormat="1" ht="30.95" customHeight="1">
      <c r="A46" s="1042">
        <f t="shared" si="0"/>
        <v>40</v>
      </c>
      <c r="B46" s="1043" t="s">
        <v>3118</v>
      </c>
      <c r="C46" s="1042" t="s">
        <v>76</v>
      </c>
      <c r="D46" s="1119">
        <v>18.34</v>
      </c>
      <c r="E46" s="943"/>
      <c r="F46" s="1044">
        <v>46089</v>
      </c>
      <c r="G46" s="1044">
        <v>46094</v>
      </c>
      <c r="H46" s="747" t="s">
        <v>631</v>
      </c>
      <c r="I46" s="1042" t="s">
        <v>3293</v>
      </c>
      <c r="J46" s="1042">
        <v>30</v>
      </c>
      <c r="K46" s="1008"/>
      <c r="L46" s="1054" t="s">
        <v>3330</v>
      </c>
    </row>
    <row r="47" spans="1:12" s="1035" customFormat="1" ht="30.95" customHeight="1">
      <c r="A47" s="747">
        <f t="shared" si="0"/>
        <v>41</v>
      </c>
      <c r="B47" s="748" t="s">
        <v>3243</v>
      </c>
      <c r="C47" s="747" t="s">
        <v>76</v>
      </c>
      <c r="D47" s="1118">
        <v>18.34</v>
      </c>
      <c r="E47" s="779"/>
      <c r="F47" s="749">
        <v>46090</v>
      </c>
      <c r="G47" s="749">
        <v>46093</v>
      </c>
      <c r="H47" s="747" t="s">
        <v>631</v>
      </c>
      <c r="I47" s="747" t="s">
        <v>3264</v>
      </c>
      <c r="J47" s="747">
        <v>30</v>
      </c>
      <c r="K47" s="1008"/>
      <c r="L47" s="1088"/>
    </row>
    <row r="48" spans="1:12" s="1035" customFormat="1" ht="30.95" customHeight="1">
      <c r="A48" s="747">
        <f t="shared" si="0"/>
        <v>42</v>
      </c>
      <c r="B48" s="748" t="s">
        <v>2971</v>
      </c>
      <c r="C48" s="747" t="s">
        <v>1269</v>
      </c>
      <c r="D48" s="1118">
        <v>27.92</v>
      </c>
      <c r="E48" s="779"/>
      <c r="F48" s="749">
        <v>46092</v>
      </c>
      <c r="G48" s="749">
        <v>46095</v>
      </c>
      <c r="H48" s="747" t="s">
        <v>631</v>
      </c>
      <c r="I48" s="747" t="s">
        <v>3284</v>
      </c>
      <c r="J48" s="747">
        <v>22</v>
      </c>
      <c r="K48" s="1008"/>
      <c r="L48" s="1088"/>
    </row>
    <row r="49" spans="1:12" s="1035" customFormat="1" ht="30.95" customHeight="1">
      <c r="A49" s="747">
        <f t="shared" si="0"/>
        <v>43</v>
      </c>
      <c r="B49" s="748" t="s">
        <v>2927</v>
      </c>
      <c r="C49" s="747" t="s">
        <v>90</v>
      </c>
      <c r="D49" s="1160">
        <v>29.492000000000001</v>
      </c>
      <c r="E49" s="779"/>
      <c r="F49" s="749">
        <v>46092</v>
      </c>
      <c r="G49" s="749">
        <v>46098</v>
      </c>
      <c r="H49" s="747" t="s">
        <v>631</v>
      </c>
      <c r="I49" s="747" t="s">
        <v>1783</v>
      </c>
      <c r="J49" s="747">
        <v>23</v>
      </c>
      <c r="K49" s="1008" t="s">
        <v>631</v>
      </c>
      <c r="L49" s="1088"/>
    </row>
    <row r="50" spans="1:12" s="1035" customFormat="1" ht="30.95" customHeight="1">
      <c r="A50" s="747">
        <f t="shared" si="0"/>
        <v>44</v>
      </c>
      <c r="B50" s="748" t="s">
        <v>3091</v>
      </c>
      <c r="C50" s="747" t="s">
        <v>76</v>
      </c>
      <c r="D50" s="1118">
        <v>18.34</v>
      </c>
      <c r="E50" s="779"/>
      <c r="F50" s="749">
        <v>46093</v>
      </c>
      <c r="G50" s="749">
        <v>46096</v>
      </c>
      <c r="H50" s="747" t="s">
        <v>631</v>
      </c>
      <c r="I50" s="747" t="s">
        <v>3264</v>
      </c>
      <c r="J50" s="747">
        <v>30</v>
      </c>
      <c r="K50" s="1008" t="s">
        <v>631</v>
      </c>
      <c r="L50" s="1088"/>
    </row>
    <row r="51" spans="1:12" s="1035" customFormat="1" ht="30.95" customHeight="1">
      <c r="A51" s="747">
        <f t="shared" si="0"/>
        <v>45</v>
      </c>
      <c r="B51" s="748" t="s">
        <v>2505</v>
      </c>
      <c r="C51" s="747" t="s">
        <v>249</v>
      </c>
      <c r="D51" s="1118">
        <v>24.149000000000001</v>
      </c>
      <c r="E51" s="779"/>
      <c r="F51" s="749">
        <v>46094</v>
      </c>
      <c r="G51" s="749">
        <v>46100</v>
      </c>
      <c r="H51" s="747" t="s">
        <v>631</v>
      </c>
      <c r="I51" s="747" t="s">
        <v>3293</v>
      </c>
      <c r="J51" s="747">
        <v>30</v>
      </c>
      <c r="K51" s="1008"/>
      <c r="L51" s="1088"/>
    </row>
    <row r="52" spans="1:12" s="1035" customFormat="1" ht="30.95" customHeight="1">
      <c r="A52" s="747">
        <f t="shared" si="0"/>
        <v>46</v>
      </c>
      <c r="B52" s="748" t="s">
        <v>3186</v>
      </c>
      <c r="C52" s="747" t="s">
        <v>1269</v>
      </c>
      <c r="D52" s="1118">
        <v>27.92</v>
      </c>
      <c r="E52" s="779"/>
      <c r="F52" s="749">
        <v>46094</v>
      </c>
      <c r="G52" s="749">
        <v>46102</v>
      </c>
      <c r="H52" s="747" t="s">
        <v>631</v>
      </c>
      <c r="I52" s="747" t="s">
        <v>3327</v>
      </c>
      <c r="J52" s="747">
        <v>25</v>
      </c>
      <c r="K52" s="1008"/>
      <c r="L52" s="1088"/>
    </row>
    <row r="53" spans="1:12" s="1035" customFormat="1" ht="30.95" customHeight="1">
      <c r="A53" s="747">
        <f t="shared" si="0"/>
        <v>47</v>
      </c>
      <c r="B53" s="748" t="s">
        <v>2988</v>
      </c>
      <c r="C53" s="747" t="s">
        <v>1277</v>
      </c>
      <c r="D53" s="1118">
        <v>32.222000000000001</v>
      </c>
      <c r="E53" s="779"/>
      <c r="F53" s="749">
        <v>46094</v>
      </c>
      <c r="G53" s="749">
        <v>46103</v>
      </c>
      <c r="H53" s="747" t="s">
        <v>631</v>
      </c>
      <c r="I53" s="747" t="s">
        <v>3279</v>
      </c>
      <c r="J53" s="747">
        <v>30</v>
      </c>
      <c r="K53" s="1008"/>
      <c r="L53" s="1088"/>
    </row>
    <row r="54" spans="1:12" s="1035" customFormat="1" ht="30.95" customHeight="1">
      <c r="A54" s="747">
        <f t="shared" si="0"/>
        <v>48</v>
      </c>
      <c r="B54" s="748" t="s">
        <v>2967</v>
      </c>
      <c r="C54" s="747" t="s">
        <v>1361</v>
      </c>
      <c r="D54" s="1118">
        <v>33.53</v>
      </c>
      <c r="E54" s="779"/>
      <c r="F54" s="749">
        <v>46095</v>
      </c>
      <c r="G54" s="749">
        <v>46100</v>
      </c>
      <c r="H54" s="747" t="s">
        <v>631</v>
      </c>
      <c r="I54" s="747" t="s">
        <v>3284</v>
      </c>
      <c r="J54" s="747">
        <v>22</v>
      </c>
      <c r="K54" s="1008"/>
      <c r="L54" s="1088"/>
    </row>
    <row r="55" spans="1:12" s="1035" customFormat="1" ht="30.95" customHeight="1">
      <c r="A55" s="747">
        <f t="shared" si="0"/>
        <v>49</v>
      </c>
      <c r="B55" s="748" t="s">
        <v>853</v>
      </c>
      <c r="C55" s="747" t="s">
        <v>76</v>
      </c>
      <c r="D55" s="1118">
        <v>18.34</v>
      </c>
      <c r="E55" s="779"/>
      <c r="F55" s="749">
        <v>46098</v>
      </c>
      <c r="G55" s="749">
        <v>46102</v>
      </c>
      <c r="H55" s="747" t="s">
        <v>631</v>
      </c>
      <c r="I55" s="747" t="s">
        <v>3264</v>
      </c>
      <c r="J55" s="747">
        <v>30</v>
      </c>
      <c r="K55" s="1008"/>
      <c r="L55" s="1088"/>
    </row>
    <row r="56" spans="1:12" s="1035" customFormat="1" ht="30.95" customHeight="1">
      <c r="A56" s="747">
        <f t="shared" si="0"/>
        <v>50</v>
      </c>
      <c r="B56" s="748" t="s">
        <v>2206</v>
      </c>
      <c r="C56" s="747" t="s">
        <v>62</v>
      </c>
      <c r="D56" s="1118">
        <v>19.440000000000001</v>
      </c>
      <c r="E56" s="779"/>
      <c r="F56" s="749">
        <v>46098</v>
      </c>
      <c r="G56" s="749">
        <v>46103</v>
      </c>
      <c r="H56" s="747" t="s">
        <v>631</v>
      </c>
      <c r="I56" s="747" t="s">
        <v>1783</v>
      </c>
      <c r="J56" s="747">
        <v>23</v>
      </c>
      <c r="K56" s="1008" t="s">
        <v>631</v>
      </c>
      <c r="L56" s="1088"/>
    </row>
    <row r="57" spans="1:12" s="1035" customFormat="1" ht="30.95" customHeight="1">
      <c r="A57" s="747">
        <f t="shared" si="0"/>
        <v>51</v>
      </c>
      <c r="B57" s="748" t="s">
        <v>2519</v>
      </c>
      <c r="C57" s="747" t="s">
        <v>62</v>
      </c>
      <c r="D57" s="1118">
        <v>19.440000000000001</v>
      </c>
      <c r="E57" s="779"/>
      <c r="F57" s="749">
        <v>46102</v>
      </c>
      <c r="G57" s="749">
        <v>46112</v>
      </c>
      <c r="H57" s="747" t="s">
        <v>631</v>
      </c>
      <c r="I57" s="747" t="s">
        <v>3293</v>
      </c>
      <c r="J57" s="747">
        <v>30</v>
      </c>
      <c r="K57" s="1008"/>
      <c r="L57" s="1088"/>
    </row>
    <row r="58" spans="1:12" s="1035" customFormat="1" ht="30.95" customHeight="1">
      <c r="A58" s="747">
        <f t="shared" si="0"/>
        <v>52</v>
      </c>
      <c r="B58" s="748" t="s">
        <v>2976</v>
      </c>
      <c r="C58" s="747" t="s">
        <v>1269</v>
      </c>
      <c r="D58" s="1118">
        <v>27.92</v>
      </c>
      <c r="E58" s="1010"/>
      <c r="F58" s="749">
        <v>46101</v>
      </c>
      <c r="G58" s="749">
        <v>46104</v>
      </c>
      <c r="H58" s="747" t="s">
        <v>631</v>
      </c>
      <c r="I58" s="747" t="s">
        <v>3284</v>
      </c>
      <c r="J58" s="747">
        <v>22</v>
      </c>
      <c r="K58" s="1008"/>
      <c r="L58" s="1088"/>
    </row>
    <row r="59" spans="1:12" s="1035" customFormat="1" ht="30.95" customHeight="1">
      <c r="A59" s="747">
        <f t="shared" si="0"/>
        <v>53</v>
      </c>
      <c r="B59" s="748" t="s">
        <v>850</v>
      </c>
      <c r="C59" s="747" t="s">
        <v>76</v>
      </c>
      <c r="D59" s="1118">
        <v>18.34</v>
      </c>
      <c r="E59" s="779"/>
      <c r="F59" s="749">
        <v>46102</v>
      </c>
      <c r="G59" s="749">
        <v>46105</v>
      </c>
      <c r="H59" s="747" t="s">
        <v>631</v>
      </c>
      <c r="I59" s="747" t="s">
        <v>3264</v>
      </c>
      <c r="J59" s="747">
        <v>30</v>
      </c>
      <c r="K59" s="1008"/>
      <c r="L59" s="1088"/>
    </row>
    <row r="60" spans="1:12" s="1035" customFormat="1" ht="30.95" customHeight="1">
      <c r="A60" s="747">
        <f t="shared" si="0"/>
        <v>54</v>
      </c>
      <c r="B60" s="748" t="s">
        <v>3185</v>
      </c>
      <c r="C60" s="747" t="s">
        <v>1277</v>
      </c>
      <c r="D60" s="1118">
        <v>32.22</v>
      </c>
      <c r="E60" s="779"/>
      <c r="F60" s="749">
        <v>46102</v>
      </c>
      <c r="G60" s="749">
        <v>46110</v>
      </c>
      <c r="H60" s="747" t="s">
        <v>631</v>
      </c>
      <c r="I60" s="747" t="s">
        <v>3327</v>
      </c>
      <c r="J60" s="747">
        <v>25</v>
      </c>
      <c r="K60" s="1008"/>
      <c r="L60" s="1088"/>
    </row>
    <row r="61" spans="1:12" s="1035" customFormat="1" ht="30.95" customHeight="1">
      <c r="A61" s="747">
        <f t="shared" si="0"/>
        <v>55</v>
      </c>
      <c r="B61" s="748" t="s">
        <v>2207</v>
      </c>
      <c r="C61" s="747" t="s">
        <v>1269</v>
      </c>
      <c r="D61" s="1118">
        <v>27.92</v>
      </c>
      <c r="E61" s="779"/>
      <c r="F61" s="749">
        <v>46103</v>
      </c>
      <c r="G61" s="749">
        <v>46109</v>
      </c>
      <c r="H61" s="747" t="s">
        <v>631</v>
      </c>
      <c r="I61" s="747" t="s">
        <v>1783</v>
      </c>
      <c r="J61" s="747">
        <v>23</v>
      </c>
      <c r="K61" s="1008" t="s">
        <v>631</v>
      </c>
      <c r="L61" s="1088"/>
    </row>
    <row r="62" spans="1:12" s="1035" customFormat="1" ht="30.95" customHeight="1">
      <c r="A62" s="747">
        <f t="shared" si="0"/>
        <v>56</v>
      </c>
      <c r="B62" s="748" t="s">
        <v>3134</v>
      </c>
      <c r="C62" s="747" t="s">
        <v>62</v>
      </c>
      <c r="D62" s="1118">
        <v>19.440000000000001</v>
      </c>
      <c r="E62" s="779"/>
      <c r="F62" s="749">
        <v>46104</v>
      </c>
      <c r="G62" s="749">
        <v>46106</v>
      </c>
      <c r="H62" s="747" t="s">
        <v>631</v>
      </c>
      <c r="I62" s="747" t="s">
        <v>3284</v>
      </c>
      <c r="J62" s="747">
        <v>22</v>
      </c>
      <c r="K62" s="1008"/>
      <c r="L62" s="1088"/>
    </row>
    <row r="63" spans="1:12" s="1035" customFormat="1" ht="30.95" customHeight="1">
      <c r="A63" s="747">
        <f t="shared" si="0"/>
        <v>57</v>
      </c>
      <c r="B63" s="748" t="s">
        <v>2447</v>
      </c>
      <c r="C63" s="747" t="s">
        <v>53</v>
      </c>
      <c r="D63" s="1118">
        <v>22.68</v>
      </c>
      <c r="E63" s="779"/>
      <c r="F63" s="749">
        <v>46107</v>
      </c>
      <c r="G63" s="749">
        <v>46112</v>
      </c>
      <c r="H63" s="747" t="s">
        <v>631</v>
      </c>
      <c r="I63" s="747" t="s">
        <v>3348</v>
      </c>
      <c r="J63" s="747">
        <v>18</v>
      </c>
      <c r="K63" s="1008"/>
      <c r="L63" s="1088"/>
    </row>
    <row r="64" spans="1:12" s="1035" customFormat="1" ht="30.95" customHeight="1">
      <c r="A64" s="747">
        <f t="shared" si="0"/>
        <v>58</v>
      </c>
      <c r="B64" s="748" t="s">
        <v>2910</v>
      </c>
      <c r="C64" s="747" t="s">
        <v>1269</v>
      </c>
      <c r="D64" s="1118">
        <v>27.92</v>
      </c>
      <c r="E64" s="779"/>
      <c r="F64" s="749">
        <v>46105</v>
      </c>
      <c r="G64" s="749">
        <v>46110</v>
      </c>
      <c r="H64" s="747" t="s">
        <v>631</v>
      </c>
      <c r="I64" s="747" t="s">
        <v>3264</v>
      </c>
      <c r="J64" s="747">
        <v>30</v>
      </c>
      <c r="K64" s="1008"/>
      <c r="L64" s="1088"/>
    </row>
    <row r="65" spans="1:12" s="1035" customFormat="1" ht="30.95" customHeight="1">
      <c r="A65" s="747">
        <f t="shared" si="0"/>
        <v>59</v>
      </c>
      <c r="B65" s="748" t="s">
        <v>2974</v>
      </c>
      <c r="C65" s="747" t="s">
        <v>1319</v>
      </c>
      <c r="D65" s="1118">
        <v>42.225999999999999</v>
      </c>
      <c r="E65" s="779"/>
      <c r="F65" s="749">
        <v>46107</v>
      </c>
      <c r="G65" s="749">
        <v>46112</v>
      </c>
      <c r="H65" s="747" t="s">
        <v>631</v>
      </c>
      <c r="I65" s="747" t="s">
        <v>3284</v>
      </c>
      <c r="J65" s="747">
        <v>22</v>
      </c>
      <c r="K65" s="1008"/>
      <c r="L65" s="1088"/>
    </row>
    <row r="66" spans="1:12" s="1035" customFormat="1" ht="30.95" customHeight="1">
      <c r="A66" s="747">
        <f t="shared" si="0"/>
        <v>60</v>
      </c>
      <c r="B66" s="748" t="s">
        <v>2933</v>
      </c>
      <c r="C66" s="747" t="s">
        <v>1319</v>
      </c>
      <c r="D66" s="1118">
        <v>42.225999999999999</v>
      </c>
      <c r="E66" s="779"/>
      <c r="F66" s="749">
        <v>46109</v>
      </c>
      <c r="G66" s="749">
        <v>46117</v>
      </c>
      <c r="H66" s="747" t="s">
        <v>631</v>
      </c>
      <c r="I66" s="747" t="s">
        <v>1783</v>
      </c>
      <c r="J66" s="747">
        <v>23</v>
      </c>
      <c r="K66" s="1008" t="s">
        <v>631</v>
      </c>
      <c r="L66" s="1088"/>
    </row>
    <row r="67" spans="1:12" s="1035" customFormat="1" ht="30.95" customHeight="1">
      <c r="A67" s="747">
        <f t="shared" si="0"/>
        <v>61</v>
      </c>
      <c r="B67" s="748" t="s">
        <v>394</v>
      </c>
      <c r="C67" s="747" t="s">
        <v>76</v>
      </c>
      <c r="D67" s="1118">
        <v>18.34</v>
      </c>
      <c r="E67" s="779"/>
      <c r="F67" s="749">
        <v>46110</v>
      </c>
      <c r="G67" s="749">
        <v>46112</v>
      </c>
      <c r="H67" s="747" t="s">
        <v>631</v>
      </c>
      <c r="I67" s="747" t="s">
        <v>3264</v>
      </c>
      <c r="J67" s="747">
        <v>30</v>
      </c>
      <c r="K67" s="1008"/>
      <c r="L67" s="1088"/>
    </row>
    <row r="68" spans="1:12" s="1035" customFormat="1" ht="30.95" customHeight="1">
      <c r="A68" s="747">
        <f t="shared" si="0"/>
        <v>62</v>
      </c>
      <c r="B68" s="748" t="s">
        <v>3161</v>
      </c>
      <c r="C68" s="747" t="s">
        <v>76</v>
      </c>
      <c r="D68" s="1118">
        <v>18.34</v>
      </c>
      <c r="E68" s="779"/>
      <c r="F68" s="749">
        <v>46110</v>
      </c>
      <c r="G68" s="749">
        <v>46115</v>
      </c>
      <c r="H68" s="747" t="s">
        <v>631</v>
      </c>
      <c r="I68" s="747" t="s">
        <v>3327</v>
      </c>
      <c r="J68" s="747">
        <v>20</v>
      </c>
      <c r="K68" s="1008"/>
      <c r="L68" s="1088"/>
    </row>
    <row r="69" spans="1:12" s="1035" customFormat="1" ht="30.95" customHeight="1">
      <c r="A69" s="747">
        <f t="shared" si="0"/>
        <v>63</v>
      </c>
      <c r="B69" s="748" t="s">
        <v>2942</v>
      </c>
      <c r="C69" s="747" t="s">
        <v>1269</v>
      </c>
      <c r="D69" s="1118">
        <v>27.92</v>
      </c>
      <c r="E69" s="779"/>
      <c r="F69" s="749">
        <v>46116</v>
      </c>
      <c r="G69" s="749">
        <v>46124</v>
      </c>
      <c r="H69" s="747" t="s">
        <v>631</v>
      </c>
      <c r="I69" s="747" t="s">
        <v>3348</v>
      </c>
      <c r="J69" s="747">
        <v>20</v>
      </c>
      <c r="K69" s="1008"/>
      <c r="L69" s="1054"/>
    </row>
    <row r="70" spans="1:12" s="1035" customFormat="1" ht="30.95" customHeight="1">
      <c r="A70" s="747">
        <f t="shared" si="0"/>
        <v>64</v>
      </c>
      <c r="B70" s="748" t="s">
        <v>2558</v>
      </c>
      <c r="C70" s="747" t="s">
        <v>76</v>
      </c>
      <c r="D70" s="1118">
        <v>18.34</v>
      </c>
      <c r="E70" s="779"/>
      <c r="F70" s="749">
        <v>46112</v>
      </c>
      <c r="G70" s="749">
        <v>46116</v>
      </c>
      <c r="H70" s="747" t="s">
        <v>631</v>
      </c>
      <c r="I70" s="747" t="s">
        <v>3284</v>
      </c>
      <c r="J70" s="747">
        <v>25</v>
      </c>
      <c r="K70" s="1008"/>
      <c r="L70" s="1088"/>
    </row>
    <row r="71" spans="1:12" s="1035" customFormat="1" ht="30.95" customHeight="1">
      <c r="A71" s="747">
        <f t="shared" si="0"/>
        <v>65</v>
      </c>
      <c r="B71" s="748" t="s">
        <v>2915</v>
      </c>
      <c r="C71" s="747" t="s">
        <v>1361</v>
      </c>
      <c r="D71" s="1118">
        <v>33.53</v>
      </c>
      <c r="E71" s="779"/>
      <c r="F71" s="749">
        <v>46112</v>
      </c>
      <c r="G71" s="749">
        <v>46119</v>
      </c>
      <c r="H71" s="747" t="s">
        <v>631</v>
      </c>
      <c r="I71" s="747" t="s">
        <v>3264</v>
      </c>
      <c r="J71" s="747">
        <v>24</v>
      </c>
      <c r="K71" s="1008"/>
      <c r="L71" s="1088"/>
    </row>
    <row r="72" spans="1:12" s="1035" customFormat="1" ht="30.95" customHeight="1">
      <c r="A72" s="747">
        <f t="shared" si="0"/>
        <v>66</v>
      </c>
      <c r="B72" s="748" t="s">
        <v>2515</v>
      </c>
      <c r="C72" s="747" t="s">
        <v>53</v>
      </c>
      <c r="D72" s="1118">
        <v>22.68</v>
      </c>
      <c r="E72" s="779"/>
      <c r="F72" s="749">
        <v>46116</v>
      </c>
      <c r="G72" s="749">
        <v>46125</v>
      </c>
      <c r="H72" s="747" t="s">
        <v>631</v>
      </c>
      <c r="I72" s="747" t="s">
        <v>3293</v>
      </c>
      <c r="J72" s="747">
        <v>20</v>
      </c>
      <c r="K72" s="1008"/>
      <c r="L72" s="1054"/>
    </row>
    <row r="73" spans="1:12" s="1035" customFormat="1" ht="30.95" customHeight="1">
      <c r="A73" s="747">
        <f t="shared" si="0"/>
        <v>67</v>
      </c>
      <c r="B73" s="748" t="s">
        <v>3015</v>
      </c>
      <c r="C73" s="747" t="s">
        <v>1277</v>
      </c>
      <c r="D73" s="1118">
        <v>32.22</v>
      </c>
      <c r="E73" s="779"/>
      <c r="F73" s="749">
        <v>46116</v>
      </c>
      <c r="G73" s="749">
        <v>46122</v>
      </c>
      <c r="H73" s="747" t="s">
        <v>631</v>
      </c>
      <c r="I73" s="747" t="s">
        <v>3284</v>
      </c>
      <c r="J73" s="747">
        <v>25</v>
      </c>
      <c r="K73" s="1008"/>
      <c r="L73" s="1088"/>
    </row>
    <row r="74" spans="1:12" s="1035" customFormat="1" ht="30.95" customHeight="1">
      <c r="A74" s="747">
        <f t="shared" si="0"/>
        <v>68</v>
      </c>
      <c r="B74" s="748" t="s">
        <v>3158</v>
      </c>
      <c r="C74" s="747" t="s">
        <v>76</v>
      </c>
      <c r="D74" s="1118">
        <v>18.34</v>
      </c>
      <c r="E74" s="779"/>
      <c r="F74" s="749">
        <v>46116</v>
      </c>
      <c r="G74" s="749">
        <v>46121</v>
      </c>
      <c r="H74" s="747" t="s">
        <v>631</v>
      </c>
      <c r="I74" s="747" t="s">
        <v>3417</v>
      </c>
      <c r="J74" s="747">
        <v>25</v>
      </c>
      <c r="K74" s="1008"/>
      <c r="L74" s="1088"/>
    </row>
    <row r="75" spans="1:12" s="1035" customFormat="1" ht="30.95" customHeight="1">
      <c r="A75" s="747">
        <f t="shared" si="0"/>
        <v>69</v>
      </c>
      <c r="B75" s="748" t="s">
        <v>2930</v>
      </c>
      <c r="C75" s="747" t="s">
        <v>2212</v>
      </c>
      <c r="D75" s="1118">
        <v>56.128999999999998</v>
      </c>
      <c r="E75" s="779"/>
      <c r="F75" s="749">
        <v>46118</v>
      </c>
      <c r="G75" s="749">
        <v>46129</v>
      </c>
      <c r="H75" s="747" t="s">
        <v>631</v>
      </c>
      <c r="I75" s="747" t="s">
        <v>1783</v>
      </c>
      <c r="J75" s="747">
        <v>20</v>
      </c>
      <c r="K75" s="1008" t="s">
        <v>631</v>
      </c>
      <c r="L75" s="1088"/>
    </row>
    <row r="76" spans="1:12" s="1035" customFormat="1" ht="30.95" customHeight="1">
      <c r="A76" s="747">
        <f t="shared" si="0"/>
        <v>70</v>
      </c>
      <c r="B76" s="748" t="s">
        <v>2573</v>
      </c>
      <c r="C76" s="747" t="s">
        <v>76</v>
      </c>
      <c r="D76" s="1118">
        <v>18.34</v>
      </c>
      <c r="E76" s="779"/>
      <c r="F76" s="749">
        <v>46122</v>
      </c>
      <c r="G76" s="749">
        <v>46124</v>
      </c>
      <c r="H76" s="747" t="s">
        <v>631</v>
      </c>
      <c r="I76" s="747" t="s">
        <v>3284</v>
      </c>
      <c r="J76" s="747">
        <v>25</v>
      </c>
      <c r="K76" s="1008"/>
      <c r="L76" s="1088"/>
    </row>
    <row r="77" spans="1:12" s="1035" customFormat="1" ht="30.95" customHeight="1">
      <c r="A77" s="747">
        <f t="shared" si="0"/>
        <v>71</v>
      </c>
      <c r="B77" s="748" t="s">
        <v>3159</v>
      </c>
      <c r="C77" s="747" t="s">
        <v>76</v>
      </c>
      <c r="D77" s="1118">
        <v>18.34</v>
      </c>
      <c r="E77" s="779"/>
      <c r="F77" s="749">
        <v>46122</v>
      </c>
      <c r="G77" s="749">
        <v>46126</v>
      </c>
      <c r="H77" s="747" t="s">
        <v>631</v>
      </c>
      <c r="I77" s="747" t="s">
        <v>3417</v>
      </c>
      <c r="J77" s="747">
        <v>25</v>
      </c>
      <c r="K77" s="1008"/>
      <c r="L77" s="1088"/>
    </row>
    <row r="78" spans="1:12" s="1035" customFormat="1" ht="30.95" customHeight="1">
      <c r="A78" s="747">
        <f t="shared" si="0"/>
        <v>72</v>
      </c>
      <c r="B78" s="748" t="s">
        <v>200</v>
      </c>
      <c r="C78" s="747" t="s">
        <v>76</v>
      </c>
      <c r="D78" s="1118">
        <v>18.34</v>
      </c>
      <c r="E78" s="779"/>
      <c r="F78" s="749">
        <v>46123</v>
      </c>
      <c r="G78" s="749">
        <v>46125</v>
      </c>
      <c r="H78" s="747" t="s">
        <v>631</v>
      </c>
      <c r="I78" s="747" t="s">
        <v>3264</v>
      </c>
      <c r="J78" s="747">
        <v>24</v>
      </c>
      <c r="K78" s="1008"/>
      <c r="L78" s="1088"/>
    </row>
    <row r="79" spans="1:12" s="1035" customFormat="1" ht="30.95" customHeight="1">
      <c r="A79" s="747">
        <f t="shared" si="0"/>
        <v>73</v>
      </c>
      <c r="B79" s="748" t="s">
        <v>2994</v>
      </c>
      <c r="C79" s="747" t="s">
        <v>1269</v>
      </c>
      <c r="D79" s="1118">
        <v>27.92</v>
      </c>
      <c r="E79" s="779"/>
      <c r="F79" s="749">
        <v>46124</v>
      </c>
      <c r="G79" s="749">
        <v>46131</v>
      </c>
      <c r="H79" s="747" t="s">
        <v>631</v>
      </c>
      <c r="I79" s="747" t="s">
        <v>3348</v>
      </c>
      <c r="J79" s="747">
        <v>20</v>
      </c>
      <c r="K79" s="1008"/>
      <c r="L79" s="1088"/>
    </row>
    <row r="80" spans="1:12" s="1035" customFormat="1" ht="30.95" customHeight="1">
      <c r="A80" s="747">
        <f t="shared" si="0"/>
        <v>74</v>
      </c>
      <c r="B80" s="748" t="s">
        <v>2570</v>
      </c>
      <c r="C80" s="747" t="s">
        <v>76</v>
      </c>
      <c r="D80" s="1118">
        <v>18.34</v>
      </c>
      <c r="E80" s="779"/>
      <c r="F80" s="749">
        <v>46124</v>
      </c>
      <c r="G80" s="749">
        <v>46128</v>
      </c>
      <c r="H80" s="747" t="s">
        <v>631</v>
      </c>
      <c r="I80" s="747" t="s">
        <v>3284</v>
      </c>
      <c r="J80" s="747">
        <v>25</v>
      </c>
      <c r="K80" s="1008"/>
      <c r="L80" s="1088"/>
    </row>
    <row r="81" spans="1:12" s="1035" customFormat="1" ht="30.95" customHeight="1">
      <c r="A81" s="747">
        <f t="shared" si="0"/>
        <v>75</v>
      </c>
      <c r="B81" s="748" t="s">
        <v>529</v>
      </c>
      <c r="C81" s="747" t="s">
        <v>76</v>
      </c>
      <c r="D81" s="1118">
        <v>18.34</v>
      </c>
      <c r="E81" s="779"/>
      <c r="F81" s="749">
        <v>46125</v>
      </c>
      <c r="G81" s="749">
        <v>46129</v>
      </c>
      <c r="H81" s="747" t="s">
        <v>631</v>
      </c>
      <c r="I81" s="747" t="s">
        <v>3264</v>
      </c>
      <c r="J81" s="747">
        <v>24</v>
      </c>
      <c r="K81" s="1008"/>
      <c r="L81" s="1088"/>
    </row>
    <row r="82" spans="1:12" s="1035" customFormat="1" ht="30.95" customHeight="1">
      <c r="A82" s="747">
        <f t="shared" si="0"/>
        <v>76</v>
      </c>
      <c r="B82" s="748" t="s">
        <v>2520</v>
      </c>
      <c r="C82" s="747" t="s">
        <v>62</v>
      </c>
      <c r="D82" s="1118">
        <v>19.440000000000001</v>
      </c>
      <c r="E82" s="779"/>
      <c r="F82" s="749">
        <v>46125</v>
      </c>
      <c r="G82" s="749">
        <v>46129</v>
      </c>
      <c r="H82" s="747" t="s">
        <v>631</v>
      </c>
      <c r="I82" s="747" t="s">
        <v>3293</v>
      </c>
      <c r="J82" s="747">
        <v>20</v>
      </c>
      <c r="K82" s="1008"/>
      <c r="L82" s="1088"/>
    </row>
    <row r="83" spans="1:12" s="1035" customFormat="1" ht="30.95" customHeight="1">
      <c r="A83" s="747">
        <f t="shared" si="0"/>
        <v>77</v>
      </c>
      <c r="B83" s="748" t="s">
        <v>3154</v>
      </c>
      <c r="C83" s="747" t="s">
        <v>76</v>
      </c>
      <c r="D83" s="1118">
        <v>18.34</v>
      </c>
      <c r="E83" s="779"/>
      <c r="F83" s="749">
        <v>46126</v>
      </c>
      <c r="G83" s="749">
        <v>46129</v>
      </c>
      <c r="H83" s="747" t="s">
        <v>631</v>
      </c>
      <c r="I83" s="747" t="s">
        <v>3417</v>
      </c>
      <c r="J83" s="747">
        <v>25</v>
      </c>
      <c r="K83" s="1008"/>
      <c r="L83" s="1088"/>
    </row>
    <row r="84" spans="1:12" s="1035" customFormat="1" ht="30.95" customHeight="1">
      <c r="A84" s="747">
        <f t="shared" si="0"/>
        <v>78</v>
      </c>
      <c r="B84" s="748" t="s">
        <v>2577</v>
      </c>
      <c r="C84" s="747" t="s">
        <v>62</v>
      </c>
      <c r="D84" s="1118">
        <v>19.440000000000001</v>
      </c>
      <c r="E84" s="779"/>
      <c r="F84" s="749">
        <v>46128</v>
      </c>
      <c r="G84" s="749">
        <v>46131</v>
      </c>
      <c r="H84" s="747" t="s">
        <v>631</v>
      </c>
      <c r="I84" s="747" t="s">
        <v>3284</v>
      </c>
      <c r="J84" s="747">
        <v>25</v>
      </c>
      <c r="K84" s="1008"/>
      <c r="L84" s="1088"/>
    </row>
    <row r="85" spans="1:12" s="1035" customFormat="1" ht="30.95" customHeight="1">
      <c r="A85" s="747">
        <f t="shared" si="0"/>
        <v>79</v>
      </c>
      <c r="B85" s="748" t="s">
        <v>2912</v>
      </c>
      <c r="C85" s="747" t="s">
        <v>1269</v>
      </c>
      <c r="D85" s="1118">
        <v>27.92</v>
      </c>
      <c r="E85" s="779"/>
      <c r="F85" s="749">
        <v>46129</v>
      </c>
      <c r="G85" s="749">
        <v>46133</v>
      </c>
      <c r="H85" s="747" t="s">
        <v>631</v>
      </c>
      <c r="I85" s="747" t="s">
        <v>3264</v>
      </c>
      <c r="J85" s="747">
        <v>24</v>
      </c>
      <c r="K85" s="1008"/>
      <c r="L85" s="1088"/>
    </row>
    <row r="86" spans="1:12" s="1035" customFormat="1" ht="30.95" customHeight="1">
      <c r="A86" s="747">
        <f t="shared" si="0"/>
        <v>80</v>
      </c>
      <c r="B86" s="748" t="s">
        <v>2221</v>
      </c>
      <c r="C86" s="747" t="s">
        <v>76</v>
      </c>
      <c r="D86" s="1118">
        <v>18.34</v>
      </c>
      <c r="E86" s="779"/>
      <c r="F86" s="749">
        <v>46129</v>
      </c>
      <c r="G86" s="749">
        <v>46133</v>
      </c>
      <c r="H86" s="747" t="s">
        <v>631</v>
      </c>
      <c r="I86" s="747" t="s">
        <v>1783</v>
      </c>
      <c r="J86" s="747">
        <v>20</v>
      </c>
      <c r="K86" s="1008" t="s">
        <v>631</v>
      </c>
      <c r="L86" s="1088"/>
    </row>
    <row r="87" spans="1:12" s="1035" customFormat="1" ht="30.95" customHeight="1">
      <c r="A87" s="747">
        <f t="shared" si="0"/>
        <v>81</v>
      </c>
      <c r="B87" s="748" t="s">
        <v>3008</v>
      </c>
      <c r="C87" s="747" t="s">
        <v>90</v>
      </c>
      <c r="D87" s="1118">
        <v>29.492000000000001</v>
      </c>
      <c r="E87" s="779"/>
      <c r="F87" s="749">
        <v>46130</v>
      </c>
      <c r="G87" s="749">
        <v>46137</v>
      </c>
      <c r="H87" s="747" t="s">
        <v>631</v>
      </c>
      <c r="I87" s="747" t="s">
        <v>3293</v>
      </c>
      <c r="J87" s="747">
        <v>20</v>
      </c>
      <c r="K87" s="1008"/>
      <c r="L87" s="1088"/>
    </row>
    <row r="88" spans="1:12" s="1035" customFormat="1" ht="30.95" customHeight="1">
      <c r="A88" s="747">
        <f t="shared" si="0"/>
        <v>82</v>
      </c>
      <c r="B88" s="748" t="s">
        <v>3155</v>
      </c>
      <c r="C88" s="747" t="s">
        <v>76</v>
      </c>
      <c r="D88" s="1118">
        <v>18.34</v>
      </c>
      <c r="E88" s="779"/>
      <c r="F88" s="749">
        <v>46130</v>
      </c>
      <c r="G88" s="749">
        <v>46134</v>
      </c>
      <c r="H88" s="937" t="s">
        <v>631</v>
      </c>
      <c r="I88" s="747" t="s">
        <v>3417</v>
      </c>
      <c r="J88" s="747">
        <v>25</v>
      </c>
      <c r="K88" s="1008"/>
      <c r="L88" s="1088"/>
    </row>
    <row r="89" spans="1:12" s="1035" customFormat="1" ht="30.95" customHeight="1">
      <c r="A89" s="747">
        <f t="shared" si="0"/>
        <v>83</v>
      </c>
      <c r="B89" s="748" t="s">
        <v>3135</v>
      </c>
      <c r="C89" s="747" t="s">
        <v>249</v>
      </c>
      <c r="D89" s="1118">
        <v>24.149000000000001</v>
      </c>
      <c r="E89" s="779"/>
      <c r="F89" s="749">
        <v>46131</v>
      </c>
      <c r="G89" s="749">
        <v>46139</v>
      </c>
      <c r="H89" s="937" t="s">
        <v>631</v>
      </c>
      <c r="I89" s="747" t="s">
        <v>3348</v>
      </c>
      <c r="J89" s="747">
        <v>20</v>
      </c>
      <c r="K89" s="1008"/>
      <c r="L89" s="1088"/>
    </row>
    <row r="90" spans="1:12" s="1035" customFormat="1" ht="30.95" customHeight="1">
      <c r="A90" s="747">
        <f t="shared" si="0"/>
        <v>84</v>
      </c>
      <c r="B90" s="748" t="s">
        <v>2559</v>
      </c>
      <c r="C90" s="747" t="s">
        <v>62</v>
      </c>
      <c r="D90" s="1118">
        <v>19.440000000000001</v>
      </c>
      <c r="E90" s="779"/>
      <c r="F90" s="749">
        <v>46131</v>
      </c>
      <c r="G90" s="749">
        <v>46134</v>
      </c>
      <c r="H90" s="937" t="s">
        <v>631</v>
      </c>
      <c r="I90" s="747" t="s">
        <v>3284</v>
      </c>
      <c r="J90" s="747">
        <v>25</v>
      </c>
      <c r="K90" s="1008"/>
      <c r="L90" s="1088"/>
    </row>
    <row r="91" spans="1:12" s="1035" customFormat="1" ht="30.95" customHeight="1">
      <c r="A91" s="747">
        <f t="shared" si="0"/>
        <v>85</v>
      </c>
      <c r="B91" s="748" t="s">
        <v>458</v>
      </c>
      <c r="C91" s="747" t="s">
        <v>62</v>
      </c>
      <c r="D91" s="1118">
        <v>19.440000000000001</v>
      </c>
      <c r="E91" s="779"/>
      <c r="F91" s="749">
        <v>46133</v>
      </c>
      <c r="G91" s="749">
        <v>46137</v>
      </c>
      <c r="H91" s="937" t="s">
        <v>631</v>
      </c>
      <c r="I91" s="747" t="s">
        <v>3264</v>
      </c>
      <c r="J91" s="747">
        <v>24</v>
      </c>
      <c r="K91" s="1008"/>
      <c r="L91" s="1088"/>
    </row>
    <row r="92" spans="1:12" s="1035" customFormat="1" ht="30.95" customHeight="1">
      <c r="A92" s="747">
        <f t="shared" ref="A92:A162" si="1">A91+1</f>
        <v>86</v>
      </c>
      <c r="B92" s="748" t="s">
        <v>2924</v>
      </c>
      <c r="C92" s="747" t="s">
        <v>1977</v>
      </c>
      <c r="D92" s="1118">
        <v>36.353999999999999</v>
      </c>
      <c r="E92" s="779"/>
      <c r="F92" s="749">
        <v>46133</v>
      </c>
      <c r="G92" s="749">
        <v>46140</v>
      </c>
      <c r="H92" s="937" t="s">
        <v>631</v>
      </c>
      <c r="I92" s="747" t="s">
        <v>1783</v>
      </c>
      <c r="J92" s="747">
        <v>20</v>
      </c>
      <c r="K92" s="1008" t="s">
        <v>631</v>
      </c>
      <c r="L92" s="1088"/>
    </row>
    <row r="93" spans="1:12" s="1035" customFormat="1" ht="30.95" customHeight="1">
      <c r="A93" s="747">
        <f t="shared" si="1"/>
        <v>87</v>
      </c>
      <c r="B93" s="748" t="s">
        <v>3156</v>
      </c>
      <c r="C93" s="747" t="s">
        <v>76</v>
      </c>
      <c r="D93" s="1118">
        <v>18.34</v>
      </c>
      <c r="E93" s="779"/>
      <c r="F93" s="749">
        <v>46134</v>
      </c>
      <c r="G93" s="749">
        <v>46139</v>
      </c>
      <c r="H93" s="937" t="s">
        <v>631</v>
      </c>
      <c r="I93" s="747" t="s">
        <v>3417</v>
      </c>
      <c r="J93" s="747">
        <v>25</v>
      </c>
      <c r="K93" s="1008"/>
      <c r="L93" s="1088"/>
    </row>
    <row r="94" spans="1:12" s="1035" customFormat="1" ht="30.95" customHeight="1">
      <c r="A94" s="747">
        <f t="shared" si="1"/>
        <v>88</v>
      </c>
      <c r="B94" s="748" t="s">
        <v>2569</v>
      </c>
      <c r="C94" s="747" t="s">
        <v>76</v>
      </c>
      <c r="D94" s="1118">
        <v>18.34</v>
      </c>
      <c r="E94" s="779"/>
      <c r="F94" s="749">
        <v>46134</v>
      </c>
      <c r="G94" s="749">
        <v>46138</v>
      </c>
      <c r="H94" s="937" t="s">
        <v>631</v>
      </c>
      <c r="I94" s="747" t="s">
        <v>3284</v>
      </c>
      <c r="J94" s="747">
        <v>25</v>
      </c>
      <c r="K94" s="1008"/>
      <c r="L94" s="1088"/>
    </row>
    <row r="95" spans="1:12" s="1035" customFormat="1" ht="30.95" customHeight="1">
      <c r="A95" s="747">
        <f t="shared" si="1"/>
        <v>89</v>
      </c>
      <c r="B95" s="748" t="s">
        <v>2521</v>
      </c>
      <c r="C95" s="747" t="s">
        <v>76</v>
      </c>
      <c r="D95" s="1118">
        <v>18.34</v>
      </c>
      <c r="E95" s="779"/>
      <c r="F95" s="749">
        <v>46137</v>
      </c>
      <c r="G95" s="749">
        <v>46142</v>
      </c>
      <c r="H95" s="937" t="s">
        <v>631</v>
      </c>
      <c r="I95" s="747" t="s">
        <v>3293</v>
      </c>
      <c r="J95" s="747">
        <v>20</v>
      </c>
      <c r="K95" s="1008"/>
      <c r="L95" s="1088"/>
    </row>
    <row r="96" spans="1:12" s="1035" customFormat="1" ht="30.95" customHeight="1">
      <c r="A96" s="747">
        <f t="shared" si="1"/>
        <v>90</v>
      </c>
      <c r="B96" s="748" t="s">
        <v>402</v>
      </c>
      <c r="C96" s="747" t="s">
        <v>53</v>
      </c>
      <c r="D96" s="1118">
        <v>22.68</v>
      </c>
      <c r="E96" s="779"/>
      <c r="F96" s="749">
        <v>46137</v>
      </c>
      <c r="G96" s="749">
        <v>46142</v>
      </c>
      <c r="H96" s="937" t="s">
        <v>631</v>
      </c>
      <c r="I96" s="747" t="s">
        <v>3264</v>
      </c>
      <c r="J96" s="747">
        <v>24</v>
      </c>
      <c r="K96" s="1008"/>
      <c r="L96" s="1088"/>
    </row>
    <row r="97" spans="1:12" s="1035" customFormat="1" ht="30.95" customHeight="1">
      <c r="A97" s="747">
        <f t="shared" si="1"/>
        <v>91</v>
      </c>
      <c r="B97" s="748" t="s">
        <v>3016</v>
      </c>
      <c r="C97" s="747" t="s">
        <v>1269</v>
      </c>
      <c r="D97" s="1118">
        <v>27.92</v>
      </c>
      <c r="E97" s="779"/>
      <c r="F97" s="749">
        <v>46138</v>
      </c>
      <c r="G97" s="749">
        <v>46142</v>
      </c>
      <c r="H97" s="937" t="s">
        <v>631</v>
      </c>
      <c r="I97" s="747" t="s">
        <v>3284</v>
      </c>
      <c r="J97" s="747">
        <v>25</v>
      </c>
      <c r="K97" s="1008"/>
      <c r="L97" s="1088"/>
    </row>
    <row r="98" spans="1:12" s="1035" customFormat="1" ht="30.95" customHeight="1">
      <c r="A98" s="747">
        <f t="shared" si="1"/>
        <v>92</v>
      </c>
      <c r="B98" s="748" t="s">
        <v>3157</v>
      </c>
      <c r="C98" s="747" t="s">
        <v>53</v>
      </c>
      <c r="D98" s="1118">
        <v>22.68</v>
      </c>
      <c r="E98" s="779"/>
      <c r="F98" s="749">
        <v>46139</v>
      </c>
      <c r="G98" s="749">
        <v>46146</v>
      </c>
      <c r="H98" s="937" t="s">
        <v>631</v>
      </c>
      <c r="I98" s="747" t="s">
        <v>3417</v>
      </c>
      <c r="J98" s="747">
        <v>25</v>
      </c>
      <c r="K98" s="1008"/>
      <c r="L98" s="1088"/>
    </row>
    <row r="99" spans="1:12" s="1035" customFormat="1" ht="30.95" customHeight="1">
      <c r="A99" s="747">
        <f t="shared" si="1"/>
        <v>93</v>
      </c>
      <c r="B99" s="748" t="s">
        <v>2998</v>
      </c>
      <c r="C99" s="747" t="s">
        <v>1277</v>
      </c>
      <c r="D99" s="1118">
        <v>32.22</v>
      </c>
      <c r="E99" s="779"/>
      <c r="F99" s="749">
        <v>46139</v>
      </c>
      <c r="G99" s="749">
        <v>46147</v>
      </c>
      <c r="H99" s="937" t="s">
        <v>631</v>
      </c>
      <c r="I99" s="747" t="s">
        <v>3348</v>
      </c>
      <c r="J99" s="747">
        <v>20</v>
      </c>
      <c r="K99" s="1008"/>
      <c r="L99" s="1088"/>
    </row>
    <row r="100" spans="1:12" s="1035" customFormat="1" ht="30.95" customHeight="1">
      <c r="A100" s="747">
        <f t="shared" si="1"/>
        <v>94</v>
      </c>
      <c r="B100" s="748" t="s">
        <v>2922</v>
      </c>
      <c r="C100" s="747" t="s">
        <v>1269</v>
      </c>
      <c r="D100" s="1118">
        <v>27.92</v>
      </c>
      <c r="E100" s="779"/>
      <c r="F100" s="749">
        <v>46140</v>
      </c>
      <c r="G100" s="749">
        <v>46145</v>
      </c>
      <c r="H100" s="937" t="s">
        <v>631</v>
      </c>
      <c r="I100" s="747" t="s">
        <v>1783</v>
      </c>
      <c r="J100" s="747">
        <v>20</v>
      </c>
      <c r="K100" s="1008" t="s">
        <v>631</v>
      </c>
      <c r="L100" s="1088"/>
    </row>
    <row r="101" spans="1:12" s="1035" customFormat="1" ht="30.95" customHeight="1">
      <c r="A101" s="747">
        <f t="shared" si="1"/>
        <v>95</v>
      </c>
      <c r="B101" s="748" t="s">
        <v>2920</v>
      </c>
      <c r="C101" s="747" t="s">
        <v>90</v>
      </c>
      <c r="D101" s="1118">
        <v>29.492000000000001</v>
      </c>
      <c r="E101" s="779"/>
      <c r="F101" s="749">
        <v>46142</v>
      </c>
      <c r="G101" s="749">
        <v>46147</v>
      </c>
      <c r="H101" s="937" t="s">
        <v>631</v>
      </c>
      <c r="I101" s="747" t="s">
        <v>3264</v>
      </c>
      <c r="J101" s="747">
        <v>24</v>
      </c>
      <c r="K101" s="1008"/>
      <c r="L101" s="1088"/>
    </row>
    <row r="102" spans="1:12" s="1035" customFormat="1" ht="30.95" customHeight="1">
      <c r="A102" s="747">
        <f t="shared" si="1"/>
        <v>96</v>
      </c>
      <c r="B102" s="748" t="s">
        <v>2501</v>
      </c>
      <c r="C102" s="747" t="s">
        <v>62</v>
      </c>
      <c r="D102" s="1118">
        <v>19.442</v>
      </c>
      <c r="E102" s="779"/>
      <c r="F102" s="749">
        <v>46142</v>
      </c>
      <c r="G102" s="749">
        <v>46147</v>
      </c>
      <c r="H102" s="937" t="s">
        <v>631</v>
      </c>
      <c r="I102" s="747" t="s">
        <v>3293</v>
      </c>
      <c r="J102" s="747">
        <v>20</v>
      </c>
      <c r="K102" s="1008"/>
      <c r="L102" s="1088"/>
    </row>
    <row r="103" spans="1:12" s="1035" customFormat="1" ht="30.95" customHeight="1">
      <c r="A103" s="747">
        <f t="shared" si="1"/>
        <v>97</v>
      </c>
      <c r="B103" s="748" t="s">
        <v>3150</v>
      </c>
      <c r="C103" s="747" t="s">
        <v>76</v>
      </c>
      <c r="D103" s="1118">
        <v>18.34</v>
      </c>
      <c r="E103" s="779"/>
      <c r="F103" s="749">
        <v>46142</v>
      </c>
      <c r="G103" s="749">
        <v>46146</v>
      </c>
      <c r="H103" s="937" t="s">
        <v>631</v>
      </c>
      <c r="I103" s="747" t="s">
        <v>3284</v>
      </c>
      <c r="J103" s="747">
        <v>25</v>
      </c>
      <c r="K103" s="1008"/>
      <c r="L103" s="1088"/>
    </row>
    <row r="104" spans="1:12" s="1035" customFormat="1" ht="30.95" customHeight="1">
      <c r="A104" s="1042">
        <f t="shared" si="1"/>
        <v>98</v>
      </c>
      <c r="B104" s="1043" t="s">
        <v>2222</v>
      </c>
      <c r="C104" s="1042" t="s">
        <v>62</v>
      </c>
      <c r="D104" s="1119">
        <v>19.440000000000001</v>
      </c>
      <c r="E104" s="943"/>
      <c r="F104" s="1044">
        <v>46145</v>
      </c>
      <c r="G104" s="1044">
        <v>46150</v>
      </c>
      <c r="H104" s="1045" t="s">
        <v>631</v>
      </c>
      <c r="I104" s="1042" t="s">
        <v>1783</v>
      </c>
      <c r="J104" s="1042">
        <v>20</v>
      </c>
      <c r="K104" s="1008" t="s">
        <v>631</v>
      </c>
      <c r="L104" s="1088"/>
    </row>
    <row r="105" spans="1:12" s="1035" customFormat="1" ht="30.95" customHeight="1">
      <c r="A105" s="747">
        <f t="shared" si="1"/>
        <v>99</v>
      </c>
      <c r="B105" s="748" t="s">
        <v>3124</v>
      </c>
      <c r="C105" s="747" t="s">
        <v>1977</v>
      </c>
      <c r="D105" s="1118">
        <v>36.353999999999999</v>
      </c>
      <c r="E105" s="779"/>
      <c r="F105" s="749">
        <v>46147</v>
      </c>
      <c r="G105" s="749">
        <v>46157</v>
      </c>
      <c r="H105" s="937" t="s">
        <v>631</v>
      </c>
      <c r="I105" s="747" t="s">
        <v>3348</v>
      </c>
      <c r="J105" s="747">
        <v>20</v>
      </c>
      <c r="K105" s="1008"/>
      <c r="L105" s="1088"/>
    </row>
    <row r="106" spans="1:12" s="1035" customFormat="1" ht="30.95" customHeight="1">
      <c r="A106" s="1042">
        <f t="shared" si="1"/>
        <v>100</v>
      </c>
      <c r="B106" s="1043" t="s">
        <v>490</v>
      </c>
      <c r="C106" s="1042" t="s">
        <v>53</v>
      </c>
      <c r="D106" s="1119">
        <v>22.678999999999998</v>
      </c>
      <c r="E106" s="943"/>
      <c r="F106" s="1044">
        <v>46147</v>
      </c>
      <c r="G106" s="1044">
        <v>46150</v>
      </c>
      <c r="H106" s="1045" t="s">
        <v>631</v>
      </c>
      <c r="I106" s="1042" t="s">
        <v>3264</v>
      </c>
      <c r="J106" s="1042">
        <v>24</v>
      </c>
      <c r="K106" s="1008"/>
      <c r="L106" s="1088"/>
    </row>
    <row r="107" spans="1:12" s="1035" customFormat="1" ht="30.95" customHeight="1">
      <c r="A107" s="747">
        <f t="shared" si="1"/>
        <v>101</v>
      </c>
      <c r="B107" s="748" t="s">
        <v>2525</v>
      </c>
      <c r="C107" s="747" t="s">
        <v>76</v>
      </c>
      <c r="D107" s="1118">
        <v>18.34</v>
      </c>
      <c r="E107" s="779"/>
      <c r="F107" s="749">
        <v>46147</v>
      </c>
      <c r="G107" s="749">
        <v>46156</v>
      </c>
      <c r="H107" s="937" t="s">
        <v>631</v>
      </c>
      <c r="I107" s="747" t="s">
        <v>3293</v>
      </c>
      <c r="J107" s="747">
        <v>20</v>
      </c>
      <c r="K107" s="1008"/>
      <c r="L107" s="1088"/>
    </row>
    <row r="108" spans="1:12" s="1035" customFormat="1" ht="30.95" customHeight="1">
      <c r="A108" s="747">
        <f t="shared" si="1"/>
        <v>102</v>
      </c>
      <c r="B108" s="748" t="s">
        <v>3014</v>
      </c>
      <c r="C108" s="747" t="s">
        <v>1269</v>
      </c>
      <c r="D108" s="1118">
        <v>27.920999999999999</v>
      </c>
      <c r="E108" s="779"/>
      <c r="F108" s="749">
        <v>46147</v>
      </c>
      <c r="G108" s="749">
        <v>46149</v>
      </c>
      <c r="H108" s="937" t="s">
        <v>631</v>
      </c>
      <c r="I108" s="747" t="s">
        <v>3284</v>
      </c>
      <c r="J108" s="747">
        <v>25</v>
      </c>
      <c r="K108" s="1008"/>
      <c r="L108" s="1088"/>
    </row>
    <row r="109" spans="1:12" s="1035" customFormat="1" ht="30.95" customHeight="1">
      <c r="A109" s="747">
        <f t="shared" si="1"/>
        <v>103</v>
      </c>
      <c r="B109" s="748" t="s">
        <v>2574</v>
      </c>
      <c r="C109" s="747" t="s">
        <v>62</v>
      </c>
      <c r="D109" s="1118">
        <v>19.440000000000001</v>
      </c>
      <c r="E109" s="779"/>
      <c r="F109" s="749">
        <v>46149</v>
      </c>
      <c r="G109" s="749">
        <v>46152</v>
      </c>
      <c r="H109" s="937" t="s">
        <v>631</v>
      </c>
      <c r="I109" s="747" t="s">
        <v>3284</v>
      </c>
      <c r="J109" s="747">
        <v>25</v>
      </c>
      <c r="K109" s="1008"/>
      <c r="L109" s="1088"/>
    </row>
    <row r="110" spans="1:12" s="1035" customFormat="1" ht="30.95" customHeight="1">
      <c r="A110" s="747">
        <f t="shared" si="1"/>
        <v>104</v>
      </c>
      <c r="B110" s="748" t="s">
        <v>2852</v>
      </c>
      <c r="C110" s="747" t="s">
        <v>76</v>
      </c>
      <c r="D110" s="1118">
        <v>18.34</v>
      </c>
      <c r="E110" s="779"/>
      <c r="F110" s="749">
        <v>46150</v>
      </c>
      <c r="G110" s="749">
        <v>46152</v>
      </c>
      <c r="H110" s="937" t="s">
        <v>631</v>
      </c>
      <c r="I110" s="747" t="s">
        <v>3264</v>
      </c>
      <c r="J110" s="747">
        <v>24</v>
      </c>
      <c r="K110" s="1008" t="s">
        <v>631</v>
      </c>
      <c r="L110" s="1088"/>
    </row>
    <row r="111" spans="1:12" s="1035" customFormat="1" ht="30.95" customHeight="1">
      <c r="A111" s="747">
        <f t="shared" si="1"/>
        <v>105</v>
      </c>
      <c r="B111" s="748" t="s">
        <v>3309</v>
      </c>
      <c r="C111" s="747" t="s">
        <v>76</v>
      </c>
      <c r="D111" s="1118">
        <v>18.34</v>
      </c>
      <c r="E111" s="779"/>
      <c r="F111" s="749">
        <v>46150</v>
      </c>
      <c r="G111" s="749">
        <v>46155</v>
      </c>
      <c r="H111" s="937" t="s">
        <v>631</v>
      </c>
      <c r="I111" s="747" t="s">
        <v>1783</v>
      </c>
      <c r="J111" s="747">
        <v>20</v>
      </c>
      <c r="K111" s="1008" t="s">
        <v>631</v>
      </c>
      <c r="L111" s="1088"/>
    </row>
    <row r="112" spans="1:12" s="1035" customFormat="1" ht="30.95" customHeight="1">
      <c r="A112" s="747">
        <f t="shared" si="1"/>
        <v>106</v>
      </c>
      <c r="B112" s="748" t="s">
        <v>2724</v>
      </c>
      <c r="C112" s="747" t="s">
        <v>62</v>
      </c>
      <c r="D112" s="1118">
        <v>19.440000000000001</v>
      </c>
      <c r="E112" s="779"/>
      <c r="F112" s="749">
        <v>46152</v>
      </c>
      <c r="G112" s="749">
        <v>46155</v>
      </c>
      <c r="H112" s="937" t="s">
        <v>631</v>
      </c>
      <c r="I112" s="747" t="s">
        <v>3264</v>
      </c>
      <c r="J112" s="747">
        <v>24</v>
      </c>
      <c r="K112" s="1008"/>
      <c r="L112" s="1088"/>
    </row>
    <row r="113" spans="1:12" s="1035" customFormat="1" ht="30.95" customHeight="1">
      <c r="A113" s="747">
        <f t="shared" si="1"/>
        <v>107</v>
      </c>
      <c r="B113" s="748" t="s">
        <v>3152</v>
      </c>
      <c r="C113" s="747" t="s">
        <v>76</v>
      </c>
      <c r="D113" s="1118">
        <v>18.34</v>
      </c>
      <c r="E113" s="779"/>
      <c r="F113" s="749">
        <v>46152</v>
      </c>
      <c r="G113" s="749">
        <v>46155</v>
      </c>
      <c r="H113" s="937" t="s">
        <v>631</v>
      </c>
      <c r="I113" s="747" t="s">
        <v>3284</v>
      </c>
      <c r="J113" s="747">
        <v>25</v>
      </c>
      <c r="K113" s="1008"/>
      <c r="L113" s="1088"/>
    </row>
    <row r="114" spans="1:12" s="1035" customFormat="1" ht="30.95" customHeight="1">
      <c r="A114" s="747">
        <f t="shared" si="1"/>
        <v>108</v>
      </c>
      <c r="B114" s="748" t="s">
        <v>3236</v>
      </c>
      <c r="C114" s="747" t="s">
        <v>62</v>
      </c>
      <c r="D114" s="1118">
        <v>19.440000000000001</v>
      </c>
      <c r="E114" s="779"/>
      <c r="F114" s="749">
        <v>46156</v>
      </c>
      <c r="G114" s="749">
        <v>46158</v>
      </c>
      <c r="H114" s="937" t="s">
        <v>631</v>
      </c>
      <c r="I114" s="747" t="s">
        <v>3264</v>
      </c>
      <c r="J114" s="747">
        <v>24</v>
      </c>
      <c r="K114" s="1008"/>
      <c r="L114" s="1088"/>
    </row>
    <row r="115" spans="1:12" s="1035" customFormat="1" ht="30.95" customHeight="1">
      <c r="A115" s="747">
        <f t="shared" si="1"/>
        <v>109</v>
      </c>
      <c r="B115" s="748" t="s">
        <v>2580</v>
      </c>
      <c r="C115" s="747" t="s">
        <v>76</v>
      </c>
      <c r="D115" s="1118">
        <v>18.34</v>
      </c>
      <c r="E115" s="779"/>
      <c r="F115" s="749">
        <v>46156</v>
      </c>
      <c r="G115" s="749">
        <v>46158</v>
      </c>
      <c r="H115" s="937" t="s">
        <v>631</v>
      </c>
      <c r="I115" s="747" t="s">
        <v>3284</v>
      </c>
      <c r="J115" s="747">
        <v>25</v>
      </c>
      <c r="K115" s="1008"/>
      <c r="L115" s="1088"/>
    </row>
    <row r="116" spans="1:12" s="1035" customFormat="1" ht="30.95" customHeight="1">
      <c r="A116" s="747">
        <f>A115+1</f>
        <v>110</v>
      </c>
      <c r="B116" s="748" t="s">
        <v>3117</v>
      </c>
      <c r="C116" s="747" t="s">
        <v>76</v>
      </c>
      <c r="D116" s="1118">
        <v>18.34</v>
      </c>
      <c r="E116" s="779"/>
      <c r="F116" s="749">
        <v>46157</v>
      </c>
      <c r="G116" s="749">
        <v>46162</v>
      </c>
      <c r="H116" s="937" t="s">
        <v>631</v>
      </c>
      <c r="I116" s="747" t="s">
        <v>3348</v>
      </c>
      <c r="J116" s="747">
        <v>20</v>
      </c>
      <c r="K116" s="1008"/>
      <c r="L116" s="1088"/>
    </row>
    <row r="117" spans="1:12" s="1035" customFormat="1" ht="30.95" customHeight="1">
      <c r="A117" s="747">
        <f t="shared" si="1"/>
        <v>111</v>
      </c>
      <c r="B117" s="748" t="s">
        <v>2867</v>
      </c>
      <c r="C117" s="747" t="s">
        <v>1319</v>
      </c>
      <c r="D117" s="1118">
        <v>42.225999999999999</v>
      </c>
      <c r="E117" s="779"/>
      <c r="F117" s="749">
        <v>46158</v>
      </c>
      <c r="G117" s="749">
        <v>46163</v>
      </c>
      <c r="H117" s="937" t="s">
        <v>631</v>
      </c>
      <c r="I117" s="747" t="s">
        <v>3264</v>
      </c>
      <c r="J117" s="747">
        <v>24</v>
      </c>
      <c r="K117" s="1008"/>
      <c r="L117" s="1088"/>
    </row>
    <row r="118" spans="1:12" s="1035" customFormat="1" ht="30.95" customHeight="1">
      <c r="A118" s="747">
        <f t="shared" si="1"/>
        <v>112</v>
      </c>
      <c r="B118" s="748" t="s">
        <v>2579</v>
      </c>
      <c r="C118" s="747" t="s">
        <v>76</v>
      </c>
      <c r="D118" s="1118">
        <v>18.34</v>
      </c>
      <c r="E118" s="779"/>
      <c r="F118" s="749">
        <v>46158</v>
      </c>
      <c r="G118" s="749">
        <v>46161</v>
      </c>
      <c r="H118" s="937" t="s">
        <v>631</v>
      </c>
      <c r="I118" s="747" t="s">
        <v>3284</v>
      </c>
      <c r="J118" s="747">
        <v>25</v>
      </c>
      <c r="K118" s="1008"/>
      <c r="L118" s="1088"/>
    </row>
    <row r="119" spans="1:12" s="1035" customFormat="1" ht="30.95" customHeight="1">
      <c r="A119" s="747">
        <f t="shared" si="1"/>
        <v>113</v>
      </c>
      <c r="B119" s="748" t="s">
        <v>3153</v>
      </c>
      <c r="C119" s="747" t="s">
        <v>62</v>
      </c>
      <c r="D119" s="1118">
        <v>19.440000000000001</v>
      </c>
      <c r="E119" s="779"/>
      <c r="F119" s="749">
        <v>46161</v>
      </c>
      <c r="G119" s="749">
        <v>46165</v>
      </c>
      <c r="H119" s="937" t="s">
        <v>631</v>
      </c>
      <c r="I119" s="747" t="s">
        <v>3284</v>
      </c>
      <c r="J119" s="747">
        <v>25</v>
      </c>
      <c r="K119" s="1008"/>
      <c r="L119" s="1088"/>
    </row>
    <row r="120" spans="1:12" s="1035" customFormat="1" ht="30.95" customHeight="1">
      <c r="A120" s="747">
        <f t="shared" si="1"/>
        <v>114</v>
      </c>
      <c r="B120" s="748" t="s">
        <v>3009</v>
      </c>
      <c r="C120" s="747" t="s">
        <v>1361</v>
      </c>
      <c r="D120" s="1118">
        <v>33.53</v>
      </c>
      <c r="E120" s="779"/>
      <c r="F120" s="749">
        <v>46162</v>
      </c>
      <c r="G120" s="749">
        <v>46170</v>
      </c>
      <c r="H120" s="937" t="s">
        <v>631</v>
      </c>
      <c r="I120" s="747" t="s">
        <v>3348</v>
      </c>
      <c r="J120" s="747">
        <v>20</v>
      </c>
      <c r="K120" s="1008"/>
      <c r="L120" s="1088"/>
    </row>
    <row r="121" spans="1:12" s="1035" customFormat="1" ht="30.95" customHeight="1">
      <c r="A121" s="747">
        <f t="shared" si="1"/>
        <v>115</v>
      </c>
      <c r="B121" s="748" t="s">
        <v>2904</v>
      </c>
      <c r="C121" s="747" t="s">
        <v>1319</v>
      </c>
      <c r="D121" s="1118">
        <v>42.225999999999999</v>
      </c>
      <c r="E121" s="779"/>
      <c r="F121" s="749">
        <v>46164</v>
      </c>
      <c r="G121" s="749">
        <v>46170</v>
      </c>
      <c r="H121" s="937" t="s">
        <v>631</v>
      </c>
      <c r="I121" s="747" t="s">
        <v>3264</v>
      </c>
      <c r="J121" s="747">
        <v>24</v>
      </c>
      <c r="K121" s="1008"/>
      <c r="L121" s="1088"/>
    </row>
    <row r="122" spans="1:12" s="1035" customFormat="1" ht="30.95" customHeight="1">
      <c r="A122" s="747">
        <f t="shared" si="1"/>
        <v>116</v>
      </c>
      <c r="B122" s="748" t="s">
        <v>3022</v>
      </c>
      <c r="C122" s="747" t="s">
        <v>1277</v>
      </c>
      <c r="D122" s="1118">
        <v>32.222999999999999</v>
      </c>
      <c r="E122" s="779"/>
      <c r="F122" s="749">
        <v>46165</v>
      </c>
      <c r="G122" s="749">
        <v>46169</v>
      </c>
      <c r="H122" s="937" t="s">
        <v>631</v>
      </c>
      <c r="I122" s="747" t="s">
        <v>3284</v>
      </c>
      <c r="J122" s="747">
        <v>25</v>
      </c>
      <c r="K122" s="1008"/>
      <c r="L122" s="1088"/>
    </row>
    <row r="123" spans="1:12" s="1035" customFormat="1" ht="30.95" customHeight="1">
      <c r="A123" s="747">
        <f t="shared" si="1"/>
        <v>117</v>
      </c>
      <c r="B123" s="748" t="s">
        <v>3184</v>
      </c>
      <c r="C123" s="747" t="s">
        <v>1319</v>
      </c>
      <c r="D123" s="1118">
        <v>42.225999999999999</v>
      </c>
      <c r="E123" s="779"/>
      <c r="F123" s="749">
        <v>46166</v>
      </c>
      <c r="G123" s="749">
        <v>46177</v>
      </c>
      <c r="H123" s="937" t="s">
        <v>631</v>
      </c>
      <c r="I123" s="747" t="s">
        <v>3417</v>
      </c>
      <c r="J123" s="747">
        <v>20</v>
      </c>
      <c r="K123" s="1008"/>
      <c r="L123" s="1088"/>
    </row>
    <row r="124" spans="1:12" s="1035" customFormat="1" ht="30.95" customHeight="1">
      <c r="A124" s="747">
        <f t="shared" si="1"/>
        <v>118</v>
      </c>
      <c r="B124" s="748" t="s">
        <v>2467</v>
      </c>
      <c r="C124" s="747" t="s">
        <v>62</v>
      </c>
      <c r="D124" s="1118">
        <v>19.442</v>
      </c>
      <c r="E124" s="779"/>
      <c r="F124" s="749">
        <v>46167</v>
      </c>
      <c r="G124" s="749">
        <v>46176</v>
      </c>
      <c r="H124" s="937" t="s">
        <v>631</v>
      </c>
      <c r="I124" s="747" t="s">
        <v>1360</v>
      </c>
      <c r="J124" s="747">
        <v>26</v>
      </c>
      <c r="K124" s="1008"/>
      <c r="L124" s="1088"/>
    </row>
    <row r="125" spans="1:12" s="1035" customFormat="1" ht="30.95" customHeight="1">
      <c r="A125" s="747">
        <f t="shared" si="1"/>
        <v>119</v>
      </c>
      <c r="B125" s="748" t="s">
        <v>3149</v>
      </c>
      <c r="C125" s="747" t="s">
        <v>62</v>
      </c>
      <c r="D125" s="1118">
        <v>19.442</v>
      </c>
      <c r="E125" s="779"/>
      <c r="F125" s="749">
        <v>46170</v>
      </c>
      <c r="G125" s="749">
        <v>46173</v>
      </c>
      <c r="H125" s="937" t="s">
        <v>631</v>
      </c>
      <c r="I125" s="747" t="s">
        <v>3284</v>
      </c>
      <c r="J125" s="747">
        <v>25</v>
      </c>
      <c r="K125" s="1008"/>
      <c r="L125" s="1088"/>
    </row>
    <row r="126" spans="1:12" s="1035" customFormat="1" ht="30.95" customHeight="1">
      <c r="A126" s="747">
        <f t="shared" si="1"/>
        <v>120</v>
      </c>
      <c r="B126" s="748" t="s">
        <v>2522</v>
      </c>
      <c r="C126" s="747" t="s">
        <v>62</v>
      </c>
      <c r="D126" s="1118">
        <v>19.442</v>
      </c>
      <c r="E126" s="779"/>
      <c r="F126" s="749">
        <v>46170</v>
      </c>
      <c r="G126" s="749">
        <v>46175</v>
      </c>
      <c r="H126" s="937" t="s">
        <v>631</v>
      </c>
      <c r="I126" s="747" t="s">
        <v>3348</v>
      </c>
      <c r="J126" s="747">
        <v>20</v>
      </c>
      <c r="K126" s="1008"/>
      <c r="L126" s="1088"/>
    </row>
    <row r="127" spans="1:12" s="1035" customFormat="1" ht="30.95" customHeight="1">
      <c r="A127" s="747">
        <f t="shared" si="1"/>
        <v>121</v>
      </c>
      <c r="B127" s="748" t="s">
        <v>163</v>
      </c>
      <c r="C127" s="747" t="s">
        <v>62</v>
      </c>
      <c r="D127" s="1118">
        <v>19.442</v>
      </c>
      <c r="E127" s="779"/>
      <c r="F127" s="749">
        <v>46170</v>
      </c>
      <c r="G127" s="749">
        <v>46172</v>
      </c>
      <c r="H127" s="937" t="s">
        <v>631</v>
      </c>
      <c r="I127" s="747" t="s">
        <v>3264</v>
      </c>
      <c r="J127" s="747">
        <v>24</v>
      </c>
      <c r="K127" s="1008"/>
      <c r="L127" s="1088"/>
    </row>
    <row r="128" spans="1:12" s="1035" customFormat="1" ht="30.95" customHeight="1">
      <c r="A128" s="747">
        <f t="shared" si="1"/>
        <v>122</v>
      </c>
      <c r="B128" s="748" t="s">
        <v>2902</v>
      </c>
      <c r="C128" s="747" t="s">
        <v>1277</v>
      </c>
      <c r="D128" s="1118">
        <v>32.222999999999999</v>
      </c>
      <c r="E128" s="779"/>
      <c r="F128" s="749">
        <v>46172</v>
      </c>
      <c r="G128" s="749">
        <v>46177</v>
      </c>
      <c r="H128" s="937" t="s">
        <v>631</v>
      </c>
      <c r="I128" s="747" t="s">
        <v>3264</v>
      </c>
      <c r="J128" s="747">
        <v>24</v>
      </c>
      <c r="K128" s="1008"/>
      <c r="L128" s="1088"/>
    </row>
    <row r="129" spans="1:12" s="1035" customFormat="1" ht="30.95" customHeight="1">
      <c r="A129" s="747">
        <f t="shared" si="1"/>
        <v>123</v>
      </c>
      <c r="B129" s="748" t="s">
        <v>3143</v>
      </c>
      <c r="C129" s="747" t="s">
        <v>76</v>
      </c>
      <c r="D129" s="1118">
        <v>18.34</v>
      </c>
      <c r="E129" s="779"/>
      <c r="F129" s="749">
        <v>46173</v>
      </c>
      <c r="G129" s="749">
        <v>46176</v>
      </c>
      <c r="H129" s="937" t="s">
        <v>631</v>
      </c>
      <c r="I129" s="747" t="s">
        <v>3284</v>
      </c>
      <c r="J129" s="747">
        <v>25</v>
      </c>
      <c r="K129" s="1008"/>
      <c r="L129" s="1088"/>
    </row>
    <row r="130" spans="1:12" s="1035" customFormat="1" ht="30.95" customHeight="1">
      <c r="A130" s="747">
        <f t="shared" si="1"/>
        <v>124</v>
      </c>
      <c r="B130" s="748" t="s">
        <v>3004</v>
      </c>
      <c r="C130" s="747" t="s">
        <v>1277</v>
      </c>
      <c r="D130" s="1118">
        <v>32.222999999999999</v>
      </c>
      <c r="E130" s="779"/>
      <c r="F130" s="749">
        <v>46175</v>
      </c>
      <c r="G130" s="749">
        <v>46181</v>
      </c>
      <c r="H130" s="937" t="s">
        <v>631</v>
      </c>
      <c r="I130" s="747" t="s">
        <v>3348</v>
      </c>
      <c r="J130" s="747">
        <v>20</v>
      </c>
      <c r="K130" s="1008"/>
      <c r="L130" s="1088"/>
    </row>
    <row r="131" spans="1:12" s="1035" customFormat="1" ht="30.95" customHeight="1">
      <c r="A131" s="747">
        <f t="shared" si="1"/>
        <v>125</v>
      </c>
      <c r="B131" s="748" t="s">
        <v>497</v>
      </c>
      <c r="C131" s="747" t="s">
        <v>62</v>
      </c>
      <c r="D131" s="1118">
        <v>19.442</v>
      </c>
      <c r="E131" s="779"/>
      <c r="F131" s="749">
        <v>46175</v>
      </c>
      <c r="G131" s="749">
        <v>46183</v>
      </c>
      <c r="H131" s="937" t="s">
        <v>631</v>
      </c>
      <c r="I131" s="747" t="s">
        <v>3585</v>
      </c>
      <c r="J131" s="747">
        <v>22</v>
      </c>
      <c r="K131" s="1008"/>
      <c r="L131" s="1088"/>
    </row>
    <row r="132" spans="1:12" s="1035" customFormat="1" ht="30.95" customHeight="1">
      <c r="A132" s="747">
        <f t="shared" si="1"/>
        <v>126</v>
      </c>
      <c r="B132" s="748" t="s">
        <v>2938</v>
      </c>
      <c r="C132" s="747" t="s">
        <v>1995</v>
      </c>
      <c r="D132" s="1118">
        <v>44.070999999999998</v>
      </c>
      <c r="E132" s="779"/>
      <c r="F132" s="749">
        <v>46176</v>
      </c>
      <c r="G132" s="749">
        <v>46188</v>
      </c>
      <c r="H132" s="937" t="s">
        <v>631</v>
      </c>
      <c r="I132" s="747" t="s">
        <v>3584</v>
      </c>
      <c r="J132" s="747">
        <v>24</v>
      </c>
      <c r="K132" s="1008"/>
      <c r="L132" s="1088"/>
    </row>
    <row r="133" spans="1:12" s="1035" customFormat="1" ht="30.95" customHeight="1">
      <c r="A133" s="747">
        <f t="shared" si="1"/>
        <v>127</v>
      </c>
      <c r="B133" s="748" t="s">
        <v>3005</v>
      </c>
      <c r="C133" s="747" t="s">
        <v>1953</v>
      </c>
      <c r="D133" s="1118">
        <v>41.843000000000004</v>
      </c>
      <c r="E133" s="779"/>
      <c r="F133" s="749">
        <v>46176</v>
      </c>
      <c r="G133" s="749">
        <v>46186</v>
      </c>
      <c r="H133" s="937" t="s">
        <v>631</v>
      </c>
      <c r="I133" s="747" t="s">
        <v>1360</v>
      </c>
      <c r="J133" s="747">
        <v>26</v>
      </c>
      <c r="K133" s="1008"/>
      <c r="L133" s="1088"/>
    </row>
    <row r="134" spans="1:12" s="1035" customFormat="1" ht="30.95" customHeight="1">
      <c r="A134" s="747">
        <f t="shared" si="1"/>
        <v>128</v>
      </c>
      <c r="B134" s="748" t="s">
        <v>3180</v>
      </c>
      <c r="C134" s="747" t="s">
        <v>1319</v>
      </c>
      <c r="D134" s="1118">
        <v>42.225999999999999</v>
      </c>
      <c r="E134" s="779"/>
      <c r="F134" s="749">
        <v>46176</v>
      </c>
      <c r="G134" s="749">
        <v>46183</v>
      </c>
      <c r="H134" s="937" t="s">
        <v>631</v>
      </c>
      <c r="I134" s="747" t="s">
        <v>3284</v>
      </c>
      <c r="J134" s="747">
        <v>25</v>
      </c>
      <c r="K134" s="1008"/>
      <c r="L134" s="1088"/>
    </row>
    <row r="135" spans="1:12" s="1035" customFormat="1" ht="30.95" customHeight="1">
      <c r="A135" s="747">
        <f t="shared" si="1"/>
        <v>129</v>
      </c>
      <c r="B135" s="748" t="s">
        <v>2900</v>
      </c>
      <c r="C135" s="747" t="s">
        <v>1269</v>
      </c>
      <c r="D135" s="1118">
        <v>27.920999999999999</v>
      </c>
      <c r="E135" s="779"/>
      <c r="F135" s="749">
        <v>46177</v>
      </c>
      <c r="G135" s="749">
        <v>46180</v>
      </c>
      <c r="H135" s="937" t="s">
        <v>631</v>
      </c>
      <c r="I135" s="747" t="s">
        <v>3264</v>
      </c>
      <c r="J135" s="747">
        <v>24</v>
      </c>
      <c r="K135" s="1008"/>
      <c r="L135" s="1088"/>
    </row>
    <row r="136" spans="1:12" s="1035" customFormat="1" ht="30.95" customHeight="1">
      <c r="A136" s="747">
        <f t="shared" si="1"/>
        <v>130</v>
      </c>
      <c r="B136" s="748" t="s">
        <v>3019</v>
      </c>
      <c r="C136" s="747" t="s">
        <v>1277</v>
      </c>
      <c r="D136" s="1118">
        <v>32.222999999999999</v>
      </c>
      <c r="E136" s="779"/>
      <c r="F136" s="749">
        <v>46182</v>
      </c>
      <c r="G136" s="749">
        <v>46186</v>
      </c>
      <c r="H136" s="937" t="s">
        <v>631</v>
      </c>
      <c r="I136" s="747" t="s">
        <v>3417</v>
      </c>
      <c r="J136" s="747">
        <v>20</v>
      </c>
      <c r="K136" s="1008"/>
      <c r="L136" s="1285"/>
    </row>
    <row r="137" spans="1:12" s="1035" customFormat="1" ht="30.95" customHeight="1">
      <c r="A137" s="747">
        <f t="shared" si="1"/>
        <v>131</v>
      </c>
      <c r="B137" s="748" t="s">
        <v>3010</v>
      </c>
      <c r="C137" s="747" t="s">
        <v>1361</v>
      </c>
      <c r="D137" s="1118">
        <v>33.53</v>
      </c>
      <c r="E137" s="779"/>
      <c r="F137" s="749">
        <v>46178</v>
      </c>
      <c r="G137" s="749">
        <v>46185</v>
      </c>
      <c r="H137" s="937" t="s">
        <v>631</v>
      </c>
      <c r="I137" s="747" t="s">
        <v>3594</v>
      </c>
      <c r="J137" s="747">
        <v>22</v>
      </c>
      <c r="K137" s="1008"/>
      <c r="L137" s="1088"/>
    </row>
    <row r="138" spans="1:12" s="1035" customFormat="1" ht="30.95" customHeight="1">
      <c r="A138" s="747">
        <f t="shared" si="1"/>
        <v>132</v>
      </c>
      <c r="B138" s="748" t="s">
        <v>251</v>
      </c>
      <c r="C138" s="747" t="s">
        <v>76</v>
      </c>
      <c r="D138" s="1118">
        <v>18.34</v>
      </c>
      <c r="E138" s="779"/>
      <c r="F138" s="749">
        <v>46180</v>
      </c>
      <c r="G138" s="749">
        <v>46184</v>
      </c>
      <c r="H138" s="937" t="s">
        <v>631</v>
      </c>
      <c r="I138" s="747" t="s">
        <v>3264</v>
      </c>
      <c r="J138" s="747">
        <v>24</v>
      </c>
      <c r="K138" s="1008"/>
      <c r="L138" s="1088"/>
    </row>
    <row r="139" spans="1:12" s="1035" customFormat="1" ht="30.95" customHeight="1">
      <c r="A139" s="747">
        <f t="shared" si="1"/>
        <v>133</v>
      </c>
      <c r="B139" s="748" t="s">
        <v>3119</v>
      </c>
      <c r="C139" s="747" t="s">
        <v>1977</v>
      </c>
      <c r="D139" s="1118">
        <v>36.353999999999999</v>
      </c>
      <c r="E139" s="779"/>
      <c r="F139" s="749">
        <v>46181</v>
      </c>
      <c r="G139" s="749">
        <v>46190</v>
      </c>
      <c r="H139" s="937" t="s">
        <v>631</v>
      </c>
      <c r="I139" s="747" t="s">
        <v>3348</v>
      </c>
      <c r="J139" s="747">
        <v>20</v>
      </c>
      <c r="K139" s="1008"/>
      <c r="L139" s="1088"/>
    </row>
    <row r="140" spans="1:12" s="1035" customFormat="1" ht="30.95" customHeight="1">
      <c r="A140" s="747">
        <f t="shared" si="1"/>
        <v>134</v>
      </c>
      <c r="B140" s="748" t="s">
        <v>2917</v>
      </c>
      <c r="C140" s="747" t="s">
        <v>2197</v>
      </c>
      <c r="D140" s="1118"/>
      <c r="E140" s="779"/>
      <c r="F140" s="749">
        <v>46183</v>
      </c>
      <c r="G140" s="749">
        <v>46199</v>
      </c>
      <c r="H140" s="937" t="s">
        <v>631</v>
      </c>
      <c r="I140" s="747" t="s">
        <v>3585</v>
      </c>
      <c r="J140" s="747">
        <v>22</v>
      </c>
      <c r="K140" s="1008"/>
      <c r="L140" s="1088"/>
    </row>
    <row r="141" spans="1:12" s="1035" customFormat="1" ht="30.95" customHeight="1">
      <c r="A141" s="747">
        <f t="shared" si="1"/>
        <v>135</v>
      </c>
      <c r="B141" s="748" t="s">
        <v>3181</v>
      </c>
      <c r="C141" s="747" t="s">
        <v>1269</v>
      </c>
      <c r="D141" s="1118">
        <v>27.920999999999999</v>
      </c>
      <c r="E141" s="779"/>
      <c r="F141" s="749">
        <v>46183</v>
      </c>
      <c r="G141" s="749">
        <v>46190</v>
      </c>
      <c r="H141" s="937" t="s">
        <v>631</v>
      </c>
      <c r="I141" s="747" t="s">
        <v>3284</v>
      </c>
      <c r="J141" s="747">
        <v>25</v>
      </c>
      <c r="K141" s="1008"/>
      <c r="L141" s="1088"/>
    </row>
    <row r="142" spans="1:12" s="1035" customFormat="1" ht="30.95" customHeight="1">
      <c r="A142" s="747">
        <f t="shared" si="1"/>
        <v>136</v>
      </c>
      <c r="B142" s="748" t="s">
        <v>144</v>
      </c>
      <c r="C142" s="747" t="s">
        <v>76</v>
      </c>
      <c r="D142" s="1118">
        <v>18.338999999999999</v>
      </c>
      <c r="E142" s="779"/>
      <c r="F142" s="749">
        <v>46184</v>
      </c>
      <c r="G142" s="749">
        <v>46186</v>
      </c>
      <c r="H142" s="937" t="s">
        <v>631</v>
      </c>
      <c r="I142" s="747" t="s">
        <v>3264</v>
      </c>
      <c r="J142" s="747">
        <v>24</v>
      </c>
      <c r="K142" s="1008"/>
      <c r="L142" s="1088"/>
    </row>
    <row r="143" spans="1:12" s="1035" customFormat="1" ht="30.95" customHeight="1">
      <c r="A143" s="747">
        <f t="shared" si="1"/>
        <v>137</v>
      </c>
      <c r="B143" s="748" t="s">
        <v>2516</v>
      </c>
      <c r="C143" s="747" t="s">
        <v>62</v>
      </c>
      <c r="D143" s="1118">
        <v>19.442</v>
      </c>
      <c r="E143" s="779"/>
      <c r="F143" s="749">
        <v>46185</v>
      </c>
      <c r="G143" s="749">
        <v>46188</v>
      </c>
      <c r="H143" s="937" t="s">
        <v>631</v>
      </c>
      <c r="I143" s="747" t="s">
        <v>3594</v>
      </c>
      <c r="J143" s="747">
        <v>22</v>
      </c>
      <c r="K143" s="1008"/>
      <c r="L143" s="1088"/>
    </row>
    <row r="144" spans="1:12" s="1035" customFormat="1" ht="30.95" customHeight="1">
      <c r="A144" s="747">
        <f t="shared" si="1"/>
        <v>138</v>
      </c>
      <c r="B144" s="748" t="s">
        <v>2892</v>
      </c>
      <c r="C144" s="747" t="s">
        <v>1934</v>
      </c>
      <c r="D144" s="1118">
        <v>34.578000000000003</v>
      </c>
      <c r="E144" s="779"/>
      <c r="F144" s="749">
        <v>46187</v>
      </c>
      <c r="G144" s="749">
        <v>46191</v>
      </c>
      <c r="H144" s="937" t="s">
        <v>631</v>
      </c>
      <c r="I144" s="747" t="s">
        <v>3264</v>
      </c>
      <c r="J144" s="747">
        <v>24</v>
      </c>
      <c r="K144" s="1008"/>
      <c r="L144" s="1088"/>
    </row>
    <row r="145" spans="1:12" s="1035" customFormat="1" ht="30.95" customHeight="1">
      <c r="A145" s="747">
        <f t="shared" si="1"/>
        <v>139</v>
      </c>
      <c r="B145" s="748" t="s">
        <v>3003</v>
      </c>
      <c r="C145" s="747" t="s">
        <v>1277</v>
      </c>
      <c r="D145" s="1118">
        <v>32.222999999999999</v>
      </c>
      <c r="E145" s="779"/>
      <c r="F145" s="749">
        <v>46187</v>
      </c>
      <c r="G145" s="749">
        <v>46193</v>
      </c>
      <c r="H145" s="937" t="s">
        <v>631</v>
      </c>
      <c r="I145" s="747" t="s">
        <v>1360</v>
      </c>
      <c r="J145" s="747">
        <v>26</v>
      </c>
      <c r="K145" s="1008"/>
      <c r="L145" s="1088"/>
    </row>
    <row r="146" spans="1:12" s="1035" customFormat="1" ht="30.95" customHeight="1">
      <c r="A146" s="747">
        <f t="shared" si="1"/>
        <v>140</v>
      </c>
      <c r="B146" s="748" t="s">
        <v>3183</v>
      </c>
      <c r="C146" s="747" t="s">
        <v>1277</v>
      </c>
      <c r="D146" s="1118">
        <v>32.222999999999999</v>
      </c>
      <c r="E146" s="779"/>
      <c r="F146" s="749">
        <v>46189</v>
      </c>
      <c r="G146" s="749">
        <v>46192</v>
      </c>
      <c r="H146" s="937" t="s">
        <v>631</v>
      </c>
      <c r="I146" s="747" t="s">
        <v>3417</v>
      </c>
      <c r="J146" s="747">
        <v>20</v>
      </c>
      <c r="K146" s="1008"/>
      <c r="L146" s="1285" t="s">
        <v>3618</v>
      </c>
    </row>
    <row r="147" spans="1:12" s="1035" customFormat="1" ht="30.95" customHeight="1">
      <c r="A147" s="747">
        <f t="shared" si="1"/>
        <v>141</v>
      </c>
      <c r="B147" s="748" t="s">
        <v>2216</v>
      </c>
      <c r="C147" s="747" t="s">
        <v>90</v>
      </c>
      <c r="D147" s="1118">
        <v>29.492000000000001</v>
      </c>
      <c r="E147" s="779"/>
      <c r="F147" s="749">
        <v>46188</v>
      </c>
      <c r="G147" s="749">
        <v>46195</v>
      </c>
      <c r="H147" s="937" t="s">
        <v>631</v>
      </c>
      <c r="I147" s="747" t="s">
        <v>3584</v>
      </c>
      <c r="J147" s="747">
        <v>24</v>
      </c>
      <c r="K147" s="1008"/>
      <c r="L147" s="1088"/>
    </row>
    <row r="148" spans="1:12" s="1035" customFormat="1" ht="30.95" customHeight="1">
      <c r="A148" s="747">
        <f t="shared" si="1"/>
        <v>142</v>
      </c>
      <c r="B148" s="748" t="s">
        <v>2926</v>
      </c>
      <c r="C148" s="747" t="s">
        <v>1953</v>
      </c>
      <c r="D148" s="1118">
        <v>41.843000000000004</v>
      </c>
      <c r="E148" s="779"/>
      <c r="F148" s="749">
        <v>46188</v>
      </c>
      <c r="G148" s="749">
        <v>46194</v>
      </c>
      <c r="H148" s="937" t="s">
        <v>631</v>
      </c>
      <c r="I148" s="747" t="s">
        <v>3594</v>
      </c>
      <c r="J148" s="747">
        <v>22</v>
      </c>
      <c r="K148" s="1008"/>
      <c r="L148" s="1088"/>
    </row>
    <row r="149" spans="1:12" s="1035" customFormat="1" ht="30.95" customHeight="1">
      <c r="A149" s="747">
        <f t="shared" si="1"/>
        <v>143</v>
      </c>
      <c r="B149" s="748" t="s">
        <v>401</v>
      </c>
      <c r="C149" s="747" t="s">
        <v>62</v>
      </c>
      <c r="D149" s="1118">
        <v>19.442</v>
      </c>
      <c r="E149" s="779"/>
      <c r="F149" s="749">
        <v>46190</v>
      </c>
      <c r="G149" s="749">
        <v>46195</v>
      </c>
      <c r="H149" s="937" t="s">
        <v>631</v>
      </c>
      <c r="I149" s="747" t="s">
        <v>3264</v>
      </c>
      <c r="J149" s="747">
        <v>24</v>
      </c>
      <c r="K149" s="1008"/>
      <c r="L149" s="1088"/>
    </row>
    <row r="150" spans="1:12" s="1035" customFormat="1" ht="30.95" customHeight="1">
      <c r="A150" s="747">
        <f t="shared" si="1"/>
        <v>144</v>
      </c>
      <c r="B150" s="748" t="s">
        <v>3148</v>
      </c>
      <c r="C150" s="747" t="s">
        <v>76</v>
      </c>
      <c r="D150" s="1118">
        <v>18.338999999999999</v>
      </c>
      <c r="E150" s="779"/>
      <c r="F150" s="749">
        <v>46190</v>
      </c>
      <c r="G150" s="749">
        <v>46194</v>
      </c>
      <c r="H150" s="937" t="s">
        <v>631</v>
      </c>
      <c r="I150" s="747" t="s">
        <v>3284</v>
      </c>
      <c r="J150" s="747">
        <v>25</v>
      </c>
      <c r="K150" s="1008"/>
      <c r="L150" s="1088">
        <v>0</v>
      </c>
    </row>
    <row r="151" spans="1:12" s="1035" customFormat="1" ht="30.95" customHeight="1">
      <c r="A151" s="747">
        <f t="shared" si="1"/>
        <v>145</v>
      </c>
      <c r="B151" s="748" t="s">
        <v>2534</v>
      </c>
      <c r="C151" s="747" t="s">
        <v>62</v>
      </c>
      <c r="D151" s="1118">
        <v>19.442</v>
      </c>
      <c r="E151" s="779"/>
      <c r="F151" s="749">
        <v>46194</v>
      </c>
      <c r="G151" s="749">
        <v>46198</v>
      </c>
      <c r="H151" s="937" t="s">
        <v>631</v>
      </c>
      <c r="I151" s="747" t="s">
        <v>1360</v>
      </c>
      <c r="J151" s="747">
        <v>26</v>
      </c>
      <c r="K151" s="1008"/>
      <c r="L151" s="1088"/>
    </row>
    <row r="152" spans="1:12" s="1035" customFormat="1" ht="30.95" customHeight="1">
      <c r="A152" s="747">
        <f t="shared" si="1"/>
        <v>146</v>
      </c>
      <c r="B152" s="748" t="s">
        <v>2918</v>
      </c>
      <c r="C152" s="747" t="s">
        <v>1953</v>
      </c>
      <c r="D152" s="1118">
        <v>41.843000000000004</v>
      </c>
      <c r="E152" s="779"/>
      <c r="F152" s="749">
        <v>46194</v>
      </c>
      <c r="G152" s="749">
        <v>46202</v>
      </c>
      <c r="H152" s="937" t="s">
        <v>631</v>
      </c>
      <c r="I152" s="747" t="s">
        <v>3264</v>
      </c>
      <c r="J152" s="747">
        <v>24</v>
      </c>
      <c r="K152" s="1008"/>
      <c r="L152" s="1088"/>
    </row>
    <row r="153" spans="1:12" s="1035" customFormat="1" ht="30.95" customHeight="1">
      <c r="A153" s="747">
        <f t="shared" si="1"/>
        <v>147</v>
      </c>
      <c r="B153" s="748" t="s">
        <v>3147</v>
      </c>
      <c r="C153" s="747" t="s">
        <v>62</v>
      </c>
      <c r="D153" s="1118">
        <v>19.442</v>
      </c>
      <c r="E153" s="779"/>
      <c r="F153" s="749">
        <v>46194</v>
      </c>
      <c r="G153" s="749">
        <v>46198</v>
      </c>
      <c r="H153" s="937" t="s">
        <v>631</v>
      </c>
      <c r="I153" s="747" t="s">
        <v>3284</v>
      </c>
      <c r="J153" s="747">
        <v>25</v>
      </c>
      <c r="K153" s="1008"/>
      <c r="L153" s="1088"/>
    </row>
    <row r="154" spans="1:12" s="1035" customFormat="1" ht="30.95" customHeight="1">
      <c r="A154" s="747">
        <f t="shared" si="1"/>
        <v>148</v>
      </c>
      <c r="B154" s="748" t="s">
        <v>3194</v>
      </c>
      <c r="C154" s="747" t="s">
        <v>1934</v>
      </c>
      <c r="D154" s="1118">
        <v>34.578000000000003</v>
      </c>
      <c r="E154" s="779"/>
      <c r="F154" s="749">
        <v>46194</v>
      </c>
      <c r="G154" s="749">
        <v>46201</v>
      </c>
      <c r="H154" s="937" t="s">
        <v>631</v>
      </c>
      <c r="I154" s="747" t="s">
        <v>3417</v>
      </c>
      <c r="J154" s="747">
        <v>20</v>
      </c>
      <c r="K154" s="1008"/>
      <c r="L154" s="1088"/>
    </row>
    <row r="155" spans="1:12" s="1035" customFormat="1" ht="30.95" customHeight="1">
      <c r="A155" s="747">
        <f t="shared" si="1"/>
        <v>149</v>
      </c>
      <c r="B155" s="748" t="s">
        <v>2885</v>
      </c>
      <c r="C155" s="747" t="s">
        <v>1361</v>
      </c>
      <c r="D155" s="1118">
        <v>33.53</v>
      </c>
      <c r="E155" s="779"/>
      <c r="F155" s="749">
        <v>46196</v>
      </c>
      <c r="G155" s="749">
        <v>46203</v>
      </c>
      <c r="H155" s="937" t="s">
        <v>631</v>
      </c>
      <c r="I155" s="747" t="s">
        <v>3584</v>
      </c>
      <c r="J155" s="747">
        <v>24</v>
      </c>
      <c r="K155" s="1008"/>
      <c r="L155" s="1088"/>
    </row>
    <row r="156" spans="1:12" s="1035" customFormat="1" ht="30.95" customHeight="1">
      <c r="A156" s="747">
        <f t="shared" si="1"/>
        <v>150</v>
      </c>
      <c r="B156" s="748" t="s">
        <v>2531</v>
      </c>
      <c r="C156" s="747" t="s">
        <v>76</v>
      </c>
      <c r="D156" s="1118">
        <v>18.338999999999999</v>
      </c>
      <c r="E156" s="779"/>
      <c r="F156" s="749">
        <v>46198</v>
      </c>
      <c r="G156" s="749">
        <v>46202</v>
      </c>
      <c r="H156" s="937" t="s">
        <v>631</v>
      </c>
      <c r="I156" s="747" t="s">
        <v>1360</v>
      </c>
      <c r="J156" s="747">
        <v>26</v>
      </c>
      <c r="K156" s="1008"/>
      <c r="L156" s="1088"/>
    </row>
    <row r="157" spans="1:12" s="1035" customFormat="1" ht="30.95" customHeight="1">
      <c r="A157" s="747">
        <f t="shared" si="1"/>
        <v>151</v>
      </c>
      <c r="B157" s="748" t="s">
        <v>538</v>
      </c>
      <c r="C157" s="747" t="s">
        <v>249</v>
      </c>
      <c r="D157" s="1118">
        <v>24.149000000000001</v>
      </c>
      <c r="E157" s="779"/>
      <c r="F157" s="749">
        <v>46199</v>
      </c>
      <c r="G157" s="749">
        <v>46205</v>
      </c>
      <c r="H157" s="937" t="s">
        <v>631</v>
      </c>
      <c r="I157" s="747" t="s">
        <v>3585</v>
      </c>
      <c r="J157" s="747">
        <v>22</v>
      </c>
      <c r="K157" s="1008"/>
      <c r="L157" s="1088"/>
    </row>
    <row r="158" spans="1:12" s="1035" customFormat="1" ht="30.95" customHeight="1">
      <c r="A158" s="747">
        <f t="shared" si="1"/>
        <v>152</v>
      </c>
      <c r="B158" s="748" t="s">
        <v>3601</v>
      </c>
      <c r="C158" s="747" t="s">
        <v>1995</v>
      </c>
      <c r="D158" s="1118">
        <v>44.097999999999999</v>
      </c>
      <c r="E158" s="779"/>
      <c r="F158" s="749">
        <v>46201</v>
      </c>
      <c r="G158" s="749">
        <v>46210</v>
      </c>
      <c r="H158" s="937" t="s">
        <v>631</v>
      </c>
      <c r="I158" s="747" t="s">
        <v>3417</v>
      </c>
      <c r="J158" s="747">
        <v>20</v>
      </c>
      <c r="K158" s="1008"/>
      <c r="L158" s="1088"/>
    </row>
    <row r="159" spans="1:12" s="1035" customFormat="1" ht="30.95" customHeight="1">
      <c r="A159" s="747">
        <f t="shared" si="1"/>
        <v>153</v>
      </c>
      <c r="B159" s="748" t="s">
        <v>3013</v>
      </c>
      <c r="C159" s="747" t="s">
        <v>2023</v>
      </c>
      <c r="D159" s="1118">
        <v>94.555000000000007</v>
      </c>
      <c r="E159" s="779"/>
      <c r="F159" s="749">
        <v>46202</v>
      </c>
      <c r="G159" s="749">
        <v>46226</v>
      </c>
      <c r="H159" s="937" t="s">
        <v>631</v>
      </c>
      <c r="I159" s="747" t="s">
        <v>1360</v>
      </c>
      <c r="J159" s="747">
        <v>26</v>
      </c>
      <c r="K159" s="1008"/>
      <c r="L159" s="1088"/>
    </row>
    <row r="160" spans="1:12" s="1035" customFormat="1" ht="30.95" customHeight="1">
      <c r="A160" s="747">
        <f t="shared" si="1"/>
        <v>154</v>
      </c>
      <c r="B160" s="748" t="s">
        <v>702</v>
      </c>
      <c r="C160" s="747" t="s">
        <v>53</v>
      </c>
      <c r="D160" s="1118">
        <v>22.684000000000001</v>
      </c>
      <c r="E160" s="779"/>
      <c r="F160" s="749">
        <v>46203</v>
      </c>
      <c r="G160" s="749">
        <v>46210</v>
      </c>
      <c r="H160" s="937" t="s">
        <v>631</v>
      </c>
      <c r="I160" s="747" t="s">
        <v>3584</v>
      </c>
      <c r="J160" s="747">
        <v>24</v>
      </c>
      <c r="K160" s="1008"/>
      <c r="L160" s="1088"/>
    </row>
    <row r="161" spans="1:12" s="1035" customFormat="1" ht="30.95" customHeight="1">
      <c r="A161" s="747">
        <f t="shared" si="1"/>
        <v>155</v>
      </c>
      <c r="B161" s="748" t="s">
        <v>3239</v>
      </c>
      <c r="C161" s="747" t="s">
        <v>2023</v>
      </c>
      <c r="D161" s="1118">
        <v>94.555000000000007</v>
      </c>
      <c r="E161" s="779"/>
      <c r="F161" s="749">
        <v>46210</v>
      </c>
      <c r="G161" s="749">
        <v>46243</v>
      </c>
      <c r="H161" s="937" t="s">
        <v>631</v>
      </c>
      <c r="I161" s="747" t="s">
        <v>3584</v>
      </c>
      <c r="J161" s="747">
        <v>24</v>
      </c>
      <c r="K161" s="1008"/>
      <c r="L161" s="1322"/>
    </row>
    <row r="162" spans="1:12" s="655" customFormat="1" ht="30.95" customHeight="1">
      <c r="A162" s="1396">
        <f t="shared" si="1"/>
        <v>156</v>
      </c>
      <c r="B162" s="1401" t="s">
        <v>468</v>
      </c>
      <c r="C162" s="1396" t="s">
        <v>249</v>
      </c>
      <c r="D162" s="1402">
        <v>24.154</v>
      </c>
      <c r="E162" s="1403"/>
      <c r="F162" s="1404">
        <v>46244</v>
      </c>
      <c r="G162" s="1404"/>
      <c r="H162" s="1451" t="s">
        <v>1744</v>
      </c>
      <c r="I162" s="1396" t="s">
        <v>3584</v>
      </c>
      <c r="J162" s="1396">
        <v>24</v>
      </c>
      <c r="K162" s="1396"/>
      <c r="L162" s="1405"/>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8" priority="2"/>
  </conditionalFormatting>
  <conditionalFormatting sqref="B1:B1048576">
    <cfRule type="duplicateValues" dxfId="3587" priority="1"/>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140625" defaultRowHeight="19.5"/>
  <cols>
    <col min="1" max="1" width="9.42578125" style="956" customWidth="1"/>
    <col min="2" max="2" width="13.85546875" style="1006" bestFit="1" customWidth="1"/>
    <col min="3" max="3" width="17.5703125" style="1007" customWidth="1"/>
    <col min="4" max="4" width="17.85546875" style="957" customWidth="1"/>
    <col min="5" max="8" width="8.42578125" style="956" customWidth="1"/>
    <col min="9" max="9" width="22.85546875" style="956" customWidth="1"/>
    <col min="10" max="10" width="21.140625" style="958" customWidth="1"/>
    <col min="11" max="11" width="16.42578125" style="958" hidden="1" customWidth="1"/>
    <col min="12" max="12" width="16.42578125" style="958" customWidth="1"/>
    <col min="13" max="13" width="20.28515625" style="958" customWidth="1"/>
    <col min="14" max="15" width="16.42578125" style="1108" customWidth="1"/>
    <col min="16" max="17" width="16.42578125" style="958" customWidth="1"/>
    <col min="18" max="18" width="73" style="958" bestFit="1" customWidth="1"/>
    <col min="19" max="100" width="9.140625" style="957"/>
    <col min="101" max="101" width="9.85546875" style="957" bestFit="1" customWidth="1"/>
    <col min="102" max="102" width="19.42578125" style="957" customWidth="1"/>
    <col min="103" max="103" width="14.85546875" style="957" customWidth="1"/>
    <col min="104" max="104" width="23.5703125" style="957" customWidth="1"/>
    <col min="105" max="105" width="19.42578125" style="957" customWidth="1"/>
    <col min="106" max="106" width="21.85546875" style="957" customWidth="1"/>
    <col min="107" max="107" width="14.42578125" style="957" bestFit="1" customWidth="1"/>
    <col min="108" max="108" width="17.140625" style="957" customWidth="1"/>
    <col min="109" max="109" width="23.42578125" style="957" customWidth="1"/>
    <col min="110" max="111" width="19.42578125" style="957" customWidth="1"/>
    <col min="112" max="112" width="39.42578125" style="957" customWidth="1"/>
    <col min="113" max="113" width="19.42578125" style="957" customWidth="1"/>
    <col min="114" max="356" width="9.140625" style="957"/>
    <col min="357" max="357" width="9.85546875" style="957" bestFit="1" customWidth="1"/>
    <col min="358" max="358" width="19.42578125" style="957" customWidth="1"/>
    <col min="359" max="359" width="14.85546875" style="957" customWidth="1"/>
    <col min="360" max="360" width="23.5703125" style="957" customWidth="1"/>
    <col min="361" max="361" width="19.42578125" style="957" customWidth="1"/>
    <col min="362" max="362" width="21.85546875" style="957" customWidth="1"/>
    <col min="363" max="363" width="14.42578125" style="957" bestFit="1" customWidth="1"/>
    <col min="364" max="364" width="17.140625" style="957" customWidth="1"/>
    <col min="365" max="365" width="23.42578125" style="957" customWidth="1"/>
    <col min="366" max="367" width="19.42578125" style="957" customWidth="1"/>
    <col min="368" max="368" width="39.42578125" style="957" customWidth="1"/>
    <col min="369" max="369" width="19.42578125" style="957" customWidth="1"/>
    <col min="370" max="612" width="9.140625" style="957"/>
    <col min="613" max="613" width="9.85546875" style="957" bestFit="1" customWidth="1"/>
    <col min="614" max="614" width="19.42578125" style="957" customWidth="1"/>
    <col min="615" max="615" width="14.85546875" style="957" customWidth="1"/>
    <col min="616" max="616" width="23.5703125" style="957" customWidth="1"/>
    <col min="617" max="617" width="19.42578125" style="957" customWidth="1"/>
    <col min="618" max="618" width="21.85546875" style="957" customWidth="1"/>
    <col min="619" max="619" width="14.42578125" style="957" bestFit="1" customWidth="1"/>
    <col min="620" max="620" width="17.140625" style="957" customWidth="1"/>
    <col min="621" max="621" width="23.42578125" style="957" customWidth="1"/>
    <col min="622" max="623" width="19.42578125" style="957" customWidth="1"/>
    <col min="624" max="624" width="39.42578125" style="957" customWidth="1"/>
    <col min="625" max="625" width="19.42578125" style="957" customWidth="1"/>
    <col min="626" max="868" width="9.140625" style="957"/>
    <col min="869" max="869" width="9.85546875" style="957" bestFit="1" customWidth="1"/>
    <col min="870" max="870" width="19.42578125" style="957" customWidth="1"/>
    <col min="871" max="871" width="14.85546875" style="957" customWidth="1"/>
    <col min="872" max="872" width="23.5703125" style="957" customWidth="1"/>
    <col min="873" max="873" width="19.42578125" style="957" customWidth="1"/>
    <col min="874" max="874" width="21.85546875" style="957" customWidth="1"/>
    <col min="875" max="875" width="14.42578125" style="957" bestFit="1" customWidth="1"/>
    <col min="876" max="876" width="17.140625" style="957" customWidth="1"/>
    <col min="877" max="877" width="23.42578125" style="957" customWidth="1"/>
    <col min="878" max="879" width="19.42578125" style="957" customWidth="1"/>
    <col min="880" max="880" width="39.42578125" style="957" customWidth="1"/>
    <col min="881" max="881" width="19.42578125" style="957" customWidth="1"/>
    <col min="882" max="1124" width="9.140625" style="957"/>
    <col min="1125" max="1125" width="9.85546875" style="957" bestFit="1" customWidth="1"/>
    <col min="1126" max="1126" width="19.42578125" style="957" customWidth="1"/>
    <col min="1127" max="1127" width="14.85546875" style="957" customWidth="1"/>
    <col min="1128" max="1128" width="23.5703125" style="957" customWidth="1"/>
    <col min="1129" max="1129" width="19.42578125" style="957" customWidth="1"/>
    <col min="1130" max="1130" width="21.85546875" style="957" customWidth="1"/>
    <col min="1131" max="1131" width="14.42578125" style="957" bestFit="1" customWidth="1"/>
    <col min="1132" max="1132" width="17.140625" style="957" customWidth="1"/>
    <col min="1133" max="1133" width="23.42578125" style="957" customWidth="1"/>
    <col min="1134" max="1135" width="19.42578125" style="957" customWidth="1"/>
    <col min="1136" max="1136" width="39.42578125" style="957" customWidth="1"/>
    <col min="1137" max="1137" width="19.42578125" style="957" customWidth="1"/>
    <col min="1138" max="1380" width="9.140625" style="957"/>
    <col min="1381" max="1381" width="9.85546875" style="957" bestFit="1" customWidth="1"/>
    <col min="1382" max="1382" width="19.42578125" style="957" customWidth="1"/>
    <col min="1383" max="1383" width="14.85546875" style="957" customWidth="1"/>
    <col min="1384" max="1384" width="23.5703125" style="957" customWidth="1"/>
    <col min="1385" max="1385" width="19.42578125" style="957" customWidth="1"/>
    <col min="1386" max="1386" width="21.85546875" style="957" customWidth="1"/>
    <col min="1387" max="1387" width="14.42578125" style="957" bestFit="1" customWidth="1"/>
    <col min="1388" max="1388" width="17.140625" style="957" customWidth="1"/>
    <col min="1389" max="1389" width="23.42578125" style="957" customWidth="1"/>
    <col min="1390" max="1391" width="19.42578125" style="957" customWidth="1"/>
    <col min="1392" max="1392" width="39.42578125" style="957" customWidth="1"/>
    <col min="1393" max="1393" width="19.42578125" style="957" customWidth="1"/>
    <col min="1394" max="1636" width="9.140625" style="957"/>
    <col min="1637" max="1637" width="9.85546875" style="957" bestFit="1" customWidth="1"/>
    <col min="1638" max="1638" width="19.42578125" style="957" customWidth="1"/>
    <col min="1639" max="1639" width="14.85546875" style="957" customWidth="1"/>
    <col min="1640" max="1640" width="23.5703125" style="957" customWidth="1"/>
    <col min="1641" max="1641" width="19.42578125" style="957" customWidth="1"/>
    <col min="1642" max="1642" width="21.85546875" style="957" customWidth="1"/>
    <col min="1643" max="1643" width="14.42578125" style="957" bestFit="1" customWidth="1"/>
    <col min="1644" max="1644" width="17.140625" style="957" customWidth="1"/>
    <col min="1645" max="1645" width="23.42578125" style="957" customWidth="1"/>
    <col min="1646" max="1647" width="19.42578125" style="957" customWidth="1"/>
    <col min="1648" max="1648" width="39.42578125" style="957" customWidth="1"/>
    <col min="1649" max="1649" width="19.42578125" style="957" customWidth="1"/>
    <col min="1650" max="1892" width="9.140625" style="957"/>
    <col min="1893" max="1893" width="9.85546875" style="957" bestFit="1" customWidth="1"/>
    <col min="1894" max="1894" width="19.42578125" style="957" customWidth="1"/>
    <col min="1895" max="1895" width="14.85546875" style="957" customWidth="1"/>
    <col min="1896" max="1896" width="23.5703125" style="957" customWidth="1"/>
    <col min="1897" max="1897" width="19.42578125" style="957" customWidth="1"/>
    <col min="1898" max="1898" width="21.85546875" style="957" customWidth="1"/>
    <col min="1899" max="1899" width="14.42578125" style="957" bestFit="1" customWidth="1"/>
    <col min="1900" max="1900" width="17.140625" style="957" customWidth="1"/>
    <col min="1901" max="1901" width="23.42578125" style="957" customWidth="1"/>
    <col min="1902" max="1903" width="19.42578125" style="957" customWidth="1"/>
    <col min="1904" max="1904" width="39.42578125" style="957" customWidth="1"/>
    <col min="1905" max="1905" width="19.42578125" style="957" customWidth="1"/>
    <col min="1906" max="2148" width="9.140625" style="957"/>
    <col min="2149" max="2149" width="9.85546875" style="957" bestFit="1" customWidth="1"/>
    <col min="2150" max="2150" width="19.42578125" style="957" customWidth="1"/>
    <col min="2151" max="2151" width="14.85546875" style="957" customWidth="1"/>
    <col min="2152" max="2152" width="23.5703125" style="957" customWidth="1"/>
    <col min="2153" max="2153" width="19.42578125" style="957" customWidth="1"/>
    <col min="2154" max="2154" width="21.85546875" style="957" customWidth="1"/>
    <col min="2155" max="2155" width="14.42578125" style="957" bestFit="1" customWidth="1"/>
    <col min="2156" max="2156" width="17.140625" style="957" customWidth="1"/>
    <col min="2157" max="2157" width="23.42578125" style="957" customWidth="1"/>
    <col min="2158" max="2159" width="19.42578125" style="957" customWidth="1"/>
    <col min="2160" max="2160" width="39.42578125" style="957" customWidth="1"/>
    <col min="2161" max="2161" width="19.42578125" style="957" customWidth="1"/>
    <col min="2162" max="2404" width="9.140625" style="957"/>
    <col min="2405" max="2405" width="9.85546875" style="957" bestFit="1" customWidth="1"/>
    <col min="2406" max="2406" width="19.42578125" style="957" customWidth="1"/>
    <col min="2407" max="2407" width="14.85546875" style="957" customWidth="1"/>
    <col min="2408" max="2408" width="23.5703125" style="957" customWidth="1"/>
    <col min="2409" max="2409" width="19.42578125" style="957" customWidth="1"/>
    <col min="2410" max="2410" width="21.85546875" style="957" customWidth="1"/>
    <col min="2411" max="2411" width="14.42578125" style="957" bestFit="1" customWidth="1"/>
    <col min="2412" max="2412" width="17.140625" style="957" customWidth="1"/>
    <col min="2413" max="2413" width="23.42578125" style="957" customWidth="1"/>
    <col min="2414" max="2415" width="19.42578125" style="957" customWidth="1"/>
    <col min="2416" max="2416" width="39.42578125" style="957" customWidth="1"/>
    <col min="2417" max="2417" width="19.42578125" style="957" customWidth="1"/>
    <col min="2418" max="2660" width="9.140625" style="957"/>
    <col min="2661" max="2661" width="9.85546875" style="957" bestFit="1" customWidth="1"/>
    <col min="2662" max="2662" width="19.42578125" style="957" customWidth="1"/>
    <col min="2663" max="2663" width="14.85546875" style="957" customWidth="1"/>
    <col min="2664" max="2664" width="23.5703125" style="957" customWidth="1"/>
    <col min="2665" max="2665" width="19.42578125" style="957" customWidth="1"/>
    <col min="2666" max="2666" width="21.85546875" style="957" customWidth="1"/>
    <col min="2667" max="2667" width="14.42578125" style="957" bestFit="1" customWidth="1"/>
    <col min="2668" max="2668" width="17.140625" style="957" customWidth="1"/>
    <col min="2669" max="2669" width="23.42578125" style="957" customWidth="1"/>
    <col min="2670" max="2671" width="19.42578125" style="957" customWidth="1"/>
    <col min="2672" max="2672" width="39.42578125" style="957" customWidth="1"/>
    <col min="2673" max="2673" width="19.42578125" style="957" customWidth="1"/>
    <col min="2674" max="2916" width="9.140625" style="957"/>
    <col min="2917" max="2917" width="9.85546875" style="957" bestFit="1" customWidth="1"/>
    <col min="2918" max="2918" width="19.42578125" style="957" customWidth="1"/>
    <col min="2919" max="2919" width="14.85546875" style="957" customWidth="1"/>
    <col min="2920" max="2920" width="23.5703125" style="957" customWidth="1"/>
    <col min="2921" max="2921" width="19.42578125" style="957" customWidth="1"/>
    <col min="2922" max="2922" width="21.85546875" style="957" customWidth="1"/>
    <col min="2923" max="2923" width="14.42578125" style="957" bestFit="1" customWidth="1"/>
    <col min="2924" max="2924" width="17.140625" style="957" customWidth="1"/>
    <col min="2925" max="2925" width="23.42578125" style="957" customWidth="1"/>
    <col min="2926" max="2927" width="19.42578125" style="957" customWidth="1"/>
    <col min="2928" max="2928" width="39.42578125" style="957" customWidth="1"/>
    <col min="2929" max="2929" width="19.42578125" style="957" customWidth="1"/>
    <col min="2930" max="3172" width="9.140625" style="957"/>
    <col min="3173" max="3173" width="9.85546875" style="957" bestFit="1" customWidth="1"/>
    <col min="3174" max="3174" width="19.42578125" style="957" customWidth="1"/>
    <col min="3175" max="3175" width="14.85546875" style="957" customWidth="1"/>
    <col min="3176" max="3176" width="23.5703125" style="957" customWidth="1"/>
    <col min="3177" max="3177" width="19.42578125" style="957" customWidth="1"/>
    <col min="3178" max="3178" width="21.85546875" style="957" customWidth="1"/>
    <col min="3179" max="3179" width="14.42578125" style="957" bestFit="1" customWidth="1"/>
    <col min="3180" max="3180" width="17.140625" style="957" customWidth="1"/>
    <col min="3181" max="3181" width="23.42578125" style="957" customWidth="1"/>
    <col min="3182" max="3183" width="19.42578125" style="957" customWidth="1"/>
    <col min="3184" max="3184" width="39.42578125" style="957" customWidth="1"/>
    <col min="3185" max="3185" width="19.42578125" style="957" customWidth="1"/>
    <col min="3186" max="3428" width="9.140625" style="957"/>
    <col min="3429" max="3429" width="9.85546875" style="957" bestFit="1" customWidth="1"/>
    <col min="3430" max="3430" width="19.42578125" style="957" customWidth="1"/>
    <col min="3431" max="3431" width="14.85546875" style="957" customWidth="1"/>
    <col min="3432" max="3432" width="23.5703125" style="957" customWidth="1"/>
    <col min="3433" max="3433" width="19.42578125" style="957" customWidth="1"/>
    <col min="3434" max="3434" width="21.85546875" style="957" customWidth="1"/>
    <col min="3435" max="3435" width="14.42578125" style="957" bestFit="1" customWidth="1"/>
    <col min="3436" max="3436" width="17.140625" style="957" customWidth="1"/>
    <col min="3437" max="3437" width="23.42578125" style="957" customWidth="1"/>
    <col min="3438" max="3439" width="19.42578125" style="957" customWidth="1"/>
    <col min="3440" max="3440" width="39.42578125" style="957" customWidth="1"/>
    <col min="3441" max="3441" width="19.42578125" style="957" customWidth="1"/>
    <col min="3442" max="3684" width="9.140625" style="957"/>
    <col min="3685" max="3685" width="9.85546875" style="957" bestFit="1" customWidth="1"/>
    <col min="3686" max="3686" width="19.42578125" style="957" customWidth="1"/>
    <col min="3687" max="3687" width="14.85546875" style="957" customWidth="1"/>
    <col min="3688" max="3688" width="23.5703125" style="957" customWidth="1"/>
    <col min="3689" max="3689" width="19.42578125" style="957" customWidth="1"/>
    <col min="3690" max="3690" width="21.85546875" style="957" customWidth="1"/>
    <col min="3691" max="3691" width="14.42578125" style="957" bestFit="1" customWidth="1"/>
    <col min="3692" max="3692" width="17.140625" style="957" customWidth="1"/>
    <col min="3693" max="3693" width="23.42578125" style="957" customWidth="1"/>
    <col min="3694" max="3695" width="19.42578125" style="957" customWidth="1"/>
    <col min="3696" max="3696" width="39.42578125" style="957" customWidth="1"/>
    <col min="3697" max="3697" width="19.42578125" style="957" customWidth="1"/>
    <col min="3698" max="3940" width="9.140625" style="957"/>
    <col min="3941" max="3941" width="9.85546875" style="957" bestFit="1" customWidth="1"/>
    <col min="3942" max="3942" width="19.42578125" style="957" customWidth="1"/>
    <col min="3943" max="3943" width="14.85546875" style="957" customWidth="1"/>
    <col min="3944" max="3944" width="23.5703125" style="957" customWidth="1"/>
    <col min="3945" max="3945" width="19.42578125" style="957" customWidth="1"/>
    <col min="3946" max="3946" width="21.85546875" style="957" customWidth="1"/>
    <col min="3947" max="3947" width="14.42578125" style="957" bestFit="1" customWidth="1"/>
    <col min="3948" max="3948" width="17.140625" style="957" customWidth="1"/>
    <col min="3949" max="3949" width="23.42578125" style="957" customWidth="1"/>
    <col min="3950" max="3951" width="19.42578125" style="957" customWidth="1"/>
    <col min="3952" max="3952" width="39.42578125" style="957" customWidth="1"/>
    <col min="3953" max="3953" width="19.42578125" style="957" customWidth="1"/>
    <col min="3954" max="4196" width="9.140625" style="957"/>
    <col min="4197" max="4197" width="9.85546875" style="957" bestFit="1" customWidth="1"/>
    <col min="4198" max="4198" width="19.42578125" style="957" customWidth="1"/>
    <col min="4199" max="4199" width="14.85546875" style="957" customWidth="1"/>
    <col min="4200" max="4200" width="23.5703125" style="957" customWidth="1"/>
    <col min="4201" max="4201" width="19.42578125" style="957" customWidth="1"/>
    <col min="4202" max="4202" width="21.85546875" style="957" customWidth="1"/>
    <col min="4203" max="4203" width="14.42578125" style="957" bestFit="1" customWidth="1"/>
    <col min="4204" max="4204" width="17.140625" style="957" customWidth="1"/>
    <col min="4205" max="4205" width="23.42578125" style="957" customWidth="1"/>
    <col min="4206" max="4207" width="19.42578125" style="957" customWidth="1"/>
    <col min="4208" max="4208" width="39.42578125" style="957" customWidth="1"/>
    <col min="4209" max="4209" width="19.42578125" style="957" customWidth="1"/>
    <col min="4210" max="4452" width="9.140625" style="957"/>
    <col min="4453" max="4453" width="9.85546875" style="957" bestFit="1" customWidth="1"/>
    <col min="4454" max="4454" width="19.42578125" style="957" customWidth="1"/>
    <col min="4455" max="4455" width="14.85546875" style="957" customWidth="1"/>
    <col min="4456" max="4456" width="23.5703125" style="957" customWidth="1"/>
    <col min="4457" max="4457" width="19.42578125" style="957" customWidth="1"/>
    <col min="4458" max="4458" width="21.85546875" style="957" customWidth="1"/>
    <col min="4459" max="4459" width="14.42578125" style="957" bestFit="1" customWidth="1"/>
    <col min="4460" max="4460" width="17.140625" style="957" customWidth="1"/>
    <col min="4461" max="4461" width="23.42578125" style="957" customWidth="1"/>
    <col min="4462" max="4463" width="19.42578125" style="957" customWidth="1"/>
    <col min="4464" max="4464" width="39.42578125" style="957" customWidth="1"/>
    <col min="4465" max="4465" width="19.42578125" style="957" customWidth="1"/>
    <col min="4466" max="4708" width="9.140625" style="957"/>
    <col min="4709" max="4709" width="9.85546875" style="957" bestFit="1" customWidth="1"/>
    <col min="4710" max="4710" width="19.42578125" style="957" customWidth="1"/>
    <col min="4711" max="4711" width="14.85546875" style="957" customWidth="1"/>
    <col min="4712" max="4712" width="23.5703125" style="957" customWidth="1"/>
    <col min="4713" max="4713" width="19.42578125" style="957" customWidth="1"/>
    <col min="4714" max="4714" width="21.85546875" style="957" customWidth="1"/>
    <col min="4715" max="4715" width="14.42578125" style="957" bestFit="1" customWidth="1"/>
    <col min="4716" max="4716" width="17.140625" style="957" customWidth="1"/>
    <col min="4717" max="4717" width="23.42578125" style="957" customWidth="1"/>
    <col min="4718" max="4719" width="19.42578125" style="957" customWidth="1"/>
    <col min="4720" max="4720" width="39.42578125" style="957" customWidth="1"/>
    <col min="4721" max="4721" width="19.42578125" style="957" customWidth="1"/>
    <col min="4722" max="4964" width="9.140625" style="957"/>
    <col min="4965" max="4965" width="9.85546875" style="957" bestFit="1" customWidth="1"/>
    <col min="4966" max="4966" width="19.42578125" style="957" customWidth="1"/>
    <col min="4967" max="4967" width="14.85546875" style="957" customWidth="1"/>
    <col min="4968" max="4968" width="23.5703125" style="957" customWidth="1"/>
    <col min="4969" max="4969" width="19.42578125" style="957" customWidth="1"/>
    <col min="4970" max="4970" width="21.85546875" style="957" customWidth="1"/>
    <col min="4971" max="4971" width="14.42578125" style="957" bestFit="1" customWidth="1"/>
    <col min="4972" max="4972" width="17.140625" style="957" customWidth="1"/>
    <col min="4973" max="4973" width="23.42578125" style="957" customWidth="1"/>
    <col min="4974" max="4975" width="19.42578125" style="957" customWidth="1"/>
    <col min="4976" max="4976" width="39.42578125" style="957" customWidth="1"/>
    <col min="4977" max="4977" width="19.42578125" style="957" customWidth="1"/>
    <col min="4978" max="5220" width="9.140625" style="957"/>
    <col min="5221" max="5221" width="9.85546875" style="957" bestFit="1" customWidth="1"/>
    <col min="5222" max="5222" width="19.42578125" style="957" customWidth="1"/>
    <col min="5223" max="5223" width="14.85546875" style="957" customWidth="1"/>
    <col min="5224" max="5224" width="23.5703125" style="957" customWidth="1"/>
    <col min="5225" max="5225" width="19.42578125" style="957" customWidth="1"/>
    <col min="5226" max="5226" width="21.85546875" style="957" customWidth="1"/>
    <col min="5227" max="5227" width="14.42578125" style="957" bestFit="1" customWidth="1"/>
    <col min="5228" max="5228" width="17.140625" style="957" customWidth="1"/>
    <col min="5229" max="5229" width="23.42578125" style="957" customWidth="1"/>
    <col min="5230" max="5231" width="19.42578125" style="957" customWidth="1"/>
    <col min="5232" max="5232" width="39.42578125" style="957" customWidth="1"/>
    <col min="5233" max="5233" width="19.42578125" style="957" customWidth="1"/>
    <col min="5234" max="5476" width="9.140625" style="957"/>
    <col min="5477" max="5477" width="9.85546875" style="957" bestFit="1" customWidth="1"/>
    <col min="5478" max="5478" width="19.42578125" style="957" customWidth="1"/>
    <col min="5479" max="5479" width="14.85546875" style="957" customWidth="1"/>
    <col min="5480" max="5480" width="23.5703125" style="957" customWidth="1"/>
    <col min="5481" max="5481" width="19.42578125" style="957" customWidth="1"/>
    <col min="5482" max="5482" width="21.85546875" style="957" customWidth="1"/>
    <col min="5483" max="5483" width="14.42578125" style="957" bestFit="1" customWidth="1"/>
    <col min="5484" max="5484" width="17.140625" style="957" customWidth="1"/>
    <col min="5485" max="5485" width="23.42578125" style="957" customWidth="1"/>
    <col min="5486" max="5487" width="19.42578125" style="957" customWidth="1"/>
    <col min="5488" max="5488" width="39.42578125" style="957" customWidth="1"/>
    <col min="5489" max="5489" width="19.42578125" style="957" customWidth="1"/>
    <col min="5490" max="5732" width="9.140625" style="957"/>
    <col min="5733" max="5733" width="9.85546875" style="957" bestFit="1" customWidth="1"/>
    <col min="5734" max="5734" width="19.42578125" style="957" customWidth="1"/>
    <col min="5735" max="5735" width="14.85546875" style="957" customWidth="1"/>
    <col min="5736" max="5736" width="23.5703125" style="957" customWidth="1"/>
    <col min="5737" max="5737" width="19.42578125" style="957" customWidth="1"/>
    <col min="5738" max="5738" width="21.85546875" style="957" customWidth="1"/>
    <col min="5739" max="5739" width="14.42578125" style="957" bestFit="1" customWidth="1"/>
    <col min="5740" max="5740" width="17.140625" style="957" customWidth="1"/>
    <col min="5741" max="5741" width="23.42578125" style="957" customWidth="1"/>
    <col min="5742" max="5743" width="19.42578125" style="957" customWidth="1"/>
    <col min="5744" max="5744" width="39.42578125" style="957" customWidth="1"/>
    <col min="5745" max="5745" width="19.42578125" style="957" customWidth="1"/>
    <col min="5746" max="5988" width="9.140625" style="957"/>
    <col min="5989" max="5989" width="9.85546875" style="957" bestFit="1" customWidth="1"/>
    <col min="5990" max="5990" width="19.42578125" style="957" customWidth="1"/>
    <col min="5991" max="5991" width="14.85546875" style="957" customWidth="1"/>
    <col min="5992" max="5992" width="23.5703125" style="957" customWidth="1"/>
    <col min="5993" max="5993" width="19.42578125" style="957" customWidth="1"/>
    <col min="5994" max="5994" width="21.85546875" style="957" customWidth="1"/>
    <col min="5995" max="5995" width="14.42578125" style="957" bestFit="1" customWidth="1"/>
    <col min="5996" max="5996" width="17.140625" style="957" customWidth="1"/>
    <col min="5997" max="5997" width="23.42578125" style="957" customWidth="1"/>
    <col min="5998" max="5999" width="19.42578125" style="957" customWidth="1"/>
    <col min="6000" max="6000" width="39.42578125" style="957" customWidth="1"/>
    <col min="6001" max="6001" width="19.42578125" style="957" customWidth="1"/>
    <col min="6002" max="6244" width="9.140625" style="957"/>
    <col min="6245" max="6245" width="9.85546875" style="957" bestFit="1" customWidth="1"/>
    <col min="6246" max="6246" width="19.42578125" style="957" customWidth="1"/>
    <col min="6247" max="6247" width="14.85546875" style="957" customWidth="1"/>
    <col min="6248" max="6248" width="23.5703125" style="957" customWidth="1"/>
    <col min="6249" max="6249" width="19.42578125" style="957" customWidth="1"/>
    <col min="6250" max="6250" width="21.85546875" style="957" customWidth="1"/>
    <col min="6251" max="6251" width="14.42578125" style="957" bestFit="1" customWidth="1"/>
    <col min="6252" max="6252" width="17.140625" style="957" customWidth="1"/>
    <col min="6253" max="6253" width="23.42578125" style="957" customWidth="1"/>
    <col min="6254" max="6255" width="19.42578125" style="957" customWidth="1"/>
    <col min="6256" max="6256" width="39.42578125" style="957" customWidth="1"/>
    <col min="6257" max="6257" width="19.42578125" style="957" customWidth="1"/>
    <col min="6258" max="6500" width="9.140625" style="957"/>
    <col min="6501" max="6501" width="9.85546875" style="957" bestFit="1" customWidth="1"/>
    <col min="6502" max="6502" width="19.42578125" style="957" customWidth="1"/>
    <col min="6503" max="6503" width="14.85546875" style="957" customWidth="1"/>
    <col min="6504" max="6504" width="23.5703125" style="957" customWidth="1"/>
    <col min="6505" max="6505" width="19.42578125" style="957" customWidth="1"/>
    <col min="6506" max="6506" width="21.85546875" style="957" customWidth="1"/>
    <col min="6507" max="6507" width="14.42578125" style="957" bestFit="1" customWidth="1"/>
    <col min="6508" max="6508" width="17.140625" style="957" customWidth="1"/>
    <col min="6509" max="6509" width="23.42578125" style="957" customWidth="1"/>
    <col min="6510" max="6511" width="19.42578125" style="957" customWidth="1"/>
    <col min="6512" max="6512" width="39.42578125" style="957" customWidth="1"/>
    <col min="6513" max="6513" width="19.42578125" style="957" customWidth="1"/>
    <col min="6514" max="6756" width="9.140625" style="957"/>
    <col min="6757" max="6757" width="9.85546875" style="957" bestFit="1" customWidth="1"/>
    <col min="6758" max="6758" width="19.42578125" style="957" customWidth="1"/>
    <col min="6759" max="6759" width="14.85546875" style="957" customWidth="1"/>
    <col min="6760" max="6760" width="23.5703125" style="957" customWidth="1"/>
    <col min="6761" max="6761" width="19.42578125" style="957" customWidth="1"/>
    <col min="6762" max="6762" width="21.85546875" style="957" customWidth="1"/>
    <col min="6763" max="6763" width="14.42578125" style="957" bestFit="1" customWidth="1"/>
    <col min="6764" max="6764" width="17.140625" style="957" customWidth="1"/>
    <col min="6765" max="6765" width="23.42578125" style="957" customWidth="1"/>
    <col min="6766" max="6767" width="19.42578125" style="957" customWidth="1"/>
    <col min="6768" max="6768" width="39.42578125" style="957" customWidth="1"/>
    <col min="6769" max="6769" width="19.42578125" style="957" customWidth="1"/>
    <col min="6770" max="7012" width="9.140625" style="957"/>
    <col min="7013" max="7013" width="9.85546875" style="957" bestFit="1" customWidth="1"/>
    <col min="7014" max="7014" width="19.42578125" style="957" customWidth="1"/>
    <col min="7015" max="7015" width="14.85546875" style="957" customWidth="1"/>
    <col min="7016" max="7016" width="23.5703125" style="957" customWidth="1"/>
    <col min="7017" max="7017" width="19.42578125" style="957" customWidth="1"/>
    <col min="7018" max="7018" width="21.85546875" style="957" customWidth="1"/>
    <col min="7019" max="7019" width="14.42578125" style="957" bestFit="1" customWidth="1"/>
    <col min="7020" max="7020" width="17.140625" style="957" customWidth="1"/>
    <col min="7021" max="7021" width="23.42578125" style="957" customWidth="1"/>
    <col min="7022" max="7023" width="19.42578125" style="957" customWidth="1"/>
    <col min="7024" max="7024" width="39.42578125" style="957" customWidth="1"/>
    <col min="7025" max="7025" width="19.42578125" style="957" customWidth="1"/>
    <col min="7026" max="7268" width="9.140625" style="957"/>
    <col min="7269" max="7269" width="9.85546875" style="957" bestFit="1" customWidth="1"/>
    <col min="7270" max="7270" width="19.42578125" style="957" customWidth="1"/>
    <col min="7271" max="7271" width="14.85546875" style="957" customWidth="1"/>
    <col min="7272" max="7272" width="23.5703125" style="957" customWidth="1"/>
    <col min="7273" max="7273" width="19.42578125" style="957" customWidth="1"/>
    <col min="7274" max="7274" width="21.85546875" style="957" customWidth="1"/>
    <col min="7275" max="7275" width="14.42578125" style="957" bestFit="1" customWidth="1"/>
    <col min="7276" max="7276" width="17.140625" style="957" customWidth="1"/>
    <col min="7277" max="7277" width="23.42578125" style="957" customWidth="1"/>
    <col min="7278" max="7279" width="19.42578125" style="957" customWidth="1"/>
    <col min="7280" max="7280" width="39.42578125" style="957" customWidth="1"/>
    <col min="7281" max="7281" width="19.42578125" style="957" customWidth="1"/>
    <col min="7282" max="7524" width="9.140625" style="957"/>
    <col min="7525" max="7525" width="9.85546875" style="957" bestFit="1" customWidth="1"/>
    <col min="7526" max="7526" width="19.42578125" style="957" customWidth="1"/>
    <col min="7527" max="7527" width="14.85546875" style="957" customWidth="1"/>
    <col min="7528" max="7528" width="23.5703125" style="957" customWidth="1"/>
    <col min="7529" max="7529" width="19.42578125" style="957" customWidth="1"/>
    <col min="7530" max="7530" width="21.85546875" style="957" customWidth="1"/>
    <col min="7531" max="7531" width="14.42578125" style="957" bestFit="1" customWidth="1"/>
    <col min="7532" max="7532" width="17.140625" style="957" customWidth="1"/>
    <col min="7533" max="7533" width="23.42578125" style="957" customWidth="1"/>
    <col min="7534" max="7535" width="19.42578125" style="957" customWidth="1"/>
    <col min="7536" max="7536" width="39.42578125" style="957" customWidth="1"/>
    <col min="7537" max="7537" width="19.42578125" style="957" customWidth="1"/>
    <col min="7538" max="7780" width="9.140625" style="957"/>
    <col min="7781" max="7781" width="9.85546875" style="957" bestFit="1" customWidth="1"/>
    <col min="7782" max="7782" width="19.42578125" style="957" customWidth="1"/>
    <col min="7783" max="7783" width="14.85546875" style="957" customWidth="1"/>
    <col min="7784" max="7784" width="23.5703125" style="957" customWidth="1"/>
    <col min="7785" max="7785" width="19.42578125" style="957" customWidth="1"/>
    <col min="7786" max="7786" width="21.85546875" style="957" customWidth="1"/>
    <col min="7787" max="7787" width="14.42578125" style="957" bestFit="1" customWidth="1"/>
    <col min="7788" max="7788" width="17.140625" style="957" customWidth="1"/>
    <col min="7789" max="7789" width="23.42578125" style="957" customWidth="1"/>
    <col min="7790" max="7791" width="19.42578125" style="957" customWidth="1"/>
    <col min="7792" max="7792" width="39.42578125" style="957" customWidth="1"/>
    <col min="7793" max="7793" width="19.42578125" style="957" customWidth="1"/>
    <col min="7794" max="8036" width="9.140625" style="957"/>
    <col min="8037" max="8037" width="9.85546875" style="957" bestFit="1" customWidth="1"/>
    <col min="8038" max="8038" width="19.42578125" style="957" customWidth="1"/>
    <col min="8039" max="8039" width="14.85546875" style="957" customWidth="1"/>
    <col min="8040" max="8040" width="23.5703125" style="957" customWidth="1"/>
    <col min="8041" max="8041" width="19.42578125" style="957" customWidth="1"/>
    <col min="8042" max="8042" width="21.85546875" style="957" customWidth="1"/>
    <col min="8043" max="8043" width="14.42578125" style="957" bestFit="1" customWidth="1"/>
    <col min="8044" max="8044" width="17.140625" style="957" customWidth="1"/>
    <col min="8045" max="8045" width="23.42578125" style="957" customWidth="1"/>
    <col min="8046" max="8047" width="19.42578125" style="957" customWidth="1"/>
    <col min="8048" max="8048" width="39.42578125" style="957" customWidth="1"/>
    <col min="8049" max="8049" width="19.42578125" style="957" customWidth="1"/>
    <col min="8050" max="8292" width="9.140625" style="957"/>
    <col min="8293" max="8293" width="9.85546875" style="957" bestFit="1" customWidth="1"/>
    <col min="8294" max="8294" width="19.42578125" style="957" customWidth="1"/>
    <col min="8295" max="8295" width="14.85546875" style="957" customWidth="1"/>
    <col min="8296" max="8296" width="23.5703125" style="957" customWidth="1"/>
    <col min="8297" max="8297" width="19.42578125" style="957" customWidth="1"/>
    <col min="8298" max="8298" width="21.85546875" style="957" customWidth="1"/>
    <col min="8299" max="8299" width="14.42578125" style="957" bestFit="1" customWidth="1"/>
    <col min="8300" max="8300" width="17.140625" style="957" customWidth="1"/>
    <col min="8301" max="8301" width="23.42578125" style="957" customWidth="1"/>
    <col min="8302" max="8303" width="19.42578125" style="957" customWidth="1"/>
    <col min="8304" max="8304" width="39.42578125" style="957" customWidth="1"/>
    <col min="8305" max="8305" width="19.42578125" style="957" customWidth="1"/>
    <col min="8306" max="8548" width="9.140625" style="957"/>
    <col min="8549" max="8549" width="9.85546875" style="957" bestFit="1" customWidth="1"/>
    <col min="8550" max="8550" width="19.42578125" style="957" customWidth="1"/>
    <col min="8551" max="8551" width="14.85546875" style="957" customWidth="1"/>
    <col min="8552" max="8552" width="23.5703125" style="957" customWidth="1"/>
    <col min="8553" max="8553" width="19.42578125" style="957" customWidth="1"/>
    <col min="8554" max="8554" width="21.85546875" style="957" customWidth="1"/>
    <col min="8555" max="8555" width="14.42578125" style="957" bestFit="1" customWidth="1"/>
    <col min="8556" max="8556" width="17.140625" style="957" customWidth="1"/>
    <col min="8557" max="8557" width="23.42578125" style="957" customWidth="1"/>
    <col min="8558" max="8559" width="19.42578125" style="957" customWidth="1"/>
    <col min="8560" max="8560" width="39.42578125" style="957" customWidth="1"/>
    <col min="8561" max="8561" width="19.42578125" style="957" customWidth="1"/>
    <col min="8562" max="8804" width="9.140625" style="957"/>
    <col min="8805" max="8805" width="9.85546875" style="957" bestFit="1" customWidth="1"/>
    <col min="8806" max="8806" width="19.42578125" style="957" customWidth="1"/>
    <col min="8807" max="8807" width="14.85546875" style="957" customWidth="1"/>
    <col min="8808" max="8808" width="23.5703125" style="957" customWidth="1"/>
    <col min="8809" max="8809" width="19.42578125" style="957" customWidth="1"/>
    <col min="8810" max="8810" width="21.85546875" style="957" customWidth="1"/>
    <col min="8811" max="8811" width="14.42578125" style="957" bestFit="1" customWidth="1"/>
    <col min="8812" max="8812" width="17.140625" style="957" customWidth="1"/>
    <col min="8813" max="8813" width="23.42578125" style="957" customWidth="1"/>
    <col min="8814" max="8815" width="19.42578125" style="957" customWidth="1"/>
    <col min="8816" max="8816" width="39.42578125" style="957" customWidth="1"/>
    <col min="8817" max="8817" width="19.42578125" style="957" customWidth="1"/>
    <col min="8818" max="9060" width="9.140625" style="957"/>
    <col min="9061" max="9061" width="9.85546875" style="957" bestFit="1" customWidth="1"/>
    <col min="9062" max="9062" width="19.42578125" style="957" customWidth="1"/>
    <col min="9063" max="9063" width="14.85546875" style="957" customWidth="1"/>
    <col min="9064" max="9064" width="23.5703125" style="957" customWidth="1"/>
    <col min="9065" max="9065" width="19.42578125" style="957" customWidth="1"/>
    <col min="9066" max="9066" width="21.85546875" style="957" customWidth="1"/>
    <col min="9067" max="9067" width="14.42578125" style="957" bestFit="1" customWidth="1"/>
    <col min="9068" max="9068" width="17.140625" style="957" customWidth="1"/>
    <col min="9069" max="9069" width="23.42578125" style="957" customWidth="1"/>
    <col min="9070" max="9071" width="19.42578125" style="957" customWidth="1"/>
    <col min="9072" max="9072" width="39.42578125" style="957" customWidth="1"/>
    <col min="9073" max="9073" width="19.42578125" style="957" customWidth="1"/>
    <col min="9074" max="9316" width="9.140625" style="957"/>
    <col min="9317" max="9317" width="9.85546875" style="957" bestFit="1" customWidth="1"/>
    <col min="9318" max="9318" width="19.42578125" style="957" customWidth="1"/>
    <col min="9319" max="9319" width="14.85546875" style="957" customWidth="1"/>
    <col min="9320" max="9320" width="23.5703125" style="957" customWidth="1"/>
    <col min="9321" max="9321" width="19.42578125" style="957" customWidth="1"/>
    <col min="9322" max="9322" width="21.85546875" style="957" customWidth="1"/>
    <col min="9323" max="9323" width="14.42578125" style="957" bestFit="1" customWidth="1"/>
    <col min="9324" max="9324" width="17.140625" style="957" customWidth="1"/>
    <col min="9325" max="9325" width="23.42578125" style="957" customWidth="1"/>
    <col min="9326" max="9327" width="19.42578125" style="957" customWidth="1"/>
    <col min="9328" max="9328" width="39.42578125" style="957" customWidth="1"/>
    <col min="9329" max="9329" width="19.42578125" style="957" customWidth="1"/>
    <col min="9330" max="9572" width="9.140625" style="957"/>
    <col min="9573" max="9573" width="9.85546875" style="957" bestFit="1" customWidth="1"/>
    <col min="9574" max="9574" width="19.42578125" style="957" customWidth="1"/>
    <col min="9575" max="9575" width="14.85546875" style="957" customWidth="1"/>
    <col min="9576" max="9576" width="23.5703125" style="957" customWidth="1"/>
    <col min="9577" max="9577" width="19.42578125" style="957" customWidth="1"/>
    <col min="9578" max="9578" width="21.85546875" style="957" customWidth="1"/>
    <col min="9579" max="9579" width="14.42578125" style="957" bestFit="1" customWidth="1"/>
    <col min="9580" max="9580" width="17.140625" style="957" customWidth="1"/>
    <col min="9581" max="9581" width="23.42578125" style="957" customWidth="1"/>
    <col min="9582" max="9583" width="19.42578125" style="957" customWidth="1"/>
    <col min="9584" max="9584" width="39.42578125" style="957" customWidth="1"/>
    <col min="9585" max="9585" width="19.42578125" style="957" customWidth="1"/>
    <col min="9586" max="9828" width="9.140625" style="957"/>
    <col min="9829" max="9829" width="9.85546875" style="957" bestFit="1" customWidth="1"/>
    <col min="9830" max="9830" width="19.42578125" style="957" customWidth="1"/>
    <col min="9831" max="9831" width="14.85546875" style="957" customWidth="1"/>
    <col min="9832" max="9832" width="23.5703125" style="957" customWidth="1"/>
    <col min="9833" max="9833" width="19.42578125" style="957" customWidth="1"/>
    <col min="9834" max="9834" width="21.85546875" style="957" customWidth="1"/>
    <col min="9835" max="9835" width="14.42578125" style="957" bestFit="1" customWidth="1"/>
    <col min="9836" max="9836" width="17.140625" style="957" customWidth="1"/>
    <col min="9837" max="9837" width="23.42578125" style="957" customWidth="1"/>
    <col min="9838" max="9839" width="19.42578125" style="957" customWidth="1"/>
    <col min="9840" max="9840" width="39.42578125" style="957" customWidth="1"/>
    <col min="9841" max="9841" width="19.42578125" style="957" customWidth="1"/>
    <col min="9842" max="10084" width="9.140625" style="957"/>
    <col min="10085" max="10085" width="9.85546875" style="957" bestFit="1" customWidth="1"/>
    <col min="10086" max="10086" width="19.42578125" style="957" customWidth="1"/>
    <col min="10087" max="10087" width="14.85546875" style="957" customWidth="1"/>
    <col min="10088" max="10088" width="23.5703125" style="957" customWidth="1"/>
    <col min="10089" max="10089" width="19.42578125" style="957" customWidth="1"/>
    <col min="10090" max="10090" width="21.85546875" style="957" customWidth="1"/>
    <col min="10091" max="10091" width="14.42578125" style="957" bestFit="1" customWidth="1"/>
    <col min="10092" max="10092" width="17.140625" style="957" customWidth="1"/>
    <col min="10093" max="10093" width="23.42578125" style="957" customWidth="1"/>
    <col min="10094" max="10095" width="19.42578125" style="957" customWidth="1"/>
    <col min="10096" max="10096" width="39.42578125" style="957" customWidth="1"/>
    <col min="10097" max="10097" width="19.42578125" style="957" customWidth="1"/>
    <col min="10098" max="10340" width="9.140625" style="957"/>
    <col min="10341" max="10341" width="9.85546875" style="957" bestFit="1" customWidth="1"/>
    <col min="10342" max="10342" width="19.42578125" style="957" customWidth="1"/>
    <col min="10343" max="10343" width="14.85546875" style="957" customWidth="1"/>
    <col min="10344" max="10344" width="23.5703125" style="957" customWidth="1"/>
    <col min="10345" max="10345" width="19.42578125" style="957" customWidth="1"/>
    <col min="10346" max="10346" width="21.85546875" style="957" customWidth="1"/>
    <col min="10347" max="10347" width="14.42578125" style="957" bestFit="1" customWidth="1"/>
    <col min="10348" max="10348" width="17.140625" style="957" customWidth="1"/>
    <col min="10349" max="10349" width="23.42578125" style="957" customWidth="1"/>
    <col min="10350" max="10351" width="19.42578125" style="957" customWidth="1"/>
    <col min="10352" max="10352" width="39.42578125" style="957" customWidth="1"/>
    <col min="10353" max="10353" width="19.42578125" style="957" customWidth="1"/>
    <col min="10354" max="10596" width="9.140625" style="957"/>
    <col min="10597" max="10597" width="9.85546875" style="957" bestFit="1" customWidth="1"/>
    <col min="10598" max="10598" width="19.42578125" style="957" customWidth="1"/>
    <col min="10599" max="10599" width="14.85546875" style="957" customWidth="1"/>
    <col min="10600" max="10600" width="23.5703125" style="957" customWidth="1"/>
    <col min="10601" max="10601" width="19.42578125" style="957" customWidth="1"/>
    <col min="10602" max="10602" width="21.85546875" style="957" customWidth="1"/>
    <col min="10603" max="10603" width="14.42578125" style="957" bestFit="1" customWidth="1"/>
    <col min="10604" max="10604" width="17.140625" style="957" customWidth="1"/>
    <col min="10605" max="10605" width="23.42578125" style="957" customWidth="1"/>
    <col min="10606" max="10607" width="19.42578125" style="957" customWidth="1"/>
    <col min="10608" max="10608" width="39.42578125" style="957" customWidth="1"/>
    <col min="10609" max="10609" width="19.42578125" style="957" customWidth="1"/>
    <col min="10610" max="10852" width="9.140625" style="957"/>
    <col min="10853" max="10853" width="9.85546875" style="957" bestFit="1" customWidth="1"/>
    <col min="10854" max="10854" width="19.42578125" style="957" customWidth="1"/>
    <col min="10855" max="10855" width="14.85546875" style="957" customWidth="1"/>
    <col min="10856" max="10856" width="23.5703125" style="957" customWidth="1"/>
    <col min="10857" max="10857" width="19.42578125" style="957" customWidth="1"/>
    <col min="10858" max="10858" width="21.85546875" style="957" customWidth="1"/>
    <col min="10859" max="10859" width="14.42578125" style="957" bestFit="1" customWidth="1"/>
    <col min="10860" max="10860" width="17.140625" style="957" customWidth="1"/>
    <col min="10861" max="10861" width="23.42578125" style="957" customWidth="1"/>
    <col min="10862" max="10863" width="19.42578125" style="957" customWidth="1"/>
    <col min="10864" max="10864" width="39.42578125" style="957" customWidth="1"/>
    <col min="10865" max="10865" width="19.42578125" style="957" customWidth="1"/>
    <col min="10866" max="11108" width="9.140625" style="957"/>
    <col min="11109" max="11109" width="9.85546875" style="957" bestFit="1" customWidth="1"/>
    <col min="11110" max="11110" width="19.42578125" style="957" customWidth="1"/>
    <col min="11111" max="11111" width="14.85546875" style="957" customWidth="1"/>
    <col min="11112" max="11112" width="23.5703125" style="957" customWidth="1"/>
    <col min="11113" max="11113" width="19.42578125" style="957" customWidth="1"/>
    <col min="11114" max="11114" width="21.85546875" style="957" customWidth="1"/>
    <col min="11115" max="11115" width="14.42578125" style="957" bestFit="1" customWidth="1"/>
    <col min="11116" max="11116" width="17.140625" style="957" customWidth="1"/>
    <col min="11117" max="11117" width="23.42578125" style="957" customWidth="1"/>
    <col min="11118" max="11119" width="19.42578125" style="957" customWidth="1"/>
    <col min="11120" max="11120" width="39.42578125" style="957" customWidth="1"/>
    <col min="11121" max="11121" width="19.42578125" style="957" customWidth="1"/>
    <col min="11122" max="11364" width="9.140625" style="957"/>
    <col min="11365" max="11365" width="9.85546875" style="957" bestFit="1" customWidth="1"/>
    <col min="11366" max="11366" width="19.42578125" style="957" customWidth="1"/>
    <col min="11367" max="11367" width="14.85546875" style="957" customWidth="1"/>
    <col min="11368" max="11368" width="23.5703125" style="957" customWidth="1"/>
    <col min="11369" max="11369" width="19.42578125" style="957" customWidth="1"/>
    <col min="11370" max="11370" width="21.85546875" style="957" customWidth="1"/>
    <col min="11371" max="11371" width="14.42578125" style="957" bestFit="1" customWidth="1"/>
    <col min="11372" max="11372" width="17.140625" style="957" customWidth="1"/>
    <col min="11373" max="11373" width="23.42578125" style="957" customWidth="1"/>
    <col min="11374" max="11375" width="19.42578125" style="957" customWidth="1"/>
    <col min="11376" max="11376" width="39.42578125" style="957" customWidth="1"/>
    <col min="11377" max="11377" width="19.42578125" style="957" customWidth="1"/>
    <col min="11378" max="11620" width="9.140625" style="957"/>
    <col min="11621" max="11621" width="9.85546875" style="957" bestFit="1" customWidth="1"/>
    <col min="11622" max="11622" width="19.42578125" style="957" customWidth="1"/>
    <col min="11623" max="11623" width="14.85546875" style="957" customWidth="1"/>
    <col min="11624" max="11624" width="23.5703125" style="957" customWidth="1"/>
    <col min="11625" max="11625" width="19.42578125" style="957" customWidth="1"/>
    <col min="11626" max="11626" width="21.85546875" style="957" customWidth="1"/>
    <col min="11627" max="11627" width="14.42578125" style="957" bestFit="1" customWidth="1"/>
    <col min="11628" max="11628" width="17.140625" style="957" customWidth="1"/>
    <col min="11629" max="11629" width="23.42578125" style="957" customWidth="1"/>
    <col min="11630" max="11631" width="19.42578125" style="957" customWidth="1"/>
    <col min="11632" max="11632" width="39.42578125" style="957" customWidth="1"/>
    <col min="11633" max="11633" width="19.42578125" style="957" customWidth="1"/>
    <col min="11634" max="11876" width="9.140625" style="957"/>
    <col min="11877" max="11877" width="9.85546875" style="957" bestFit="1" customWidth="1"/>
    <col min="11878" max="11878" width="19.42578125" style="957" customWidth="1"/>
    <col min="11879" max="11879" width="14.85546875" style="957" customWidth="1"/>
    <col min="11880" max="11880" width="23.5703125" style="957" customWidth="1"/>
    <col min="11881" max="11881" width="19.42578125" style="957" customWidth="1"/>
    <col min="11882" max="11882" width="21.85546875" style="957" customWidth="1"/>
    <col min="11883" max="11883" width="14.42578125" style="957" bestFit="1" customWidth="1"/>
    <col min="11884" max="11884" width="17.140625" style="957" customWidth="1"/>
    <col min="11885" max="11885" width="23.42578125" style="957" customWidth="1"/>
    <col min="11886" max="11887" width="19.42578125" style="957" customWidth="1"/>
    <col min="11888" max="11888" width="39.42578125" style="957" customWidth="1"/>
    <col min="11889" max="11889" width="19.42578125" style="957" customWidth="1"/>
    <col min="11890" max="12132" width="9.140625" style="957"/>
    <col min="12133" max="12133" width="9.85546875" style="957" bestFit="1" customWidth="1"/>
    <col min="12134" max="12134" width="19.42578125" style="957" customWidth="1"/>
    <col min="12135" max="12135" width="14.85546875" style="957" customWidth="1"/>
    <col min="12136" max="12136" width="23.5703125" style="957" customWidth="1"/>
    <col min="12137" max="12137" width="19.42578125" style="957" customWidth="1"/>
    <col min="12138" max="12138" width="21.85546875" style="957" customWidth="1"/>
    <col min="12139" max="12139" width="14.42578125" style="957" bestFit="1" customWidth="1"/>
    <col min="12140" max="12140" width="17.140625" style="957" customWidth="1"/>
    <col min="12141" max="12141" width="23.42578125" style="957" customWidth="1"/>
    <col min="12142" max="12143" width="19.42578125" style="957" customWidth="1"/>
    <col min="12144" max="12144" width="39.42578125" style="957" customWidth="1"/>
    <col min="12145" max="12145" width="19.42578125" style="957" customWidth="1"/>
    <col min="12146" max="12388" width="9.140625" style="957"/>
    <col min="12389" max="12389" width="9.85546875" style="957" bestFit="1" customWidth="1"/>
    <col min="12390" max="12390" width="19.42578125" style="957" customWidth="1"/>
    <col min="12391" max="12391" width="14.85546875" style="957" customWidth="1"/>
    <col min="12392" max="12392" width="23.5703125" style="957" customWidth="1"/>
    <col min="12393" max="12393" width="19.42578125" style="957" customWidth="1"/>
    <col min="12394" max="12394" width="21.85546875" style="957" customWidth="1"/>
    <col min="12395" max="12395" width="14.42578125" style="957" bestFit="1" customWidth="1"/>
    <col min="12396" max="12396" width="17.140625" style="957" customWidth="1"/>
    <col min="12397" max="12397" width="23.42578125" style="957" customWidth="1"/>
    <col min="12398" max="12399" width="19.42578125" style="957" customWidth="1"/>
    <col min="12400" max="12400" width="39.42578125" style="957" customWidth="1"/>
    <col min="12401" max="12401" width="19.42578125" style="957" customWidth="1"/>
    <col min="12402" max="12644" width="9.140625" style="957"/>
    <col min="12645" max="12645" width="9.85546875" style="957" bestFit="1" customWidth="1"/>
    <col min="12646" max="12646" width="19.42578125" style="957" customWidth="1"/>
    <col min="12647" max="12647" width="14.85546875" style="957" customWidth="1"/>
    <col min="12648" max="12648" width="23.5703125" style="957" customWidth="1"/>
    <col min="12649" max="12649" width="19.42578125" style="957" customWidth="1"/>
    <col min="12650" max="12650" width="21.85546875" style="957" customWidth="1"/>
    <col min="12651" max="12651" width="14.42578125" style="957" bestFit="1" customWidth="1"/>
    <col min="12652" max="12652" width="17.140625" style="957" customWidth="1"/>
    <col min="12653" max="12653" width="23.42578125" style="957" customWidth="1"/>
    <col min="12654" max="12655" width="19.42578125" style="957" customWidth="1"/>
    <col min="12656" max="12656" width="39.42578125" style="957" customWidth="1"/>
    <col min="12657" max="12657" width="19.42578125" style="957" customWidth="1"/>
    <col min="12658" max="12900" width="9.140625" style="957"/>
    <col min="12901" max="12901" width="9.85546875" style="957" bestFit="1" customWidth="1"/>
    <col min="12902" max="12902" width="19.42578125" style="957" customWidth="1"/>
    <col min="12903" max="12903" width="14.85546875" style="957" customWidth="1"/>
    <col min="12904" max="12904" width="23.5703125" style="957" customWidth="1"/>
    <col min="12905" max="12905" width="19.42578125" style="957" customWidth="1"/>
    <col min="12906" max="12906" width="21.85546875" style="957" customWidth="1"/>
    <col min="12907" max="12907" width="14.42578125" style="957" bestFit="1" customWidth="1"/>
    <col min="12908" max="12908" width="17.140625" style="957" customWidth="1"/>
    <col min="12909" max="12909" width="23.42578125" style="957" customWidth="1"/>
    <col min="12910" max="12911" width="19.42578125" style="957" customWidth="1"/>
    <col min="12912" max="12912" width="39.42578125" style="957" customWidth="1"/>
    <col min="12913" max="12913" width="19.42578125" style="957" customWidth="1"/>
    <col min="12914" max="13156" width="9.140625" style="957"/>
    <col min="13157" max="13157" width="9.85546875" style="957" bestFit="1" customWidth="1"/>
    <col min="13158" max="13158" width="19.42578125" style="957" customWidth="1"/>
    <col min="13159" max="13159" width="14.85546875" style="957" customWidth="1"/>
    <col min="13160" max="13160" width="23.5703125" style="957" customWidth="1"/>
    <col min="13161" max="13161" width="19.42578125" style="957" customWidth="1"/>
    <col min="13162" max="13162" width="21.85546875" style="957" customWidth="1"/>
    <col min="13163" max="13163" width="14.42578125" style="957" bestFit="1" customWidth="1"/>
    <col min="13164" max="13164" width="17.140625" style="957" customWidth="1"/>
    <col min="13165" max="13165" width="23.42578125" style="957" customWidth="1"/>
    <col min="13166" max="13167" width="19.42578125" style="957" customWidth="1"/>
    <col min="13168" max="13168" width="39.42578125" style="957" customWidth="1"/>
    <col min="13169" max="13169" width="19.42578125" style="957" customWidth="1"/>
    <col min="13170" max="13412" width="9.140625" style="957"/>
    <col min="13413" max="13413" width="9.85546875" style="957" bestFit="1" customWidth="1"/>
    <col min="13414" max="13414" width="19.42578125" style="957" customWidth="1"/>
    <col min="13415" max="13415" width="14.85546875" style="957" customWidth="1"/>
    <col min="13416" max="13416" width="23.5703125" style="957" customWidth="1"/>
    <col min="13417" max="13417" width="19.42578125" style="957" customWidth="1"/>
    <col min="13418" max="13418" width="21.85546875" style="957" customWidth="1"/>
    <col min="13419" max="13419" width="14.42578125" style="957" bestFit="1" customWidth="1"/>
    <col min="13420" max="13420" width="17.140625" style="957" customWidth="1"/>
    <col min="13421" max="13421" width="23.42578125" style="957" customWidth="1"/>
    <col min="13422" max="13423" width="19.42578125" style="957" customWidth="1"/>
    <col min="13424" max="13424" width="39.42578125" style="957" customWidth="1"/>
    <col min="13425" max="13425" width="19.42578125" style="957" customWidth="1"/>
    <col min="13426" max="13668" width="9.140625" style="957"/>
    <col min="13669" max="13669" width="9.85546875" style="957" bestFit="1" customWidth="1"/>
    <col min="13670" max="13670" width="19.42578125" style="957" customWidth="1"/>
    <col min="13671" max="13671" width="14.85546875" style="957" customWidth="1"/>
    <col min="13672" max="13672" width="23.5703125" style="957" customWidth="1"/>
    <col min="13673" max="13673" width="19.42578125" style="957" customWidth="1"/>
    <col min="13674" max="13674" width="21.85546875" style="957" customWidth="1"/>
    <col min="13675" max="13675" width="14.42578125" style="957" bestFit="1" customWidth="1"/>
    <col min="13676" max="13676" width="17.140625" style="957" customWidth="1"/>
    <col min="13677" max="13677" width="23.42578125" style="957" customWidth="1"/>
    <col min="13678" max="13679" width="19.42578125" style="957" customWidth="1"/>
    <col min="13680" max="13680" width="39.42578125" style="957" customWidth="1"/>
    <col min="13681" max="13681" width="19.42578125" style="957" customWidth="1"/>
    <col min="13682" max="13924" width="9.140625" style="957"/>
    <col min="13925" max="13925" width="9.85546875" style="957" bestFit="1" customWidth="1"/>
    <col min="13926" max="13926" width="19.42578125" style="957" customWidth="1"/>
    <col min="13927" max="13927" width="14.85546875" style="957" customWidth="1"/>
    <col min="13928" max="13928" width="23.5703125" style="957" customWidth="1"/>
    <col min="13929" max="13929" width="19.42578125" style="957" customWidth="1"/>
    <col min="13930" max="13930" width="21.85546875" style="957" customWidth="1"/>
    <col min="13931" max="13931" width="14.42578125" style="957" bestFit="1" customWidth="1"/>
    <col min="13932" max="13932" width="17.140625" style="957" customWidth="1"/>
    <col min="13933" max="13933" width="23.42578125" style="957" customWidth="1"/>
    <col min="13934" max="13935" width="19.42578125" style="957" customWidth="1"/>
    <col min="13936" max="13936" width="39.42578125" style="957" customWidth="1"/>
    <col min="13937" max="13937" width="19.42578125" style="957" customWidth="1"/>
    <col min="13938" max="14180" width="9.140625" style="957"/>
    <col min="14181" max="14181" width="9.85546875" style="957" bestFit="1" customWidth="1"/>
    <col min="14182" max="14182" width="19.42578125" style="957" customWidth="1"/>
    <col min="14183" max="14183" width="14.85546875" style="957" customWidth="1"/>
    <col min="14184" max="14184" width="23.5703125" style="957" customWidth="1"/>
    <col min="14185" max="14185" width="19.42578125" style="957" customWidth="1"/>
    <col min="14186" max="14186" width="21.85546875" style="957" customWidth="1"/>
    <col min="14187" max="14187" width="14.42578125" style="957" bestFit="1" customWidth="1"/>
    <col min="14188" max="14188" width="17.140625" style="957" customWidth="1"/>
    <col min="14189" max="14189" width="23.42578125" style="957" customWidth="1"/>
    <col min="14190" max="14191" width="19.42578125" style="957" customWidth="1"/>
    <col min="14192" max="14192" width="39.42578125" style="957" customWidth="1"/>
    <col min="14193" max="14193" width="19.42578125" style="957" customWidth="1"/>
    <col min="14194" max="14436" width="9.140625" style="957"/>
    <col min="14437" max="14437" width="9.85546875" style="957" bestFit="1" customWidth="1"/>
    <col min="14438" max="14438" width="19.42578125" style="957" customWidth="1"/>
    <col min="14439" max="14439" width="14.85546875" style="957" customWidth="1"/>
    <col min="14440" max="14440" width="23.5703125" style="957" customWidth="1"/>
    <col min="14441" max="14441" width="19.42578125" style="957" customWidth="1"/>
    <col min="14442" max="14442" width="21.85546875" style="957" customWidth="1"/>
    <col min="14443" max="14443" width="14.42578125" style="957" bestFit="1" customWidth="1"/>
    <col min="14444" max="14444" width="17.140625" style="957" customWidth="1"/>
    <col min="14445" max="14445" width="23.42578125" style="957" customWidth="1"/>
    <col min="14446" max="14447" width="19.42578125" style="957" customWidth="1"/>
    <col min="14448" max="14448" width="39.42578125" style="957" customWidth="1"/>
    <col min="14449" max="14449" width="19.42578125" style="957" customWidth="1"/>
    <col min="14450" max="14692" width="9.140625" style="957"/>
    <col min="14693" max="14693" width="9.85546875" style="957" bestFit="1" customWidth="1"/>
    <col min="14694" max="14694" width="19.42578125" style="957" customWidth="1"/>
    <col min="14695" max="14695" width="14.85546875" style="957" customWidth="1"/>
    <col min="14696" max="14696" width="23.5703125" style="957" customWidth="1"/>
    <col min="14697" max="14697" width="19.42578125" style="957" customWidth="1"/>
    <col min="14698" max="14698" width="21.85546875" style="957" customWidth="1"/>
    <col min="14699" max="14699" width="14.42578125" style="957" bestFit="1" customWidth="1"/>
    <col min="14700" max="14700" width="17.140625" style="957" customWidth="1"/>
    <col min="14701" max="14701" width="23.42578125" style="957" customWidth="1"/>
    <col min="14702" max="14703" width="19.42578125" style="957" customWidth="1"/>
    <col min="14704" max="14704" width="39.42578125" style="957" customWidth="1"/>
    <col min="14705" max="14705" width="19.42578125" style="957" customWidth="1"/>
    <col min="14706" max="14948" width="9.140625" style="957"/>
    <col min="14949" max="14949" width="9.85546875" style="957" bestFit="1" customWidth="1"/>
    <col min="14950" max="14950" width="19.42578125" style="957" customWidth="1"/>
    <col min="14951" max="14951" width="14.85546875" style="957" customWidth="1"/>
    <col min="14952" max="14952" width="23.5703125" style="957" customWidth="1"/>
    <col min="14953" max="14953" width="19.42578125" style="957" customWidth="1"/>
    <col min="14954" max="14954" width="21.85546875" style="957" customWidth="1"/>
    <col min="14955" max="14955" width="14.42578125" style="957" bestFit="1" customWidth="1"/>
    <col min="14956" max="14956" width="17.140625" style="957" customWidth="1"/>
    <col min="14957" max="14957" width="23.42578125" style="957" customWidth="1"/>
    <col min="14958" max="14959" width="19.42578125" style="957" customWidth="1"/>
    <col min="14960" max="14960" width="39.42578125" style="957" customWidth="1"/>
    <col min="14961" max="14961" width="19.42578125" style="957" customWidth="1"/>
    <col min="14962" max="15204" width="9.140625" style="957"/>
    <col min="15205" max="15205" width="9.85546875" style="957" bestFit="1" customWidth="1"/>
    <col min="15206" max="15206" width="19.42578125" style="957" customWidth="1"/>
    <col min="15207" max="15207" width="14.85546875" style="957" customWidth="1"/>
    <col min="15208" max="15208" width="23.5703125" style="957" customWidth="1"/>
    <col min="15209" max="15209" width="19.42578125" style="957" customWidth="1"/>
    <col min="15210" max="15210" width="21.85546875" style="957" customWidth="1"/>
    <col min="15211" max="15211" width="14.42578125" style="957" bestFit="1" customWidth="1"/>
    <col min="15212" max="15212" width="17.140625" style="957" customWidth="1"/>
    <col min="15213" max="15213" width="23.42578125" style="957" customWidth="1"/>
    <col min="15214" max="15215" width="19.42578125" style="957" customWidth="1"/>
    <col min="15216" max="15216" width="39.42578125" style="957" customWidth="1"/>
    <col min="15217" max="15217" width="19.42578125" style="957" customWidth="1"/>
    <col min="15218" max="15460" width="9.140625" style="957"/>
    <col min="15461" max="15461" width="9.85546875" style="957" bestFit="1" customWidth="1"/>
    <col min="15462" max="15462" width="19.42578125" style="957" customWidth="1"/>
    <col min="15463" max="15463" width="14.85546875" style="957" customWidth="1"/>
    <col min="15464" max="15464" width="23.5703125" style="957" customWidth="1"/>
    <col min="15465" max="15465" width="19.42578125" style="957" customWidth="1"/>
    <col min="15466" max="15466" width="21.85546875" style="957" customWidth="1"/>
    <col min="15467" max="15467" width="14.42578125" style="957" bestFit="1" customWidth="1"/>
    <col min="15468" max="15468" width="17.140625" style="957" customWidth="1"/>
    <col min="15469" max="15469" width="23.42578125" style="957" customWidth="1"/>
    <col min="15470" max="15471" width="19.42578125" style="957" customWidth="1"/>
    <col min="15472" max="15472" width="39.42578125" style="957" customWidth="1"/>
    <col min="15473" max="15473" width="19.42578125" style="957" customWidth="1"/>
    <col min="15474" max="15716" width="9.140625" style="957"/>
    <col min="15717" max="15717" width="9.85546875" style="957" bestFit="1" customWidth="1"/>
    <col min="15718" max="15718" width="19.42578125" style="957" customWidth="1"/>
    <col min="15719" max="15719" width="14.85546875" style="957" customWidth="1"/>
    <col min="15720" max="15720" width="23.5703125" style="957" customWidth="1"/>
    <col min="15721" max="15721" width="19.42578125" style="957" customWidth="1"/>
    <col min="15722" max="15722" width="21.85546875" style="957" customWidth="1"/>
    <col min="15723" max="15723" width="14.42578125" style="957" bestFit="1" customWidth="1"/>
    <col min="15724" max="15724" width="17.140625" style="957" customWidth="1"/>
    <col min="15725" max="15725" width="23.42578125" style="957" customWidth="1"/>
    <col min="15726" max="15727" width="19.42578125" style="957" customWidth="1"/>
    <col min="15728" max="15728" width="39.42578125" style="957" customWidth="1"/>
    <col min="15729" max="15729" width="19.42578125" style="957" customWidth="1"/>
    <col min="15730" max="15972" width="9.140625" style="957"/>
    <col min="15973" max="15973" width="9.85546875" style="957" bestFit="1" customWidth="1"/>
    <col min="15974" max="15974" width="19.42578125" style="957" customWidth="1"/>
    <col min="15975" max="15975" width="14.85546875" style="957" customWidth="1"/>
    <col min="15976" max="15976" width="23.5703125" style="957" customWidth="1"/>
    <col min="15977" max="15977" width="19.42578125" style="957" customWidth="1"/>
    <col min="15978" max="15978" width="21.85546875" style="957" customWidth="1"/>
    <col min="15979" max="15979" width="14.42578125" style="957" bestFit="1" customWidth="1"/>
    <col min="15980" max="15980" width="17.140625" style="957" customWidth="1"/>
    <col min="15981" max="15981" width="23.42578125" style="957" customWidth="1"/>
    <col min="15982" max="15983" width="19.42578125" style="957" customWidth="1"/>
    <col min="15984" max="15984" width="39.42578125" style="957" customWidth="1"/>
    <col min="15985" max="15985" width="19.42578125" style="957" customWidth="1"/>
    <col min="15986" max="16384" width="9.140625" style="957"/>
  </cols>
  <sheetData>
    <row r="1" spans="1:18" ht="24.95" customHeight="1">
      <c r="A1" s="955" t="s">
        <v>37</v>
      </c>
    </row>
    <row r="2" spans="1:18" ht="24.95" customHeight="1">
      <c r="A2" s="959" t="s">
        <v>2740</v>
      </c>
    </row>
    <row r="3" spans="1:18">
      <c r="A3" s="959" t="s">
        <v>2876</v>
      </c>
    </row>
    <row r="4" spans="1:18" ht="25.5" customHeight="1">
      <c r="J4" s="960" t="s">
        <v>60</v>
      </c>
      <c r="K4" s="961"/>
      <c r="L4" s="962">
        <f>COUNTIF($L$8:$L$488,"Clear")</f>
        <v>226</v>
      </c>
      <c r="M4" s="962">
        <f>COUNTIF($M$8:$M$488,"C")</f>
        <v>222</v>
      </c>
      <c r="N4" s="962">
        <f>COUNTIF($N$8:$N$488,"C")</f>
        <v>176</v>
      </c>
      <c r="O4" s="962">
        <f>COUNTIF($O$8:$O$594,"C")</f>
        <v>137</v>
      </c>
      <c r="P4" s="962">
        <f>COUNTIF($P$8:$P$417,"C")</f>
        <v>0</v>
      </c>
      <c r="Q4" s="962"/>
    </row>
    <row r="5" spans="1:18" ht="25.5" customHeight="1">
      <c r="J5" s="960" t="s">
        <v>22</v>
      </c>
      <c r="K5" s="961"/>
      <c r="L5" s="962"/>
      <c r="M5" s="962">
        <f>COUNTIF($M$8:$M$488,"WIP")</f>
        <v>3</v>
      </c>
      <c r="N5" s="962">
        <f>COUNTIF($N$8:$N$417,"WIP")</f>
        <v>0</v>
      </c>
      <c r="O5" s="962">
        <f>COUNTIF($O$8:$O$553,"WIP")</f>
        <v>4</v>
      </c>
      <c r="P5" s="962">
        <f>COUNTIF($P$8:$P$417,"WIP")</f>
        <v>0</v>
      </c>
      <c r="Q5" s="963"/>
    </row>
    <row r="6" spans="1:18" s="956" customFormat="1" ht="46.7" customHeight="1">
      <c r="A6" s="1656" t="s">
        <v>1782</v>
      </c>
      <c r="B6" s="1656" t="s">
        <v>2877</v>
      </c>
      <c r="C6" s="1656" t="s">
        <v>1405</v>
      </c>
      <c r="D6" s="1656" t="s">
        <v>1923</v>
      </c>
      <c r="E6" s="1656" t="s">
        <v>1000</v>
      </c>
      <c r="F6" s="1656"/>
      <c r="G6" s="1656"/>
      <c r="H6" s="1656"/>
      <c r="I6" s="1653" t="s">
        <v>2878</v>
      </c>
      <c r="J6" s="1653" t="s">
        <v>2879</v>
      </c>
      <c r="K6" s="1653" t="s">
        <v>1922</v>
      </c>
      <c r="L6" s="1653" t="s">
        <v>1658</v>
      </c>
      <c r="M6" s="1653" t="s">
        <v>28</v>
      </c>
      <c r="N6" s="1653" t="s">
        <v>609</v>
      </c>
      <c r="O6" s="1653" t="s">
        <v>610</v>
      </c>
      <c r="P6" s="1653" t="s">
        <v>1254</v>
      </c>
      <c r="Q6" s="1653" t="s">
        <v>614</v>
      </c>
      <c r="R6" s="1653" t="s">
        <v>19</v>
      </c>
    </row>
    <row r="7" spans="1:18" s="956" customFormat="1" ht="43.35" customHeight="1">
      <c r="A7" s="1656"/>
      <c r="B7" s="1656"/>
      <c r="C7" s="1656"/>
      <c r="D7" s="1656"/>
      <c r="E7" s="964" t="s">
        <v>1930</v>
      </c>
      <c r="F7" s="964" t="s">
        <v>1931</v>
      </c>
      <c r="G7" s="964" t="s">
        <v>1932</v>
      </c>
      <c r="H7" s="964" t="s">
        <v>1933</v>
      </c>
      <c r="I7" s="1653"/>
      <c r="J7" s="1653"/>
      <c r="K7" s="1653"/>
      <c r="L7" s="1653"/>
      <c r="M7" s="1653"/>
      <c r="N7" s="1653"/>
      <c r="O7" s="1653"/>
      <c r="P7" s="1653"/>
      <c r="Q7" s="1653"/>
      <c r="R7" s="1653"/>
    </row>
    <row r="8" spans="1:18" s="956" customFormat="1" ht="30" customHeight="1">
      <c r="A8" s="965">
        <v>1</v>
      </c>
      <c r="B8" s="968" t="s">
        <v>2880</v>
      </c>
      <c r="C8" s="968" t="s">
        <v>1277</v>
      </c>
      <c r="D8" s="967" t="s">
        <v>2881</v>
      </c>
      <c r="E8" s="968"/>
      <c r="F8" s="968"/>
      <c r="G8" s="968"/>
      <c r="H8" s="968"/>
      <c r="I8" s="972" t="s">
        <v>3286</v>
      </c>
      <c r="J8" s="966"/>
      <c r="K8" s="966">
        <v>0</v>
      </c>
      <c r="L8" s="966" t="s">
        <v>2919</v>
      </c>
      <c r="M8" s="966" t="s">
        <v>1009</v>
      </c>
      <c r="N8" s="966"/>
      <c r="O8" s="966"/>
      <c r="P8" s="966"/>
      <c r="Q8" s="969"/>
      <c r="R8" s="970"/>
    </row>
    <row r="9" spans="1:18" s="956" customFormat="1" ht="30" customHeight="1">
      <c r="A9" s="965"/>
      <c r="B9" s="968"/>
      <c r="C9" s="968"/>
      <c r="D9" s="971"/>
      <c r="E9" s="968"/>
      <c r="F9" s="968"/>
      <c r="G9" s="968"/>
      <c r="H9" s="968"/>
      <c r="I9" s="972"/>
      <c r="J9" s="973">
        <v>416.65800000000002</v>
      </c>
      <c r="K9" s="966"/>
      <c r="L9" s="966"/>
      <c r="M9" s="966"/>
      <c r="N9" s="966"/>
      <c r="O9" s="966"/>
      <c r="P9" s="966"/>
      <c r="Q9" s="969"/>
      <c r="R9" s="970"/>
    </row>
    <row r="10" spans="1:18" s="956" customFormat="1" ht="30" customHeight="1">
      <c r="A10" s="965">
        <f>A8+1</f>
        <v>2</v>
      </c>
      <c r="B10" s="968" t="s">
        <v>2882</v>
      </c>
      <c r="C10" s="968" t="s">
        <v>1935</v>
      </c>
      <c r="D10" s="967" t="s">
        <v>2883</v>
      </c>
      <c r="E10" s="968"/>
      <c r="F10" s="968"/>
      <c r="G10" s="968"/>
      <c r="H10" s="968"/>
      <c r="I10" s="972" t="s">
        <v>3286</v>
      </c>
      <c r="J10" s="973"/>
      <c r="K10" s="966">
        <f>J9</f>
        <v>416.65800000000002</v>
      </c>
      <c r="L10" s="966" t="s">
        <v>2919</v>
      </c>
      <c r="M10" s="966" t="s">
        <v>1009</v>
      </c>
      <c r="N10" s="966"/>
      <c r="O10" s="966"/>
      <c r="P10" s="966"/>
      <c r="Q10" s="969"/>
      <c r="R10" s="970"/>
    </row>
    <row r="11" spans="1:18" s="956" customFormat="1" ht="30" customHeight="1">
      <c r="A11" s="965"/>
      <c r="B11" s="968"/>
      <c r="C11" s="968"/>
      <c r="D11" s="971"/>
      <c r="E11" s="968"/>
      <c r="F11" s="968"/>
      <c r="G11" s="968"/>
      <c r="H11" s="968"/>
      <c r="I11" s="972"/>
      <c r="J11" s="973">
        <v>389.27699999999999</v>
      </c>
      <c r="K11" s="966"/>
      <c r="L11" s="966"/>
      <c r="M11" s="966"/>
      <c r="N11" s="966"/>
      <c r="O11" s="966"/>
      <c r="P11" s="966"/>
      <c r="Q11" s="969"/>
      <c r="R11" s="970"/>
    </row>
    <row r="12" spans="1:18" s="956" customFormat="1" ht="30" customHeight="1">
      <c r="A12" s="965">
        <f>A10+1</f>
        <v>3</v>
      </c>
      <c r="B12" s="968" t="s">
        <v>2884</v>
      </c>
      <c r="C12" s="968" t="s">
        <v>1995</v>
      </c>
      <c r="D12" s="967" t="s">
        <v>2058</v>
      </c>
      <c r="E12" s="968"/>
      <c r="F12" s="968"/>
      <c r="G12" s="968"/>
      <c r="H12" s="968"/>
      <c r="I12" s="972" t="s">
        <v>2736</v>
      </c>
      <c r="J12" s="973"/>
      <c r="K12" s="966">
        <f>J11</f>
        <v>389.27699999999999</v>
      </c>
      <c r="L12" s="966" t="s">
        <v>2919</v>
      </c>
      <c r="M12" s="966" t="s">
        <v>1009</v>
      </c>
      <c r="N12" s="966"/>
      <c r="O12" s="966"/>
      <c r="P12" s="966"/>
      <c r="Q12" s="969"/>
      <c r="R12" s="970"/>
    </row>
    <row r="13" spans="1:18" s="956" customFormat="1" ht="30" customHeight="1">
      <c r="A13" s="965"/>
      <c r="B13" s="968"/>
      <c r="C13" s="968"/>
      <c r="D13" s="971"/>
      <c r="E13" s="968"/>
      <c r="F13" s="968"/>
      <c r="G13" s="968"/>
      <c r="H13" s="968"/>
      <c r="I13" s="972"/>
      <c r="J13" s="973">
        <v>384.15100000000001</v>
      </c>
      <c r="K13" s="966"/>
      <c r="L13" s="966"/>
      <c r="M13" s="966"/>
      <c r="N13" s="966"/>
      <c r="O13" s="966"/>
      <c r="P13" s="966"/>
      <c r="Q13" s="1670"/>
      <c r="R13" s="970"/>
    </row>
    <row r="14" spans="1:18" s="956" customFormat="1" ht="30" customHeight="1">
      <c r="A14" s="965">
        <f>A12+1</f>
        <v>4</v>
      </c>
      <c r="B14" s="968" t="s">
        <v>702</v>
      </c>
      <c r="C14" s="968" t="s">
        <v>53</v>
      </c>
      <c r="D14" s="971"/>
      <c r="E14" s="968"/>
      <c r="F14" s="968"/>
      <c r="G14" s="968"/>
      <c r="H14" s="968"/>
      <c r="I14" s="972" t="s">
        <v>3286</v>
      </c>
      <c r="J14" s="973"/>
      <c r="K14" s="966">
        <f>J13</f>
        <v>384.15100000000001</v>
      </c>
      <c r="L14" s="966" t="s">
        <v>2919</v>
      </c>
      <c r="M14" s="966" t="s">
        <v>1009</v>
      </c>
      <c r="N14" s="966" t="s">
        <v>1009</v>
      </c>
      <c r="O14" s="966"/>
      <c r="P14" s="966"/>
      <c r="Q14" s="1671"/>
      <c r="R14" s="970"/>
    </row>
    <row r="15" spans="1:18" s="956" customFormat="1" ht="30" customHeight="1">
      <c r="A15" s="965"/>
      <c r="B15" s="968"/>
      <c r="C15" s="968"/>
      <c r="D15" s="971"/>
      <c r="E15" s="968"/>
      <c r="F15" s="968"/>
      <c r="G15" s="968"/>
      <c r="H15" s="968"/>
      <c r="I15" s="972"/>
      <c r="J15" s="973">
        <v>409.3</v>
      </c>
      <c r="K15" s="966"/>
      <c r="L15" s="966"/>
      <c r="M15" s="966"/>
      <c r="N15" s="966"/>
      <c r="O15" s="966"/>
      <c r="P15" s="966"/>
      <c r="Q15" s="1672"/>
      <c r="R15" s="970"/>
    </row>
    <row r="16" spans="1:18" s="956" customFormat="1" ht="30" customHeight="1">
      <c r="A16" s="965">
        <f>A14+1</f>
        <v>5</v>
      </c>
      <c r="B16" s="968" t="s">
        <v>2885</v>
      </c>
      <c r="C16" s="968" t="s">
        <v>1361</v>
      </c>
      <c r="D16" s="967" t="s">
        <v>2886</v>
      </c>
      <c r="E16" s="968"/>
      <c r="F16" s="968"/>
      <c r="G16" s="968"/>
      <c r="H16" s="968"/>
      <c r="I16" s="972" t="s">
        <v>3286</v>
      </c>
      <c r="J16" s="973"/>
      <c r="K16" s="966">
        <f t="shared" ref="K16:K28" si="0">J15</f>
        <v>409.3</v>
      </c>
      <c r="L16" s="966" t="s">
        <v>2919</v>
      </c>
      <c r="M16" s="966" t="s">
        <v>1009</v>
      </c>
      <c r="N16" s="966"/>
      <c r="O16" s="966"/>
      <c r="P16" s="966"/>
      <c r="Q16" s="969"/>
      <c r="R16" s="970"/>
    </row>
    <row r="17" spans="1:18" s="956" customFormat="1" ht="30" customHeight="1">
      <c r="A17" s="965"/>
      <c r="B17" s="968"/>
      <c r="C17" s="968"/>
      <c r="D17" s="971"/>
      <c r="E17" s="968"/>
      <c r="F17" s="968"/>
      <c r="G17" s="968"/>
      <c r="H17" s="968"/>
      <c r="I17" s="972"/>
      <c r="J17" s="973">
        <v>409.72</v>
      </c>
      <c r="K17" s="966"/>
      <c r="L17" s="966"/>
      <c r="M17" s="966"/>
      <c r="N17" s="966"/>
      <c r="O17" s="966"/>
      <c r="P17" s="966"/>
      <c r="Q17" s="1670"/>
      <c r="R17" s="970"/>
    </row>
    <row r="18" spans="1:18" s="956" customFormat="1" ht="30" customHeight="1">
      <c r="A18" s="965">
        <f>A16+1</f>
        <v>6</v>
      </c>
      <c r="B18" s="968" t="s">
        <v>753</v>
      </c>
      <c r="C18" s="968" t="s">
        <v>53</v>
      </c>
      <c r="D18" s="971"/>
      <c r="E18" s="968"/>
      <c r="F18" s="968"/>
      <c r="G18" s="968"/>
      <c r="H18" s="968"/>
      <c r="I18" s="972"/>
      <c r="J18" s="973"/>
      <c r="K18" s="966">
        <f t="shared" si="0"/>
        <v>409.72</v>
      </c>
      <c r="L18" s="966"/>
      <c r="M18" s="966"/>
      <c r="N18" s="966"/>
      <c r="O18" s="966"/>
      <c r="P18" s="966"/>
      <c r="Q18" s="1671"/>
      <c r="R18" s="970"/>
    </row>
    <row r="19" spans="1:18" s="956" customFormat="1" ht="30" customHeight="1">
      <c r="A19" s="965"/>
      <c r="B19" s="968"/>
      <c r="C19" s="968"/>
      <c r="D19" s="971"/>
      <c r="E19" s="968"/>
      <c r="F19" s="968"/>
      <c r="G19" s="968"/>
      <c r="H19" s="968"/>
      <c r="I19" s="972"/>
      <c r="J19" s="973">
        <v>406.73200000000003</v>
      </c>
      <c r="K19" s="966"/>
      <c r="L19" s="966"/>
      <c r="M19" s="966"/>
      <c r="N19" s="966"/>
      <c r="O19" s="966"/>
      <c r="P19" s="966"/>
      <c r="Q19" s="1671"/>
      <c r="R19" s="970"/>
    </row>
    <row r="20" spans="1:18" s="956" customFormat="1" ht="30" customHeight="1">
      <c r="A20" s="965">
        <f>A18+1</f>
        <v>7</v>
      </c>
      <c r="B20" s="968" t="s">
        <v>761</v>
      </c>
      <c r="C20" s="968" t="s">
        <v>62</v>
      </c>
      <c r="D20" s="971"/>
      <c r="E20" s="968"/>
      <c r="F20" s="968"/>
      <c r="G20" s="968"/>
      <c r="H20" s="968"/>
      <c r="I20" s="972" t="s">
        <v>3494</v>
      </c>
      <c r="J20" s="973"/>
      <c r="K20" s="966">
        <f t="shared" si="0"/>
        <v>406.73200000000003</v>
      </c>
      <c r="L20" s="966" t="s">
        <v>2919</v>
      </c>
      <c r="M20" s="966" t="s">
        <v>1009</v>
      </c>
      <c r="N20" s="966"/>
      <c r="O20" s="966"/>
      <c r="P20" s="966"/>
      <c r="Q20" s="1671"/>
      <c r="R20" s="970"/>
    </row>
    <row r="21" spans="1:18" s="956" customFormat="1" ht="30" customHeight="1">
      <c r="A21" s="965"/>
      <c r="B21" s="968"/>
      <c r="C21" s="968"/>
      <c r="D21" s="971"/>
      <c r="E21" s="968"/>
      <c r="F21" s="968"/>
      <c r="G21" s="968"/>
      <c r="H21" s="968"/>
      <c r="I21" s="972"/>
      <c r="J21" s="973">
        <v>404.91300000000001</v>
      </c>
      <c r="K21" s="966"/>
      <c r="L21" s="966"/>
      <c r="M21" s="966"/>
      <c r="N21" s="966"/>
      <c r="O21" s="966"/>
      <c r="P21" s="966"/>
      <c r="Q21" s="1671"/>
      <c r="R21" s="970"/>
    </row>
    <row r="22" spans="1:18" s="956" customFormat="1" ht="30" customHeight="1">
      <c r="A22" s="965">
        <f>A20+1</f>
        <v>8</v>
      </c>
      <c r="B22" s="968" t="s">
        <v>735</v>
      </c>
      <c r="C22" s="968" t="s">
        <v>53</v>
      </c>
      <c r="D22" s="971"/>
      <c r="E22" s="968"/>
      <c r="F22" s="968"/>
      <c r="G22" s="968"/>
      <c r="H22" s="968"/>
      <c r="I22" s="972" t="s">
        <v>3286</v>
      </c>
      <c r="J22" s="973"/>
      <c r="K22" s="966">
        <f t="shared" si="0"/>
        <v>404.91300000000001</v>
      </c>
      <c r="L22" s="966" t="s">
        <v>2919</v>
      </c>
      <c r="M22" s="966" t="s">
        <v>1009</v>
      </c>
      <c r="N22" s="966" t="s">
        <v>1009</v>
      </c>
      <c r="O22" s="966"/>
      <c r="P22" s="966"/>
      <c r="Q22" s="1671"/>
      <c r="R22" s="970"/>
    </row>
    <row r="23" spans="1:18" s="956" customFormat="1" ht="30" customHeight="1">
      <c r="A23" s="965"/>
      <c r="B23" s="968"/>
      <c r="C23" s="968"/>
      <c r="D23" s="971"/>
      <c r="E23" s="968"/>
      <c r="F23" s="968"/>
      <c r="G23" s="968"/>
      <c r="H23" s="968"/>
      <c r="I23" s="972"/>
      <c r="J23" s="973">
        <v>285.56299999999999</v>
      </c>
      <c r="K23" s="966"/>
      <c r="L23" s="966"/>
      <c r="M23" s="966"/>
      <c r="N23" s="966"/>
      <c r="O23" s="966"/>
      <c r="P23" s="966"/>
      <c r="Q23" s="1671"/>
      <c r="R23" s="970"/>
    </row>
    <row r="24" spans="1:18" s="956" customFormat="1" ht="30" customHeight="1">
      <c r="A24" s="965">
        <f>A22+1</f>
        <v>9</v>
      </c>
      <c r="B24" s="968" t="s">
        <v>746</v>
      </c>
      <c r="C24" s="968" t="s">
        <v>53</v>
      </c>
      <c r="D24" s="971"/>
      <c r="E24" s="968"/>
      <c r="F24" s="968"/>
      <c r="G24" s="968"/>
      <c r="H24" s="968"/>
      <c r="I24" s="972" t="s">
        <v>3286</v>
      </c>
      <c r="J24" s="973"/>
      <c r="K24" s="966">
        <f t="shared" si="0"/>
        <v>285.56299999999999</v>
      </c>
      <c r="L24" s="966" t="s">
        <v>2919</v>
      </c>
      <c r="M24" s="966" t="s">
        <v>1009</v>
      </c>
      <c r="N24" s="966"/>
      <c r="O24" s="966"/>
      <c r="P24" s="966"/>
      <c r="Q24" s="1671"/>
      <c r="R24" s="970"/>
    </row>
    <row r="25" spans="1:18" s="956" customFormat="1" ht="30" customHeight="1">
      <c r="A25" s="965"/>
      <c r="B25" s="968"/>
      <c r="C25" s="968"/>
      <c r="D25" s="971"/>
      <c r="E25" s="968"/>
      <c r="F25" s="968"/>
      <c r="G25" s="968"/>
      <c r="H25" s="968"/>
      <c r="I25" s="972"/>
      <c r="J25" s="973">
        <v>399.17399999999998</v>
      </c>
      <c r="K25" s="966"/>
      <c r="L25" s="966"/>
      <c r="M25" s="966"/>
      <c r="N25" s="966"/>
      <c r="O25" s="966"/>
      <c r="P25" s="966"/>
      <c r="Q25" s="1672"/>
      <c r="R25" s="970"/>
    </row>
    <row r="26" spans="1:18" s="956" customFormat="1" ht="30" customHeight="1">
      <c r="A26" s="965">
        <f>A24+1</f>
        <v>10</v>
      </c>
      <c r="B26" s="968" t="s">
        <v>2887</v>
      </c>
      <c r="C26" s="968" t="s">
        <v>1995</v>
      </c>
      <c r="D26" s="967" t="s">
        <v>2888</v>
      </c>
      <c r="E26" s="968"/>
      <c r="F26" s="968"/>
      <c r="G26" s="968"/>
      <c r="H26" s="968"/>
      <c r="I26" s="972" t="s">
        <v>3287</v>
      </c>
      <c r="J26" s="973"/>
      <c r="K26" s="966">
        <f t="shared" si="0"/>
        <v>399.17399999999998</v>
      </c>
      <c r="L26" s="966" t="s">
        <v>2919</v>
      </c>
      <c r="M26" s="966" t="s">
        <v>1009</v>
      </c>
      <c r="N26" s="966"/>
      <c r="O26" s="966"/>
      <c r="P26" s="966"/>
      <c r="Q26" s="969"/>
      <c r="R26" s="970"/>
    </row>
    <row r="27" spans="1:18" s="956" customFormat="1" ht="30" customHeight="1">
      <c r="A27" s="965"/>
      <c r="B27" s="968"/>
      <c r="C27" s="968"/>
      <c r="D27" s="971"/>
      <c r="E27" s="968"/>
      <c r="F27" s="968"/>
      <c r="G27" s="968"/>
      <c r="H27" s="968"/>
      <c r="I27" s="972"/>
      <c r="J27" s="973">
        <v>343.78399999999999</v>
      </c>
      <c r="K27" s="966"/>
      <c r="L27" s="966"/>
      <c r="M27" s="966"/>
      <c r="N27" s="966"/>
      <c r="O27" s="966"/>
      <c r="P27" s="966"/>
      <c r="Q27" s="1670"/>
      <c r="R27" s="970"/>
    </row>
    <row r="28" spans="1:18" ht="30" customHeight="1">
      <c r="A28" s="965">
        <f>A26+1</f>
        <v>11</v>
      </c>
      <c r="B28" s="968" t="s">
        <v>554</v>
      </c>
      <c r="C28" s="968" t="s">
        <v>76</v>
      </c>
      <c r="D28" s="971"/>
      <c r="E28" s="968"/>
      <c r="F28" s="968"/>
      <c r="G28" s="968"/>
      <c r="H28" s="968"/>
      <c r="I28" s="972" t="s">
        <v>3287</v>
      </c>
      <c r="J28" s="973"/>
      <c r="K28" s="966">
        <f t="shared" si="0"/>
        <v>343.78399999999999</v>
      </c>
      <c r="L28" s="966" t="s">
        <v>2919</v>
      </c>
      <c r="M28" s="966" t="s">
        <v>1009</v>
      </c>
      <c r="N28" s="966"/>
      <c r="O28" s="966"/>
      <c r="P28" s="966"/>
      <c r="Q28" s="1671"/>
      <c r="R28" s="970"/>
    </row>
    <row r="29" spans="1:18" ht="30" customHeight="1">
      <c r="A29" s="965"/>
      <c r="B29" s="968"/>
      <c r="C29" s="968"/>
      <c r="D29" s="971"/>
      <c r="E29" s="968"/>
      <c r="F29" s="968"/>
      <c r="G29" s="968"/>
      <c r="H29" s="968"/>
      <c r="I29" s="972"/>
      <c r="J29" s="973">
        <v>313.06299999999999</v>
      </c>
      <c r="K29" s="966"/>
      <c r="L29" s="966"/>
      <c r="M29" s="966"/>
      <c r="N29" s="966"/>
      <c r="O29" s="966"/>
      <c r="P29" s="966"/>
      <c r="Q29" s="1671"/>
      <c r="R29" s="970"/>
    </row>
    <row r="30" spans="1:18" ht="30" customHeight="1">
      <c r="A30" s="965">
        <f>A28+1</f>
        <v>12</v>
      </c>
      <c r="B30" s="968" t="s">
        <v>125</v>
      </c>
      <c r="C30" s="968" t="s">
        <v>76</v>
      </c>
      <c r="D30" s="971"/>
      <c r="E30" s="968"/>
      <c r="F30" s="968"/>
      <c r="G30" s="968"/>
      <c r="H30" s="968"/>
      <c r="I30" s="972" t="s">
        <v>3287</v>
      </c>
      <c r="J30" s="973"/>
      <c r="K30" s="966"/>
      <c r="L30" s="966" t="s">
        <v>2919</v>
      </c>
      <c r="M30" s="966" t="s">
        <v>1009</v>
      </c>
      <c r="N30" s="966"/>
      <c r="O30" s="966"/>
      <c r="P30" s="966"/>
      <c r="Q30" s="1671"/>
      <c r="R30" s="970"/>
    </row>
    <row r="31" spans="1:18" ht="30" customHeight="1">
      <c r="A31" s="965"/>
      <c r="B31" s="968"/>
      <c r="C31" s="968"/>
      <c r="D31" s="971"/>
      <c r="E31" s="968"/>
      <c r="F31" s="968"/>
      <c r="G31" s="968"/>
      <c r="H31" s="968"/>
      <c r="I31" s="972"/>
      <c r="J31" s="973">
        <v>325.52499999999998</v>
      </c>
      <c r="K31" s="966"/>
      <c r="L31" s="966"/>
      <c r="M31" s="966"/>
      <c r="N31" s="966"/>
      <c r="O31" s="966"/>
      <c r="P31" s="966"/>
      <c r="Q31" s="1672"/>
      <c r="R31" s="970"/>
    </row>
    <row r="32" spans="1:18" ht="30" customHeight="1">
      <c r="A32" s="965">
        <f>A30+1</f>
        <v>13</v>
      </c>
      <c r="B32" s="968" t="s">
        <v>2889</v>
      </c>
      <c r="C32" s="968" t="s">
        <v>1277</v>
      </c>
      <c r="D32" s="967" t="s">
        <v>2077</v>
      </c>
      <c r="E32" s="968"/>
      <c r="F32" s="968"/>
      <c r="G32" s="968"/>
      <c r="H32" s="968"/>
      <c r="I32" s="972" t="s">
        <v>1765</v>
      </c>
      <c r="J32" s="973"/>
      <c r="K32" s="966"/>
      <c r="L32" s="966" t="s">
        <v>2919</v>
      </c>
      <c r="M32" s="966" t="s">
        <v>1009</v>
      </c>
      <c r="N32" s="966"/>
      <c r="O32" s="966"/>
      <c r="P32" s="966"/>
      <c r="Q32" s="969"/>
      <c r="R32" s="970"/>
    </row>
    <row r="33" spans="1:18" ht="30" customHeight="1">
      <c r="A33" s="965"/>
      <c r="B33" s="968"/>
      <c r="C33" s="968"/>
      <c r="D33" s="971"/>
      <c r="E33" s="968"/>
      <c r="F33" s="968"/>
      <c r="G33" s="968"/>
      <c r="H33" s="968"/>
      <c r="I33" s="972"/>
      <c r="J33" s="973">
        <v>406.44299999999998</v>
      </c>
      <c r="K33" s="966"/>
      <c r="L33" s="966"/>
      <c r="M33" s="966"/>
      <c r="N33" s="966"/>
      <c r="O33" s="966"/>
      <c r="P33" s="966"/>
      <c r="Q33" s="969"/>
      <c r="R33" s="970"/>
    </row>
    <row r="34" spans="1:18" ht="30" customHeight="1">
      <c r="A34" s="965">
        <f>A32+1</f>
        <v>14</v>
      </c>
      <c r="B34" s="968" t="s">
        <v>2890</v>
      </c>
      <c r="C34" s="968" t="s">
        <v>1935</v>
      </c>
      <c r="D34" s="967" t="s">
        <v>2891</v>
      </c>
      <c r="E34" s="968"/>
      <c r="F34" s="968"/>
      <c r="G34" s="968"/>
      <c r="H34" s="968"/>
      <c r="I34" s="972" t="s">
        <v>3287</v>
      </c>
      <c r="J34" s="973"/>
      <c r="K34" s="966"/>
      <c r="L34" s="966" t="s">
        <v>2919</v>
      </c>
      <c r="M34" s="966" t="s">
        <v>1009</v>
      </c>
      <c r="N34" s="966"/>
      <c r="O34" s="966"/>
      <c r="P34" s="966"/>
      <c r="Q34" s="969"/>
      <c r="R34" s="970"/>
    </row>
    <row r="35" spans="1:18" ht="30" customHeight="1">
      <c r="A35" s="965"/>
      <c r="B35" s="968"/>
      <c r="C35" s="968"/>
      <c r="D35" s="971"/>
      <c r="E35" s="968"/>
      <c r="F35" s="968"/>
      <c r="G35" s="968"/>
      <c r="H35" s="968"/>
      <c r="I35" s="972"/>
      <c r="J35" s="973">
        <v>423.08100000000002</v>
      </c>
      <c r="K35" s="966"/>
      <c r="L35" s="966"/>
      <c r="M35" s="966"/>
      <c r="N35" s="966"/>
      <c r="O35" s="966"/>
      <c r="P35" s="966"/>
      <c r="Q35" s="1670"/>
      <c r="R35" s="970"/>
    </row>
    <row r="36" spans="1:18" ht="30" customHeight="1">
      <c r="A36" s="965">
        <f>A34+1</f>
        <v>15</v>
      </c>
      <c r="B36" s="968" t="s">
        <v>401</v>
      </c>
      <c r="C36" s="968" t="s">
        <v>62</v>
      </c>
      <c r="D36" s="971"/>
      <c r="E36" s="968"/>
      <c r="F36" s="968"/>
      <c r="G36" s="968"/>
      <c r="H36" s="968"/>
      <c r="I36" s="972" t="s">
        <v>3494</v>
      </c>
      <c r="J36" s="973"/>
      <c r="K36" s="966">
        <f>J29+J31+J33+J35</f>
        <v>1468.1120000000001</v>
      </c>
      <c r="L36" s="966" t="s">
        <v>2919</v>
      </c>
      <c r="M36" s="966" t="s">
        <v>1009</v>
      </c>
      <c r="N36" s="966"/>
      <c r="O36" s="966" t="s">
        <v>22</v>
      </c>
      <c r="P36" s="966"/>
      <c r="Q36" s="1671"/>
      <c r="R36" s="970"/>
    </row>
    <row r="37" spans="1:18" ht="30" customHeight="1">
      <c r="A37" s="965"/>
      <c r="B37" s="968"/>
      <c r="C37" s="968"/>
      <c r="D37" s="971"/>
      <c r="E37" s="968"/>
      <c r="F37" s="968"/>
      <c r="G37" s="968"/>
      <c r="H37" s="968"/>
      <c r="I37" s="972"/>
      <c r="J37" s="973">
        <v>364.95800000000003</v>
      </c>
      <c r="K37" s="966"/>
      <c r="L37" s="966"/>
      <c r="M37" s="966"/>
      <c r="N37" s="966"/>
      <c r="O37" s="966"/>
      <c r="P37" s="966"/>
      <c r="Q37" s="1672"/>
      <c r="R37" s="970"/>
    </row>
    <row r="38" spans="1:18" ht="30" customHeight="1">
      <c r="A38" s="965">
        <f>A36+1</f>
        <v>16</v>
      </c>
      <c r="B38" s="968" t="s">
        <v>2892</v>
      </c>
      <c r="C38" s="968" t="s">
        <v>1934</v>
      </c>
      <c r="D38" s="967" t="s">
        <v>2086</v>
      </c>
      <c r="E38" s="968"/>
      <c r="F38" s="968"/>
      <c r="G38" s="968"/>
      <c r="H38" s="968"/>
      <c r="I38" s="972" t="s">
        <v>3287</v>
      </c>
      <c r="J38" s="973"/>
      <c r="K38" s="966">
        <f>J37</f>
        <v>364.95800000000003</v>
      </c>
      <c r="L38" s="966" t="s">
        <v>2919</v>
      </c>
      <c r="M38" s="966" t="s">
        <v>1009</v>
      </c>
      <c r="N38" s="966" t="s">
        <v>1009</v>
      </c>
      <c r="O38" s="966" t="s">
        <v>1009</v>
      </c>
      <c r="P38" s="966"/>
      <c r="Q38" s="969"/>
      <c r="R38" s="970"/>
    </row>
    <row r="39" spans="1:18" ht="30" customHeight="1">
      <c r="A39" s="965"/>
      <c r="B39" s="968"/>
      <c r="C39" s="968"/>
      <c r="D39" s="971"/>
      <c r="E39" s="968"/>
      <c r="F39" s="968"/>
      <c r="G39" s="968"/>
      <c r="H39" s="968"/>
      <c r="I39" s="972"/>
      <c r="J39" s="973">
        <v>380.94900000000001</v>
      </c>
      <c r="K39" s="966"/>
      <c r="L39" s="966"/>
      <c r="M39" s="966"/>
      <c r="N39" s="966"/>
      <c r="O39" s="966"/>
      <c r="P39" s="966"/>
      <c r="Q39" s="1670"/>
      <c r="R39" s="970"/>
    </row>
    <row r="40" spans="1:18" ht="30" customHeight="1">
      <c r="A40" s="965">
        <f>A38+1</f>
        <v>17</v>
      </c>
      <c r="B40" s="968" t="s">
        <v>219</v>
      </c>
      <c r="C40" s="968" t="s">
        <v>76</v>
      </c>
      <c r="D40" s="971"/>
      <c r="E40" s="968"/>
      <c r="F40" s="968"/>
      <c r="G40" s="968"/>
      <c r="H40" s="968"/>
      <c r="I40" s="972" t="s">
        <v>3287</v>
      </c>
      <c r="J40" s="973"/>
      <c r="K40" s="966">
        <f>J39</f>
        <v>380.94900000000001</v>
      </c>
      <c r="L40" s="966" t="s">
        <v>2919</v>
      </c>
      <c r="M40" s="966" t="s">
        <v>1009</v>
      </c>
      <c r="N40" s="966" t="s">
        <v>1009</v>
      </c>
      <c r="O40" s="966"/>
      <c r="P40" s="966"/>
      <c r="Q40" s="1671"/>
      <c r="R40" s="970"/>
    </row>
    <row r="41" spans="1:18" ht="30" customHeight="1">
      <c r="A41" s="965"/>
      <c r="B41" s="968"/>
      <c r="C41" s="968"/>
      <c r="D41" s="971"/>
      <c r="E41" s="968"/>
      <c r="F41" s="968"/>
      <c r="G41" s="968"/>
      <c r="H41" s="968"/>
      <c r="I41" s="972"/>
      <c r="J41" s="973">
        <v>376.62599999999998</v>
      </c>
      <c r="K41" s="966"/>
      <c r="L41" s="966"/>
      <c r="M41" s="966"/>
      <c r="N41" s="966"/>
      <c r="O41" s="966"/>
      <c r="P41" s="966"/>
      <c r="Q41" s="1672"/>
      <c r="R41" s="970"/>
    </row>
    <row r="42" spans="1:18" ht="30" customHeight="1">
      <c r="A42" s="965">
        <f>A40+1</f>
        <v>18</v>
      </c>
      <c r="B42" s="968" t="s">
        <v>2893</v>
      </c>
      <c r="C42" s="968" t="s">
        <v>1277</v>
      </c>
      <c r="D42" s="967" t="s">
        <v>2894</v>
      </c>
      <c r="E42" s="968"/>
      <c r="F42" s="968"/>
      <c r="G42" s="968"/>
      <c r="H42" s="968"/>
      <c r="I42" s="972" t="s">
        <v>3287</v>
      </c>
      <c r="J42" s="973"/>
      <c r="K42" s="966"/>
      <c r="L42" s="966" t="s">
        <v>2919</v>
      </c>
      <c r="M42" s="966" t="s">
        <v>1009</v>
      </c>
      <c r="N42" s="966" t="s">
        <v>1009</v>
      </c>
      <c r="O42" s="966"/>
      <c r="P42" s="966"/>
      <c r="Q42" s="969"/>
      <c r="R42" s="970"/>
    </row>
    <row r="43" spans="1:18" ht="30" customHeight="1">
      <c r="A43" s="965"/>
      <c r="B43" s="968"/>
      <c r="C43" s="968"/>
      <c r="D43" s="971"/>
      <c r="E43" s="968"/>
      <c r="F43" s="968"/>
      <c r="G43" s="968"/>
      <c r="H43" s="968"/>
      <c r="I43" s="972"/>
      <c r="J43" s="973">
        <v>299.077</v>
      </c>
      <c r="K43" s="966"/>
      <c r="L43" s="966"/>
      <c r="M43" s="966"/>
      <c r="N43" s="966"/>
      <c r="O43" s="966"/>
      <c r="P43" s="966"/>
      <c r="Q43" s="1670"/>
      <c r="R43" s="970"/>
    </row>
    <row r="44" spans="1:18" ht="30" customHeight="1">
      <c r="A44" s="965">
        <f>A42+1</f>
        <v>19</v>
      </c>
      <c r="B44" s="968" t="s">
        <v>170</v>
      </c>
      <c r="C44" s="968" t="s">
        <v>76</v>
      </c>
      <c r="D44" s="971"/>
      <c r="E44" s="968"/>
      <c r="F44" s="968"/>
      <c r="G44" s="968"/>
      <c r="H44" s="968"/>
      <c r="I44" s="972" t="s">
        <v>3287</v>
      </c>
      <c r="J44" s="973"/>
      <c r="K44" s="966"/>
      <c r="L44" s="966" t="s">
        <v>2919</v>
      </c>
      <c r="M44" s="966" t="s">
        <v>1009</v>
      </c>
      <c r="N44" s="966" t="s">
        <v>1009</v>
      </c>
      <c r="O44" s="966"/>
      <c r="P44" s="966"/>
      <c r="Q44" s="1671"/>
      <c r="R44" s="970"/>
    </row>
    <row r="45" spans="1:18" ht="30" customHeight="1">
      <c r="A45" s="965"/>
      <c r="B45" s="968"/>
      <c r="C45" s="968"/>
      <c r="D45" s="971"/>
      <c r="E45" s="968"/>
      <c r="F45" s="968"/>
      <c r="G45" s="968"/>
      <c r="H45" s="968"/>
      <c r="I45" s="972"/>
      <c r="J45" s="973">
        <v>264.84199999999998</v>
      </c>
      <c r="K45" s="966"/>
      <c r="L45" s="966"/>
      <c r="M45" s="966"/>
      <c r="N45" s="966"/>
      <c r="O45" s="966"/>
      <c r="P45" s="966"/>
      <c r="Q45" s="1672"/>
      <c r="R45" s="970"/>
    </row>
    <row r="46" spans="1:18" ht="30" customHeight="1">
      <c r="A46" s="965">
        <f>A44+1</f>
        <v>20</v>
      </c>
      <c r="B46" s="968" t="s">
        <v>2895</v>
      </c>
      <c r="C46" s="968" t="s">
        <v>1269</v>
      </c>
      <c r="D46" s="967" t="s">
        <v>2896</v>
      </c>
      <c r="E46" s="968"/>
      <c r="F46" s="968"/>
      <c r="G46" s="968"/>
      <c r="H46" s="968"/>
      <c r="I46" s="972" t="s">
        <v>3287</v>
      </c>
      <c r="J46" s="973"/>
      <c r="K46" s="966"/>
      <c r="L46" s="966" t="s">
        <v>2919</v>
      </c>
      <c r="M46" s="966" t="s">
        <v>22</v>
      </c>
      <c r="N46" s="966"/>
      <c r="O46" s="966"/>
      <c r="P46" s="966"/>
      <c r="Q46" s="969"/>
      <c r="R46" s="970"/>
    </row>
    <row r="47" spans="1:18" ht="30" customHeight="1">
      <c r="A47" s="965"/>
      <c r="B47" s="968"/>
      <c r="C47" s="968"/>
      <c r="D47" s="971"/>
      <c r="E47" s="968"/>
      <c r="F47" s="968"/>
      <c r="G47" s="968"/>
      <c r="H47" s="968"/>
      <c r="I47" s="972"/>
      <c r="J47" s="973">
        <v>364.06400000000002</v>
      </c>
      <c r="K47" s="966"/>
      <c r="L47" s="966"/>
      <c r="M47" s="966"/>
      <c r="N47" s="966"/>
      <c r="O47" s="966"/>
      <c r="P47" s="966"/>
      <c r="Q47" s="1670"/>
      <c r="R47" s="970"/>
    </row>
    <row r="48" spans="1:18" ht="30" customHeight="1">
      <c r="A48" s="965">
        <f>A46+1</f>
        <v>21</v>
      </c>
      <c r="B48" s="968" t="s">
        <v>229</v>
      </c>
      <c r="C48" s="968" t="s">
        <v>76</v>
      </c>
      <c r="D48" s="971"/>
      <c r="E48" s="968"/>
      <c r="F48" s="968"/>
      <c r="G48" s="968"/>
      <c r="H48" s="968"/>
      <c r="I48" s="972" t="s">
        <v>3287</v>
      </c>
      <c r="J48" s="973"/>
      <c r="K48" s="966"/>
      <c r="L48" s="966" t="s">
        <v>2919</v>
      </c>
      <c r="M48" s="966" t="s">
        <v>1009</v>
      </c>
      <c r="N48" s="966"/>
      <c r="O48" s="966"/>
      <c r="P48" s="966"/>
      <c r="Q48" s="1671"/>
      <c r="R48" s="970"/>
    </row>
    <row r="49" spans="1:18" ht="30" customHeight="1">
      <c r="A49" s="965"/>
      <c r="B49" s="968"/>
      <c r="C49" s="968"/>
      <c r="D49" s="971"/>
      <c r="E49" s="968"/>
      <c r="F49" s="968"/>
      <c r="G49" s="968"/>
      <c r="H49" s="968"/>
      <c r="I49" s="972"/>
      <c r="J49" s="973">
        <v>319.18400000000003</v>
      </c>
      <c r="K49" s="966"/>
      <c r="L49" s="966"/>
      <c r="M49" s="966"/>
      <c r="N49" s="966"/>
      <c r="O49" s="966"/>
      <c r="P49" s="966"/>
      <c r="Q49" s="1671"/>
      <c r="R49" s="970"/>
    </row>
    <row r="50" spans="1:18" ht="30" customHeight="1">
      <c r="A50" s="965">
        <f>A48+1</f>
        <v>22</v>
      </c>
      <c r="B50" s="968" t="s">
        <v>106</v>
      </c>
      <c r="C50" s="968" t="s">
        <v>76</v>
      </c>
      <c r="D50" s="971"/>
      <c r="E50" s="968"/>
      <c r="F50" s="968"/>
      <c r="G50" s="968"/>
      <c r="H50" s="968"/>
      <c r="I50" s="972" t="s">
        <v>3287</v>
      </c>
      <c r="J50" s="973"/>
      <c r="K50" s="966"/>
      <c r="L50" s="966" t="s">
        <v>2919</v>
      </c>
      <c r="M50" s="966" t="s">
        <v>1009</v>
      </c>
      <c r="N50" s="966" t="s">
        <v>1009</v>
      </c>
      <c r="O50" s="966"/>
      <c r="P50" s="966"/>
      <c r="Q50" s="1671"/>
      <c r="R50" s="970"/>
    </row>
    <row r="51" spans="1:18" ht="30" customHeight="1">
      <c r="A51" s="965"/>
      <c r="B51" s="968"/>
      <c r="C51" s="968"/>
      <c r="D51" s="971"/>
      <c r="E51" s="968"/>
      <c r="F51" s="968"/>
      <c r="G51" s="968"/>
      <c r="H51" s="968"/>
      <c r="I51" s="972"/>
      <c r="J51" s="973">
        <v>397.98500000000001</v>
      </c>
      <c r="K51" s="966"/>
      <c r="L51" s="966"/>
      <c r="M51" s="966"/>
      <c r="N51" s="966"/>
      <c r="O51" s="966"/>
      <c r="P51" s="966"/>
      <c r="Q51" s="1672"/>
      <c r="R51" s="970"/>
    </row>
    <row r="52" spans="1:18" ht="30" customHeight="1">
      <c r="A52" s="965">
        <f>A50+1</f>
        <v>23</v>
      </c>
      <c r="B52" s="968" t="s">
        <v>2897</v>
      </c>
      <c r="C52" s="968" t="s">
        <v>1977</v>
      </c>
      <c r="D52" s="967" t="s">
        <v>2100</v>
      </c>
      <c r="E52" s="968"/>
      <c r="F52" s="968"/>
      <c r="G52" s="968"/>
      <c r="H52" s="968"/>
      <c r="I52" s="972" t="s">
        <v>3287</v>
      </c>
      <c r="J52" s="973"/>
      <c r="K52" s="966">
        <f>J47+J49+J51</f>
        <v>1081.2330000000002</v>
      </c>
      <c r="L52" s="966" t="s">
        <v>2919</v>
      </c>
      <c r="M52" s="966" t="s">
        <v>1009</v>
      </c>
      <c r="N52" s="966" t="s">
        <v>1009</v>
      </c>
      <c r="O52" s="966"/>
      <c r="P52" s="966"/>
      <c r="Q52" s="969"/>
      <c r="R52" s="970"/>
    </row>
    <row r="53" spans="1:18" ht="30" customHeight="1">
      <c r="A53" s="965"/>
      <c r="B53" s="968"/>
      <c r="C53" s="968"/>
      <c r="D53" s="971"/>
      <c r="E53" s="968"/>
      <c r="F53" s="968"/>
      <c r="G53" s="968"/>
      <c r="H53" s="968"/>
      <c r="I53" s="972"/>
      <c r="J53" s="972">
        <v>450.85899999999998</v>
      </c>
      <c r="K53" s="974"/>
      <c r="L53" s="974"/>
      <c r="M53" s="974"/>
      <c r="N53" s="974"/>
      <c r="O53" s="974"/>
      <c r="P53" s="974"/>
      <c r="Q53" s="969"/>
      <c r="R53" s="970"/>
    </row>
    <row r="54" spans="1:18" s="956" customFormat="1" ht="30" customHeight="1">
      <c r="A54" s="965">
        <f>A52+1</f>
        <v>24</v>
      </c>
      <c r="B54" s="968" t="s">
        <v>2898</v>
      </c>
      <c r="C54" s="968" t="s">
        <v>1953</v>
      </c>
      <c r="D54" s="967" t="s">
        <v>2899</v>
      </c>
      <c r="E54" s="968"/>
      <c r="F54" s="968"/>
      <c r="G54" s="968"/>
      <c r="H54" s="968"/>
      <c r="I54" s="972" t="s">
        <v>3287</v>
      </c>
      <c r="J54" s="972"/>
      <c r="K54" s="974"/>
      <c r="L54" s="966" t="s">
        <v>2919</v>
      </c>
      <c r="M54" s="966" t="s">
        <v>1009</v>
      </c>
      <c r="N54" s="966" t="s">
        <v>1009</v>
      </c>
      <c r="O54" s="974"/>
      <c r="P54" s="974"/>
      <c r="Q54" s="969"/>
      <c r="R54" s="970"/>
    </row>
    <row r="55" spans="1:18" s="956" customFormat="1" ht="30" customHeight="1">
      <c r="A55" s="965"/>
      <c r="B55" s="968"/>
      <c r="C55" s="968"/>
      <c r="D55" s="971"/>
      <c r="E55" s="968"/>
      <c r="F55" s="968"/>
      <c r="G55" s="968"/>
      <c r="H55" s="968"/>
      <c r="I55" s="972"/>
      <c r="J55" s="972">
        <v>326.47699999999998</v>
      </c>
      <c r="K55" s="974"/>
      <c r="L55" s="974"/>
      <c r="M55" s="974"/>
      <c r="N55" s="974"/>
      <c r="O55" s="974"/>
      <c r="P55" s="974"/>
      <c r="Q55" s="1670"/>
      <c r="R55" s="970"/>
    </row>
    <row r="56" spans="1:18" ht="30" customHeight="1">
      <c r="A56" s="965">
        <f>A54+1</f>
        <v>25</v>
      </c>
      <c r="B56" s="968" t="s">
        <v>144</v>
      </c>
      <c r="C56" s="968" t="s">
        <v>76</v>
      </c>
      <c r="D56" s="971"/>
      <c r="E56" s="968"/>
      <c r="F56" s="968"/>
      <c r="G56" s="968"/>
      <c r="H56" s="968"/>
      <c r="I56" s="972" t="s">
        <v>3287</v>
      </c>
      <c r="J56" s="972"/>
      <c r="K56" s="974"/>
      <c r="L56" s="966" t="s">
        <v>2919</v>
      </c>
      <c r="M56" s="966" t="s">
        <v>1009</v>
      </c>
      <c r="N56" s="966" t="s">
        <v>1009</v>
      </c>
      <c r="O56" s="974" t="s">
        <v>1009</v>
      </c>
      <c r="P56" s="974"/>
      <c r="Q56" s="1671"/>
      <c r="R56" s="970"/>
    </row>
    <row r="57" spans="1:18" ht="30" customHeight="1">
      <c r="A57" s="965"/>
      <c r="B57" s="968"/>
      <c r="C57" s="968"/>
      <c r="D57" s="971"/>
      <c r="E57" s="968"/>
      <c r="F57" s="968"/>
      <c r="G57" s="968"/>
      <c r="H57" s="968"/>
      <c r="I57" s="972"/>
      <c r="J57" s="972">
        <v>276.363</v>
      </c>
      <c r="K57" s="974"/>
      <c r="L57" s="974"/>
      <c r="M57" s="974"/>
      <c r="N57" s="974"/>
      <c r="O57" s="974"/>
      <c r="P57" s="974"/>
      <c r="Q57" s="1672"/>
      <c r="R57" s="970"/>
    </row>
    <row r="58" spans="1:18" ht="30" customHeight="1">
      <c r="A58" s="965">
        <f>A56+1</f>
        <v>26</v>
      </c>
      <c r="B58" s="968" t="s">
        <v>2900</v>
      </c>
      <c r="C58" s="968" t="s">
        <v>1269</v>
      </c>
      <c r="D58" s="967" t="s">
        <v>2901</v>
      </c>
      <c r="E58" s="968"/>
      <c r="F58" s="968"/>
      <c r="G58" s="968"/>
      <c r="H58" s="968"/>
      <c r="I58" s="972" t="s">
        <v>3287</v>
      </c>
      <c r="J58" s="972"/>
      <c r="K58" s="974">
        <f>J55+J57</f>
        <v>602.83999999999992</v>
      </c>
      <c r="L58" s="966" t="s">
        <v>2919</v>
      </c>
      <c r="M58" s="974" t="s">
        <v>1009</v>
      </c>
      <c r="N58" s="974"/>
      <c r="O58" s="974" t="s">
        <v>1009</v>
      </c>
      <c r="P58" s="974"/>
      <c r="Q58" s="969"/>
      <c r="R58" s="970"/>
    </row>
    <row r="59" spans="1:18" ht="30" customHeight="1">
      <c r="A59" s="965"/>
      <c r="B59" s="968"/>
      <c r="C59" s="968"/>
      <c r="D59" s="971"/>
      <c r="E59" s="968"/>
      <c r="F59" s="968"/>
      <c r="G59" s="968"/>
      <c r="H59" s="968"/>
      <c r="I59" s="972"/>
      <c r="J59" s="972">
        <v>307.21600000000001</v>
      </c>
      <c r="K59" s="974"/>
      <c r="L59" s="974"/>
      <c r="M59" s="974"/>
      <c r="N59" s="974"/>
      <c r="O59" s="974"/>
      <c r="P59" s="974"/>
      <c r="Q59" s="1670"/>
      <c r="R59" s="970"/>
    </row>
    <row r="60" spans="1:18" ht="30" customHeight="1">
      <c r="A60" s="965">
        <f>A58+1</f>
        <v>27</v>
      </c>
      <c r="B60" s="968" t="s">
        <v>251</v>
      </c>
      <c r="C60" s="968" t="s">
        <v>76</v>
      </c>
      <c r="D60" s="971"/>
      <c r="E60" s="968"/>
      <c r="F60" s="968"/>
      <c r="G60" s="968"/>
      <c r="H60" s="968"/>
      <c r="I60" s="972" t="s">
        <v>3287</v>
      </c>
      <c r="J60" s="972"/>
      <c r="K60" s="974"/>
      <c r="L60" s="966" t="s">
        <v>2919</v>
      </c>
      <c r="M60" s="966" t="s">
        <v>1009</v>
      </c>
      <c r="N60" s="974"/>
      <c r="O60" s="974" t="s">
        <v>1009</v>
      </c>
      <c r="P60" s="974"/>
      <c r="Q60" s="1671"/>
      <c r="R60" s="970"/>
    </row>
    <row r="61" spans="1:18" ht="30" customHeight="1">
      <c r="A61" s="965"/>
      <c r="B61" s="968"/>
      <c r="C61" s="968"/>
      <c r="D61" s="971"/>
      <c r="E61" s="968"/>
      <c r="F61" s="968"/>
      <c r="G61" s="968"/>
      <c r="H61" s="968"/>
      <c r="I61" s="972"/>
      <c r="J61" s="972">
        <v>389.39699999999999</v>
      </c>
      <c r="K61" s="974"/>
      <c r="L61" s="974"/>
      <c r="M61" s="974"/>
      <c r="N61" s="974"/>
      <c r="O61" s="974"/>
      <c r="P61" s="974"/>
      <c r="Q61" s="1671"/>
      <c r="R61" s="970"/>
    </row>
    <row r="62" spans="1:18" ht="30" customHeight="1">
      <c r="A62" s="965">
        <f>A60+1</f>
        <v>28</v>
      </c>
      <c r="B62" s="968" t="s">
        <v>118</v>
      </c>
      <c r="C62" s="968" t="s">
        <v>53</v>
      </c>
      <c r="D62" s="971"/>
      <c r="E62" s="968"/>
      <c r="F62" s="968"/>
      <c r="G62" s="968"/>
      <c r="H62" s="968"/>
      <c r="I62" s="972" t="s">
        <v>3287</v>
      </c>
      <c r="J62" s="972"/>
      <c r="K62" s="974"/>
      <c r="L62" s="966" t="s">
        <v>2919</v>
      </c>
      <c r="M62" s="966" t="s">
        <v>1009</v>
      </c>
      <c r="N62" s="966" t="s">
        <v>1009</v>
      </c>
      <c r="O62" s="974"/>
      <c r="P62" s="974"/>
      <c r="Q62" s="1671"/>
      <c r="R62" s="970"/>
    </row>
    <row r="63" spans="1:18" ht="30" customHeight="1">
      <c r="A63" s="965"/>
      <c r="B63" s="968"/>
      <c r="C63" s="968"/>
      <c r="D63" s="971"/>
      <c r="E63" s="968"/>
      <c r="F63" s="968"/>
      <c r="G63" s="968"/>
      <c r="H63" s="968"/>
      <c r="I63" s="972"/>
      <c r="J63" s="972">
        <v>368.79199999999997</v>
      </c>
      <c r="K63" s="974"/>
      <c r="L63" s="974"/>
      <c r="M63" s="974"/>
      <c r="N63" s="974"/>
      <c r="O63" s="974"/>
      <c r="P63" s="974"/>
      <c r="Q63" s="1671"/>
      <c r="R63" s="970"/>
    </row>
    <row r="64" spans="1:18" ht="30" customHeight="1">
      <c r="A64" s="965">
        <f>A62+1</f>
        <v>29</v>
      </c>
      <c r="B64" s="968" t="s">
        <v>134</v>
      </c>
      <c r="C64" s="968" t="s">
        <v>76</v>
      </c>
      <c r="D64" s="971"/>
      <c r="E64" s="968"/>
      <c r="F64" s="968"/>
      <c r="G64" s="968"/>
      <c r="H64" s="968"/>
      <c r="I64" s="972" t="s">
        <v>3287</v>
      </c>
      <c r="J64" s="972"/>
      <c r="K64" s="974"/>
      <c r="L64" s="966" t="s">
        <v>2919</v>
      </c>
      <c r="M64" s="974" t="s">
        <v>1009</v>
      </c>
      <c r="N64" s="974"/>
      <c r="O64" s="974"/>
      <c r="P64" s="974"/>
      <c r="Q64" s="1671"/>
      <c r="R64" s="970"/>
    </row>
    <row r="65" spans="1:18" ht="30" customHeight="1">
      <c r="A65" s="965"/>
      <c r="B65" s="968"/>
      <c r="C65" s="968"/>
      <c r="D65" s="975"/>
      <c r="E65" s="968"/>
      <c r="F65" s="968"/>
      <c r="G65" s="968"/>
      <c r="H65" s="968"/>
      <c r="I65" s="972"/>
      <c r="J65" s="972">
        <v>404.38600000000002</v>
      </c>
      <c r="K65" s="974"/>
      <c r="L65" s="974"/>
      <c r="M65" s="974"/>
      <c r="N65" s="974"/>
      <c r="O65" s="974"/>
      <c r="P65" s="974"/>
      <c r="Q65" s="1671"/>
      <c r="R65" s="970"/>
    </row>
    <row r="66" spans="1:18" ht="30" customHeight="1">
      <c r="A66" s="965">
        <f>A64+1</f>
        <v>30</v>
      </c>
      <c r="B66" s="968" t="s">
        <v>163</v>
      </c>
      <c r="C66" s="968" t="s">
        <v>62</v>
      </c>
      <c r="D66" s="975"/>
      <c r="E66" s="968"/>
      <c r="F66" s="968"/>
      <c r="G66" s="968"/>
      <c r="H66" s="968"/>
      <c r="I66" s="972" t="s">
        <v>3287</v>
      </c>
      <c r="J66" s="972"/>
      <c r="K66" s="974"/>
      <c r="L66" s="966" t="s">
        <v>2919</v>
      </c>
      <c r="M66" s="966" t="s">
        <v>1009</v>
      </c>
      <c r="N66" s="974"/>
      <c r="O66" s="974" t="s">
        <v>1009</v>
      </c>
      <c r="P66" s="974"/>
      <c r="Q66" s="1671"/>
      <c r="R66" s="970"/>
    </row>
    <row r="67" spans="1:18" ht="30" customHeight="1">
      <c r="A67" s="965"/>
      <c r="B67" s="968"/>
      <c r="C67" s="968"/>
      <c r="D67" s="975"/>
      <c r="E67" s="968"/>
      <c r="F67" s="968"/>
      <c r="G67" s="968"/>
      <c r="H67" s="968"/>
      <c r="I67" s="972"/>
      <c r="J67" s="972">
        <v>378.13499999999999</v>
      </c>
      <c r="K67" s="974"/>
      <c r="L67" s="974"/>
      <c r="M67" s="974"/>
      <c r="N67" s="974"/>
      <c r="O67" s="974"/>
      <c r="P67" s="974"/>
      <c r="Q67" s="1671"/>
      <c r="R67" s="970"/>
    </row>
    <row r="68" spans="1:18" ht="30" customHeight="1">
      <c r="A68" s="965">
        <f>A66+1</f>
        <v>31</v>
      </c>
      <c r="B68" s="968" t="s">
        <v>151</v>
      </c>
      <c r="C68" s="968" t="s">
        <v>62</v>
      </c>
      <c r="D68" s="975"/>
      <c r="E68" s="968"/>
      <c r="F68" s="968"/>
      <c r="G68" s="968"/>
      <c r="H68" s="968"/>
      <c r="I68" s="972" t="s">
        <v>3287</v>
      </c>
      <c r="J68" s="972"/>
      <c r="K68" s="974"/>
      <c r="L68" s="966" t="s">
        <v>2919</v>
      </c>
      <c r="M68" s="966" t="s">
        <v>1009</v>
      </c>
      <c r="N68" s="974"/>
      <c r="O68" s="974"/>
      <c r="P68" s="974"/>
      <c r="Q68" s="1671"/>
      <c r="R68" s="970"/>
    </row>
    <row r="69" spans="1:18" ht="30" customHeight="1">
      <c r="A69" s="965"/>
      <c r="B69" s="968"/>
      <c r="C69" s="968"/>
      <c r="D69" s="975"/>
      <c r="E69" s="968"/>
      <c r="F69" s="968"/>
      <c r="G69" s="968"/>
      <c r="H69" s="968"/>
      <c r="I69" s="972"/>
      <c r="J69" s="972">
        <v>370.48200000000003</v>
      </c>
      <c r="K69" s="974"/>
      <c r="L69" s="974"/>
      <c r="M69" s="974"/>
      <c r="N69" s="974"/>
      <c r="O69" s="974"/>
      <c r="P69" s="974"/>
      <c r="Q69" s="1672"/>
      <c r="R69" s="970"/>
    </row>
    <row r="70" spans="1:18" ht="30" customHeight="1">
      <c r="A70" s="965">
        <f>A68+1</f>
        <v>32</v>
      </c>
      <c r="B70" s="968" t="s">
        <v>2902</v>
      </c>
      <c r="C70" s="968" t="s">
        <v>1277</v>
      </c>
      <c r="D70" s="967" t="s">
        <v>2903</v>
      </c>
      <c r="E70" s="968"/>
      <c r="F70" s="968"/>
      <c r="G70" s="968"/>
      <c r="H70" s="968"/>
      <c r="I70" s="972" t="s">
        <v>1765</v>
      </c>
      <c r="J70" s="972"/>
      <c r="K70" s="974"/>
      <c r="L70" s="966" t="s">
        <v>2919</v>
      </c>
      <c r="M70" s="974" t="s">
        <v>1009</v>
      </c>
      <c r="N70" s="974" t="s">
        <v>1009</v>
      </c>
      <c r="O70" s="974" t="s">
        <v>1009</v>
      </c>
      <c r="P70" s="974"/>
      <c r="Q70" s="969"/>
      <c r="R70" s="970"/>
    </row>
    <row r="71" spans="1:18" ht="30" customHeight="1">
      <c r="A71" s="965"/>
      <c r="B71" s="968"/>
      <c r="C71" s="968"/>
      <c r="D71" s="975"/>
      <c r="E71" s="968"/>
      <c r="F71" s="968"/>
      <c r="G71" s="968"/>
      <c r="H71" s="968"/>
      <c r="I71" s="972"/>
      <c r="J71" s="972">
        <v>199.386</v>
      </c>
      <c r="K71" s="974"/>
      <c r="L71" s="974"/>
      <c r="M71" s="974"/>
      <c r="N71" s="974"/>
      <c r="O71" s="974"/>
      <c r="P71" s="974"/>
      <c r="Q71" s="969"/>
      <c r="R71" s="970"/>
    </row>
    <row r="72" spans="1:18" ht="30" customHeight="1">
      <c r="A72" s="965">
        <f>A70+1</f>
        <v>33</v>
      </c>
      <c r="B72" s="968" t="s">
        <v>2904</v>
      </c>
      <c r="C72" s="968" t="s">
        <v>1319</v>
      </c>
      <c r="D72" s="967" t="s">
        <v>2905</v>
      </c>
      <c r="E72" s="968"/>
      <c r="F72" s="968"/>
      <c r="G72" s="968"/>
      <c r="H72" s="968"/>
      <c r="I72" s="972" t="s">
        <v>3286</v>
      </c>
      <c r="J72" s="972"/>
      <c r="K72" s="974"/>
      <c r="L72" s="966" t="s">
        <v>2919</v>
      </c>
      <c r="M72" s="966" t="s">
        <v>1009</v>
      </c>
      <c r="N72" s="966" t="s">
        <v>1009</v>
      </c>
      <c r="O72" s="974" t="s">
        <v>1009</v>
      </c>
      <c r="P72" s="974"/>
      <c r="Q72" s="969"/>
      <c r="R72" s="970"/>
    </row>
    <row r="73" spans="1:18" ht="30" customHeight="1">
      <c r="A73" s="965"/>
      <c r="B73" s="968"/>
      <c r="C73" s="968"/>
      <c r="D73" s="975"/>
      <c r="E73" s="968"/>
      <c r="F73" s="968"/>
      <c r="G73" s="968"/>
      <c r="H73" s="968"/>
      <c r="I73" s="972"/>
      <c r="J73" s="972">
        <v>294.00900000000001</v>
      </c>
      <c r="K73" s="974"/>
      <c r="L73" s="974"/>
      <c r="M73" s="974"/>
      <c r="N73" s="974"/>
      <c r="O73" s="974"/>
      <c r="P73" s="974"/>
      <c r="Q73" s="1670"/>
      <c r="R73" s="970"/>
    </row>
    <row r="74" spans="1:18" ht="30" customHeight="1">
      <c r="A74" s="965">
        <f>A72+1</f>
        <v>34</v>
      </c>
      <c r="B74" s="968" t="s">
        <v>200</v>
      </c>
      <c r="C74" s="968" t="s">
        <v>76</v>
      </c>
      <c r="D74" s="975"/>
      <c r="E74" s="968"/>
      <c r="F74" s="968"/>
      <c r="G74" s="968"/>
      <c r="H74" s="968"/>
      <c r="I74" s="972" t="s">
        <v>3286</v>
      </c>
      <c r="J74" s="972"/>
      <c r="K74" s="974"/>
      <c r="L74" s="966" t="s">
        <v>2919</v>
      </c>
      <c r="M74" s="966" t="s">
        <v>1009</v>
      </c>
      <c r="N74" s="966" t="s">
        <v>1009</v>
      </c>
      <c r="O74" s="974" t="s">
        <v>1009</v>
      </c>
      <c r="P74" s="974"/>
      <c r="Q74" s="1671"/>
      <c r="R74" s="970"/>
    </row>
    <row r="75" spans="1:18" ht="30" customHeight="1">
      <c r="A75" s="965"/>
      <c r="B75" s="968"/>
      <c r="C75" s="968"/>
      <c r="D75" s="975"/>
      <c r="E75" s="968"/>
      <c r="F75" s="968"/>
      <c r="G75" s="968"/>
      <c r="H75" s="968"/>
      <c r="I75" s="972"/>
      <c r="J75" s="972">
        <v>312.70800000000003</v>
      </c>
      <c r="K75" s="974"/>
      <c r="L75" s="974"/>
      <c r="M75" s="974"/>
      <c r="N75" s="974"/>
      <c r="O75" s="974"/>
      <c r="P75" s="974"/>
      <c r="Q75" s="1671"/>
      <c r="R75" s="970"/>
    </row>
    <row r="76" spans="1:18" ht="30" customHeight="1">
      <c r="A76" s="965">
        <f>A74+1</f>
        <v>35</v>
      </c>
      <c r="B76" s="968" t="s">
        <v>188</v>
      </c>
      <c r="C76" s="968" t="s">
        <v>76</v>
      </c>
      <c r="D76" s="975"/>
      <c r="E76" s="968"/>
      <c r="F76" s="968"/>
      <c r="G76" s="968"/>
      <c r="H76" s="968"/>
      <c r="I76" s="972" t="s">
        <v>3286</v>
      </c>
      <c r="J76" s="972"/>
      <c r="K76" s="974">
        <f>J65+J67+J69+J71+J73+J75</f>
        <v>1959.106</v>
      </c>
      <c r="L76" s="974" t="s">
        <v>2919</v>
      </c>
      <c r="M76" s="966" t="s">
        <v>1009</v>
      </c>
      <c r="N76" s="966" t="s">
        <v>1009</v>
      </c>
      <c r="O76" s="974"/>
      <c r="P76" s="974"/>
      <c r="Q76" s="1671"/>
      <c r="R76" s="970"/>
    </row>
    <row r="77" spans="1:18" ht="30" customHeight="1">
      <c r="A77" s="965"/>
      <c r="B77" s="968"/>
      <c r="C77" s="968"/>
      <c r="D77" s="975"/>
      <c r="E77" s="968"/>
      <c r="F77" s="968"/>
      <c r="G77" s="968"/>
      <c r="H77" s="968"/>
      <c r="I77" s="972"/>
      <c r="J77" s="972">
        <v>321.89299999999997</v>
      </c>
      <c r="K77" s="974"/>
      <c r="L77" s="974"/>
      <c r="M77" s="974"/>
      <c r="N77" s="974"/>
      <c r="O77" s="974"/>
      <c r="P77" s="974"/>
      <c r="Q77" s="1671"/>
      <c r="R77" s="976" t="s">
        <v>2908</v>
      </c>
    </row>
    <row r="78" spans="1:18" ht="30" customHeight="1">
      <c r="A78" s="965">
        <f>A76+1</f>
        <v>36</v>
      </c>
      <c r="B78" s="968" t="s">
        <v>3309</v>
      </c>
      <c r="C78" s="968" t="s">
        <v>76</v>
      </c>
      <c r="D78" s="975"/>
      <c r="E78" s="968"/>
      <c r="F78" s="968"/>
      <c r="G78" s="968"/>
      <c r="H78" s="968"/>
      <c r="I78" s="972" t="s">
        <v>3286</v>
      </c>
      <c r="J78" s="972"/>
      <c r="K78" s="974">
        <f>J77</f>
        <v>321.89299999999997</v>
      </c>
      <c r="L78" s="974" t="s">
        <v>2919</v>
      </c>
      <c r="M78" s="966" t="s">
        <v>1009</v>
      </c>
      <c r="N78" s="966" t="s">
        <v>1009</v>
      </c>
      <c r="O78" s="974" t="s">
        <v>1009</v>
      </c>
      <c r="P78" s="974"/>
      <c r="Q78" s="1671"/>
      <c r="R78" s="970"/>
    </row>
    <row r="79" spans="1:18" ht="30" customHeight="1">
      <c r="A79" s="965"/>
      <c r="B79" s="968"/>
      <c r="C79" s="968"/>
      <c r="D79" s="975"/>
      <c r="E79" s="968"/>
      <c r="F79" s="968"/>
      <c r="G79" s="968"/>
      <c r="H79" s="968"/>
      <c r="I79" s="972"/>
      <c r="J79" s="972">
        <v>382.47500000000002</v>
      </c>
      <c r="K79" s="974"/>
      <c r="L79" s="974"/>
      <c r="M79" s="974"/>
      <c r="N79" s="974"/>
      <c r="O79" s="974"/>
      <c r="P79" s="974"/>
      <c r="Q79" s="1672"/>
      <c r="R79" s="970"/>
    </row>
    <row r="80" spans="1:18" ht="30" customHeight="1">
      <c r="A80" s="965">
        <f>A78+1</f>
        <v>37</v>
      </c>
      <c r="B80" s="968" t="s">
        <v>2910</v>
      </c>
      <c r="C80" s="968" t="s">
        <v>1269</v>
      </c>
      <c r="D80" s="967" t="s">
        <v>2911</v>
      </c>
      <c r="E80" s="968"/>
      <c r="F80" s="968"/>
      <c r="G80" s="968"/>
      <c r="H80" s="968"/>
      <c r="I80" s="972" t="s">
        <v>3286</v>
      </c>
      <c r="J80" s="972"/>
      <c r="K80" s="974"/>
      <c r="L80" s="974" t="s">
        <v>2919</v>
      </c>
      <c r="M80" s="966" t="s">
        <v>1009</v>
      </c>
      <c r="N80" s="966" t="s">
        <v>1009</v>
      </c>
      <c r="O80" s="974" t="s">
        <v>1009</v>
      </c>
      <c r="P80" s="974"/>
      <c r="Q80" s="969"/>
      <c r="R80" s="970"/>
    </row>
    <row r="81" spans="1:18" ht="30" customHeight="1">
      <c r="A81" s="965"/>
      <c r="B81" s="968"/>
      <c r="C81" s="968"/>
      <c r="D81" s="975"/>
      <c r="E81" s="968"/>
      <c r="F81" s="968"/>
      <c r="G81" s="968"/>
      <c r="H81" s="968"/>
      <c r="I81" s="972"/>
      <c r="J81" s="972">
        <v>388.11</v>
      </c>
      <c r="K81" s="974"/>
      <c r="L81" s="974"/>
      <c r="M81" s="974"/>
      <c r="N81" s="974"/>
      <c r="O81" s="974"/>
      <c r="P81" s="974"/>
      <c r="Q81" s="969"/>
      <c r="R81" s="970"/>
    </row>
    <row r="82" spans="1:18" ht="30" customHeight="1">
      <c r="A82" s="965">
        <f>A80+1</f>
        <v>38</v>
      </c>
      <c r="B82" s="968" t="s">
        <v>2912</v>
      </c>
      <c r="C82" s="968" t="s">
        <v>1269</v>
      </c>
      <c r="D82" s="967" t="s">
        <v>2913</v>
      </c>
      <c r="E82" s="968"/>
      <c r="F82" s="968"/>
      <c r="G82" s="968"/>
      <c r="H82" s="968"/>
      <c r="I82" s="972" t="s">
        <v>3286</v>
      </c>
      <c r="J82" s="972"/>
      <c r="K82" s="974"/>
      <c r="L82" s="974" t="s">
        <v>2919</v>
      </c>
      <c r="M82" s="966" t="s">
        <v>1009</v>
      </c>
      <c r="N82" s="966" t="s">
        <v>1009</v>
      </c>
      <c r="O82" s="974" t="s">
        <v>1009</v>
      </c>
      <c r="P82" s="974"/>
      <c r="Q82" s="969"/>
      <c r="R82" s="970"/>
    </row>
    <row r="83" spans="1:18" ht="30" customHeight="1">
      <c r="A83" s="965"/>
      <c r="B83" s="968"/>
      <c r="C83" s="968"/>
      <c r="D83" s="975"/>
      <c r="E83" s="968"/>
      <c r="F83" s="968"/>
      <c r="G83" s="968"/>
      <c r="H83" s="968"/>
      <c r="I83" s="972"/>
      <c r="J83" s="972">
        <v>382.67500000000001</v>
      </c>
      <c r="K83" s="974"/>
      <c r="L83" s="974"/>
      <c r="M83" s="974"/>
      <c r="N83" s="974"/>
      <c r="O83" s="974"/>
      <c r="P83" s="974"/>
      <c r="Q83" s="1670"/>
      <c r="R83" s="970"/>
    </row>
    <row r="84" spans="1:18" ht="30" customHeight="1">
      <c r="A84" s="965">
        <f>A82+1</f>
        <v>39</v>
      </c>
      <c r="B84" s="968" t="s">
        <v>394</v>
      </c>
      <c r="C84" s="968" t="s">
        <v>76</v>
      </c>
      <c r="D84" s="975"/>
      <c r="E84" s="968"/>
      <c r="F84" s="968"/>
      <c r="G84" s="968"/>
      <c r="H84" s="968"/>
      <c r="I84" s="972" t="s">
        <v>897</v>
      </c>
      <c r="J84" s="972"/>
      <c r="K84" s="974">
        <f>J79+J81+J83</f>
        <v>1153.26</v>
      </c>
      <c r="L84" s="966" t="s">
        <v>2919</v>
      </c>
      <c r="M84" s="966" t="s">
        <v>1009</v>
      </c>
      <c r="N84" s="966" t="s">
        <v>1009</v>
      </c>
      <c r="O84" s="974" t="s">
        <v>1009</v>
      </c>
      <c r="P84" s="974"/>
      <c r="Q84" s="1671"/>
      <c r="R84" s="970"/>
    </row>
    <row r="85" spans="1:18" ht="30" customHeight="1">
      <c r="A85" s="965"/>
      <c r="B85" s="968"/>
      <c r="C85" s="968"/>
      <c r="D85" s="975"/>
      <c r="E85" s="968"/>
      <c r="F85" s="968"/>
      <c r="G85" s="968"/>
      <c r="H85" s="968"/>
      <c r="I85" s="972"/>
      <c r="J85" s="972">
        <v>390.44600000000003</v>
      </c>
      <c r="K85" s="974"/>
      <c r="L85" s="974"/>
      <c r="M85" s="974"/>
      <c r="N85" s="974"/>
      <c r="O85" s="974"/>
      <c r="P85" s="974"/>
      <c r="Q85" s="1671"/>
      <c r="R85" s="970"/>
    </row>
    <row r="86" spans="1:18" ht="30" customHeight="1">
      <c r="A86" s="965">
        <f>A84+1</f>
        <v>40</v>
      </c>
      <c r="B86" s="968" t="s">
        <v>850</v>
      </c>
      <c r="C86" s="968" t="s">
        <v>76</v>
      </c>
      <c r="D86" s="975"/>
      <c r="E86" s="968"/>
      <c r="F86" s="968"/>
      <c r="G86" s="968"/>
      <c r="H86" s="968"/>
      <c r="I86" s="972" t="s">
        <v>897</v>
      </c>
      <c r="J86" s="977"/>
      <c r="K86" s="974">
        <f>J85</f>
        <v>390.44600000000003</v>
      </c>
      <c r="L86" s="966" t="s">
        <v>2919</v>
      </c>
      <c r="M86" s="966" t="s">
        <v>1009</v>
      </c>
      <c r="N86" s="966" t="s">
        <v>1009</v>
      </c>
      <c r="O86" s="974" t="s">
        <v>1009</v>
      </c>
      <c r="P86" s="974"/>
      <c r="Q86" s="1671"/>
      <c r="R86" s="970"/>
    </row>
    <row r="87" spans="1:18" ht="30" customHeight="1">
      <c r="A87" s="965"/>
      <c r="B87" s="968"/>
      <c r="C87" s="968"/>
      <c r="D87" s="975"/>
      <c r="E87" s="968"/>
      <c r="F87" s="968"/>
      <c r="G87" s="968"/>
      <c r="H87" s="968"/>
      <c r="I87" s="972"/>
      <c r="J87" s="972">
        <v>361.75099999999998</v>
      </c>
      <c r="K87" s="974"/>
      <c r="L87" s="974"/>
      <c r="M87" s="974"/>
      <c r="N87" s="974"/>
      <c r="O87" s="974"/>
      <c r="P87" s="974"/>
      <c r="Q87" s="1671"/>
      <c r="R87" s="978"/>
    </row>
    <row r="88" spans="1:18" ht="30" customHeight="1">
      <c r="A88" s="965">
        <f>A86+1</f>
        <v>41</v>
      </c>
      <c r="B88" s="968" t="s">
        <v>853</v>
      </c>
      <c r="C88" s="968" t="s">
        <v>76</v>
      </c>
      <c r="D88" s="975"/>
      <c r="E88" s="968"/>
      <c r="F88" s="968"/>
      <c r="G88" s="968"/>
      <c r="H88" s="968"/>
      <c r="I88" s="972" t="s">
        <v>1765</v>
      </c>
      <c r="J88" s="973"/>
      <c r="K88" s="982"/>
      <c r="L88" s="982" t="s">
        <v>2919</v>
      </c>
      <c r="M88" s="966" t="s">
        <v>1009</v>
      </c>
      <c r="N88" s="966" t="s">
        <v>1009</v>
      </c>
      <c r="O88" s="974" t="s">
        <v>1009</v>
      </c>
      <c r="P88" s="974"/>
      <c r="Q88" s="1671"/>
      <c r="R88" s="978"/>
    </row>
    <row r="89" spans="1:18" ht="30" customHeight="1">
      <c r="A89" s="965"/>
      <c r="B89" s="968"/>
      <c r="C89" s="968"/>
      <c r="D89" s="975"/>
      <c r="E89" s="968"/>
      <c r="F89" s="968"/>
      <c r="G89" s="968"/>
      <c r="H89" s="968"/>
      <c r="I89" s="972"/>
      <c r="J89" s="972">
        <v>396.03500000000003</v>
      </c>
      <c r="K89" s="974"/>
      <c r="L89" s="974"/>
      <c r="M89" s="974"/>
      <c r="N89" s="974"/>
      <c r="O89" s="974"/>
      <c r="P89" s="974"/>
      <c r="Q89" s="1672"/>
      <c r="R89" s="978"/>
    </row>
    <row r="90" spans="1:18" ht="30" customHeight="1">
      <c r="A90" s="965">
        <f>A88+1</f>
        <v>42</v>
      </c>
      <c r="B90" s="968" t="s">
        <v>2915</v>
      </c>
      <c r="C90" s="968" t="s">
        <v>1361</v>
      </c>
      <c r="D90" s="967" t="s">
        <v>2916</v>
      </c>
      <c r="E90" s="968"/>
      <c r="F90" s="968"/>
      <c r="G90" s="968"/>
      <c r="H90" s="968"/>
      <c r="I90" s="972" t="s">
        <v>3286</v>
      </c>
      <c r="J90" s="972"/>
      <c r="K90" s="974"/>
      <c r="L90" s="966" t="s">
        <v>2919</v>
      </c>
      <c r="M90" s="966" t="s">
        <v>1009</v>
      </c>
      <c r="N90" s="966" t="s">
        <v>1009</v>
      </c>
      <c r="O90" s="974" t="s">
        <v>1009</v>
      </c>
      <c r="P90" s="974"/>
      <c r="Q90" s="969"/>
      <c r="R90" s="978"/>
    </row>
    <row r="91" spans="1:18" ht="30" customHeight="1">
      <c r="A91" s="965"/>
      <c r="B91" s="968"/>
      <c r="C91" s="968"/>
      <c r="D91" s="975"/>
      <c r="E91" s="968"/>
      <c r="F91" s="968"/>
      <c r="G91" s="968"/>
      <c r="H91" s="968"/>
      <c r="I91" s="972"/>
      <c r="J91" s="972">
        <v>435.86200000000002</v>
      </c>
      <c r="K91" s="974"/>
      <c r="L91" s="974"/>
      <c r="M91" s="974"/>
      <c r="N91" s="974"/>
      <c r="O91" s="974"/>
      <c r="P91" s="974"/>
      <c r="Q91" s="1670"/>
      <c r="R91" s="978"/>
    </row>
    <row r="92" spans="1:18" ht="30" customHeight="1">
      <c r="A92" s="965">
        <f>A90+1</f>
        <v>43</v>
      </c>
      <c r="B92" s="968" t="s">
        <v>538</v>
      </c>
      <c r="C92" s="968" t="s">
        <v>249</v>
      </c>
      <c r="D92" s="975"/>
      <c r="E92" s="968"/>
      <c r="F92" s="968"/>
      <c r="G92" s="968"/>
      <c r="H92" s="968"/>
      <c r="I92" s="972" t="s">
        <v>3286</v>
      </c>
      <c r="J92" s="972"/>
      <c r="K92" s="974">
        <f>J91</f>
        <v>435.86200000000002</v>
      </c>
      <c r="L92" s="974" t="s">
        <v>2919</v>
      </c>
      <c r="M92" s="966" t="s">
        <v>1009</v>
      </c>
      <c r="N92" s="966" t="s">
        <v>1009</v>
      </c>
      <c r="O92" s="974"/>
      <c r="P92" s="974"/>
      <c r="Q92" s="1671"/>
      <c r="R92" s="978"/>
    </row>
    <row r="93" spans="1:18" ht="30" customHeight="1">
      <c r="A93" s="965"/>
      <c r="B93" s="968"/>
      <c r="C93" s="968"/>
      <c r="D93" s="975"/>
      <c r="E93" s="968"/>
      <c r="F93" s="968"/>
      <c r="G93" s="968"/>
      <c r="H93" s="968"/>
      <c r="I93" s="972"/>
      <c r="J93" s="972">
        <v>333.94499999999999</v>
      </c>
      <c r="K93" s="974"/>
      <c r="L93" s="974"/>
      <c r="M93" s="974"/>
      <c r="N93" s="974"/>
      <c r="O93" s="974"/>
      <c r="P93" s="974"/>
      <c r="Q93" s="1671"/>
      <c r="R93" s="978"/>
    </row>
    <row r="94" spans="1:18" ht="30" customHeight="1">
      <c r="A94" s="965">
        <f>A92+1</f>
        <v>44</v>
      </c>
      <c r="B94" s="968" t="s">
        <v>529</v>
      </c>
      <c r="C94" s="968" t="s">
        <v>76</v>
      </c>
      <c r="D94" s="975"/>
      <c r="E94" s="968"/>
      <c r="F94" s="968"/>
      <c r="G94" s="968"/>
      <c r="H94" s="968"/>
      <c r="I94" s="972" t="s">
        <v>3286</v>
      </c>
      <c r="J94" s="972"/>
      <c r="K94" s="974"/>
      <c r="L94" s="966" t="s">
        <v>2919</v>
      </c>
      <c r="M94" s="966" t="s">
        <v>1009</v>
      </c>
      <c r="N94" s="966" t="s">
        <v>1009</v>
      </c>
      <c r="O94" s="974" t="s">
        <v>1009</v>
      </c>
      <c r="P94" s="974"/>
      <c r="Q94" s="1671"/>
      <c r="R94" s="978"/>
    </row>
    <row r="95" spans="1:18" ht="30" customHeight="1">
      <c r="A95" s="965"/>
      <c r="B95" s="968"/>
      <c r="C95" s="968"/>
      <c r="D95" s="975"/>
      <c r="E95" s="968"/>
      <c r="F95" s="968"/>
      <c r="G95" s="968"/>
      <c r="H95" s="968"/>
      <c r="I95" s="972"/>
      <c r="J95" s="972">
        <v>502.83600000000001</v>
      </c>
      <c r="K95" s="974"/>
      <c r="L95" s="974"/>
      <c r="M95" s="974"/>
      <c r="N95" s="974"/>
      <c r="O95" s="974"/>
      <c r="P95" s="974"/>
      <c r="Q95" s="1672"/>
      <c r="R95" s="978"/>
    </row>
    <row r="96" spans="1:18" ht="30" customHeight="1">
      <c r="A96" s="965">
        <f>A94+1</f>
        <v>45</v>
      </c>
      <c r="B96" s="981" t="s">
        <v>2917</v>
      </c>
      <c r="C96" s="981" t="s">
        <v>2197</v>
      </c>
      <c r="D96" s="1164" t="s">
        <v>2229</v>
      </c>
      <c r="E96" s="981">
        <v>1</v>
      </c>
      <c r="F96" s="981">
        <v>1</v>
      </c>
      <c r="G96" s="981">
        <v>1</v>
      </c>
      <c r="H96" s="981">
        <v>1</v>
      </c>
      <c r="I96" s="972" t="s">
        <v>3286</v>
      </c>
      <c r="J96" s="972"/>
      <c r="K96" s="974"/>
      <c r="L96" s="966" t="s">
        <v>2919</v>
      </c>
      <c r="M96" s="966" t="s">
        <v>1009</v>
      </c>
      <c r="N96" s="974"/>
      <c r="O96" s="974" t="s">
        <v>22</v>
      </c>
      <c r="P96" s="974"/>
      <c r="Q96" s="969"/>
      <c r="R96" s="978"/>
    </row>
    <row r="97" spans="1:18" ht="30" customHeight="1">
      <c r="A97" s="965"/>
      <c r="B97" s="968"/>
      <c r="C97" s="968"/>
      <c r="D97" s="979"/>
      <c r="E97" s="968"/>
      <c r="F97" s="968"/>
      <c r="G97" s="968"/>
      <c r="H97" s="968"/>
      <c r="I97" s="972"/>
      <c r="J97" s="972">
        <v>326.31099999999998</v>
      </c>
      <c r="K97" s="974"/>
      <c r="L97" s="974"/>
      <c r="M97" s="974"/>
      <c r="N97" s="974"/>
      <c r="O97" s="974"/>
      <c r="P97" s="974"/>
      <c r="Q97" s="969"/>
      <c r="R97" s="978"/>
    </row>
    <row r="98" spans="1:18" ht="30" customHeight="1">
      <c r="A98" s="965">
        <f>A96+1</f>
        <v>46</v>
      </c>
      <c r="B98" s="968" t="s">
        <v>2918</v>
      </c>
      <c r="C98" s="968" t="s">
        <v>1953</v>
      </c>
      <c r="D98" s="967" t="s">
        <v>2231</v>
      </c>
      <c r="E98" s="968"/>
      <c r="F98" s="968"/>
      <c r="G98" s="968"/>
      <c r="H98" s="968"/>
      <c r="I98" s="972" t="s">
        <v>3286</v>
      </c>
      <c r="J98" s="972"/>
      <c r="K98" s="974"/>
      <c r="L98" s="966" t="s">
        <v>2919</v>
      </c>
      <c r="M98" s="966" t="s">
        <v>1009</v>
      </c>
      <c r="N98" s="966" t="s">
        <v>1009</v>
      </c>
      <c r="O98" s="974"/>
      <c r="P98" s="974"/>
      <c r="Q98" s="969"/>
      <c r="R98" s="978"/>
    </row>
    <row r="99" spans="1:18" ht="30" customHeight="1">
      <c r="A99" s="965"/>
      <c r="B99" s="968"/>
      <c r="C99" s="968"/>
      <c r="D99" s="975"/>
      <c r="E99" s="968"/>
      <c r="F99" s="968"/>
      <c r="G99" s="968"/>
      <c r="H99" s="968"/>
      <c r="I99" s="972"/>
      <c r="J99" s="972">
        <v>415.29</v>
      </c>
      <c r="K99" s="974"/>
      <c r="L99" s="974"/>
      <c r="M99" s="974"/>
      <c r="N99" s="974"/>
      <c r="O99" s="974"/>
      <c r="P99" s="974"/>
      <c r="Q99" s="1670"/>
      <c r="R99" s="978"/>
    </row>
    <row r="100" spans="1:18" ht="30" customHeight="1">
      <c r="A100" s="965">
        <f>A98+1</f>
        <v>47</v>
      </c>
      <c r="B100" s="968" t="s">
        <v>497</v>
      </c>
      <c r="C100" s="968" t="s">
        <v>62</v>
      </c>
      <c r="D100" s="975"/>
      <c r="E100" s="968"/>
      <c r="F100" s="968"/>
      <c r="G100" s="968"/>
      <c r="H100" s="968"/>
      <c r="I100" s="972" t="s">
        <v>3286</v>
      </c>
      <c r="J100" s="972"/>
      <c r="K100" s="974"/>
      <c r="L100" s="966" t="s">
        <v>2919</v>
      </c>
      <c r="M100" s="966" t="s">
        <v>1009</v>
      </c>
      <c r="N100" s="974"/>
      <c r="O100" s="974" t="s">
        <v>1009</v>
      </c>
      <c r="P100" s="974"/>
      <c r="Q100" s="1671"/>
      <c r="R100" s="978"/>
    </row>
    <row r="101" spans="1:18" ht="30" customHeight="1">
      <c r="A101" s="965"/>
      <c r="B101" s="968"/>
      <c r="C101" s="968"/>
      <c r="D101" s="975"/>
      <c r="E101" s="968"/>
      <c r="F101" s="968"/>
      <c r="G101" s="968"/>
      <c r="H101" s="968"/>
      <c r="I101" s="972"/>
      <c r="J101" s="972">
        <v>422.42200000000003</v>
      </c>
      <c r="K101" s="974"/>
      <c r="L101" s="974"/>
      <c r="M101" s="974"/>
      <c r="N101" s="974"/>
      <c r="O101" s="974"/>
      <c r="P101" s="974"/>
      <c r="Q101" s="1671"/>
      <c r="R101" s="978"/>
    </row>
    <row r="102" spans="1:18" ht="30" customHeight="1">
      <c r="A102" s="965">
        <f>A100+1</f>
        <v>48</v>
      </c>
      <c r="B102" s="968" t="s">
        <v>495</v>
      </c>
      <c r="C102" s="1000" t="s">
        <v>249</v>
      </c>
      <c r="D102" s="975"/>
      <c r="E102" s="968"/>
      <c r="F102" s="968"/>
      <c r="G102" s="968"/>
      <c r="H102" s="968"/>
      <c r="I102" s="972" t="s">
        <v>1765</v>
      </c>
      <c r="J102" s="972"/>
      <c r="K102" s="974"/>
      <c r="L102" s="966" t="s">
        <v>2919</v>
      </c>
      <c r="M102" s="966" t="s">
        <v>1009</v>
      </c>
      <c r="N102" s="966" t="s">
        <v>1009</v>
      </c>
      <c r="O102" s="974" t="s">
        <v>1009</v>
      </c>
      <c r="P102" s="974"/>
      <c r="Q102" s="1671"/>
      <c r="R102" s="978"/>
    </row>
    <row r="103" spans="1:18" ht="30" customHeight="1">
      <c r="A103" s="965"/>
      <c r="B103" s="968"/>
      <c r="C103" s="968"/>
      <c r="D103" s="975"/>
      <c r="E103" s="968"/>
      <c r="F103" s="968"/>
      <c r="G103" s="968"/>
      <c r="H103" s="968"/>
      <c r="I103" s="972"/>
      <c r="J103" s="972">
        <v>418.37299999999999</v>
      </c>
      <c r="K103" s="974"/>
      <c r="L103" s="974"/>
      <c r="M103" s="974"/>
      <c r="N103" s="974"/>
      <c r="O103" s="974"/>
      <c r="P103" s="974"/>
      <c r="Q103" s="1671"/>
      <c r="R103" s="978"/>
    </row>
    <row r="104" spans="1:18" ht="30" customHeight="1">
      <c r="A104" s="965">
        <f>A102+1</f>
        <v>49</v>
      </c>
      <c r="B104" s="968" t="s">
        <v>490</v>
      </c>
      <c r="C104" s="968" t="s">
        <v>53</v>
      </c>
      <c r="D104" s="975"/>
      <c r="E104" s="968"/>
      <c r="F104" s="968"/>
      <c r="G104" s="968"/>
      <c r="H104" s="968"/>
      <c r="I104" s="972" t="s">
        <v>1765</v>
      </c>
      <c r="J104" s="972"/>
      <c r="K104" s="974"/>
      <c r="L104" s="966" t="s">
        <v>2919</v>
      </c>
      <c r="M104" s="966" t="s">
        <v>1009</v>
      </c>
      <c r="N104" s="974"/>
      <c r="O104" s="974" t="s">
        <v>1009</v>
      </c>
      <c r="P104" s="974"/>
      <c r="Q104" s="1671"/>
      <c r="R104" s="978"/>
    </row>
    <row r="105" spans="1:18" ht="30" customHeight="1">
      <c r="A105" s="965"/>
      <c r="B105" s="968"/>
      <c r="C105" s="968"/>
      <c r="D105" s="975"/>
      <c r="E105" s="968"/>
      <c r="F105" s="968"/>
      <c r="G105" s="968"/>
      <c r="H105" s="968"/>
      <c r="I105" s="972"/>
      <c r="J105" s="972">
        <v>410.137</v>
      </c>
      <c r="K105" s="974"/>
      <c r="L105" s="974"/>
      <c r="M105" s="974"/>
      <c r="N105" s="974"/>
      <c r="O105" s="974"/>
      <c r="P105" s="974"/>
      <c r="Q105" s="1672"/>
      <c r="R105" s="978"/>
    </row>
    <row r="106" spans="1:18" ht="30" customHeight="1">
      <c r="A106" s="965">
        <f>A104+1</f>
        <v>50</v>
      </c>
      <c r="B106" s="968" t="s">
        <v>2920</v>
      </c>
      <c r="C106" s="968" t="s">
        <v>90</v>
      </c>
      <c r="D106" s="967" t="s">
        <v>2921</v>
      </c>
      <c r="E106" s="968"/>
      <c r="F106" s="968"/>
      <c r="G106" s="968"/>
      <c r="H106" s="968"/>
      <c r="I106" s="972" t="s">
        <v>1765</v>
      </c>
      <c r="J106" s="973"/>
      <c r="K106" s="974">
        <f>J93+J95+J97+J99+J101+J103+J105</f>
        <v>2829.3139999999999</v>
      </c>
      <c r="L106" s="966" t="s">
        <v>2919</v>
      </c>
      <c r="M106" s="966" t="s">
        <v>1009</v>
      </c>
      <c r="N106" s="966" t="s">
        <v>1009</v>
      </c>
      <c r="O106" s="974" t="s">
        <v>1009</v>
      </c>
      <c r="P106" s="974"/>
      <c r="Q106" s="969"/>
      <c r="R106" s="978"/>
    </row>
    <row r="107" spans="1:18" ht="30" customHeight="1">
      <c r="A107" s="965"/>
      <c r="B107" s="968"/>
      <c r="C107" s="968"/>
      <c r="D107" s="975"/>
      <c r="E107" s="968"/>
      <c r="F107" s="968"/>
      <c r="G107" s="968"/>
      <c r="H107" s="968"/>
      <c r="I107" s="972"/>
      <c r="J107" s="973">
        <v>422.214</v>
      </c>
      <c r="K107" s="966"/>
      <c r="L107" s="966"/>
      <c r="M107" s="966"/>
      <c r="N107" s="966"/>
      <c r="O107" s="966"/>
      <c r="P107" s="966"/>
      <c r="Q107" s="1670"/>
      <c r="R107" s="970"/>
    </row>
    <row r="108" spans="1:18" ht="30" customHeight="1">
      <c r="A108" s="965">
        <f>A106+1</f>
        <v>51</v>
      </c>
      <c r="B108" s="968" t="s">
        <v>458</v>
      </c>
      <c r="C108" s="968" t="s">
        <v>62</v>
      </c>
      <c r="D108" s="975"/>
      <c r="E108" s="968"/>
      <c r="F108" s="968"/>
      <c r="G108" s="968"/>
      <c r="H108" s="968"/>
      <c r="I108" s="972" t="s">
        <v>1765</v>
      </c>
      <c r="J108" s="973"/>
      <c r="K108" s="966"/>
      <c r="L108" s="968" t="s">
        <v>2919</v>
      </c>
      <c r="M108" s="966" t="s">
        <v>1009</v>
      </c>
      <c r="N108" s="966" t="s">
        <v>1009</v>
      </c>
      <c r="O108" s="974" t="s">
        <v>1009</v>
      </c>
      <c r="P108" s="966"/>
      <c r="Q108" s="1671"/>
      <c r="R108" s="970"/>
    </row>
    <row r="109" spans="1:18" ht="30" customHeight="1">
      <c r="A109" s="965"/>
      <c r="B109" s="968"/>
      <c r="C109" s="968"/>
      <c r="D109" s="975"/>
      <c r="E109" s="968"/>
      <c r="F109" s="968"/>
      <c r="G109" s="968"/>
      <c r="H109" s="968"/>
      <c r="I109" s="972"/>
      <c r="J109" s="973">
        <v>387.35700000000003</v>
      </c>
      <c r="K109" s="966"/>
      <c r="L109" s="966"/>
      <c r="M109" s="966"/>
      <c r="N109" s="966"/>
      <c r="O109" s="966"/>
      <c r="P109" s="966"/>
      <c r="Q109" s="1671"/>
      <c r="R109" s="970"/>
    </row>
    <row r="110" spans="1:18" ht="30" customHeight="1">
      <c r="A110" s="965">
        <f>A108+1</f>
        <v>52</v>
      </c>
      <c r="B110" s="968" t="s">
        <v>402</v>
      </c>
      <c r="C110" s="968" t="s">
        <v>53</v>
      </c>
      <c r="D110" s="971"/>
      <c r="E110" s="968"/>
      <c r="F110" s="968"/>
      <c r="G110" s="968"/>
      <c r="H110" s="968"/>
      <c r="I110" s="972" t="s">
        <v>1765</v>
      </c>
      <c r="J110" s="973"/>
      <c r="K110" s="966"/>
      <c r="L110" s="966" t="s">
        <v>2919</v>
      </c>
      <c r="M110" s="966" t="s">
        <v>1009</v>
      </c>
      <c r="N110" s="966"/>
      <c r="O110" s="974" t="s">
        <v>1009</v>
      </c>
      <c r="P110" s="966"/>
      <c r="Q110" s="1671"/>
      <c r="R110" s="970"/>
    </row>
    <row r="111" spans="1:18" ht="30" customHeight="1">
      <c r="A111" s="965"/>
      <c r="B111" s="968"/>
      <c r="C111" s="968"/>
      <c r="D111" s="975"/>
      <c r="E111" s="968"/>
      <c r="F111" s="968"/>
      <c r="G111" s="968"/>
      <c r="H111" s="968"/>
      <c r="I111" s="972"/>
      <c r="J111" s="973">
        <v>406.68799999999999</v>
      </c>
      <c r="K111" s="966"/>
      <c r="L111" s="966"/>
      <c r="M111" s="966"/>
      <c r="N111" s="966"/>
      <c r="O111" s="966"/>
      <c r="P111" s="966"/>
      <c r="Q111" s="1672"/>
      <c r="R111" s="970"/>
    </row>
    <row r="112" spans="1:18" ht="30" customHeight="1">
      <c r="A112" s="965">
        <f>A110+1</f>
        <v>53</v>
      </c>
      <c r="B112" s="968" t="s">
        <v>2922</v>
      </c>
      <c r="C112" s="968" t="s">
        <v>1269</v>
      </c>
      <c r="D112" s="967" t="s">
        <v>2923</v>
      </c>
      <c r="E112" s="968"/>
      <c r="F112" s="968"/>
      <c r="G112" s="968"/>
      <c r="H112" s="968"/>
      <c r="I112" s="972" t="s">
        <v>1765</v>
      </c>
      <c r="J112" s="973"/>
      <c r="K112" s="966"/>
      <c r="L112" s="966" t="s">
        <v>2919</v>
      </c>
      <c r="M112" s="966" t="s">
        <v>1009</v>
      </c>
      <c r="N112" s="966" t="s">
        <v>1009</v>
      </c>
      <c r="O112" s="974" t="s">
        <v>1009</v>
      </c>
      <c r="P112" s="966"/>
      <c r="Q112" s="969"/>
      <c r="R112" s="970"/>
    </row>
    <row r="113" spans="1:18" ht="30" customHeight="1">
      <c r="A113" s="965"/>
      <c r="B113" s="968"/>
      <c r="C113" s="968"/>
      <c r="D113" s="975"/>
      <c r="E113" s="968"/>
      <c r="F113" s="968"/>
      <c r="G113" s="968"/>
      <c r="H113" s="968"/>
      <c r="I113" s="972"/>
      <c r="J113" s="973">
        <v>316.25299999999999</v>
      </c>
      <c r="K113" s="966"/>
      <c r="L113" s="966"/>
      <c r="M113" s="966"/>
      <c r="N113" s="966"/>
      <c r="O113" s="966"/>
      <c r="P113" s="966"/>
      <c r="Q113" s="969"/>
      <c r="R113" s="970"/>
    </row>
    <row r="114" spans="1:18" ht="30" customHeight="1">
      <c r="A114" s="965">
        <f>A112+1</f>
        <v>54</v>
      </c>
      <c r="B114" s="968" t="s">
        <v>2924</v>
      </c>
      <c r="C114" s="968" t="s">
        <v>1977</v>
      </c>
      <c r="D114" s="967" t="s">
        <v>2242</v>
      </c>
      <c r="E114" s="968"/>
      <c r="F114" s="968"/>
      <c r="G114" s="968"/>
      <c r="H114" s="968"/>
      <c r="I114" s="972" t="s">
        <v>897</v>
      </c>
      <c r="J114" s="973"/>
      <c r="K114" s="966"/>
      <c r="L114" s="966" t="s">
        <v>2919</v>
      </c>
      <c r="M114" s="966" t="s">
        <v>1009</v>
      </c>
      <c r="N114" s="966" t="s">
        <v>1009</v>
      </c>
      <c r="O114" s="974" t="s">
        <v>1009</v>
      </c>
      <c r="P114" s="966"/>
      <c r="Q114" s="969"/>
      <c r="R114" s="970"/>
    </row>
    <row r="115" spans="1:18" ht="59.1" customHeight="1">
      <c r="A115" s="965"/>
      <c r="B115" s="968"/>
      <c r="C115" s="968"/>
      <c r="D115" s="979"/>
      <c r="E115" s="968"/>
      <c r="F115" s="968"/>
      <c r="G115" s="968"/>
      <c r="H115" s="968"/>
      <c r="I115" s="972"/>
      <c r="J115" s="973">
        <v>248.423</v>
      </c>
      <c r="K115" s="966"/>
      <c r="L115" s="966"/>
      <c r="M115" s="966"/>
      <c r="N115" s="966"/>
      <c r="O115" s="966"/>
      <c r="P115" s="966"/>
      <c r="Q115" s="969"/>
      <c r="R115" s="980" t="s">
        <v>2925</v>
      </c>
    </row>
    <row r="116" spans="1:18" ht="30" customHeight="1">
      <c r="A116" s="965">
        <f>A114+1</f>
        <v>55</v>
      </c>
      <c r="B116" s="968" t="s">
        <v>2926</v>
      </c>
      <c r="C116" s="968" t="s">
        <v>1953</v>
      </c>
      <c r="D116" s="967" t="s">
        <v>2243</v>
      </c>
      <c r="E116" s="968"/>
      <c r="F116" s="968"/>
      <c r="G116" s="968"/>
      <c r="H116" s="968"/>
      <c r="I116" s="972" t="s">
        <v>2736</v>
      </c>
      <c r="J116" s="973"/>
      <c r="K116" s="966"/>
      <c r="L116" s="966" t="s">
        <v>2919</v>
      </c>
      <c r="M116" s="966" t="s">
        <v>1009</v>
      </c>
      <c r="N116" s="966"/>
      <c r="O116" s="966"/>
      <c r="P116" s="966"/>
      <c r="Q116" s="969"/>
      <c r="R116" s="970"/>
    </row>
    <row r="117" spans="1:18" ht="30" customHeight="1">
      <c r="A117" s="965"/>
      <c r="B117" s="968"/>
      <c r="C117" s="968"/>
      <c r="D117" s="971"/>
      <c r="E117" s="968"/>
      <c r="F117" s="968"/>
      <c r="G117" s="968"/>
      <c r="H117" s="968"/>
      <c r="I117" s="972"/>
      <c r="J117" s="973">
        <v>427.32799999999997</v>
      </c>
      <c r="K117" s="966"/>
      <c r="L117" s="966"/>
      <c r="M117" s="966"/>
      <c r="N117" s="966"/>
      <c r="O117" s="966"/>
      <c r="P117" s="966"/>
      <c r="Q117" s="1670"/>
      <c r="R117" s="970"/>
    </row>
    <row r="118" spans="1:18" ht="30" customHeight="1">
      <c r="A118" s="965">
        <f>A116+1</f>
        <v>56</v>
      </c>
      <c r="B118" s="968" t="s">
        <v>2201</v>
      </c>
      <c r="C118" s="968" t="s">
        <v>76</v>
      </c>
      <c r="D118" s="971"/>
      <c r="E118" s="968"/>
      <c r="F118" s="968"/>
      <c r="G118" s="968"/>
      <c r="H118" s="968"/>
      <c r="I118" s="972" t="s">
        <v>1765</v>
      </c>
      <c r="J118" s="973"/>
      <c r="K118" s="966">
        <f>J107+J109+J111+J113+J115+J117</f>
        <v>2208.2629999999999</v>
      </c>
      <c r="L118" s="966" t="s">
        <v>2919</v>
      </c>
      <c r="M118" s="966" t="s">
        <v>1009</v>
      </c>
      <c r="N118" s="966" t="s">
        <v>1009</v>
      </c>
      <c r="O118" s="974" t="s">
        <v>1009</v>
      </c>
      <c r="P118" s="966"/>
      <c r="Q118" s="1671"/>
      <c r="R118" s="970"/>
    </row>
    <row r="119" spans="1:18" ht="30" customHeight="1">
      <c r="A119" s="965"/>
      <c r="B119" s="968"/>
      <c r="C119" s="968"/>
      <c r="D119" s="975"/>
      <c r="E119" s="968"/>
      <c r="F119" s="968"/>
      <c r="G119" s="968"/>
      <c r="H119" s="968"/>
      <c r="I119" s="972"/>
      <c r="J119" s="973">
        <v>413.23399999999998</v>
      </c>
      <c r="K119" s="966"/>
      <c r="L119" s="966"/>
      <c r="M119" s="966"/>
      <c r="N119" s="966"/>
      <c r="O119" s="966"/>
      <c r="P119" s="966"/>
      <c r="Q119" s="1671"/>
      <c r="R119" s="970"/>
    </row>
    <row r="120" spans="1:18" ht="30" customHeight="1">
      <c r="A120" s="965">
        <f>A118+1</f>
        <v>57</v>
      </c>
      <c r="B120" s="968" t="s">
        <v>2202</v>
      </c>
      <c r="C120" s="968" t="s">
        <v>62</v>
      </c>
      <c r="D120" s="975"/>
      <c r="E120" s="968"/>
      <c r="F120" s="968"/>
      <c r="G120" s="968"/>
      <c r="H120" s="968"/>
      <c r="I120" s="972" t="s">
        <v>1765</v>
      </c>
      <c r="J120" s="973"/>
      <c r="K120" s="966"/>
      <c r="L120" s="966" t="s">
        <v>2919</v>
      </c>
      <c r="M120" s="966" t="s">
        <v>1009</v>
      </c>
      <c r="N120" s="966" t="s">
        <v>1009</v>
      </c>
      <c r="O120" s="974" t="s">
        <v>1009</v>
      </c>
      <c r="P120" s="966"/>
      <c r="Q120" s="1671"/>
      <c r="R120" s="970"/>
    </row>
    <row r="121" spans="1:18" ht="30" customHeight="1">
      <c r="A121" s="965"/>
      <c r="B121" s="968"/>
      <c r="C121" s="968"/>
      <c r="D121" s="975"/>
      <c r="E121" s="968"/>
      <c r="F121" s="968"/>
      <c r="G121" s="968"/>
      <c r="H121" s="968"/>
      <c r="I121" s="972"/>
      <c r="J121" s="973">
        <v>414.71899999999999</v>
      </c>
      <c r="K121" s="966"/>
      <c r="L121" s="966"/>
      <c r="M121" s="966"/>
      <c r="N121" s="966"/>
      <c r="O121" s="966"/>
      <c r="P121" s="966"/>
      <c r="Q121" s="1671"/>
      <c r="R121" s="970"/>
    </row>
    <row r="122" spans="1:18" ht="30" customHeight="1">
      <c r="A122" s="965">
        <f>A120+1</f>
        <v>58</v>
      </c>
      <c r="B122" s="968" t="s">
        <v>2203</v>
      </c>
      <c r="C122" s="968" t="s">
        <v>62</v>
      </c>
      <c r="D122" s="975"/>
      <c r="E122" s="968"/>
      <c r="F122" s="968"/>
      <c r="G122" s="968"/>
      <c r="H122" s="968"/>
      <c r="I122" s="972" t="s">
        <v>1765</v>
      </c>
      <c r="J122" s="973"/>
      <c r="K122" s="966"/>
      <c r="L122" s="966" t="s">
        <v>2919</v>
      </c>
      <c r="M122" s="966" t="s">
        <v>1009</v>
      </c>
      <c r="N122" s="966" t="s">
        <v>1009</v>
      </c>
      <c r="O122" s="974" t="s">
        <v>1009</v>
      </c>
      <c r="P122" s="966"/>
      <c r="Q122" s="1671"/>
      <c r="R122" s="970"/>
    </row>
    <row r="123" spans="1:18" ht="30" customHeight="1">
      <c r="A123" s="965"/>
      <c r="B123" s="968"/>
      <c r="C123" s="968"/>
      <c r="D123" s="975"/>
      <c r="E123" s="968"/>
      <c r="F123" s="968"/>
      <c r="G123" s="968"/>
      <c r="H123" s="968"/>
      <c r="I123" s="972"/>
      <c r="J123" s="973">
        <v>426.17200000000003</v>
      </c>
      <c r="K123" s="966"/>
      <c r="L123" s="966"/>
      <c r="M123" s="966"/>
      <c r="N123" s="966"/>
      <c r="O123" s="966"/>
      <c r="P123" s="966"/>
      <c r="Q123" s="1672"/>
      <c r="R123" s="970"/>
    </row>
    <row r="124" spans="1:18" ht="30" customHeight="1">
      <c r="A124" s="1012">
        <f>A122+1</f>
        <v>59</v>
      </c>
      <c r="B124" s="968" t="s">
        <v>2927</v>
      </c>
      <c r="C124" s="968" t="s">
        <v>90</v>
      </c>
      <c r="D124" s="1001" t="s">
        <v>2246</v>
      </c>
      <c r="E124" s="968"/>
      <c r="F124" s="968"/>
      <c r="G124" s="968"/>
      <c r="H124" s="968"/>
      <c r="I124" s="972" t="s">
        <v>1765</v>
      </c>
      <c r="J124" s="972"/>
      <c r="K124" s="966"/>
      <c r="L124" s="968" t="s">
        <v>2919</v>
      </c>
      <c r="M124" s="966" t="s">
        <v>1009</v>
      </c>
      <c r="N124" s="966" t="s">
        <v>1009</v>
      </c>
      <c r="O124" s="974" t="s">
        <v>1009</v>
      </c>
      <c r="P124" s="968"/>
      <c r="Q124" s="1015"/>
      <c r="R124" s="1033"/>
    </row>
    <row r="125" spans="1:18" ht="30" customHeight="1">
      <c r="A125" s="965"/>
      <c r="B125" s="968"/>
      <c r="C125" s="968"/>
      <c r="D125" s="979"/>
      <c r="E125" s="968"/>
      <c r="F125" s="968"/>
      <c r="G125" s="968"/>
      <c r="H125" s="968"/>
      <c r="I125" s="972"/>
      <c r="J125" s="973">
        <v>404.81</v>
      </c>
      <c r="K125" s="966"/>
      <c r="L125" s="966"/>
      <c r="M125" s="966"/>
      <c r="N125" s="966"/>
      <c r="O125" s="966"/>
      <c r="P125" s="966"/>
      <c r="Q125" s="1670"/>
      <c r="R125" s="970"/>
    </row>
    <row r="126" spans="1:18" ht="30" customHeight="1">
      <c r="A126" s="965">
        <f>A124+1</f>
        <v>60</v>
      </c>
      <c r="B126" s="968" t="s">
        <v>2206</v>
      </c>
      <c r="C126" s="968" t="s">
        <v>62</v>
      </c>
      <c r="D126" s="979"/>
      <c r="E126" s="968"/>
      <c r="F126" s="968"/>
      <c r="G126" s="968"/>
      <c r="H126" s="968"/>
      <c r="I126" s="972" t="s">
        <v>1765</v>
      </c>
      <c r="J126" s="973"/>
      <c r="K126" s="966"/>
      <c r="L126" s="966" t="s">
        <v>2919</v>
      </c>
      <c r="M126" s="966" t="s">
        <v>1009</v>
      </c>
      <c r="N126" s="966" t="s">
        <v>1009</v>
      </c>
      <c r="O126" s="974" t="s">
        <v>1009</v>
      </c>
      <c r="P126" s="966"/>
      <c r="Q126" s="1671"/>
      <c r="R126" s="970"/>
    </row>
    <row r="127" spans="1:18" ht="30" customHeight="1">
      <c r="A127" s="965"/>
      <c r="B127" s="968"/>
      <c r="C127" s="968"/>
      <c r="D127" s="979"/>
      <c r="E127" s="968"/>
      <c r="F127" s="968"/>
      <c r="G127" s="968"/>
      <c r="H127" s="968"/>
      <c r="I127" s="972"/>
      <c r="J127" s="973">
        <v>392.738</v>
      </c>
      <c r="K127" s="966"/>
      <c r="L127" s="966"/>
      <c r="M127" s="966"/>
      <c r="N127" s="966"/>
      <c r="O127" s="966"/>
      <c r="P127" s="966"/>
      <c r="Q127" s="1671"/>
      <c r="R127" s="970"/>
    </row>
    <row r="128" spans="1:18" ht="30" customHeight="1">
      <c r="A128" s="965">
        <f>A126+1</f>
        <v>61</v>
      </c>
      <c r="B128" s="968" t="s">
        <v>2207</v>
      </c>
      <c r="C128" s="968" t="s">
        <v>1269</v>
      </c>
      <c r="D128" s="979"/>
      <c r="E128" s="968"/>
      <c r="F128" s="968"/>
      <c r="G128" s="968"/>
      <c r="H128" s="968"/>
      <c r="I128" s="972" t="s">
        <v>1765</v>
      </c>
      <c r="J128" s="973"/>
      <c r="K128" s="966"/>
      <c r="L128" s="966" t="s">
        <v>2919</v>
      </c>
      <c r="M128" s="966" t="s">
        <v>1009</v>
      </c>
      <c r="N128" s="966" t="s">
        <v>1009</v>
      </c>
      <c r="O128" s="974" t="s">
        <v>1009</v>
      </c>
      <c r="P128" s="966"/>
      <c r="Q128" s="1671"/>
      <c r="R128" s="970"/>
    </row>
    <row r="129" spans="1:18" ht="30" customHeight="1">
      <c r="A129" s="965"/>
      <c r="B129" s="968"/>
      <c r="C129" s="968"/>
      <c r="D129" s="979"/>
      <c r="E129" s="968"/>
      <c r="F129" s="968"/>
      <c r="G129" s="968"/>
      <c r="H129" s="968"/>
      <c r="I129" s="972"/>
      <c r="J129" s="973">
        <v>391.93900000000002</v>
      </c>
      <c r="K129" s="966"/>
      <c r="L129" s="966"/>
      <c r="M129" s="966"/>
      <c r="N129" s="966"/>
      <c r="O129" s="966"/>
      <c r="P129" s="966"/>
      <c r="Q129" s="1671"/>
      <c r="R129" s="970"/>
    </row>
    <row r="130" spans="1:18" ht="30" customHeight="1">
      <c r="A130" s="965">
        <f>A128+1</f>
        <v>62</v>
      </c>
      <c r="B130" s="968" t="s">
        <v>2208</v>
      </c>
      <c r="C130" s="968" t="s">
        <v>249</v>
      </c>
      <c r="D130" s="979"/>
      <c r="E130" s="968">
        <v>1.5</v>
      </c>
      <c r="F130" s="968">
        <v>1.5</v>
      </c>
      <c r="G130" s="968">
        <v>1.5</v>
      </c>
      <c r="H130" s="968">
        <v>1.5</v>
      </c>
      <c r="I130" s="972" t="s">
        <v>1765</v>
      </c>
      <c r="J130" s="973"/>
      <c r="K130" s="966">
        <f>J119+J121+J123+J125+J127+J129</f>
        <v>2443.6119999999996</v>
      </c>
      <c r="L130" s="966" t="s">
        <v>2919</v>
      </c>
      <c r="M130" s="966" t="s">
        <v>1009</v>
      </c>
      <c r="N130" s="966"/>
      <c r="O130" s="966"/>
      <c r="P130" s="966"/>
      <c r="Q130" s="1671"/>
      <c r="R130" s="970" t="s">
        <v>3607</v>
      </c>
    </row>
    <row r="131" spans="1:18" ht="30" customHeight="1">
      <c r="A131" s="965"/>
      <c r="B131" s="968"/>
      <c r="C131" s="968"/>
      <c r="D131" s="979"/>
      <c r="E131" s="968"/>
      <c r="F131" s="968"/>
      <c r="G131" s="968"/>
      <c r="H131" s="968"/>
      <c r="I131" s="972"/>
      <c r="J131" s="973">
        <v>440.91</v>
      </c>
      <c r="K131" s="966"/>
      <c r="L131" s="966"/>
      <c r="M131" s="966"/>
      <c r="N131" s="966"/>
      <c r="O131" s="966"/>
      <c r="P131" s="966"/>
      <c r="Q131" s="1672"/>
      <c r="R131" s="970"/>
    </row>
    <row r="132" spans="1:18" ht="30" customHeight="1">
      <c r="A132" s="965">
        <f>A130+1</f>
        <v>63</v>
      </c>
      <c r="B132" s="968" t="s">
        <v>2928</v>
      </c>
      <c r="C132" s="968" t="s">
        <v>2197</v>
      </c>
      <c r="D132" s="1001" t="s">
        <v>2929</v>
      </c>
      <c r="E132" s="968"/>
      <c r="F132" s="968"/>
      <c r="G132" s="968"/>
      <c r="H132" s="968"/>
      <c r="I132" s="972" t="s">
        <v>2736</v>
      </c>
      <c r="J132" s="973"/>
      <c r="K132" s="966"/>
      <c r="L132" s="966" t="s">
        <v>2919</v>
      </c>
      <c r="M132" s="966" t="s">
        <v>1009</v>
      </c>
      <c r="N132" s="966"/>
      <c r="O132" s="966"/>
      <c r="P132" s="966"/>
      <c r="Q132" s="969"/>
      <c r="R132" s="970"/>
    </row>
    <row r="133" spans="1:18" ht="30" customHeight="1">
      <c r="A133" s="965"/>
      <c r="B133" s="968"/>
      <c r="C133" s="968"/>
      <c r="D133" s="979"/>
      <c r="E133" s="968"/>
      <c r="F133" s="968"/>
      <c r="G133" s="968"/>
      <c r="H133" s="968"/>
      <c r="I133" s="972"/>
      <c r="J133" s="973">
        <v>310.90499999999997</v>
      </c>
      <c r="K133" s="966"/>
      <c r="L133" s="966"/>
      <c r="M133" s="966"/>
      <c r="N133" s="966"/>
      <c r="O133" s="966"/>
      <c r="P133" s="966"/>
      <c r="Q133" s="969"/>
      <c r="R133" s="976" t="s">
        <v>3098</v>
      </c>
    </row>
    <row r="134" spans="1:18" ht="30" customHeight="1">
      <c r="A134" s="965">
        <f>A132+1</f>
        <v>64</v>
      </c>
      <c r="B134" s="968" t="s">
        <v>2930</v>
      </c>
      <c r="C134" s="981" t="s">
        <v>2212</v>
      </c>
      <c r="D134" s="967" t="s">
        <v>2931</v>
      </c>
      <c r="E134" s="968"/>
      <c r="F134" s="968"/>
      <c r="G134" s="968"/>
      <c r="H134" s="968"/>
      <c r="I134" s="972" t="s">
        <v>1765</v>
      </c>
      <c r="J134" s="973"/>
      <c r="K134" s="966">
        <f>J131+J133</f>
        <v>751.81500000000005</v>
      </c>
      <c r="L134" s="966" t="s">
        <v>2919</v>
      </c>
      <c r="M134" s="966" t="s">
        <v>1009</v>
      </c>
      <c r="N134" s="966" t="s">
        <v>1009</v>
      </c>
      <c r="O134" s="974" t="s">
        <v>1009</v>
      </c>
      <c r="P134" s="966"/>
      <c r="Q134" s="969"/>
      <c r="R134" s="970"/>
    </row>
    <row r="135" spans="1:18" ht="42.6" customHeight="1">
      <c r="A135" s="965"/>
      <c r="B135" s="968"/>
      <c r="C135" s="968"/>
      <c r="D135" s="979"/>
      <c r="E135" s="968"/>
      <c r="F135" s="968"/>
      <c r="G135" s="968"/>
      <c r="H135" s="968"/>
      <c r="I135" s="972"/>
      <c r="J135" s="973">
        <v>240.52699999999999</v>
      </c>
      <c r="K135" s="966"/>
      <c r="L135" s="966"/>
      <c r="M135" s="966"/>
      <c r="N135" s="966"/>
      <c r="O135" s="966"/>
      <c r="P135" s="966"/>
      <c r="Q135" s="969"/>
      <c r="R135" s="980" t="s">
        <v>2932</v>
      </c>
    </row>
    <row r="136" spans="1:18" ht="30" customHeight="1">
      <c r="A136" s="965">
        <f>A134+1</f>
        <v>65</v>
      </c>
      <c r="B136" s="968" t="s">
        <v>2933</v>
      </c>
      <c r="C136" s="968" t="s">
        <v>1319</v>
      </c>
      <c r="D136" s="967" t="s">
        <v>2934</v>
      </c>
      <c r="E136" s="968"/>
      <c r="F136" s="968"/>
      <c r="G136" s="968"/>
      <c r="H136" s="968"/>
      <c r="I136" s="972" t="s">
        <v>2736</v>
      </c>
      <c r="J136" s="973"/>
      <c r="K136" s="966"/>
      <c r="L136" s="966" t="s">
        <v>2919</v>
      </c>
      <c r="M136" s="966" t="s">
        <v>1009</v>
      </c>
      <c r="N136" s="966" t="s">
        <v>1009</v>
      </c>
      <c r="O136" s="974" t="s">
        <v>1009</v>
      </c>
      <c r="P136" s="966"/>
      <c r="Q136" s="969"/>
      <c r="R136" s="970"/>
    </row>
    <row r="137" spans="1:18" ht="30" customHeight="1">
      <c r="A137" s="965"/>
      <c r="B137" s="968"/>
      <c r="C137" s="968"/>
      <c r="D137" s="975"/>
      <c r="E137" s="968"/>
      <c r="F137" s="968"/>
      <c r="G137" s="968"/>
      <c r="H137" s="968"/>
      <c r="I137" s="972"/>
      <c r="J137" s="973">
        <v>389</v>
      </c>
      <c r="K137" s="966"/>
      <c r="L137" s="966"/>
      <c r="M137" s="966"/>
      <c r="N137" s="966"/>
      <c r="O137" s="966"/>
      <c r="P137" s="966"/>
      <c r="Q137" s="1670"/>
      <c r="R137" s="970"/>
    </row>
    <row r="138" spans="1:18" ht="30" customHeight="1">
      <c r="A138" s="965">
        <f>A136+1</f>
        <v>66</v>
      </c>
      <c r="B138" s="968" t="s">
        <v>2216</v>
      </c>
      <c r="C138" s="968" t="s">
        <v>90</v>
      </c>
      <c r="D138" s="975"/>
      <c r="E138" s="968"/>
      <c r="F138" s="968"/>
      <c r="G138" s="968"/>
      <c r="H138" s="968"/>
      <c r="I138" s="972" t="s">
        <v>1765</v>
      </c>
      <c r="J138" s="973"/>
      <c r="K138" s="966"/>
      <c r="L138" s="966" t="s">
        <v>2919</v>
      </c>
      <c r="M138" s="966" t="s">
        <v>1009</v>
      </c>
      <c r="N138" s="966" t="s">
        <v>1009</v>
      </c>
      <c r="O138" s="966"/>
      <c r="P138" s="966"/>
      <c r="Q138" s="1671"/>
      <c r="R138" s="970"/>
    </row>
    <row r="139" spans="1:18" ht="30" customHeight="1">
      <c r="A139" s="965"/>
      <c r="B139" s="968"/>
      <c r="C139" s="968"/>
      <c r="D139" s="975"/>
      <c r="E139" s="968"/>
      <c r="F139" s="968"/>
      <c r="G139" s="968"/>
      <c r="H139" s="968"/>
      <c r="I139" s="972"/>
      <c r="J139" s="973">
        <v>468.31799999999998</v>
      </c>
      <c r="K139" s="966"/>
      <c r="L139" s="966"/>
      <c r="M139" s="966"/>
      <c r="N139" s="966"/>
      <c r="O139" s="966"/>
      <c r="P139" s="966"/>
      <c r="Q139" s="1672"/>
      <c r="R139" s="970"/>
    </row>
    <row r="140" spans="1:18" ht="30" customHeight="1">
      <c r="A140" s="965">
        <f>A138+1</f>
        <v>67</v>
      </c>
      <c r="B140" s="968" t="s">
        <v>2935</v>
      </c>
      <c r="C140" s="968" t="s">
        <v>2212</v>
      </c>
      <c r="D140" s="967" t="s">
        <v>2936</v>
      </c>
      <c r="E140" s="968"/>
      <c r="F140" s="968"/>
      <c r="G140" s="968"/>
      <c r="H140" s="968"/>
      <c r="I140" s="972" t="s">
        <v>897</v>
      </c>
      <c r="J140" s="973"/>
      <c r="K140" s="966">
        <f>J135+J137+J139</f>
        <v>1097.845</v>
      </c>
      <c r="L140" s="966" t="s">
        <v>2919</v>
      </c>
      <c r="M140" s="966" t="s">
        <v>1009</v>
      </c>
      <c r="N140" s="966"/>
      <c r="O140" s="966"/>
      <c r="P140" s="966"/>
      <c r="Q140" s="969"/>
      <c r="R140" s="970"/>
    </row>
    <row r="141" spans="1:18" ht="44.45" customHeight="1">
      <c r="A141" s="965"/>
      <c r="B141" s="968"/>
      <c r="C141" s="968"/>
      <c r="D141" s="979"/>
      <c r="E141" s="968"/>
      <c r="F141" s="968"/>
      <c r="G141" s="968"/>
      <c r="H141" s="968"/>
      <c r="I141" s="972"/>
      <c r="J141" s="973">
        <v>242.66300000000001</v>
      </c>
      <c r="K141" s="966"/>
      <c r="L141" s="966"/>
      <c r="M141" s="966"/>
      <c r="N141" s="966"/>
      <c r="O141" s="966"/>
      <c r="P141" s="966"/>
      <c r="Q141" s="969"/>
      <c r="R141" s="980" t="s">
        <v>2937</v>
      </c>
    </row>
    <row r="142" spans="1:18" ht="30" customHeight="1">
      <c r="A142" s="965">
        <f>A140+1</f>
        <v>68</v>
      </c>
      <c r="B142" s="968" t="s">
        <v>2938</v>
      </c>
      <c r="C142" s="968" t="s">
        <v>1995</v>
      </c>
      <c r="D142" s="967" t="s">
        <v>2255</v>
      </c>
      <c r="E142" s="968"/>
      <c r="F142" s="968"/>
      <c r="G142" s="968"/>
      <c r="H142" s="968"/>
      <c r="I142" s="972" t="s">
        <v>897</v>
      </c>
      <c r="J142" s="973"/>
      <c r="K142" s="966"/>
      <c r="L142" s="966" t="s">
        <v>2919</v>
      </c>
      <c r="M142" s="966" t="s">
        <v>1009</v>
      </c>
      <c r="N142" s="966"/>
      <c r="O142" s="966" t="s">
        <v>1009</v>
      </c>
      <c r="P142" s="966"/>
      <c r="Q142" s="969"/>
      <c r="R142" s="970"/>
    </row>
    <row r="143" spans="1:18" ht="30" customHeight="1">
      <c r="A143" s="965"/>
      <c r="B143" s="968"/>
      <c r="C143" s="968"/>
      <c r="D143" s="975"/>
      <c r="E143" s="968"/>
      <c r="F143" s="968"/>
      <c r="G143" s="968"/>
      <c r="H143" s="968"/>
      <c r="I143" s="972"/>
      <c r="J143" s="973">
        <v>408.25799999999998</v>
      </c>
      <c r="K143" s="966"/>
      <c r="L143" s="966"/>
      <c r="M143" s="966"/>
      <c r="N143" s="966"/>
      <c r="O143" s="966"/>
      <c r="P143" s="966"/>
      <c r="Q143" s="1670"/>
      <c r="R143" s="970"/>
    </row>
    <row r="144" spans="1:18" ht="30" customHeight="1">
      <c r="A144" s="965">
        <f>A142+1</f>
        <v>69</v>
      </c>
      <c r="B144" s="968" t="s">
        <v>2221</v>
      </c>
      <c r="C144" s="968" t="s">
        <v>76</v>
      </c>
      <c r="D144" s="975"/>
      <c r="E144" s="968"/>
      <c r="F144" s="968"/>
      <c r="G144" s="968"/>
      <c r="H144" s="968"/>
      <c r="I144" s="972" t="s">
        <v>1765</v>
      </c>
      <c r="J144" s="973"/>
      <c r="K144" s="966"/>
      <c r="L144" s="966" t="s">
        <v>2919</v>
      </c>
      <c r="M144" s="966" t="s">
        <v>1009</v>
      </c>
      <c r="N144" s="966" t="s">
        <v>1009</v>
      </c>
      <c r="O144" s="974" t="s">
        <v>1009</v>
      </c>
      <c r="P144" s="966"/>
      <c r="Q144" s="1671"/>
      <c r="R144" s="970"/>
    </row>
    <row r="145" spans="1:18" ht="30" customHeight="1">
      <c r="A145" s="965"/>
      <c r="B145" s="968"/>
      <c r="C145" s="968"/>
      <c r="D145" s="975"/>
      <c r="E145" s="968"/>
      <c r="F145" s="968"/>
      <c r="G145" s="968"/>
      <c r="H145" s="968"/>
      <c r="I145" s="972"/>
      <c r="J145" s="973">
        <v>337.476</v>
      </c>
      <c r="K145" s="966"/>
      <c r="L145" s="966"/>
      <c r="M145" s="966"/>
      <c r="N145" s="966"/>
      <c r="O145" s="966"/>
      <c r="P145" s="966"/>
      <c r="Q145" s="1671"/>
      <c r="R145" s="970"/>
    </row>
    <row r="146" spans="1:18" ht="30" customHeight="1">
      <c r="A146" s="965">
        <f>A144+1</f>
        <v>70</v>
      </c>
      <c r="B146" s="968" t="s">
        <v>2222</v>
      </c>
      <c r="C146" s="968" t="s">
        <v>62</v>
      </c>
      <c r="D146" s="975"/>
      <c r="E146" s="968"/>
      <c r="F146" s="968"/>
      <c r="G146" s="968"/>
      <c r="H146" s="968"/>
      <c r="I146" s="972" t="s">
        <v>1765</v>
      </c>
      <c r="J146" s="973"/>
      <c r="K146" s="966"/>
      <c r="L146" s="966" t="s">
        <v>2919</v>
      </c>
      <c r="M146" s="966" t="s">
        <v>1009</v>
      </c>
      <c r="N146" s="966" t="s">
        <v>1009</v>
      </c>
      <c r="O146" s="974" t="s">
        <v>1009</v>
      </c>
      <c r="P146" s="966"/>
      <c r="Q146" s="1671"/>
      <c r="R146" s="970"/>
    </row>
    <row r="147" spans="1:18" ht="30" customHeight="1">
      <c r="A147" s="965"/>
      <c r="B147" s="968"/>
      <c r="C147" s="968"/>
      <c r="D147" s="975"/>
      <c r="E147" s="968"/>
      <c r="F147" s="968"/>
      <c r="G147" s="968"/>
      <c r="H147" s="968"/>
      <c r="I147" s="972"/>
      <c r="J147" s="973">
        <v>403.41800000000001</v>
      </c>
      <c r="K147" s="966"/>
      <c r="L147" s="966"/>
      <c r="M147" s="966"/>
      <c r="N147" s="966"/>
      <c r="O147" s="966"/>
      <c r="P147" s="966"/>
      <c r="Q147" s="1672"/>
      <c r="R147" s="970"/>
    </row>
    <row r="148" spans="1:18" ht="30" customHeight="1">
      <c r="A148" s="965">
        <f>A146+1</f>
        <v>71</v>
      </c>
      <c r="B148" s="981" t="s">
        <v>2939</v>
      </c>
      <c r="C148" s="981" t="s">
        <v>1988</v>
      </c>
      <c r="D148" s="1164" t="s">
        <v>2258</v>
      </c>
      <c r="E148" s="981">
        <v>2</v>
      </c>
      <c r="F148" s="981">
        <v>2</v>
      </c>
      <c r="G148" s="981">
        <v>2</v>
      </c>
      <c r="H148" s="981">
        <v>2</v>
      </c>
      <c r="I148" s="1181" t="s">
        <v>2736</v>
      </c>
      <c r="J148" s="973"/>
      <c r="K148" s="966">
        <f>J145+J147</f>
        <v>740.89400000000001</v>
      </c>
      <c r="L148" s="966" t="s">
        <v>2919</v>
      </c>
      <c r="M148" s="966" t="s">
        <v>1009</v>
      </c>
      <c r="N148" s="966"/>
      <c r="O148" s="966"/>
      <c r="P148" s="966"/>
      <c r="Q148" s="969"/>
      <c r="R148" s="970"/>
    </row>
    <row r="149" spans="1:18" ht="30" customHeight="1">
      <c r="A149" s="965"/>
      <c r="B149" s="968"/>
      <c r="C149" s="968"/>
      <c r="D149" s="979"/>
      <c r="E149" s="968"/>
      <c r="F149" s="968"/>
      <c r="G149" s="968"/>
      <c r="H149" s="968"/>
      <c r="I149" s="972"/>
      <c r="J149" s="973">
        <v>251.51599999999999</v>
      </c>
      <c r="K149" s="966"/>
      <c r="L149" s="966"/>
      <c r="M149" s="966"/>
      <c r="N149" s="966"/>
      <c r="O149" s="966"/>
      <c r="P149" s="966"/>
      <c r="Q149" s="969"/>
      <c r="R149" s="976" t="s">
        <v>2940</v>
      </c>
    </row>
    <row r="150" spans="1:18" ht="30" customHeight="1">
      <c r="A150" s="965">
        <f>A148+1</f>
        <v>72</v>
      </c>
      <c r="B150" s="968" t="s">
        <v>2941</v>
      </c>
      <c r="C150" s="968" t="s">
        <v>2197</v>
      </c>
      <c r="D150" s="967" t="s">
        <v>2305</v>
      </c>
      <c r="E150" s="968">
        <v>2</v>
      </c>
      <c r="F150" s="968">
        <v>2</v>
      </c>
      <c r="G150" s="968">
        <v>2</v>
      </c>
      <c r="H150" s="968">
        <v>2</v>
      </c>
      <c r="I150" s="972"/>
      <c r="J150" s="973"/>
      <c r="K150" s="966">
        <f>J149</f>
        <v>251.51599999999999</v>
      </c>
      <c r="L150" s="966" t="s">
        <v>2919</v>
      </c>
      <c r="M150" s="966" t="s">
        <v>1009</v>
      </c>
      <c r="N150" s="966"/>
      <c r="O150" s="966"/>
      <c r="P150" s="966"/>
      <c r="Q150" s="969"/>
      <c r="R150" s="970"/>
    </row>
    <row r="151" spans="1:18" ht="30" customHeight="1">
      <c r="A151" s="965"/>
      <c r="B151" s="968"/>
      <c r="C151" s="968"/>
      <c r="D151" s="975"/>
      <c r="E151" s="968"/>
      <c r="F151" s="968"/>
      <c r="G151" s="968"/>
      <c r="H151" s="968"/>
      <c r="I151" s="972"/>
      <c r="J151" s="973">
        <v>445.12599999999998</v>
      </c>
      <c r="K151" s="966"/>
      <c r="L151" s="966"/>
      <c r="M151" s="966"/>
      <c r="N151" s="966"/>
      <c r="O151" s="966"/>
      <c r="P151" s="966"/>
      <c r="Q151" s="969"/>
      <c r="R151" s="970"/>
    </row>
    <row r="152" spans="1:18" ht="30" customHeight="1">
      <c r="A152" s="1012">
        <f>A150+1</f>
        <v>73</v>
      </c>
      <c r="B152" s="968" t="s">
        <v>2942</v>
      </c>
      <c r="C152" s="968" t="s">
        <v>1269</v>
      </c>
      <c r="D152" s="1001" t="s">
        <v>2943</v>
      </c>
      <c r="E152" s="968"/>
      <c r="F152" s="968"/>
      <c r="G152" s="968"/>
      <c r="H152" s="968"/>
      <c r="I152" s="972" t="s">
        <v>1765</v>
      </c>
      <c r="J152" s="972"/>
      <c r="K152" s="981"/>
      <c r="L152" s="968" t="s">
        <v>2919</v>
      </c>
      <c r="M152" s="966" t="s">
        <v>1009</v>
      </c>
      <c r="N152" s="966" t="s">
        <v>1009</v>
      </c>
      <c r="O152" s="974" t="s">
        <v>1009</v>
      </c>
      <c r="P152" s="968"/>
      <c r="Q152" s="1015"/>
      <c r="R152" s="1033"/>
    </row>
    <row r="153" spans="1:18" ht="30" customHeight="1">
      <c r="A153" s="965"/>
      <c r="B153" s="968"/>
      <c r="C153" s="968"/>
      <c r="D153" s="975"/>
      <c r="E153" s="968"/>
      <c r="F153" s="968"/>
      <c r="G153" s="968"/>
      <c r="H153" s="968"/>
      <c r="I153" s="972"/>
      <c r="J153" s="973">
        <v>387.7</v>
      </c>
      <c r="K153" s="966"/>
      <c r="L153" s="966"/>
      <c r="M153" s="966"/>
      <c r="N153" s="966"/>
      <c r="O153" s="966"/>
      <c r="P153" s="966"/>
      <c r="Q153" s="1670"/>
      <c r="R153" s="970"/>
    </row>
    <row r="154" spans="1:18" ht="30" customHeight="1">
      <c r="A154" s="1012">
        <f>A152+1</f>
        <v>74</v>
      </c>
      <c r="B154" s="1062" t="s">
        <v>3140</v>
      </c>
      <c r="C154" s="968" t="s">
        <v>249</v>
      </c>
      <c r="D154" s="979"/>
      <c r="E154" s="968"/>
      <c r="F154" s="968"/>
      <c r="G154" s="968"/>
      <c r="H154" s="968"/>
      <c r="I154" s="972" t="s">
        <v>1765</v>
      </c>
      <c r="J154" s="972"/>
      <c r="K154" s="966"/>
      <c r="L154" s="968" t="s">
        <v>2919</v>
      </c>
      <c r="M154" s="966" t="s">
        <v>1009</v>
      </c>
      <c r="N154" s="966" t="s">
        <v>1009</v>
      </c>
      <c r="O154" s="968"/>
      <c r="P154" s="968"/>
      <c r="Q154" s="1673"/>
      <c r="R154" s="1033"/>
    </row>
    <row r="155" spans="1:18" ht="30" customHeight="1">
      <c r="A155" s="965"/>
      <c r="B155" s="968"/>
      <c r="C155" s="968"/>
      <c r="D155" s="975"/>
      <c r="E155" s="968"/>
      <c r="F155" s="968"/>
      <c r="G155" s="968"/>
      <c r="H155" s="968"/>
      <c r="I155" s="972"/>
      <c r="J155" s="973">
        <v>449.34800000000001</v>
      </c>
      <c r="K155" s="966"/>
      <c r="L155" s="966"/>
      <c r="M155" s="966"/>
      <c r="N155" s="966"/>
      <c r="O155" s="966"/>
      <c r="P155" s="966"/>
      <c r="Q155" s="1672"/>
      <c r="R155" s="970"/>
    </row>
    <row r="156" spans="1:18" ht="30" customHeight="1">
      <c r="A156" s="965">
        <f>A154+1</f>
        <v>75</v>
      </c>
      <c r="B156" s="968" t="s">
        <v>2944</v>
      </c>
      <c r="C156" s="968" t="s">
        <v>1277</v>
      </c>
      <c r="D156" s="967" t="s">
        <v>2945</v>
      </c>
      <c r="E156" s="968"/>
      <c r="F156" s="968"/>
      <c r="G156" s="968"/>
      <c r="H156" s="968"/>
      <c r="I156" s="972" t="s">
        <v>1765</v>
      </c>
      <c r="J156" s="973"/>
      <c r="K156" s="966">
        <f>J151+J153+J155</f>
        <v>1282.174</v>
      </c>
      <c r="L156" s="968" t="s">
        <v>2919</v>
      </c>
      <c r="M156" s="966" t="s">
        <v>1009</v>
      </c>
      <c r="N156" s="966" t="s">
        <v>1009</v>
      </c>
      <c r="O156" s="966"/>
      <c r="P156" s="966"/>
      <c r="Q156" s="969"/>
      <c r="R156" s="970"/>
    </row>
    <row r="157" spans="1:18" ht="30" customHeight="1">
      <c r="A157" s="965"/>
      <c r="B157" s="968"/>
      <c r="C157" s="968"/>
      <c r="D157" s="975"/>
      <c r="E157" s="968"/>
      <c r="F157" s="968"/>
      <c r="G157" s="968"/>
      <c r="H157" s="968"/>
      <c r="I157" s="972"/>
      <c r="J157" s="973">
        <v>408.79300000000001</v>
      </c>
      <c r="K157" s="966"/>
      <c r="L157" s="966"/>
      <c r="M157" s="966"/>
      <c r="N157" s="966"/>
      <c r="O157" s="966"/>
      <c r="P157" s="966"/>
      <c r="Q157" s="1670"/>
      <c r="R157" s="970"/>
    </row>
    <row r="158" spans="1:18" ht="30" customHeight="1">
      <c r="A158" s="1012">
        <f>A156+1</f>
        <v>76</v>
      </c>
      <c r="B158" s="1062" t="s">
        <v>3236</v>
      </c>
      <c r="C158" s="968" t="s">
        <v>62</v>
      </c>
      <c r="D158" s="979"/>
      <c r="E158" s="968"/>
      <c r="F158" s="968"/>
      <c r="G158" s="968"/>
      <c r="H158" s="968"/>
      <c r="I158" s="972" t="s">
        <v>1765</v>
      </c>
      <c r="J158" s="972"/>
      <c r="K158" s="981"/>
      <c r="L158" s="968" t="s">
        <v>2919</v>
      </c>
      <c r="M158" s="966" t="s">
        <v>1009</v>
      </c>
      <c r="N158" s="966" t="s">
        <v>1009</v>
      </c>
      <c r="O158" s="968" t="s">
        <v>1009</v>
      </c>
      <c r="P158" s="968"/>
      <c r="Q158" s="1673"/>
      <c r="R158" s="1033"/>
    </row>
    <row r="159" spans="1:18" ht="30" customHeight="1">
      <c r="A159" s="965"/>
      <c r="B159" s="968"/>
      <c r="C159" s="968"/>
      <c r="D159" s="975"/>
      <c r="E159" s="968"/>
      <c r="F159" s="968"/>
      <c r="G159" s="968"/>
      <c r="H159" s="968"/>
      <c r="I159" s="972"/>
      <c r="J159" s="973">
        <v>425.48700000000002</v>
      </c>
      <c r="K159" s="966"/>
      <c r="L159" s="966"/>
      <c r="M159" s="966"/>
      <c r="N159" s="966"/>
      <c r="O159" s="966"/>
      <c r="P159" s="966"/>
      <c r="Q159" s="1672"/>
      <c r="R159" s="970"/>
    </row>
    <row r="160" spans="1:18" ht="30" customHeight="1">
      <c r="A160" s="965">
        <f>A158+1</f>
        <v>77</v>
      </c>
      <c r="B160" s="968" t="s">
        <v>2946</v>
      </c>
      <c r="C160" s="968" t="s">
        <v>1977</v>
      </c>
      <c r="D160" s="967" t="s">
        <v>2947</v>
      </c>
      <c r="E160" s="968"/>
      <c r="F160" s="968"/>
      <c r="G160" s="968"/>
      <c r="H160" s="968"/>
      <c r="I160" s="972" t="s">
        <v>2736</v>
      </c>
      <c r="J160" s="973"/>
      <c r="K160" s="966">
        <f>J157+J159</f>
        <v>834.28</v>
      </c>
      <c r="L160" s="966" t="s">
        <v>2919</v>
      </c>
      <c r="M160" s="966" t="s">
        <v>1009</v>
      </c>
      <c r="N160" s="966" t="s">
        <v>1009</v>
      </c>
      <c r="O160" s="966"/>
      <c r="P160" s="966"/>
      <c r="Q160" s="969"/>
      <c r="R160" s="970"/>
    </row>
    <row r="161" spans="1:18" ht="30" customHeight="1">
      <c r="A161" s="965"/>
      <c r="B161" s="968"/>
      <c r="C161" s="968"/>
      <c r="D161" s="975"/>
      <c r="E161" s="968"/>
      <c r="F161" s="968"/>
      <c r="G161" s="968"/>
      <c r="H161" s="968"/>
      <c r="I161" s="972"/>
      <c r="J161" s="973">
        <v>386.79899999999998</v>
      </c>
      <c r="K161" s="966"/>
      <c r="L161" s="966"/>
      <c r="M161" s="966"/>
      <c r="N161" s="966"/>
      <c r="O161" s="966"/>
      <c r="P161" s="966"/>
      <c r="Q161" s="1670"/>
      <c r="R161" s="970"/>
    </row>
    <row r="162" spans="1:18" ht="30" customHeight="1">
      <c r="A162" s="965">
        <f>A160+1</f>
        <v>78</v>
      </c>
      <c r="B162" s="968" t="s">
        <v>2272</v>
      </c>
      <c r="C162" s="968" t="s">
        <v>62</v>
      </c>
      <c r="D162" s="975"/>
      <c r="E162" s="968"/>
      <c r="F162" s="968"/>
      <c r="G162" s="968"/>
      <c r="H162" s="968"/>
      <c r="I162" s="972"/>
      <c r="J162" s="973"/>
      <c r="K162" s="966"/>
      <c r="L162" s="968" t="s">
        <v>1658</v>
      </c>
      <c r="M162" s="966"/>
      <c r="N162" s="966"/>
      <c r="O162" s="966"/>
      <c r="P162" s="966"/>
      <c r="Q162" s="1671"/>
      <c r="R162" s="970"/>
    </row>
    <row r="163" spans="1:18" ht="30" customHeight="1">
      <c r="A163" s="965"/>
      <c r="B163" s="968"/>
      <c r="C163" s="968"/>
      <c r="D163" s="975"/>
      <c r="E163" s="968"/>
      <c r="F163" s="968"/>
      <c r="G163" s="968"/>
      <c r="H163" s="968"/>
      <c r="I163" s="972"/>
      <c r="J163" s="973">
        <v>380.77</v>
      </c>
      <c r="K163" s="966"/>
      <c r="L163" s="966"/>
      <c r="M163" s="966"/>
      <c r="N163" s="966"/>
      <c r="O163" s="966"/>
      <c r="P163" s="966"/>
      <c r="Q163" s="1671"/>
      <c r="R163" s="970"/>
    </row>
    <row r="164" spans="1:18" ht="30" customHeight="1">
      <c r="A164" s="965">
        <f>A162+1</f>
        <v>79</v>
      </c>
      <c r="B164" s="1062" t="s">
        <v>3247</v>
      </c>
      <c r="C164" s="968" t="s">
        <v>62</v>
      </c>
      <c r="D164" s="975"/>
      <c r="E164" s="968"/>
      <c r="F164" s="968"/>
      <c r="G164" s="968"/>
      <c r="H164" s="968"/>
      <c r="I164" s="972" t="s">
        <v>1765</v>
      </c>
      <c r="J164" s="973"/>
      <c r="K164" s="966"/>
      <c r="L164" s="968" t="s">
        <v>2919</v>
      </c>
      <c r="M164" s="966" t="s">
        <v>1009</v>
      </c>
      <c r="N164" s="966" t="s">
        <v>1009</v>
      </c>
      <c r="O164" s="974" t="s">
        <v>1009</v>
      </c>
      <c r="P164" s="966"/>
      <c r="Q164" s="1671"/>
      <c r="R164" s="970"/>
    </row>
    <row r="165" spans="1:18" ht="30" customHeight="1">
      <c r="A165" s="965"/>
      <c r="B165" s="968"/>
      <c r="C165" s="968"/>
      <c r="D165" s="975"/>
      <c r="E165" s="968"/>
      <c r="F165" s="968"/>
      <c r="G165" s="968"/>
      <c r="H165" s="968"/>
      <c r="I165" s="972"/>
      <c r="J165" s="973">
        <v>421.31400000000002</v>
      </c>
      <c r="K165" s="966"/>
      <c r="L165" s="966"/>
      <c r="M165" s="966"/>
      <c r="N165" s="966"/>
      <c r="O165" s="966"/>
      <c r="P165" s="966"/>
      <c r="Q165" s="1672"/>
      <c r="R165" s="970"/>
    </row>
    <row r="166" spans="1:18" ht="30" customHeight="1">
      <c r="A166" s="965">
        <f>A164+1</f>
        <v>80</v>
      </c>
      <c r="B166" s="968" t="s">
        <v>2948</v>
      </c>
      <c r="C166" s="968" t="s">
        <v>2197</v>
      </c>
      <c r="D166" s="967" t="s">
        <v>2949</v>
      </c>
      <c r="E166" s="968"/>
      <c r="F166" s="968"/>
      <c r="G166" s="968"/>
      <c r="H166" s="968"/>
      <c r="I166" s="972" t="s">
        <v>2736</v>
      </c>
      <c r="J166" s="973"/>
      <c r="K166" s="966">
        <f>J161+J163+J165</f>
        <v>1188.883</v>
      </c>
      <c r="L166" s="966" t="s">
        <v>2919</v>
      </c>
      <c r="M166" s="966" t="s">
        <v>1009</v>
      </c>
      <c r="N166" s="966"/>
      <c r="O166" s="966"/>
      <c r="P166" s="966"/>
      <c r="Q166" s="969"/>
      <c r="R166" s="970"/>
    </row>
    <row r="167" spans="1:18" ht="57.6" customHeight="1">
      <c r="A167" s="965"/>
      <c r="B167" s="968"/>
      <c r="C167" s="968"/>
      <c r="D167" s="979"/>
      <c r="E167" s="968"/>
      <c r="F167" s="968"/>
      <c r="G167" s="968"/>
      <c r="H167" s="968"/>
      <c r="I167" s="972"/>
      <c r="J167" s="973">
        <v>211.06299999999999</v>
      </c>
      <c r="K167" s="966"/>
      <c r="L167" s="966"/>
      <c r="M167" s="966"/>
      <c r="N167" s="966"/>
      <c r="O167" s="966"/>
      <c r="P167" s="966"/>
      <c r="Q167" s="969"/>
      <c r="R167" s="980" t="s">
        <v>2950</v>
      </c>
    </row>
    <row r="168" spans="1:18" ht="30" customHeight="1">
      <c r="A168" s="965">
        <f>A166+1</f>
        <v>81</v>
      </c>
      <c r="B168" s="968" t="s">
        <v>2951</v>
      </c>
      <c r="C168" s="968" t="s">
        <v>1988</v>
      </c>
      <c r="D168" s="967" t="s">
        <v>2311</v>
      </c>
      <c r="E168" s="968"/>
      <c r="F168" s="968"/>
      <c r="G168" s="968"/>
      <c r="H168" s="968"/>
      <c r="I168" s="972" t="s">
        <v>2736</v>
      </c>
      <c r="J168" s="973"/>
      <c r="K168" s="966"/>
      <c r="L168" s="966" t="s">
        <v>2919</v>
      </c>
      <c r="M168" s="966" t="s">
        <v>1009</v>
      </c>
      <c r="N168" s="966"/>
      <c r="O168" s="966"/>
      <c r="P168" s="966"/>
      <c r="Q168" s="969"/>
      <c r="R168" s="970"/>
    </row>
    <row r="169" spans="1:18" ht="30" customHeight="1">
      <c r="A169" s="965"/>
      <c r="B169" s="968"/>
      <c r="C169" s="968"/>
      <c r="D169" s="975"/>
      <c r="E169" s="968"/>
      <c r="F169" s="968"/>
      <c r="G169" s="968"/>
      <c r="H169" s="968"/>
      <c r="I169" s="972"/>
      <c r="J169" s="973">
        <v>385.10300000000001</v>
      </c>
      <c r="K169" s="966"/>
      <c r="L169" s="966"/>
      <c r="M169" s="966"/>
      <c r="N169" s="966"/>
      <c r="O169" s="966"/>
      <c r="P169" s="966"/>
      <c r="Q169" s="1670"/>
      <c r="R169" s="970"/>
    </row>
    <row r="170" spans="1:18" ht="30" customHeight="1">
      <c r="A170" s="965">
        <f>A168+1</f>
        <v>82</v>
      </c>
      <c r="B170" s="1062" t="s">
        <v>2851</v>
      </c>
      <c r="C170" s="968" t="s">
        <v>62</v>
      </c>
      <c r="D170" s="975"/>
      <c r="E170" s="968"/>
      <c r="F170" s="968"/>
      <c r="G170" s="968"/>
      <c r="H170" s="968"/>
      <c r="I170" s="972" t="s">
        <v>1765</v>
      </c>
      <c r="J170" s="973"/>
      <c r="K170" s="966"/>
      <c r="L170" s="966" t="s">
        <v>2919</v>
      </c>
      <c r="M170" s="966" t="s">
        <v>1009</v>
      </c>
      <c r="N170" s="966" t="s">
        <v>1009</v>
      </c>
      <c r="O170" s="974" t="s">
        <v>1009</v>
      </c>
      <c r="P170" s="966"/>
      <c r="Q170" s="1671"/>
      <c r="R170" s="970"/>
    </row>
    <row r="171" spans="1:18" ht="30" customHeight="1">
      <c r="A171" s="965"/>
      <c r="B171" s="968"/>
      <c r="C171" s="968"/>
      <c r="D171" s="975"/>
      <c r="E171" s="968"/>
      <c r="F171" s="968"/>
      <c r="G171" s="968"/>
      <c r="H171" s="968"/>
      <c r="I171" s="972"/>
      <c r="J171" s="973">
        <v>233.126</v>
      </c>
      <c r="K171" s="966"/>
      <c r="L171" s="966"/>
      <c r="M171" s="966"/>
      <c r="N171" s="966"/>
      <c r="O171" s="966"/>
      <c r="P171" s="966"/>
      <c r="Q171" s="1672"/>
      <c r="R171" s="970"/>
    </row>
    <row r="172" spans="1:18" ht="30" customHeight="1">
      <c r="A172" s="965">
        <f>A170+1</f>
        <v>83</v>
      </c>
      <c r="B172" s="968" t="s">
        <v>2867</v>
      </c>
      <c r="C172" s="968" t="s">
        <v>1319</v>
      </c>
      <c r="D172" s="967" t="s">
        <v>2312</v>
      </c>
      <c r="E172" s="968"/>
      <c r="F172" s="968"/>
      <c r="G172" s="968"/>
      <c r="H172" s="968"/>
      <c r="I172" s="972" t="s">
        <v>1765</v>
      </c>
      <c r="J172" s="973"/>
      <c r="K172" s="966"/>
      <c r="L172" s="966" t="s">
        <v>2919</v>
      </c>
      <c r="M172" s="966" t="s">
        <v>1009</v>
      </c>
      <c r="N172" s="966" t="s">
        <v>1009</v>
      </c>
      <c r="O172" s="966" t="s">
        <v>1009</v>
      </c>
      <c r="P172" s="966"/>
      <c r="Q172" s="969"/>
      <c r="R172" s="970"/>
    </row>
    <row r="173" spans="1:18" ht="30" customHeight="1">
      <c r="A173" s="965"/>
      <c r="B173" s="968"/>
      <c r="C173" s="968"/>
      <c r="D173" s="975"/>
      <c r="E173" s="968"/>
      <c r="F173" s="968"/>
      <c r="G173" s="968"/>
      <c r="H173" s="968"/>
      <c r="I173" s="972"/>
      <c r="J173" s="973">
        <v>411.24</v>
      </c>
      <c r="K173" s="966"/>
      <c r="L173" s="966"/>
      <c r="M173" s="966"/>
      <c r="N173" s="966"/>
      <c r="O173" s="966"/>
      <c r="P173" s="966"/>
      <c r="Q173" s="1670"/>
      <c r="R173" s="970"/>
    </row>
    <row r="174" spans="1:18" ht="30" customHeight="1">
      <c r="A174" s="1012">
        <f>A172+1</f>
        <v>84</v>
      </c>
      <c r="B174" s="1062" t="s">
        <v>2724</v>
      </c>
      <c r="C174" s="968" t="s">
        <v>62</v>
      </c>
      <c r="D174" s="979"/>
      <c r="E174" s="968"/>
      <c r="F174" s="968"/>
      <c r="G174" s="968"/>
      <c r="H174" s="968"/>
      <c r="I174" s="972" t="s">
        <v>1765</v>
      </c>
      <c r="J174" s="972"/>
      <c r="K174" s="981">
        <f>J167+J169+J171+J173</f>
        <v>1240.5319999999999</v>
      </c>
      <c r="L174" s="968" t="s">
        <v>2919</v>
      </c>
      <c r="M174" s="966" t="s">
        <v>1009</v>
      </c>
      <c r="N174" s="968"/>
      <c r="O174" s="974" t="s">
        <v>1009</v>
      </c>
      <c r="P174" s="968"/>
      <c r="Q174" s="1673"/>
      <c r="R174" s="1033"/>
    </row>
    <row r="175" spans="1:18" ht="30" customHeight="1">
      <c r="A175" s="965"/>
      <c r="B175" s="968"/>
      <c r="C175" s="968"/>
      <c r="D175" s="975"/>
      <c r="E175" s="968"/>
      <c r="F175" s="968"/>
      <c r="G175" s="968"/>
      <c r="H175" s="968"/>
      <c r="I175" s="972"/>
      <c r="J175" s="973">
        <v>320.97899999999998</v>
      </c>
      <c r="K175" s="966"/>
      <c r="L175" s="966"/>
      <c r="M175" s="966"/>
      <c r="N175" s="966"/>
      <c r="O175" s="966"/>
      <c r="P175" s="966"/>
      <c r="Q175" s="1671"/>
      <c r="R175" s="970"/>
    </row>
    <row r="176" spans="1:18" ht="30" customHeight="1">
      <c r="A176" s="965">
        <f>A174+1</f>
        <v>85</v>
      </c>
      <c r="B176" s="1062" t="s">
        <v>3243</v>
      </c>
      <c r="C176" s="968" t="s">
        <v>76</v>
      </c>
      <c r="D176" s="975"/>
      <c r="E176" s="968"/>
      <c r="F176" s="968"/>
      <c r="G176" s="968"/>
      <c r="H176" s="968"/>
      <c r="I176" s="972" t="s">
        <v>1765</v>
      </c>
      <c r="J176" s="973"/>
      <c r="K176" s="982">
        <f>J175</f>
        <v>320.97899999999998</v>
      </c>
      <c r="L176" s="982" t="s">
        <v>2919</v>
      </c>
      <c r="M176" s="966" t="s">
        <v>1009</v>
      </c>
      <c r="N176" s="966" t="s">
        <v>1009</v>
      </c>
      <c r="O176" s="974" t="s">
        <v>1009</v>
      </c>
      <c r="P176" s="982"/>
      <c r="Q176" s="1671"/>
      <c r="R176" s="983"/>
    </row>
    <row r="177" spans="1:18" ht="30" customHeight="1">
      <c r="A177" s="965"/>
      <c r="B177" s="968"/>
      <c r="C177" s="968"/>
      <c r="D177" s="975"/>
      <c r="E177" s="968"/>
      <c r="F177" s="968"/>
      <c r="G177" s="968"/>
      <c r="H177" s="968"/>
      <c r="I177" s="972"/>
      <c r="J177" s="973">
        <v>448.791</v>
      </c>
      <c r="K177" s="966"/>
      <c r="L177" s="966"/>
      <c r="M177" s="966"/>
      <c r="N177" s="966"/>
      <c r="O177" s="966"/>
      <c r="P177" s="966"/>
      <c r="Q177" s="1672"/>
      <c r="R177" s="970"/>
    </row>
    <row r="178" spans="1:18" ht="30" customHeight="1">
      <c r="A178" s="965">
        <f>A176+1</f>
        <v>86</v>
      </c>
      <c r="B178" s="968" t="s">
        <v>2952</v>
      </c>
      <c r="C178" s="968" t="s">
        <v>1988</v>
      </c>
      <c r="D178" s="967" t="s">
        <v>2313</v>
      </c>
      <c r="E178" s="968"/>
      <c r="F178" s="968"/>
      <c r="G178" s="968"/>
      <c r="H178" s="968"/>
      <c r="I178" s="972" t="s">
        <v>2736</v>
      </c>
      <c r="J178" s="973"/>
      <c r="K178" s="966"/>
      <c r="L178" s="966" t="s">
        <v>2919</v>
      </c>
      <c r="M178" s="966" t="s">
        <v>1009</v>
      </c>
      <c r="N178" s="966" t="s">
        <v>1009</v>
      </c>
      <c r="O178" s="966"/>
      <c r="P178" s="966"/>
      <c r="Q178" s="969"/>
      <c r="R178" s="970"/>
    </row>
    <row r="179" spans="1:18" ht="30" customHeight="1">
      <c r="A179" s="965"/>
      <c r="B179" s="968"/>
      <c r="C179" s="968"/>
      <c r="D179" s="979"/>
      <c r="E179" s="968"/>
      <c r="F179" s="968"/>
      <c r="G179" s="968"/>
      <c r="H179" s="968"/>
      <c r="I179" s="972"/>
      <c r="J179" s="973">
        <v>247.685</v>
      </c>
      <c r="K179" s="966"/>
      <c r="L179" s="966"/>
      <c r="M179" s="966"/>
      <c r="N179" s="966"/>
      <c r="O179" s="966"/>
      <c r="P179" s="966"/>
      <c r="Q179" s="969"/>
      <c r="R179" s="976" t="s">
        <v>2953</v>
      </c>
    </row>
    <row r="180" spans="1:18" ht="30" customHeight="1">
      <c r="A180" s="965">
        <f>A178+1</f>
        <v>87</v>
      </c>
      <c r="B180" s="968" t="s">
        <v>2954</v>
      </c>
      <c r="C180" s="1013" t="s">
        <v>1988</v>
      </c>
      <c r="D180" s="967" t="s">
        <v>2314</v>
      </c>
      <c r="E180" s="968"/>
      <c r="F180" s="968"/>
      <c r="G180" s="968"/>
      <c r="H180" s="968"/>
      <c r="I180" s="972" t="s">
        <v>2736</v>
      </c>
      <c r="J180" s="973"/>
      <c r="K180" s="966"/>
      <c r="L180" s="966" t="s">
        <v>2919</v>
      </c>
      <c r="M180" s="966" t="s">
        <v>1009</v>
      </c>
      <c r="N180" s="966" t="s">
        <v>1009</v>
      </c>
      <c r="O180" s="966"/>
      <c r="P180" s="966"/>
      <c r="Q180" s="969"/>
      <c r="R180" s="970"/>
    </row>
    <row r="181" spans="1:18" ht="30" customHeight="1">
      <c r="A181" s="965"/>
      <c r="B181" s="968"/>
      <c r="C181" s="968"/>
      <c r="D181" s="975"/>
      <c r="E181" s="968"/>
      <c r="F181" s="968"/>
      <c r="G181" s="968"/>
      <c r="H181" s="968"/>
      <c r="I181" s="972"/>
      <c r="J181" s="973">
        <v>360.87799999999999</v>
      </c>
      <c r="K181" s="966"/>
      <c r="L181" s="966"/>
      <c r="M181" s="966"/>
      <c r="N181" s="966"/>
      <c r="O181" s="966"/>
      <c r="P181" s="966"/>
      <c r="Q181" s="1670"/>
      <c r="R181" s="970"/>
    </row>
    <row r="182" spans="1:18" ht="30" customHeight="1">
      <c r="A182" s="965">
        <f>A180+1</f>
        <v>88</v>
      </c>
      <c r="B182" s="1062" t="s">
        <v>2871</v>
      </c>
      <c r="C182" s="968" t="s">
        <v>62</v>
      </c>
      <c r="D182" s="975"/>
      <c r="E182" s="968"/>
      <c r="F182" s="968"/>
      <c r="G182" s="968"/>
      <c r="H182" s="968"/>
      <c r="I182" s="972" t="s">
        <v>1765</v>
      </c>
      <c r="J182" s="973"/>
      <c r="K182" s="966"/>
      <c r="L182" s="966" t="s">
        <v>2919</v>
      </c>
      <c r="M182" s="966" t="s">
        <v>1009</v>
      </c>
      <c r="N182" s="966" t="s">
        <v>1009</v>
      </c>
      <c r="O182" s="974" t="s">
        <v>1009</v>
      </c>
      <c r="P182" s="966"/>
      <c r="Q182" s="1671"/>
      <c r="R182" s="970"/>
    </row>
    <row r="183" spans="1:18" ht="30" customHeight="1">
      <c r="A183" s="965"/>
      <c r="B183" s="968"/>
      <c r="C183" s="968"/>
      <c r="D183" s="975"/>
      <c r="E183" s="968"/>
      <c r="F183" s="968"/>
      <c r="G183" s="968"/>
      <c r="H183" s="968"/>
      <c r="I183" s="972"/>
      <c r="J183" s="973">
        <v>415.64299999999997</v>
      </c>
      <c r="K183" s="966"/>
      <c r="L183" s="966"/>
      <c r="M183" s="966"/>
      <c r="N183" s="966"/>
      <c r="O183" s="966"/>
      <c r="P183" s="966"/>
      <c r="Q183" s="1671"/>
      <c r="R183" s="970"/>
    </row>
    <row r="184" spans="1:18" ht="30" customHeight="1">
      <c r="A184" s="965">
        <f>A182+1</f>
        <v>89</v>
      </c>
      <c r="B184" s="968" t="s">
        <v>2847</v>
      </c>
      <c r="C184" s="968" t="s">
        <v>53</v>
      </c>
      <c r="D184" s="975"/>
      <c r="E184" s="968"/>
      <c r="F184" s="968"/>
      <c r="G184" s="968"/>
      <c r="H184" s="968"/>
      <c r="I184" s="972" t="s">
        <v>1765</v>
      </c>
      <c r="J184" s="973"/>
      <c r="K184" s="982">
        <f>J177+J179+J181+J183</f>
        <v>1472.9970000000001</v>
      </c>
      <c r="L184" s="966" t="s">
        <v>2919</v>
      </c>
      <c r="M184" s="966" t="s">
        <v>1009</v>
      </c>
      <c r="N184" s="982"/>
      <c r="O184" s="974" t="s">
        <v>1009</v>
      </c>
      <c r="P184" s="982"/>
      <c r="Q184" s="1671"/>
      <c r="R184" s="983"/>
    </row>
    <row r="185" spans="1:18" ht="30" customHeight="1">
      <c r="A185" s="965"/>
      <c r="B185" s="968"/>
      <c r="C185" s="968"/>
      <c r="D185" s="975"/>
      <c r="E185" s="968"/>
      <c r="F185" s="968"/>
      <c r="G185" s="968"/>
      <c r="H185" s="968"/>
      <c r="I185" s="972"/>
      <c r="J185" s="973">
        <v>379.75099999999998</v>
      </c>
      <c r="K185" s="966"/>
      <c r="L185" s="966"/>
      <c r="M185" s="966"/>
      <c r="N185" s="966"/>
      <c r="O185" s="966"/>
      <c r="P185" s="966"/>
      <c r="Q185" s="1671"/>
      <c r="R185" s="970"/>
    </row>
    <row r="186" spans="1:18" ht="30" customHeight="1">
      <c r="A186" s="965">
        <f>A184+1</f>
        <v>90</v>
      </c>
      <c r="B186" s="968" t="s">
        <v>2842</v>
      </c>
      <c r="C186" s="968" t="s">
        <v>76</v>
      </c>
      <c r="D186" s="975"/>
      <c r="E186" s="968"/>
      <c r="F186" s="968"/>
      <c r="G186" s="968"/>
      <c r="H186" s="968"/>
      <c r="I186" s="972" t="s">
        <v>1765</v>
      </c>
      <c r="J186" s="973"/>
      <c r="K186" s="966"/>
      <c r="L186" s="966" t="s">
        <v>2919</v>
      </c>
      <c r="M186" s="966" t="s">
        <v>1009</v>
      </c>
      <c r="N186" s="966"/>
      <c r="O186" s="974" t="s">
        <v>1009</v>
      </c>
      <c r="P186" s="966"/>
      <c r="Q186" s="1671"/>
      <c r="R186" s="970"/>
    </row>
    <row r="187" spans="1:18" ht="30" customHeight="1">
      <c r="A187" s="965"/>
      <c r="B187" s="968"/>
      <c r="C187" s="968"/>
      <c r="D187" s="975"/>
      <c r="E187" s="968"/>
      <c r="F187" s="968"/>
      <c r="G187" s="968"/>
      <c r="H187" s="968"/>
      <c r="I187" s="972"/>
      <c r="J187" s="973">
        <v>298.88400000000001</v>
      </c>
      <c r="K187" s="966"/>
      <c r="L187" s="966"/>
      <c r="M187" s="966"/>
      <c r="N187" s="966"/>
      <c r="O187" s="966"/>
      <c r="P187" s="966"/>
      <c r="Q187" s="1672"/>
      <c r="R187" s="970"/>
    </row>
    <row r="188" spans="1:18" ht="30" customHeight="1">
      <c r="A188" s="965">
        <f>A186+1</f>
        <v>91</v>
      </c>
      <c r="B188" s="968" t="s">
        <v>2955</v>
      </c>
      <c r="C188" s="968" t="s">
        <v>1277</v>
      </c>
      <c r="D188" s="967" t="s">
        <v>2956</v>
      </c>
      <c r="E188" s="968"/>
      <c r="F188" s="968"/>
      <c r="G188" s="968"/>
      <c r="H188" s="968"/>
      <c r="I188" s="972" t="s">
        <v>1765</v>
      </c>
      <c r="J188" s="973"/>
      <c r="K188" s="966"/>
      <c r="L188" s="966" t="s">
        <v>2919</v>
      </c>
      <c r="M188" s="966" t="s">
        <v>1009</v>
      </c>
      <c r="N188" s="966" t="s">
        <v>1009</v>
      </c>
      <c r="O188" s="974" t="s">
        <v>1009</v>
      </c>
      <c r="P188" s="966"/>
      <c r="Q188" s="969"/>
      <c r="R188" s="970"/>
    </row>
    <row r="189" spans="1:18" ht="30" customHeight="1">
      <c r="A189" s="965"/>
      <c r="B189" s="968"/>
      <c r="C189" s="968"/>
      <c r="D189" s="975"/>
      <c r="E189" s="968"/>
      <c r="F189" s="968"/>
      <c r="G189" s="968"/>
      <c r="H189" s="968"/>
      <c r="I189" s="972"/>
      <c r="J189" s="973">
        <v>314.66399999999999</v>
      </c>
      <c r="K189" s="966"/>
      <c r="L189" s="966"/>
      <c r="M189" s="966"/>
      <c r="N189" s="966"/>
      <c r="O189" s="966"/>
      <c r="P189" s="966"/>
      <c r="Q189" s="1670"/>
      <c r="R189" s="970"/>
    </row>
    <row r="190" spans="1:18" ht="30" customHeight="1">
      <c r="A190" s="965">
        <f>A188+1</f>
        <v>92</v>
      </c>
      <c r="B190" s="1062" t="s">
        <v>2852</v>
      </c>
      <c r="C190" s="968" t="s">
        <v>76</v>
      </c>
      <c r="D190" s="975"/>
      <c r="E190" s="968"/>
      <c r="F190" s="968"/>
      <c r="G190" s="968"/>
      <c r="H190" s="968"/>
      <c r="I190" s="972" t="s">
        <v>1765</v>
      </c>
      <c r="J190" s="973"/>
      <c r="K190" s="966"/>
      <c r="L190" s="966" t="s">
        <v>2919</v>
      </c>
      <c r="M190" s="966" t="s">
        <v>1009</v>
      </c>
      <c r="N190" s="966" t="s">
        <v>1009</v>
      </c>
      <c r="O190" s="974" t="s">
        <v>1009</v>
      </c>
      <c r="P190" s="966"/>
      <c r="Q190" s="1671"/>
      <c r="R190" s="970"/>
    </row>
    <row r="191" spans="1:18" ht="30" customHeight="1">
      <c r="A191" s="965"/>
      <c r="B191" s="968"/>
      <c r="C191" s="968"/>
      <c r="D191" s="975"/>
      <c r="E191" s="968"/>
      <c r="F191" s="968"/>
      <c r="G191" s="968"/>
      <c r="H191" s="968"/>
      <c r="I191" s="972"/>
      <c r="J191" s="973">
        <v>301.75700000000001</v>
      </c>
      <c r="K191" s="966"/>
      <c r="L191" s="966"/>
      <c r="M191" s="966"/>
      <c r="N191" s="966"/>
      <c r="O191" s="966"/>
      <c r="P191" s="966"/>
      <c r="Q191" s="1671"/>
      <c r="R191" s="970"/>
    </row>
    <row r="192" spans="1:18" ht="30" customHeight="1">
      <c r="A192" s="965">
        <f>A190+1</f>
        <v>93</v>
      </c>
      <c r="B192" s="968" t="s">
        <v>2859</v>
      </c>
      <c r="C192" s="968" t="s">
        <v>76</v>
      </c>
      <c r="D192" s="975"/>
      <c r="E192" s="968"/>
      <c r="F192" s="968"/>
      <c r="G192" s="968"/>
      <c r="H192" s="968"/>
      <c r="I192" s="972" t="s">
        <v>1765</v>
      </c>
      <c r="J192" s="973"/>
      <c r="K192" s="966"/>
      <c r="L192" s="966" t="s">
        <v>2919</v>
      </c>
      <c r="M192" s="966" t="s">
        <v>1009</v>
      </c>
      <c r="N192" s="966"/>
      <c r="O192" s="974" t="s">
        <v>1009</v>
      </c>
      <c r="P192" s="966"/>
      <c r="Q192" s="1671"/>
      <c r="R192" s="970"/>
    </row>
    <row r="193" spans="1:18" ht="30" customHeight="1">
      <c r="A193" s="965"/>
      <c r="B193" s="968"/>
      <c r="C193" s="968"/>
      <c r="D193" s="975"/>
      <c r="E193" s="968"/>
      <c r="F193" s="968"/>
      <c r="G193" s="968"/>
      <c r="H193" s="968"/>
      <c r="I193" s="972"/>
      <c r="J193" s="973">
        <v>272.654</v>
      </c>
      <c r="K193" s="966"/>
      <c r="L193" s="966"/>
      <c r="M193" s="966"/>
      <c r="N193" s="966"/>
      <c r="O193" s="966"/>
      <c r="P193" s="966"/>
      <c r="Q193" s="1672"/>
      <c r="R193" s="970"/>
    </row>
    <row r="194" spans="1:18" ht="30" customHeight="1">
      <c r="A194" s="965">
        <f>A192+1</f>
        <v>94</v>
      </c>
      <c r="B194" s="968" t="s">
        <v>2957</v>
      </c>
      <c r="C194" s="968" t="s">
        <v>1269</v>
      </c>
      <c r="D194" s="967" t="s">
        <v>2316</v>
      </c>
      <c r="E194" s="968"/>
      <c r="F194" s="968"/>
      <c r="G194" s="968"/>
      <c r="H194" s="968"/>
      <c r="I194" s="972" t="s">
        <v>1765</v>
      </c>
      <c r="J194" s="973"/>
      <c r="K194" s="982">
        <f>J185+J187+J189+J191+J193</f>
        <v>1567.71</v>
      </c>
      <c r="L194" s="982" t="s">
        <v>2919</v>
      </c>
      <c r="M194" s="966" t="s">
        <v>1009</v>
      </c>
      <c r="N194" s="966" t="s">
        <v>1009</v>
      </c>
      <c r="O194" s="974" t="s">
        <v>1009</v>
      </c>
      <c r="P194" s="982"/>
      <c r="Q194" s="969"/>
      <c r="R194" s="983"/>
    </row>
    <row r="195" spans="1:18" ht="30" customHeight="1">
      <c r="A195" s="965"/>
      <c r="B195" s="968"/>
      <c r="C195" s="968"/>
      <c r="D195" s="975"/>
      <c r="E195" s="968"/>
      <c r="F195" s="968"/>
      <c r="G195" s="968"/>
      <c r="H195" s="968"/>
      <c r="I195" s="972"/>
      <c r="J195" s="973">
        <v>411.54199999999997</v>
      </c>
      <c r="K195" s="966"/>
      <c r="L195" s="966"/>
      <c r="M195" s="966"/>
      <c r="N195" s="966"/>
      <c r="O195" s="966"/>
      <c r="P195" s="966"/>
      <c r="Q195" s="969"/>
      <c r="R195" s="970"/>
    </row>
    <row r="196" spans="1:18" ht="30" customHeight="1">
      <c r="A196" s="965">
        <f>A194+1</f>
        <v>95</v>
      </c>
      <c r="B196" s="968" t="s">
        <v>2958</v>
      </c>
      <c r="C196" s="968" t="s">
        <v>1361</v>
      </c>
      <c r="D196" s="967" t="s">
        <v>2959</v>
      </c>
      <c r="E196" s="968"/>
      <c r="F196" s="968"/>
      <c r="G196" s="968"/>
      <c r="H196" s="968"/>
      <c r="I196" s="972" t="s">
        <v>1765</v>
      </c>
      <c r="J196" s="973"/>
      <c r="K196" s="966"/>
      <c r="L196" s="966" t="s">
        <v>2919</v>
      </c>
      <c r="M196" s="966" t="s">
        <v>1009</v>
      </c>
      <c r="N196" s="966" t="s">
        <v>1009</v>
      </c>
      <c r="O196" s="974" t="s">
        <v>1009</v>
      </c>
      <c r="P196" s="966"/>
      <c r="Q196" s="969"/>
      <c r="R196" s="970"/>
    </row>
    <row r="197" spans="1:18" ht="30" customHeight="1">
      <c r="A197" s="965"/>
      <c r="B197" s="968"/>
      <c r="C197" s="968"/>
      <c r="D197" s="975"/>
      <c r="E197" s="968"/>
      <c r="F197" s="968"/>
      <c r="G197" s="968"/>
      <c r="H197" s="968"/>
      <c r="I197" s="972"/>
      <c r="J197" s="973">
        <v>375.05399999999997</v>
      </c>
      <c r="K197" s="966"/>
      <c r="L197" s="966"/>
      <c r="M197" s="966"/>
      <c r="N197" s="966"/>
      <c r="O197" s="966"/>
      <c r="P197" s="966"/>
      <c r="Q197" s="1670"/>
      <c r="R197" s="970"/>
    </row>
    <row r="198" spans="1:18" ht="30" customHeight="1">
      <c r="A198" s="965">
        <f>A196+1</f>
        <v>96</v>
      </c>
      <c r="B198" s="1062" t="s">
        <v>3091</v>
      </c>
      <c r="C198" s="968" t="s">
        <v>76</v>
      </c>
      <c r="D198" s="975"/>
      <c r="E198" s="968"/>
      <c r="F198" s="968"/>
      <c r="G198" s="968"/>
      <c r="H198" s="968"/>
      <c r="I198" s="972" t="s">
        <v>1765</v>
      </c>
      <c r="J198" s="973"/>
      <c r="K198" s="966"/>
      <c r="L198" s="966" t="s">
        <v>2919</v>
      </c>
      <c r="M198" s="966" t="s">
        <v>1009</v>
      </c>
      <c r="N198" s="966" t="s">
        <v>1009</v>
      </c>
      <c r="O198" s="974" t="s">
        <v>1009</v>
      </c>
      <c r="P198" s="966"/>
      <c r="Q198" s="1671"/>
      <c r="R198" s="970"/>
    </row>
    <row r="199" spans="1:18" ht="30" customHeight="1">
      <c r="A199" s="965"/>
      <c r="B199" s="968"/>
      <c r="C199" s="968"/>
      <c r="D199" s="975"/>
      <c r="E199" s="968"/>
      <c r="F199" s="968"/>
      <c r="G199" s="968"/>
      <c r="H199" s="968"/>
      <c r="I199" s="972"/>
      <c r="J199" s="973">
        <v>357.80099999999999</v>
      </c>
      <c r="K199" s="966"/>
      <c r="L199" s="966"/>
      <c r="M199" s="966"/>
      <c r="N199" s="966"/>
      <c r="O199" s="966"/>
      <c r="P199" s="966"/>
      <c r="Q199" s="1671"/>
      <c r="R199" s="970"/>
    </row>
    <row r="200" spans="1:18" ht="30" customHeight="1">
      <c r="A200" s="965">
        <f>A198+1</f>
        <v>97</v>
      </c>
      <c r="B200" s="1062" t="s">
        <v>2858</v>
      </c>
      <c r="C200" s="968" t="s">
        <v>76</v>
      </c>
      <c r="D200" s="975"/>
      <c r="E200" s="968"/>
      <c r="F200" s="968"/>
      <c r="G200" s="968"/>
      <c r="H200" s="968"/>
      <c r="I200" s="972" t="s">
        <v>1765</v>
      </c>
      <c r="J200" s="973"/>
      <c r="K200" s="966"/>
      <c r="L200" s="966" t="s">
        <v>2919</v>
      </c>
      <c r="M200" s="966" t="s">
        <v>1009</v>
      </c>
      <c r="N200" s="966" t="s">
        <v>1009</v>
      </c>
      <c r="O200" s="974" t="s">
        <v>1009</v>
      </c>
      <c r="P200" s="966"/>
      <c r="Q200" s="1671"/>
      <c r="R200" s="970"/>
    </row>
    <row r="201" spans="1:18" ht="30" customHeight="1">
      <c r="A201" s="965"/>
      <c r="B201" s="968"/>
      <c r="C201" s="968"/>
      <c r="D201" s="975"/>
      <c r="E201" s="968"/>
      <c r="F201" s="968"/>
      <c r="G201" s="968"/>
      <c r="H201" s="968"/>
      <c r="I201" s="972"/>
      <c r="J201" s="973">
        <v>338.209</v>
      </c>
      <c r="K201" s="966"/>
      <c r="L201" s="966"/>
      <c r="M201" s="966"/>
      <c r="N201" s="966"/>
      <c r="O201" s="966"/>
      <c r="P201" s="966"/>
      <c r="Q201" s="1671"/>
      <c r="R201" s="970"/>
    </row>
    <row r="202" spans="1:18" ht="30" customHeight="1">
      <c r="A202" s="965">
        <f>A200+1</f>
        <v>98</v>
      </c>
      <c r="B202" s="1062" t="s">
        <v>2869</v>
      </c>
      <c r="C202" s="968" t="s">
        <v>76</v>
      </c>
      <c r="D202" s="975"/>
      <c r="E202" s="968"/>
      <c r="F202" s="968"/>
      <c r="G202" s="968"/>
      <c r="H202" s="968"/>
      <c r="I202" s="972" t="s">
        <v>1765</v>
      </c>
      <c r="J202" s="973"/>
      <c r="K202" s="982">
        <f>J195+J197+J199+J201</f>
        <v>1482.606</v>
      </c>
      <c r="L202" s="966" t="s">
        <v>2919</v>
      </c>
      <c r="M202" s="966" t="s">
        <v>1009</v>
      </c>
      <c r="N202" s="966" t="s">
        <v>1009</v>
      </c>
      <c r="O202" s="974" t="s">
        <v>1009</v>
      </c>
      <c r="P202" s="982"/>
      <c r="Q202" s="1671"/>
      <c r="R202" s="983"/>
    </row>
    <row r="203" spans="1:18" ht="30" customHeight="1">
      <c r="A203" s="965"/>
      <c r="B203" s="968"/>
      <c r="C203" s="968"/>
      <c r="D203" s="975"/>
      <c r="E203" s="968"/>
      <c r="F203" s="968"/>
      <c r="G203" s="968"/>
      <c r="H203" s="968"/>
      <c r="I203" s="972"/>
      <c r="J203" s="973">
        <v>358.79300000000001</v>
      </c>
      <c r="K203" s="966"/>
      <c r="L203" s="966"/>
      <c r="M203" s="966"/>
      <c r="N203" s="966"/>
      <c r="O203" s="966"/>
      <c r="P203" s="966"/>
      <c r="Q203" s="1671"/>
      <c r="R203" s="970"/>
    </row>
    <row r="204" spans="1:18" ht="30" customHeight="1">
      <c r="A204" s="965">
        <f>A202+1</f>
        <v>99</v>
      </c>
      <c r="B204" s="1062" t="s">
        <v>3094</v>
      </c>
      <c r="C204" s="968" t="s">
        <v>76</v>
      </c>
      <c r="D204" s="975"/>
      <c r="E204" s="968"/>
      <c r="F204" s="968"/>
      <c r="G204" s="968"/>
      <c r="H204" s="968"/>
      <c r="I204" s="972" t="s">
        <v>1765</v>
      </c>
      <c r="J204" s="973"/>
      <c r="K204" s="966">
        <f>J193+J195+J197+J199+J201+J203</f>
        <v>2114.0529999999999</v>
      </c>
      <c r="L204" s="966" t="s">
        <v>2919</v>
      </c>
      <c r="M204" s="966" t="s">
        <v>1009</v>
      </c>
      <c r="N204" s="966" t="s">
        <v>1009</v>
      </c>
      <c r="O204" s="974" t="s">
        <v>1009</v>
      </c>
      <c r="P204" s="966"/>
      <c r="Q204" s="1671"/>
      <c r="R204" s="970"/>
    </row>
    <row r="205" spans="1:18" ht="30" customHeight="1">
      <c r="A205" s="965"/>
      <c r="B205" s="968"/>
      <c r="C205" s="968"/>
      <c r="D205" s="975"/>
      <c r="E205" s="968"/>
      <c r="F205" s="968"/>
      <c r="G205" s="968"/>
      <c r="H205" s="968"/>
      <c r="I205" s="972"/>
      <c r="J205" s="973">
        <v>321.16199999999998</v>
      </c>
      <c r="K205" s="966"/>
      <c r="L205" s="966"/>
      <c r="M205" s="966"/>
      <c r="N205" s="966"/>
      <c r="O205" s="966"/>
      <c r="P205" s="966"/>
      <c r="Q205" s="1672"/>
      <c r="R205" s="970"/>
    </row>
    <row r="206" spans="1:18" ht="30" customHeight="1">
      <c r="A206" s="965">
        <f>A204+1</f>
        <v>100</v>
      </c>
      <c r="B206" s="968" t="s">
        <v>2960</v>
      </c>
      <c r="C206" s="968" t="s">
        <v>1277</v>
      </c>
      <c r="D206" s="967" t="s">
        <v>2961</v>
      </c>
      <c r="E206" s="968"/>
      <c r="F206" s="968"/>
      <c r="G206" s="968"/>
      <c r="H206" s="968"/>
      <c r="I206" s="972" t="s">
        <v>1765</v>
      </c>
      <c r="J206" s="973"/>
      <c r="K206" s="966"/>
      <c r="L206" s="966" t="s">
        <v>2919</v>
      </c>
      <c r="M206" s="966" t="s">
        <v>1009</v>
      </c>
      <c r="N206" s="966" t="s">
        <v>1009</v>
      </c>
      <c r="O206" s="974" t="s">
        <v>1009</v>
      </c>
      <c r="P206" s="966"/>
      <c r="Q206" s="969"/>
      <c r="R206" s="970"/>
    </row>
    <row r="207" spans="1:18" ht="30" customHeight="1">
      <c r="A207" s="965"/>
      <c r="B207" s="968"/>
      <c r="C207" s="968"/>
      <c r="D207" s="975"/>
      <c r="E207" s="968"/>
      <c r="F207" s="968"/>
      <c r="G207" s="968"/>
      <c r="H207" s="968"/>
      <c r="I207" s="972"/>
      <c r="J207" s="973">
        <v>243.93600000000001</v>
      </c>
      <c r="K207" s="966"/>
      <c r="L207" s="966"/>
      <c r="M207" s="966"/>
      <c r="N207" s="966"/>
      <c r="O207" s="966"/>
      <c r="P207" s="966"/>
      <c r="Q207" s="969"/>
      <c r="R207" s="970"/>
    </row>
    <row r="208" spans="1:18" ht="30" customHeight="1">
      <c r="A208" s="965">
        <f>A206+1</f>
        <v>101</v>
      </c>
      <c r="B208" s="968" t="s">
        <v>2389</v>
      </c>
      <c r="C208" s="968" t="s">
        <v>1995</v>
      </c>
      <c r="D208" s="967" t="s">
        <v>2962</v>
      </c>
      <c r="E208" s="968"/>
      <c r="F208" s="968"/>
      <c r="G208" s="968"/>
      <c r="H208" s="968"/>
      <c r="I208" s="972" t="s">
        <v>1765</v>
      </c>
      <c r="J208" s="973"/>
      <c r="K208" s="982">
        <f>J203+J205+J207</f>
        <v>923.89099999999996</v>
      </c>
      <c r="L208" s="982" t="s">
        <v>2919</v>
      </c>
      <c r="M208" s="966" t="s">
        <v>1009</v>
      </c>
      <c r="N208" s="966" t="s">
        <v>1009</v>
      </c>
      <c r="O208" s="974" t="s">
        <v>1009</v>
      </c>
      <c r="P208" s="982"/>
      <c r="Q208" s="969"/>
      <c r="R208" s="983"/>
    </row>
    <row r="209" spans="1:18" ht="30" customHeight="1">
      <c r="A209" s="965"/>
      <c r="B209" s="968"/>
      <c r="C209" s="968"/>
      <c r="D209" s="975"/>
      <c r="E209" s="968"/>
      <c r="F209" s="968"/>
      <c r="G209" s="968"/>
      <c r="H209" s="968"/>
      <c r="I209" s="972"/>
      <c r="J209" s="973">
        <v>406.69200000000001</v>
      </c>
      <c r="K209" s="966"/>
      <c r="L209" s="966"/>
      <c r="M209" s="966"/>
      <c r="N209" s="966"/>
      <c r="O209" s="966"/>
      <c r="P209" s="966"/>
      <c r="Q209" s="1670"/>
      <c r="R209" s="970"/>
    </row>
    <row r="210" spans="1:18" ht="30" customHeight="1">
      <c r="A210" s="965">
        <f>A208+1</f>
        <v>102</v>
      </c>
      <c r="B210" s="1062" t="s">
        <v>2870</v>
      </c>
      <c r="C210" s="968" t="s">
        <v>76</v>
      </c>
      <c r="D210" s="975"/>
      <c r="E210" s="968"/>
      <c r="F210" s="968"/>
      <c r="G210" s="968"/>
      <c r="H210" s="968"/>
      <c r="I210" s="972" t="s">
        <v>1765</v>
      </c>
      <c r="J210" s="973"/>
      <c r="K210" s="966"/>
      <c r="L210" s="966" t="s">
        <v>2919</v>
      </c>
      <c r="M210" s="966" t="s">
        <v>1009</v>
      </c>
      <c r="N210" s="966" t="s">
        <v>1009</v>
      </c>
      <c r="O210" s="974" t="s">
        <v>1009</v>
      </c>
      <c r="P210" s="966"/>
      <c r="Q210" s="1671"/>
      <c r="R210" s="970"/>
    </row>
    <row r="211" spans="1:18" ht="30" customHeight="1">
      <c r="A211" s="965"/>
      <c r="B211" s="968"/>
      <c r="C211" s="968"/>
      <c r="D211" s="975"/>
      <c r="E211" s="968"/>
      <c r="F211" s="968"/>
      <c r="G211" s="968"/>
      <c r="H211" s="968"/>
      <c r="I211" s="972"/>
      <c r="J211" s="973">
        <v>387.95</v>
      </c>
      <c r="K211" s="966"/>
      <c r="L211" s="966"/>
      <c r="M211" s="966"/>
      <c r="N211" s="966"/>
      <c r="O211" s="966"/>
      <c r="P211" s="966"/>
      <c r="Q211" s="1671"/>
      <c r="R211" s="970"/>
    </row>
    <row r="212" spans="1:18" ht="30" customHeight="1">
      <c r="A212" s="965">
        <f>A210+1</f>
        <v>103</v>
      </c>
      <c r="B212" s="1062" t="s">
        <v>2860</v>
      </c>
      <c r="C212" s="968" t="s">
        <v>76</v>
      </c>
      <c r="D212" s="975"/>
      <c r="E212" s="968"/>
      <c r="F212" s="968"/>
      <c r="G212" s="968"/>
      <c r="H212" s="968"/>
      <c r="I212" s="972" t="s">
        <v>1765</v>
      </c>
      <c r="J212" s="973"/>
      <c r="K212" s="966"/>
      <c r="L212" s="966" t="s">
        <v>2919</v>
      </c>
      <c r="M212" s="966" t="s">
        <v>1009</v>
      </c>
      <c r="N212" s="966" t="s">
        <v>1009</v>
      </c>
      <c r="O212" s="974" t="s">
        <v>1009</v>
      </c>
      <c r="P212" s="966"/>
      <c r="Q212" s="1671"/>
      <c r="R212" s="970"/>
    </row>
    <row r="213" spans="1:18" ht="30" customHeight="1">
      <c r="A213" s="965"/>
      <c r="B213" s="968"/>
      <c r="C213" s="968"/>
      <c r="D213" s="975"/>
      <c r="E213" s="968"/>
      <c r="F213" s="968"/>
      <c r="G213" s="968"/>
      <c r="H213" s="968"/>
      <c r="I213" s="972"/>
      <c r="J213" s="973">
        <v>401.31700000000001</v>
      </c>
      <c r="K213" s="966"/>
      <c r="L213" s="966"/>
      <c r="M213" s="966"/>
      <c r="N213" s="966"/>
      <c r="O213" s="966"/>
      <c r="P213" s="966"/>
      <c r="Q213" s="1671"/>
      <c r="R213" s="970"/>
    </row>
    <row r="214" spans="1:18" ht="30" customHeight="1">
      <c r="A214" s="965">
        <f>A212+1</f>
        <v>104</v>
      </c>
      <c r="B214" s="1062" t="s">
        <v>3093</v>
      </c>
      <c r="C214" s="968" t="s">
        <v>62</v>
      </c>
      <c r="D214" s="975"/>
      <c r="E214" s="968"/>
      <c r="F214" s="968"/>
      <c r="G214" s="968"/>
      <c r="H214" s="968"/>
      <c r="I214" s="972" t="s">
        <v>1765</v>
      </c>
      <c r="J214" s="973"/>
      <c r="K214" s="966">
        <f>J203+J205+J207+J209+J211+J213</f>
        <v>2119.8500000000004</v>
      </c>
      <c r="L214" s="966" t="s">
        <v>2919</v>
      </c>
      <c r="M214" s="966" t="s">
        <v>1009</v>
      </c>
      <c r="N214" s="966" t="s">
        <v>1009</v>
      </c>
      <c r="O214" s="974" t="s">
        <v>1009</v>
      </c>
      <c r="P214" s="966"/>
      <c r="Q214" s="1671"/>
      <c r="R214" s="970"/>
    </row>
    <row r="215" spans="1:18" ht="30" customHeight="1">
      <c r="A215" s="965"/>
      <c r="B215" s="968"/>
      <c r="C215" s="968"/>
      <c r="D215" s="975"/>
      <c r="E215" s="968"/>
      <c r="F215" s="968"/>
      <c r="G215" s="968"/>
      <c r="H215" s="968"/>
      <c r="I215" s="972"/>
      <c r="J215" s="973">
        <v>419.63600000000002</v>
      </c>
      <c r="K215" s="966"/>
      <c r="L215" s="966"/>
      <c r="M215" s="966"/>
      <c r="N215" s="966"/>
      <c r="O215" s="966"/>
      <c r="P215" s="966"/>
      <c r="Q215" s="1672"/>
      <c r="R215" s="970"/>
    </row>
    <row r="216" spans="1:18" ht="30" customHeight="1">
      <c r="A216" s="965">
        <f>A214+1</f>
        <v>105</v>
      </c>
      <c r="B216" s="968" t="s">
        <v>2963</v>
      </c>
      <c r="C216" s="968" t="s">
        <v>90</v>
      </c>
      <c r="D216" s="967" t="s">
        <v>2964</v>
      </c>
      <c r="E216" s="968"/>
      <c r="F216" s="968"/>
      <c r="G216" s="968"/>
      <c r="H216" s="968"/>
      <c r="I216" s="972" t="s">
        <v>1765</v>
      </c>
      <c r="J216" s="973"/>
      <c r="K216" s="966"/>
      <c r="L216" s="966" t="s">
        <v>2919</v>
      </c>
      <c r="M216" s="966" t="s">
        <v>1009</v>
      </c>
      <c r="N216" s="966" t="s">
        <v>1009</v>
      </c>
      <c r="O216" s="974" t="s">
        <v>1009</v>
      </c>
      <c r="P216" s="966"/>
      <c r="Q216" s="969"/>
      <c r="R216" s="970"/>
    </row>
    <row r="217" spans="1:18" ht="30" customHeight="1">
      <c r="A217" s="965"/>
      <c r="B217" s="968"/>
      <c r="C217" s="968"/>
      <c r="D217" s="975"/>
      <c r="E217" s="968"/>
      <c r="F217" s="968"/>
      <c r="G217" s="968"/>
      <c r="H217" s="968"/>
      <c r="I217" s="972"/>
      <c r="J217" s="973">
        <v>369.14100000000002</v>
      </c>
      <c r="K217" s="966"/>
      <c r="L217" s="966"/>
      <c r="M217" s="966"/>
      <c r="N217" s="966"/>
      <c r="O217" s="966"/>
      <c r="P217" s="966"/>
      <c r="Q217" s="1670"/>
      <c r="R217" s="970"/>
    </row>
    <row r="218" spans="1:18" ht="30" customHeight="1">
      <c r="A218" s="965">
        <f>A216+1</f>
        <v>106</v>
      </c>
      <c r="B218" s="1062" t="s">
        <v>3108</v>
      </c>
      <c r="C218" s="968" t="s">
        <v>62</v>
      </c>
      <c r="D218" s="975"/>
      <c r="E218" s="968"/>
      <c r="F218" s="968"/>
      <c r="G218" s="968"/>
      <c r="H218" s="968"/>
      <c r="I218" s="972" t="s">
        <v>1765</v>
      </c>
      <c r="J218" s="973"/>
      <c r="K218" s="966"/>
      <c r="L218" s="966" t="s">
        <v>2919</v>
      </c>
      <c r="M218" s="966" t="s">
        <v>1009</v>
      </c>
      <c r="N218" s="966" t="s">
        <v>1009</v>
      </c>
      <c r="O218" s="974" t="s">
        <v>1009</v>
      </c>
      <c r="P218" s="966"/>
      <c r="Q218" s="1671"/>
      <c r="R218" s="970"/>
    </row>
    <row r="219" spans="1:18" ht="30" customHeight="1">
      <c r="A219" s="965"/>
      <c r="B219" s="12"/>
      <c r="C219" s="1163"/>
      <c r="D219" s="975"/>
      <c r="E219" s="968"/>
      <c r="F219" s="968"/>
      <c r="G219" s="968"/>
      <c r="H219" s="968"/>
      <c r="I219" s="972"/>
      <c r="J219" s="973">
        <v>280.435</v>
      </c>
      <c r="K219" s="966"/>
      <c r="L219" s="966"/>
      <c r="M219" s="966"/>
      <c r="N219" s="966"/>
      <c r="O219" s="966"/>
      <c r="P219" s="966"/>
      <c r="Q219" s="1672"/>
      <c r="R219" s="970"/>
    </row>
    <row r="220" spans="1:18" ht="30" customHeight="1">
      <c r="A220" s="965">
        <f>A218+1</f>
        <v>107</v>
      </c>
      <c r="B220" s="968" t="s">
        <v>2965</v>
      </c>
      <c r="C220" s="968" t="s">
        <v>1269</v>
      </c>
      <c r="D220" s="967" t="s">
        <v>2966</v>
      </c>
      <c r="E220" s="968"/>
      <c r="F220" s="968"/>
      <c r="G220" s="968"/>
      <c r="H220" s="968"/>
      <c r="I220" s="972" t="s">
        <v>1765</v>
      </c>
      <c r="J220" s="973"/>
      <c r="K220" s="982">
        <f>J209+J211+J213+J215+J217+J219</f>
        <v>2265.1710000000003</v>
      </c>
      <c r="L220" s="982" t="s">
        <v>2919</v>
      </c>
      <c r="M220" s="966" t="s">
        <v>1009</v>
      </c>
      <c r="N220" s="966" t="s">
        <v>1009</v>
      </c>
      <c r="O220" s="974" t="s">
        <v>1009</v>
      </c>
      <c r="P220" s="982"/>
      <c r="Q220" s="969"/>
      <c r="R220" s="983"/>
    </row>
    <row r="221" spans="1:18" ht="30" customHeight="1">
      <c r="A221" s="965"/>
      <c r="B221" s="968"/>
      <c r="C221" s="968"/>
      <c r="D221" s="975"/>
      <c r="E221" s="968"/>
      <c r="F221" s="968"/>
      <c r="G221" s="968"/>
      <c r="H221" s="968"/>
      <c r="I221" s="972"/>
      <c r="J221" s="973">
        <v>392.60300000000001</v>
      </c>
      <c r="K221" s="966"/>
      <c r="L221" s="966"/>
      <c r="M221" s="966"/>
      <c r="N221" s="966"/>
      <c r="O221" s="966"/>
      <c r="P221" s="966"/>
      <c r="Q221" s="1670"/>
      <c r="R221" s="970"/>
    </row>
    <row r="222" spans="1:18" ht="30" customHeight="1">
      <c r="A222" s="965">
        <f>A220+1</f>
        <v>108</v>
      </c>
      <c r="B222" s="1062" t="s">
        <v>3135</v>
      </c>
      <c r="C222" s="968" t="s">
        <v>249</v>
      </c>
      <c r="D222" s="975"/>
      <c r="E222" s="968"/>
      <c r="F222" s="968"/>
      <c r="G222" s="968"/>
      <c r="H222" s="968"/>
      <c r="I222" s="972" t="s">
        <v>1765</v>
      </c>
      <c r="J222" s="973"/>
      <c r="K222" s="966"/>
      <c r="L222" s="966" t="s">
        <v>2919</v>
      </c>
      <c r="M222" s="966" t="s">
        <v>1009</v>
      </c>
      <c r="N222" s="966" t="s">
        <v>1009</v>
      </c>
      <c r="O222" s="974" t="s">
        <v>1009</v>
      </c>
      <c r="P222" s="966"/>
      <c r="Q222" s="1671"/>
      <c r="R222" s="970"/>
    </row>
    <row r="223" spans="1:18" ht="30" customHeight="1">
      <c r="A223" s="965"/>
      <c r="B223" s="968"/>
      <c r="C223" s="968"/>
      <c r="D223" s="975"/>
      <c r="E223" s="968"/>
      <c r="F223" s="968"/>
      <c r="G223" s="968"/>
      <c r="H223" s="968"/>
      <c r="I223" s="972"/>
      <c r="J223" s="973">
        <v>384.166</v>
      </c>
      <c r="K223" s="966"/>
      <c r="L223" s="966"/>
      <c r="M223" s="966"/>
      <c r="N223" s="966"/>
      <c r="O223" s="966"/>
      <c r="P223" s="966"/>
      <c r="Q223" s="1672"/>
      <c r="R223" s="970"/>
    </row>
    <row r="224" spans="1:18" ht="30" customHeight="1">
      <c r="A224" s="965">
        <f>A222+1</f>
        <v>109</v>
      </c>
      <c r="B224" s="968" t="s">
        <v>2967</v>
      </c>
      <c r="C224" s="968" t="s">
        <v>1361</v>
      </c>
      <c r="D224" s="967" t="s">
        <v>2968</v>
      </c>
      <c r="E224" s="968"/>
      <c r="F224" s="968"/>
      <c r="G224" s="968"/>
      <c r="H224" s="968"/>
      <c r="I224" s="972" t="s">
        <v>1765</v>
      </c>
      <c r="J224" s="973"/>
      <c r="K224" s="966"/>
      <c r="L224" s="966" t="s">
        <v>2919</v>
      </c>
      <c r="M224" s="966" t="s">
        <v>1009</v>
      </c>
      <c r="N224" s="966" t="s">
        <v>1009</v>
      </c>
      <c r="O224" s="974" t="s">
        <v>1009</v>
      </c>
      <c r="P224" s="966"/>
      <c r="Q224" s="969"/>
      <c r="R224" s="970"/>
    </row>
    <row r="225" spans="1:18" ht="30" customHeight="1">
      <c r="A225" s="965"/>
      <c r="B225" s="968"/>
      <c r="C225" s="968"/>
      <c r="D225" s="975"/>
      <c r="E225" s="968"/>
      <c r="F225" s="968"/>
      <c r="G225" s="968"/>
      <c r="H225" s="968"/>
      <c r="I225" s="972"/>
      <c r="J225" s="973">
        <v>408.00299999999999</v>
      </c>
      <c r="K225" s="966"/>
      <c r="L225" s="966"/>
      <c r="M225" s="966"/>
      <c r="N225" s="966"/>
      <c r="O225" s="966"/>
      <c r="P225" s="966"/>
      <c r="Q225" s="969"/>
      <c r="R225" s="970"/>
    </row>
    <row r="226" spans="1:18" ht="30" customHeight="1">
      <c r="A226" s="965">
        <f>A224+1</f>
        <v>110</v>
      </c>
      <c r="B226" s="968" t="s">
        <v>2969</v>
      </c>
      <c r="C226" s="968" t="s">
        <v>1277</v>
      </c>
      <c r="D226" s="967" t="s">
        <v>2970</v>
      </c>
      <c r="E226" s="968"/>
      <c r="F226" s="968"/>
      <c r="G226" s="968"/>
      <c r="H226" s="968"/>
      <c r="I226" s="972"/>
      <c r="J226" s="973"/>
      <c r="K226" s="966"/>
      <c r="L226" s="966" t="s">
        <v>1658</v>
      </c>
      <c r="M226" s="966"/>
      <c r="N226" s="966"/>
      <c r="O226" s="966"/>
      <c r="P226" s="966"/>
      <c r="Q226" s="969"/>
      <c r="R226" s="970"/>
    </row>
    <row r="227" spans="1:18" ht="30" customHeight="1">
      <c r="A227" s="965"/>
      <c r="B227" s="968"/>
      <c r="C227" s="968"/>
      <c r="D227" s="975"/>
      <c r="E227" s="968"/>
      <c r="F227" s="968"/>
      <c r="G227" s="968"/>
      <c r="H227" s="968"/>
      <c r="I227" s="972"/>
      <c r="J227" s="973">
        <v>390.238</v>
      </c>
      <c r="K227" s="966"/>
      <c r="L227" s="966"/>
      <c r="M227" s="966"/>
      <c r="N227" s="966"/>
      <c r="O227" s="966"/>
      <c r="P227" s="966"/>
      <c r="Q227" s="969"/>
      <c r="R227" s="970"/>
    </row>
    <row r="228" spans="1:18" ht="30" customHeight="1">
      <c r="A228" s="1012">
        <f>A226+1</f>
        <v>111</v>
      </c>
      <c r="B228" s="968" t="s">
        <v>2971</v>
      </c>
      <c r="C228" s="968" t="s">
        <v>1269</v>
      </c>
      <c r="D228" s="1001" t="s">
        <v>2972</v>
      </c>
      <c r="E228" s="968"/>
      <c r="F228" s="968"/>
      <c r="G228" s="968"/>
      <c r="H228" s="968"/>
      <c r="I228" s="972" t="s">
        <v>1765</v>
      </c>
      <c r="J228" s="972"/>
      <c r="K228" s="1031">
        <f>J221+J223+J225+J227</f>
        <v>1575.01</v>
      </c>
      <c r="L228" s="1014" t="s">
        <v>2919</v>
      </c>
      <c r="M228" s="966" t="s">
        <v>1009</v>
      </c>
      <c r="N228" s="966" t="s">
        <v>1009</v>
      </c>
      <c r="O228" s="974" t="s">
        <v>1009</v>
      </c>
      <c r="P228" s="1014"/>
      <c r="Q228" s="1015"/>
      <c r="R228" s="1034"/>
    </row>
    <row r="229" spans="1:18" ht="30" customHeight="1">
      <c r="A229" s="965"/>
      <c r="B229" s="968"/>
      <c r="C229" s="968"/>
      <c r="D229" s="975"/>
      <c r="E229" s="968"/>
      <c r="F229" s="968"/>
      <c r="G229" s="968"/>
      <c r="H229" s="968"/>
      <c r="I229" s="972"/>
      <c r="J229" s="973">
        <v>360.68299999999999</v>
      </c>
      <c r="K229" s="982"/>
      <c r="L229" s="982"/>
      <c r="M229" s="982"/>
      <c r="N229" s="982"/>
      <c r="O229" s="982"/>
      <c r="P229" s="982"/>
      <c r="Q229" s="1670"/>
      <c r="R229" s="983"/>
    </row>
    <row r="230" spans="1:18" ht="30" customHeight="1">
      <c r="A230" s="1012">
        <f>A228+1</f>
        <v>112</v>
      </c>
      <c r="B230" s="968" t="s">
        <v>2973</v>
      </c>
      <c r="C230" s="968" t="s">
        <v>53</v>
      </c>
      <c r="D230" s="979"/>
      <c r="E230" s="968"/>
      <c r="F230" s="968"/>
      <c r="G230" s="968"/>
      <c r="H230" s="968"/>
      <c r="I230" s="972" t="s">
        <v>1765</v>
      </c>
      <c r="J230" s="972"/>
      <c r="K230" s="1031">
        <f>J229</f>
        <v>360.68299999999999</v>
      </c>
      <c r="L230" s="1014" t="s">
        <v>2919</v>
      </c>
      <c r="M230" s="966" t="s">
        <v>1009</v>
      </c>
      <c r="N230" s="966" t="s">
        <v>1009</v>
      </c>
      <c r="O230" s="1014"/>
      <c r="P230" s="1014"/>
      <c r="Q230" s="1673"/>
      <c r="R230" s="1034"/>
    </row>
    <row r="231" spans="1:18" ht="30" customHeight="1">
      <c r="A231" s="965"/>
      <c r="B231" s="968"/>
      <c r="C231" s="968"/>
      <c r="D231" s="975"/>
      <c r="E231" s="968"/>
      <c r="F231" s="968"/>
      <c r="G231" s="968"/>
      <c r="H231" s="968"/>
      <c r="I231" s="972"/>
      <c r="J231" s="973">
        <v>350.52699999999999</v>
      </c>
      <c r="K231" s="982"/>
      <c r="L231" s="982"/>
      <c r="M231" s="982"/>
      <c r="N231" s="982"/>
      <c r="O231" s="982"/>
      <c r="P231" s="982"/>
      <c r="Q231" s="1672"/>
      <c r="R231" s="970"/>
    </row>
    <row r="232" spans="1:18" ht="30" customHeight="1">
      <c r="A232" s="1012">
        <f>A230+1</f>
        <v>113</v>
      </c>
      <c r="B232" s="968" t="s">
        <v>2974</v>
      </c>
      <c r="C232" s="968" t="s">
        <v>1319</v>
      </c>
      <c r="D232" s="1001" t="s">
        <v>2975</v>
      </c>
      <c r="E232" s="968"/>
      <c r="F232" s="968"/>
      <c r="G232" s="968"/>
      <c r="H232" s="968"/>
      <c r="I232" s="972" t="s">
        <v>1765</v>
      </c>
      <c r="J232" s="972"/>
      <c r="K232" s="1031">
        <f>J231</f>
        <v>350.52699999999999</v>
      </c>
      <c r="L232" s="1014" t="s">
        <v>2919</v>
      </c>
      <c r="M232" s="966" t="s">
        <v>1009</v>
      </c>
      <c r="N232" s="966" t="s">
        <v>1009</v>
      </c>
      <c r="O232" s="974" t="s">
        <v>1009</v>
      </c>
      <c r="P232" s="1014"/>
      <c r="Q232" s="1015"/>
      <c r="R232" s="1034"/>
    </row>
    <row r="233" spans="1:18" ht="30" customHeight="1">
      <c r="A233" s="965"/>
      <c r="B233" s="968"/>
      <c r="C233" s="968"/>
      <c r="D233" s="975"/>
      <c r="E233" s="968"/>
      <c r="F233" s="968"/>
      <c r="G233" s="968"/>
      <c r="H233" s="968"/>
      <c r="I233" s="972"/>
      <c r="J233" s="973">
        <v>380.322</v>
      </c>
      <c r="K233" s="982"/>
      <c r="L233" s="982"/>
      <c r="M233" s="982"/>
      <c r="N233" s="982"/>
      <c r="O233" s="982"/>
      <c r="P233" s="982"/>
      <c r="Q233" s="1670"/>
      <c r="R233" s="970"/>
    </row>
    <row r="234" spans="1:18" ht="30" customHeight="1">
      <c r="A234" s="965">
        <f>A232+1</f>
        <v>114</v>
      </c>
      <c r="B234" s="1062" t="s">
        <v>3109</v>
      </c>
      <c r="C234" s="968" t="s">
        <v>76</v>
      </c>
      <c r="D234" s="975"/>
      <c r="E234" s="968"/>
      <c r="F234" s="968"/>
      <c r="G234" s="968"/>
      <c r="H234" s="968"/>
      <c r="I234" s="972" t="s">
        <v>1765</v>
      </c>
      <c r="J234" s="973"/>
      <c r="K234" s="982">
        <f>J233</f>
        <v>380.322</v>
      </c>
      <c r="L234" s="982" t="s">
        <v>2919</v>
      </c>
      <c r="M234" s="966" t="s">
        <v>1009</v>
      </c>
      <c r="N234" s="966" t="s">
        <v>1009</v>
      </c>
      <c r="O234" s="974" t="s">
        <v>1009</v>
      </c>
      <c r="P234" s="982"/>
      <c r="Q234" s="1671"/>
      <c r="R234" s="970"/>
    </row>
    <row r="235" spans="1:18" ht="30" customHeight="1">
      <c r="A235" s="965"/>
      <c r="B235" s="968"/>
      <c r="C235" s="968"/>
      <c r="D235" s="975"/>
      <c r="E235" s="968"/>
      <c r="F235" s="968"/>
      <c r="G235" s="968"/>
      <c r="H235" s="968"/>
      <c r="I235" s="972"/>
      <c r="J235" s="973">
        <v>331.6</v>
      </c>
      <c r="K235" s="966"/>
      <c r="L235" s="966"/>
      <c r="M235" s="966"/>
      <c r="N235" s="966"/>
      <c r="O235" s="966"/>
      <c r="P235" s="966"/>
      <c r="Q235" s="1672"/>
      <c r="R235" s="970"/>
    </row>
    <row r="236" spans="1:18" ht="30" customHeight="1">
      <c r="A236" s="1012">
        <f>A234+1</f>
        <v>115</v>
      </c>
      <c r="B236" s="968" t="s">
        <v>2976</v>
      </c>
      <c r="C236" s="968" t="s">
        <v>1269</v>
      </c>
      <c r="D236" s="1001" t="s">
        <v>2977</v>
      </c>
      <c r="E236" s="968"/>
      <c r="F236" s="968"/>
      <c r="G236" s="968"/>
      <c r="H236" s="968"/>
      <c r="I236" s="972" t="s">
        <v>1765</v>
      </c>
      <c r="J236" s="972"/>
      <c r="K236" s="981"/>
      <c r="L236" s="968" t="s">
        <v>2919</v>
      </c>
      <c r="M236" s="966" t="s">
        <v>1009</v>
      </c>
      <c r="N236" s="966" t="s">
        <v>1009</v>
      </c>
      <c r="O236" s="974" t="s">
        <v>1009</v>
      </c>
      <c r="P236" s="968"/>
      <c r="Q236" s="1015"/>
      <c r="R236" s="1034"/>
    </row>
    <row r="237" spans="1:18" ht="30" customHeight="1">
      <c r="A237" s="965"/>
      <c r="B237" s="968"/>
      <c r="C237" s="968"/>
      <c r="D237" s="975"/>
      <c r="E237" s="968"/>
      <c r="F237" s="968"/>
      <c r="G237" s="968"/>
      <c r="H237" s="968"/>
      <c r="I237" s="972"/>
      <c r="J237" s="973">
        <v>406.096</v>
      </c>
      <c r="K237" s="966"/>
      <c r="L237" s="966"/>
      <c r="M237" s="966"/>
      <c r="N237" s="966"/>
      <c r="O237" s="966"/>
      <c r="P237" s="966"/>
      <c r="Q237" s="1670"/>
      <c r="R237" s="970"/>
    </row>
    <row r="238" spans="1:18" ht="30" customHeight="1">
      <c r="A238" s="965">
        <f>A236+1</f>
        <v>116</v>
      </c>
      <c r="B238" s="1062" t="s">
        <v>3134</v>
      </c>
      <c r="C238" s="968" t="s">
        <v>62</v>
      </c>
      <c r="D238" s="975"/>
      <c r="E238" s="968"/>
      <c r="F238" s="968"/>
      <c r="G238" s="968"/>
      <c r="H238" s="968"/>
      <c r="I238" s="972" t="s">
        <v>1765</v>
      </c>
      <c r="J238" s="973"/>
      <c r="K238" s="966"/>
      <c r="L238" s="966" t="s">
        <v>2919</v>
      </c>
      <c r="M238" s="966" t="s">
        <v>1009</v>
      </c>
      <c r="N238" s="966" t="s">
        <v>1009</v>
      </c>
      <c r="O238" s="974" t="s">
        <v>1009</v>
      </c>
      <c r="P238" s="966"/>
      <c r="Q238" s="1671"/>
      <c r="R238" s="970"/>
    </row>
    <row r="239" spans="1:18" ht="30" customHeight="1">
      <c r="A239" s="965"/>
      <c r="B239" s="968"/>
      <c r="C239" s="968"/>
      <c r="D239" s="975"/>
      <c r="E239" s="968"/>
      <c r="F239" s="968"/>
      <c r="G239" s="968"/>
      <c r="H239" s="968"/>
      <c r="I239" s="972"/>
      <c r="J239" s="973">
        <v>313.78800000000001</v>
      </c>
      <c r="K239" s="966"/>
      <c r="L239" s="966"/>
      <c r="M239" s="966"/>
      <c r="N239" s="966"/>
      <c r="O239" s="966"/>
      <c r="P239" s="966"/>
      <c r="Q239" s="1672"/>
      <c r="R239" s="970"/>
    </row>
    <row r="240" spans="1:18" ht="30" customHeight="1">
      <c r="A240" s="965">
        <f>A238+1</f>
        <v>117</v>
      </c>
      <c r="B240" s="968" t="s">
        <v>2978</v>
      </c>
      <c r="C240" s="968" t="s">
        <v>1995</v>
      </c>
      <c r="D240" s="967" t="s">
        <v>2979</v>
      </c>
      <c r="E240" s="968">
        <v>1</v>
      </c>
      <c r="F240" s="968">
        <v>1</v>
      </c>
      <c r="G240" s="968">
        <v>1</v>
      </c>
      <c r="H240" s="968">
        <v>1</v>
      </c>
      <c r="I240" s="972" t="s">
        <v>1765</v>
      </c>
      <c r="J240" s="973"/>
      <c r="K240" s="966"/>
      <c r="L240" s="966" t="s">
        <v>2919</v>
      </c>
      <c r="M240" s="966" t="s">
        <v>1009</v>
      </c>
      <c r="N240" s="966"/>
      <c r="O240" s="966"/>
      <c r="P240" s="966"/>
      <c r="Q240" s="969"/>
      <c r="R240" s="970"/>
    </row>
    <row r="241" spans="1:18" ht="30" customHeight="1">
      <c r="A241" s="965"/>
      <c r="B241" s="968"/>
      <c r="C241" s="968"/>
      <c r="D241" s="975"/>
      <c r="E241" s="968"/>
      <c r="F241" s="968"/>
      <c r="G241" s="968"/>
      <c r="H241" s="968"/>
      <c r="I241" s="972"/>
      <c r="J241" s="973">
        <v>413.22300000000001</v>
      </c>
      <c r="K241" s="966"/>
      <c r="L241" s="966"/>
      <c r="M241" s="966"/>
      <c r="N241" s="966"/>
      <c r="O241" s="966"/>
      <c r="P241" s="966"/>
      <c r="Q241" s="969"/>
      <c r="R241" s="970"/>
    </row>
    <row r="242" spans="1:18" ht="30" customHeight="1">
      <c r="A242" s="1012">
        <f>A240+1</f>
        <v>118</v>
      </c>
      <c r="B242" s="968" t="s">
        <v>2387</v>
      </c>
      <c r="C242" s="968" t="s">
        <v>1935</v>
      </c>
      <c r="D242" s="1001" t="s">
        <v>2980</v>
      </c>
      <c r="E242" s="968"/>
      <c r="F242" s="968"/>
      <c r="G242" s="968"/>
      <c r="H242" s="968"/>
      <c r="I242" s="972" t="s">
        <v>1765</v>
      </c>
      <c r="J242" s="972"/>
      <c r="K242" s="981"/>
      <c r="L242" s="968" t="s">
        <v>2919</v>
      </c>
      <c r="M242" s="966" t="s">
        <v>1009</v>
      </c>
      <c r="N242" s="966" t="s">
        <v>1009</v>
      </c>
      <c r="O242" s="974" t="s">
        <v>1009</v>
      </c>
      <c r="P242" s="968"/>
      <c r="Q242" s="1015"/>
      <c r="R242" s="1034"/>
    </row>
    <row r="243" spans="1:18" ht="30" customHeight="1">
      <c r="A243" s="965"/>
      <c r="B243" s="968"/>
      <c r="C243" s="968"/>
      <c r="D243" s="975"/>
      <c r="E243" s="968"/>
      <c r="F243" s="968"/>
      <c r="G243" s="968"/>
      <c r="H243" s="968"/>
      <c r="I243" s="972"/>
      <c r="J243" s="973">
        <v>297.53899999999999</v>
      </c>
      <c r="K243" s="966"/>
      <c r="L243" s="966"/>
      <c r="M243" s="966"/>
      <c r="N243" s="966"/>
      <c r="O243" s="966"/>
      <c r="P243" s="966"/>
      <c r="Q243" s="1670"/>
      <c r="R243" s="970"/>
    </row>
    <row r="244" spans="1:18" ht="30" customHeight="1">
      <c r="A244" s="1012">
        <f>A242+1</f>
        <v>119</v>
      </c>
      <c r="B244" s="1062" t="s">
        <v>3197</v>
      </c>
      <c r="C244" s="968" t="s">
        <v>76</v>
      </c>
      <c r="D244" s="979"/>
      <c r="E244" s="968"/>
      <c r="F244" s="968"/>
      <c r="G244" s="968"/>
      <c r="H244" s="968"/>
      <c r="I244" s="972" t="s">
        <v>1765</v>
      </c>
      <c r="J244" s="972"/>
      <c r="K244" s="981"/>
      <c r="L244" s="968" t="s">
        <v>2919</v>
      </c>
      <c r="M244" s="966" t="s">
        <v>1009</v>
      </c>
      <c r="N244" s="966" t="s">
        <v>1009</v>
      </c>
      <c r="O244" s="968"/>
      <c r="P244" s="968"/>
      <c r="Q244" s="1673"/>
      <c r="R244" s="1034"/>
    </row>
    <row r="245" spans="1:18" ht="30" customHeight="1">
      <c r="A245" s="965"/>
      <c r="B245" s="968"/>
      <c r="C245" s="968"/>
      <c r="D245" s="975"/>
      <c r="E245" s="968"/>
      <c r="F245" s="968"/>
      <c r="G245" s="968"/>
      <c r="H245" s="968"/>
      <c r="I245" s="972"/>
      <c r="J245" s="973">
        <v>283.67099999999999</v>
      </c>
      <c r="K245" s="966"/>
      <c r="L245" s="966"/>
      <c r="M245" s="966"/>
      <c r="N245" s="966"/>
      <c r="O245" s="966"/>
      <c r="P245" s="966"/>
      <c r="Q245" s="1672"/>
      <c r="R245" s="970"/>
    </row>
    <row r="246" spans="1:18" ht="30" customHeight="1">
      <c r="A246" s="965">
        <f>A244+1</f>
        <v>120</v>
      </c>
      <c r="B246" s="968" t="s">
        <v>2388</v>
      </c>
      <c r="C246" s="968" t="s">
        <v>1269</v>
      </c>
      <c r="D246" s="967"/>
      <c r="E246" s="968"/>
      <c r="F246" s="968"/>
      <c r="G246" s="968"/>
      <c r="H246" s="968"/>
      <c r="I246" s="972"/>
      <c r="J246" s="973"/>
      <c r="K246" s="966"/>
      <c r="L246" s="966" t="s">
        <v>1658</v>
      </c>
      <c r="M246" s="966"/>
      <c r="N246" s="966"/>
      <c r="O246" s="966"/>
      <c r="P246" s="966"/>
      <c r="Q246" s="969"/>
      <c r="R246" s="970"/>
    </row>
    <row r="247" spans="1:18" ht="30" customHeight="1">
      <c r="A247" s="965"/>
      <c r="B247" s="968"/>
      <c r="C247" s="968"/>
      <c r="D247" s="975"/>
      <c r="E247" s="968"/>
      <c r="F247" s="968"/>
      <c r="G247" s="968"/>
      <c r="H247" s="968"/>
      <c r="I247" s="972"/>
      <c r="J247" s="973">
        <v>378.12</v>
      </c>
      <c r="K247" s="966"/>
      <c r="L247" s="966"/>
      <c r="M247" s="966"/>
      <c r="N247" s="966"/>
      <c r="O247" s="966"/>
      <c r="P247" s="966"/>
      <c r="Q247" s="969"/>
      <c r="R247" s="970"/>
    </row>
    <row r="248" spans="1:18" ht="30" customHeight="1">
      <c r="A248" s="965">
        <f>A246+1</f>
        <v>121</v>
      </c>
      <c r="B248" s="968" t="s">
        <v>2981</v>
      </c>
      <c r="C248" s="968" t="s">
        <v>1988</v>
      </c>
      <c r="D248" s="967" t="s">
        <v>2982</v>
      </c>
      <c r="E248" s="968"/>
      <c r="F248" s="968"/>
      <c r="G248" s="968"/>
      <c r="H248" s="968"/>
      <c r="I248" s="972" t="s">
        <v>2736</v>
      </c>
      <c r="J248" s="973"/>
      <c r="K248" s="966"/>
      <c r="L248" s="966" t="s">
        <v>2919</v>
      </c>
      <c r="M248" s="966" t="s">
        <v>1009</v>
      </c>
      <c r="N248" s="966" t="s">
        <v>1009</v>
      </c>
      <c r="O248" s="966"/>
      <c r="P248" s="966"/>
      <c r="Q248" s="969"/>
      <c r="R248" s="970"/>
    </row>
    <row r="249" spans="1:18" ht="30" customHeight="1">
      <c r="A249" s="965"/>
      <c r="B249" s="968"/>
      <c r="C249" s="968"/>
      <c r="D249" s="979"/>
      <c r="E249" s="968"/>
      <c r="F249" s="968"/>
      <c r="G249" s="968"/>
      <c r="H249" s="968"/>
      <c r="I249" s="972"/>
      <c r="J249" s="973">
        <v>249.17599999999999</v>
      </c>
      <c r="K249" s="966"/>
      <c r="L249" s="966"/>
      <c r="M249" s="966"/>
      <c r="N249" s="966"/>
      <c r="O249" s="966"/>
      <c r="P249" s="966"/>
      <c r="Q249" s="969"/>
      <c r="R249" s="976" t="s">
        <v>2983</v>
      </c>
    </row>
    <row r="250" spans="1:18" ht="30" customHeight="1">
      <c r="A250" s="965">
        <f>A248+1</f>
        <v>122</v>
      </c>
      <c r="B250" s="968" t="s">
        <v>2984</v>
      </c>
      <c r="C250" s="968" t="s">
        <v>2023</v>
      </c>
      <c r="D250" s="967" t="s">
        <v>2985</v>
      </c>
      <c r="E250" s="968"/>
      <c r="F250" s="968"/>
      <c r="G250" s="968"/>
      <c r="H250" s="968"/>
      <c r="I250" s="972" t="s">
        <v>2736</v>
      </c>
      <c r="J250" s="973"/>
      <c r="K250" s="966"/>
      <c r="L250" s="966" t="s">
        <v>2919</v>
      </c>
      <c r="M250" s="966" t="s">
        <v>1009</v>
      </c>
      <c r="N250" s="966" t="s">
        <v>1009</v>
      </c>
      <c r="O250" s="966"/>
      <c r="P250" s="966"/>
      <c r="Q250" s="969"/>
      <c r="R250" s="970"/>
    </row>
    <row r="251" spans="1:18" ht="30" customHeight="1">
      <c r="A251" s="965"/>
      <c r="B251" s="968"/>
      <c r="C251" s="968"/>
      <c r="D251" s="975"/>
      <c r="E251" s="968"/>
      <c r="F251" s="968"/>
      <c r="G251" s="968"/>
      <c r="H251" s="968"/>
      <c r="I251" s="972"/>
      <c r="J251" s="973">
        <v>198.71899999999999</v>
      </c>
      <c r="K251" s="966"/>
      <c r="L251" s="966"/>
      <c r="M251" s="966"/>
      <c r="N251" s="966"/>
      <c r="O251" s="966"/>
      <c r="P251" s="966"/>
      <c r="Q251" s="969"/>
      <c r="R251" s="970"/>
    </row>
    <row r="252" spans="1:18" ht="30" customHeight="1">
      <c r="A252" s="965">
        <f>A250+1</f>
        <v>123</v>
      </c>
      <c r="B252" s="968" t="s">
        <v>2986</v>
      </c>
      <c r="C252" s="968" t="s">
        <v>1319</v>
      </c>
      <c r="D252" s="967" t="s">
        <v>2987</v>
      </c>
      <c r="E252" s="968"/>
      <c r="F252" s="968"/>
      <c r="G252" s="968"/>
      <c r="H252" s="968"/>
      <c r="I252" s="972" t="s">
        <v>1765</v>
      </c>
      <c r="J252" s="973"/>
      <c r="K252" s="966"/>
      <c r="L252" s="966" t="s">
        <v>2919</v>
      </c>
      <c r="M252" s="966" t="s">
        <v>1009</v>
      </c>
      <c r="N252" s="966" t="s">
        <v>1009</v>
      </c>
      <c r="O252" s="966"/>
      <c r="P252" s="966"/>
      <c r="Q252" s="969"/>
      <c r="R252" s="970"/>
    </row>
    <row r="253" spans="1:18" ht="30" customHeight="1">
      <c r="A253" s="965"/>
      <c r="B253" s="968"/>
      <c r="C253" s="968"/>
      <c r="D253" s="975"/>
      <c r="E253" s="968"/>
      <c r="F253" s="968"/>
      <c r="G253" s="968"/>
      <c r="H253" s="968"/>
      <c r="I253" s="972"/>
      <c r="J253" s="973">
        <v>287.04700000000003</v>
      </c>
      <c r="K253" s="966"/>
      <c r="L253" s="966"/>
      <c r="M253" s="966"/>
      <c r="N253" s="966"/>
      <c r="O253" s="966"/>
      <c r="P253" s="966"/>
      <c r="Q253" s="969"/>
      <c r="R253" s="970"/>
    </row>
    <row r="254" spans="1:18" ht="30" customHeight="1">
      <c r="A254" s="965">
        <f>A252+1</f>
        <v>124</v>
      </c>
      <c r="B254" s="968" t="s">
        <v>2988</v>
      </c>
      <c r="C254" s="968" t="s">
        <v>1277</v>
      </c>
      <c r="D254" s="967" t="s">
        <v>2989</v>
      </c>
      <c r="E254" s="968"/>
      <c r="F254" s="968"/>
      <c r="G254" s="968"/>
      <c r="H254" s="968"/>
      <c r="I254" s="972" t="s">
        <v>1765</v>
      </c>
      <c r="J254" s="973"/>
      <c r="K254" s="966"/>
      <c r="L254" s="966" t="s">
        <v>2919</v>
      </c>
      <c r="M254" s="966" t="s">
        <v>1009</v>
      </c>
      <c r="N254" s="966" t="s">
        <v>1009</v>
      </c>
      <c r="O254" s="974" t="s">
        <v>1009</v>
      </c>
      <c r="P254" s="966"/>
      <c r="Q254" s="969"/>
      <c r="R254" s="970"/>
    </row>
    <row r="255" spans="1:18" ht="30" customHeight="1">
      <c r="A255" s="965"/>
      <c r="B255" s="968"/>
      <c r="C255" s="968"/>
      <c r="D255" s="975"/>
      <c r="E255" s="968"/>
      <c r="F255" s="968"/>
      <c r="G255" s="968"/>
      <c r="H255" s="968"/>
      <c r="I255" s="972"/>
      <c r="J255" s="973">
        <v>317.654</v>
      </c>
      <c r="K255" s="966"/>
      <c r="L255" s="966"/>
      <c r="M255" s="966"/>
      <c r="N255" s="966"/>
      <c r="O255" s="966"/>
      <c r="P255" s="966"/>
      <c r="Q255" s="969"/>
      <c r="R255" s="970"/>
    </row>
    <row r="256" spans="1:18" ht="30" customHeight="1">
      <c r="A256" s="965">
        <f>A254+1</f>
        <v>125</v>
      </c>
      <c r="B256" s="968" t="s">
        <v>2990</v>
      </c>
      <c r="C256" s="968" t="s">
        <v>2023</v>
      </c>
      <c r="D256" s="967" t="s">
        <v>2991</v>
      </c>
      <c r="E256" s="968"/>
      <c r="F256" s="968"/>
      <c r="G256" s="968"/>
      <c r="H256" s="968"/>
      <c r="I256" s="972" t="s">
        <v>2736</v>
      </c>
      <c r="J256" s="973"/>
      <c r="K256" s="982">
        <f>J235+J237+J239+J241+J243+J245+J247+J249+J251+J253+J255</f>
        <v>3476.6329999999998</v>
      </c>
      <c r="L256" s="966" t="s">
        <v>2919</v>
      </c>
      <c r="M256" s="966" t="s">
        <v>1009</v>
      </c>
      <c r="N256" s="982" t="s">
        <v>1009</v>
      </c>
      <c r="O256" s="982"/>
      <c r="P256" s="982"/>
      <c r="Q256" s="969"/>
      <c r="R256" s="983"/>
    </row>
    <row r="257" spans="1:18" ht="30" customHeight="1">
      <c r="A257" s="965"/>
      <c r="B257" s="968"/>
      <c r="C257" s="968"/>
      <c r="D257" s="979"/>
      <c r="E257" s="968"/>
      <c r="F257" s="968"/>
      <c r="G257" s="968"/>
      <c r="H257" s="968"/>
      <c r="I257" s="972"/>
      <c r="J257" s="973">
        <v>245.547</v>
      </c>
      <c r="K257" s="982"/>
      <c r="L257" s="982"/>
      <c r="M257" s="982"/>
      <c r="N257" s="982"/>
      <c r="O257" s="982"/>
      <c r="P257" s="982"/>
      <c r="Q257" s="969"/>
      <c r="R257" s="984" t="s">
        <v>2983</v>
      </c>
    </row>
    <row r="258" spans="1:18" ht="30" customHeight="1">
      <c r="A258" s="965">
        <f>A256+1</f>
        <v>126</v>
      </c>
      <c r="B258" s="968" t="s">
        <v>2992</v>
      </c>
      <c r="C258" s="968" t="s">
        <v>1988</v>
      </c>
      <c r="D258" s="967" t="s">
        <v>2993</v>
      </c>
      <c r="E258" s="968"/>
      <c r="F258" s="968"/>
      <c r="G258" s="968"/>
      <c r="H258" s="968"/>
      <c r="I258" s="972" t="s">
        <v>2736</v>
      </c>
      <c r="J258" s="973"/>
      <c r="K258" s="982"/>
      <c r="L258" s="966" t="s">
        <v>2919</v>
      </c>
      <c r="M258" s="966" t="s">
        <v>1009</v>
      </c>
      <c r="N258" s="966" t="s">
        <v>1009</v>
      </c>
      <c r="O258" s="982"/>
      <c r="P258" s="982"/>
      <c r="Q258" s="969"/>
      <c r="R258" s="983"/>
    </row>
    <row r="259" spans="1:18" ht="30" customHeight="1">
      <c r="A259" s="965"/>
      <c r="B259" s="968"/>
      <c r="C259" s="968"/>
      <c r="D259" s="975"/>
      <c r="E259" s="968"/>
      <c r="F259" s="968"/>
      <c r="G259" s="968"/>
      <c r="H259" s="968"/>
      <c r="I259" s="972"/>
      <c r="J259" s="973">
        <v>342.98599999999999</v>
      </c>
      <c r="K259" s="982"/>
      <c r="L259" s="982"/>
      <c r="M259" s="982"/>
      <c r="N259" s="982"/>
      <c r="O259" s="982"/>
      <c r="P259" s="982"/>
      <c r="Q259" s="969"/>
      <c r="R259" s="983"/>
    </row>
    <row r="260" spans="1:18" ht="30" customHeight="1">
      <c r="A260" s="965">
        <f>A258+1</f>
        <v>127</v>
      </c>
      <c r="B260" s="968" t="s">
        <v>2994</v>
      </c>
      <c r="C260" s="968" t="s">
        <v>1269</v>
      </c>
      <c r="D260" s="967"/>
      <c r="E260" s="968"/>
      <c r="F260" s="968"/>
      <c r="G260" s="968"/>
      <c r="H260" s="968"/>
      <c r="I260" s="972" t="s">
        <v>1765</v>
      </c>
      <c r="J260" s="973"/>
      <c r="K260" s="982"/>
      <c r="L260" s="982" t="s">
        <v>2919</v>
      </c>
      <c r="M260" s="966" t="s">
        <v>1009</v>
      </c>
      <c r="N260" s="966" t="s">
        <v>1009</v>
      </c>
      <c r="O260" s="974" t="s">
        <v>1009</v>
      </c>
      <c r="P260" s="982"/>
      <c r="Q260" s="969"/>
      <c r="R260" s="983"/>
    </row>
    <row r="261" spans="1:18" ht="30" customHeight="1">
      <c r="A261" s="965"/>
      <c r="B261" s="968"/>
      <c r="C261" s="968"/>
      <c r="D261" s="975"/>
      <c r="E261" s="968"/>
      <c r="F261" s="968"/>
      <c r="G261" s="968"/>
      <c r="H261" s="968"/>
      <c r="I261" s="972"/>
      <c r="J261" s="973">
        <v>384.06400000000002</v>
      </c>
      <c r="K261" s="982"/>
      <c r="L261" s="982"/>
      <c r="M261" s="982"/>
      <c r="N261" s="982"/>
      <c r="O261" s="982"/>
      <c r="P261" s="982"/>
      <c r="Q261" s="969"/>
      <c r="R261" s="983"/>
    </row>
    <row r="262" spans="1:18" ht="30" customHeight="1">
      <c r="A262" s="965">
        <f>A260+1</f>
        <v>128</v>
      </c>
      <c r="B262" s="968" t="s">
        <v>2995</v>
      </c>
      <c r="C262" s="968" t="s">
        <v>1269</v>
      </c>
      <c r="D262" s="967" t="s">
        <v>2446</v>
      </c>
      <c r="E262" s="968"/>
      <c r="F262" s="968"/>
      <c r="G262" s="968"/>
      <c r="H262" s="968"/>
      <c r="I262" s="972" t="s">
        <v>1765</v>
      </c>
      <c r="J262" s="974"/>
      <c r="K262" s="982"/>
      <c r="L262" s="982" t="s">
        <v>2919</v>
      </c>
      <c r="M262" s="966" t="s">
        <v>1009</v>
      </c>
      <c r="N262" s="966" t="s">
        <v>1009</v>
      </c>
      <c r="O262" s="974" t="s">
        <v>1009</v>
      </c>
      <c r="P262" s="982"/>
      <c r="Q262" s="969"/>
      <c r="R262" s="983"/>
    </row>
    <row r="263" spans="1:18" ht="30" customHeight="1">
      <c r="A263" s="965"/>
      <c r="B263" s="968"/>
      <c r="C263" s="968"/>
      <c r="D263" s="967"/>
      <c r="E263" s="968"/>
      <c r="F263" s="968"/>
      <c r="G263" s="968"/>
      <c r="H263" s="968"/>
      <c r="I263" s="972"/>
      <c r="J263" s="973">
        <v>373</v>
      </c>
      <c r="K263" s="982"/>
      <c r="L263" s="982"/>
      <c r="M263" s="982"/>
      <c r="N263" s="982"/>
      <c r="O263" s="982"/>
      <c r="P263" s="982"/>
      <c r="Q263" s="1670"/>
      <c r="R263" s="983"/>
    </row>
    <row r="264" spans="1:18" ht="30" customHeight="1">
      <c r="A264" s="965">
        <f>A262+1</f>
        <v>129</v>
      </c>
      <c r="B264" s="968" t="s">
        <v>2447</v>
      </c>
      <c r="C264" s="968" t="s">
        <v>53</v>
      </c>
      <c r="D264" s="967"/>
      <c r="E264" s="968"/>
      <c r="F264" s="968"/>
      <c r="G264" s="968"/>
      <c r="H264" s="968"/>
      <c r="I264" s="972" t="s">
        <v>1765</v>
      </c>
      <c r="J264" s="973"/>
      <c r="K264" s="982"/>
      <c r="L264" s="982" t="s">
        <v>2919</v>
      </c>
      <c r="M264" s="966" t="s">
        <v>1009</v>
      </c>
      <c r="N264" s="966" t="s">
        <v>1009</v>
      </c>
      <c r="O264" s="974" t="s">
        <v>1009</v>
      </c>
      <c r="P264" s="982"/>
      <c r="Q264" s="1671"/>
      <c r="R264" s="983"/>
    </row>
    <row r="265" spans="1:18" ht="30" customHeight="1">
      <c r="A265" s="965"/>
      <c r="B265" s="968"/>
      <c r="C265" s="968"/>
      <c r="D265" s="967"/>
      <c r="E265" s="968"/>
      <c r="F265" s="968"/>
      <c r="G265" s="968"/>
      <c r="H265" s="968"/>
      <c r="I265" s="972"/>
      <c r="J265" s="973">
        <v>378</v>
      </c>
      <c r="K265" s="982"/>
      <c r="L265" s="982"/>
      <c r="M265" s="982"/>
      <c r="N265" s="982"/>
      <c r="O265" s="982"/>
      <c r="P265" s="982"/>
      <c r="Q265" s="1672"/>
      <c r="R265" s="984" t="s">
        <v>3225</v>
      </c>
    </row>
    <row r="266" spans="1:18" ht="30" customHeight="1">
      <c r="A266" s="965">
        <f>A264+1</f>
        <v>130</v>
      </c>
      <c r="B266" s="968" t="s">
        <v>2996</v>
      </c>
      <c r="C266" s="1013" t="s">
        <v>915</v>
      </c>
      <c r="D266" s="1001"/>
      <c r="E266" s="968"/>
      <c r="F266" s="968"/>
      <c r="G266" s="968"/>
      <c r="H266" s="968"/>
      <c r="I266" s="972" t="s">
        <v>897</v>
      </c>
      <c r="J266" s="973"/>
      <c r="K266" s="982"/>
      <c r="L266" s="982" t="s">
        <v>2919</v>
      </c>
      <c r="M266" s="966" t="s">
        <v>1009</v>
      </c>
      <c r="N266" s="966" t="s">
        <v>1009</v>
      </c>
      <c r="O266" s="982"/>
      <c r="P266" s="982"/>
      <c r="Q266" s="969"/>
      <c r="R266" s="983"/>
    </row>
    <row r="267" spans="1:18" ht="30" customHeight="1">
      <c r="A267" s="965"/>
      <c r="B267" s="968"/>
      <c r="C267" s="968"/>
      <c r="D267" s="1001"/>
      <c r="E267" s="968"/>
      <c r="F267" s="968"/>
      <c r="G267" s="968"/>
      <c r="H267" s="968"/>
      <c r="I267" s="972"/>
      <c r="J267" s="973">
        <v>283</v>
      </c>
      <c r="K267" s="982"/>
      <c r="L267" s="982"/>
      <c r="M267" s="982"/>
      <c r="N267" s="982"/>
      <c r="O267" s="982"/>
      <c r="P267" s="982"/>
      <c r="Q267" s="969"/>
      <c r="R267" s="983"/>
    </row>
    <row r="268" spans="1:18" ht="30" customHeight="1">
      <c r="A268" s="965">
        <f>A266+1</f>
        <v>131</v>
      </c>
      <c r="B268" s="968" t="s">
        <v>2450</v>
      </c>
      <c r="C268" s="968" t="s">
        <v>76</v>
      </c>
      <c r="D268" s="1001"/>
      <c r="E268" s="968"/>
      <c r="F268" s="968"/>
      <c r="G268" s="968"/>
      <c r="H268" s="968"/>
      <c r="I268" s="972" t="s">
        <v>1765</v>
      </c>
      <c r="J268" s="973"/>
      <c r="K268" s="982"/>
      <c r="L268" s="982" t="s">
        <v>2919</v>
      </c>
      <c r="M268" s="966" t="s">
        <v>1009</v>
      </c>
      <c r="N268" s="966" t="s">
        <v>1009</v>
      </c>
      <c r="O268" s="974" t="s">
        <v>1009</v>
      </c>
      <c r="P268" s="982"/>
      <c r="Q268" s="969"/>
      <c r="R268" s="983"/>
    </row>
    <row r="269" spans="1:18" ht="30" customHeight="1">
      <c r="A269" s="965"/>
      <c r="B269" s="968"/>
      <c r="C269" s="968"/>
      <c r="D269" s="1001"/>
      <c r="E269" s="968"/>
      <c r="F269" s="968"/>
      <c r="G269" s="968"/>
      <c r="H269" s="968"/>
      <c r="I269" s="972"/>
      <c r="J269" s="973">
        <v>232.01499999999999</v>
      </c>
      <c r="K269" s="982"/>
      <c r="L269" s="982"/>
      <c r="M269" s="982"/>
      <c r="N269" s="982"/>
      <c r="O269" s="982"/>
      <c r="P269" s="982"/>
      <c r="Q269" s="969"/>
      <c r="R269" s="983"/>
    </row>
    <row r="270" spans="1:18" ht="30" customHeight="1">
      <c r="A270" s="965">
        <f>A268+1</f>
        <v>132</v>
      </c>
      <c r="B270" s="968" t="s">
        <v>2997</v>
      </c>
      <c r="C270" s="968" t="s">
        <v>1269</v>
      </c>
      <c r="D270" s="1001" t="s">
        <v>3224</v>
      </c>
      <c r="E270" s="968"/>
      <c r="F270" s="968"/>
      <c r="G270" s="968"/>
      <c r="H270" s="968"/>
      <c r="I270" s="972" t="s">
        <v>1765</v>
      </c>
      <c r="J270" s="973"/>
      <c r="K270" s="982"/>
      <c r="L270" s="982" t="s">
        <v>2919</v>
      </c>
      <c r="M270" s="966" t="s">
        <v>1009</v>
      </c>
      <c r="N270" s="966" t="s">
        <v>1009</v>
      </c>
      <c r="O270" s="974" t="s">
        <v>1009</v>
      </c>
      <c r="P270" s="982"/>
      <c r="Q270" s="969"/>
      <c r="R270" s="983"/>
    </row>
    <row r="271" spans="1:18" ht="30" customHeight="1">
      <c r="A271" s="965"/>
      <c r="B271" s="968"/>
      <c r="C271" s="968"/>
      <c r="D271" s="967"/>
      <c r="E271" s="968"/>
      <c r="F271" s="968"/>
      <c r="G271" s="968"/>
      <c r="H271" s="968"/>
      <c r="I271" s="972"/>
      <c r="J271" s="973">
        <v>323.18599999999998</v>
      </c>
      <c r="K271" s="982"/>
      <c r="L271" s="982"/>
      <c r="M271" s="982"/>
      <c r="N271" s="982"/>
      <c r="O271" s="982"/>
      <c r="P271" s="982"/>
      <c r="Q271" s="1670"/>
      <c r="R271" s="983"/>
    </row>
    <row r="272" spans="1:18" ht="30" customHeight="1">
      <c r="A272" s="965">
        <f>A270+1</f>
        <v>133</v>
      </c>
      <c r="B272" s="968" t="s">
        <v>2378</v>
      </c>
      <c r="C272" s="968" t="s">
        <v>76</v>
      </c>
      <c r="D272" s="967"/>
      <c r="E272" s="968"/>
      <c r="F272" s="968"/>
      <c r="G272" s="968"/>
      <c r="H272" s="968"/>
      <c r="I272" s="972" t="s">
        <v>1765</v>
      </c>
      <c r="J272" s="973"/>
      <c r="K272" s="982"/>
      <c r="L272" s="982" t="s">
        <v>2919</v>
      </c>
      <c r="M272" s="966" t="s">
        <v>1009</v>
      </c>
      <c r="N272" s="982"/>
      <c r="O272" s="974" t="s">
        <v>1009</v>
      </c>
      <c r="P272" s="982"/>
      <c r="Q272" s="1671"/>
      <c r="R272" s="983"/>
    </row>
    <row r="273" spans="1:18" ht="30" customHeight="1">
      <c r="A273" s="965"/>
      <c r="B273" s="968"/>
      <c r="C273" s="968"/>
      <c r="D273" s="967"/>
      <c r="E273" s="968"/>
      <c r="F273" s="968"/>
      <c r="G273" s="968"/>
      <c r="H273" s="968"/>
      <c r="I273" s="972"/>
      <c r="J273" s="973">
        <v>351.47500000000002</v>
      </c>
      <c r="K273" s="982"/>
      <c r="L273" s="982"/>
      <c r="M273" s="982"/>
      <c r="N273" s="982"/>
      <c r="O273" s="982"/>
      <c r="P273" s="982"/>
      <c r="Q273" s="1671"/>
      <c r="R273" s="983"/>
    </row>
    <row r="274" spans="1:18" ht="30" customHeight="1">
      <c r="A274" s="965">
        <f>A272+1</f>
        <v>134</v>
      </c>
      <c r="B274" s="968" t="s">
        <v>2453</v>
      </c>
      <c r="C274" s="968" t="s">
        <v>62</v>
      </c>
      <c r="D274" s="967"/>
      <c r="E274" s="968"/>
      <c r="F274" s="968"/>
      <c r="G274" s="968"/>
      <c r="H274" s="968"/>
      <c r="I274" s="972" t="s">
        <v>1765</v>
      </c>
      <c r="J274" s="973"/>
      <c r="K274" s="982"/>
      <c r="L274" s="982" t="s">
        <v>2919</v>
      </c>
      <c r="M274" s="966" t="s">
        <v>1009</v>
      </c>
      <c r="N274" s="966" t="s">
        <v>1009</v>
      </c>
      <c r="O274" s="974" t="s">
        <v>1009</v>
      </c>
      <c r="P274" s="982"/>
      <c r="Q274" s="1671"/>
      <c r="R274" s="983"/>
    </row>
    <row r="275" spans="1:18" ht="30" customHeight="1">
      <c r="A275" s="965"/>
      <c r="B275" s="968"/>
      <c r="C275" s="968"/>
      <c r="D275" s="967"/>
      <c r="E275" s="968"/>
      <c r="F275" s="968"/>
      <c r="G275" s="968"/>
      <c r="H275" s="968"/>
      <c r="I275" s="972"/>
      <c r="J275" s="973">
        <v>368.87400000000002</v>
      </c>
      <c r="K275" s="982"/>
      <c r="L275" s="982"/>
      <c r="M275" s="982"/>
      <c r="N275" s="982"/>
      <c r="O275" s="982"/>
      <c r="P275" s="982"/>
      <c r="Q275" s="1671"/>
      <c r="R275" s="983"/>
    </row>
    <row r="276" spans="1:18" ht="30" customHeight="1">
      <c r="A276" s="965">
        <f>A274+1</f>
        <v>135</v>
      </c>
      <c r="B276" s="968" t="s">
        <v>2379</v>
      </c>
      <c r="C276" s="968" t="s">
        <v>76</v>
      </c>
      <c r="D276" s="967"/>
      <c r="E276" s="968"/>
      <c r="F276" s="968"/>
      <c r="G276" s="968"/>
      <c r="H276" s="968"/>
      <c r="I276" s="972" t="s">
        <v>1765</v>
      </c>
      <c r="J276" s="973"/>
      <c r="K276" s="982"/>
      <c r="L276" s="982" t="s">
        <v>2919</v>
      </c>
      <c r="M276" s="966" t="s">
        <v>1009</v>
      </c>
      <c r="N276" s="966" t="s">
        <v>1009</v>
      </c>
      <c r="O276" s="974" t="s">
        <v>1009</v>
      </c>
      <c r="P276" s="982"/>
      <c r="Q276" s="1671"/>
      <c r="R276" s="983"/>
    </row>
    <row r="277" spans="1:18" ht="30" customHeight="1">
      <c r="A277" s="965"/>
      <c r="B277" s="968"/>
      <c r="C277" s="968"/>
      <c r="D277" s="967"/>
      <c r="E277" s="968"/>
      <c r="F277" s="968"/>
      <c r="G277" s="968"/>
      <c r="H277" s="968"/>
      <c r="I277" s="972"/>
      <c r="J277" s="973">
        <v>366.14699999999999</v>
      </c>
      <c r="K277" s="982"/>
      <c r="L277" s="982"/>
      <c r="M277" s="982"/>
      <c r="N277" s="982"/>
      <c r="O277" s="982"/>
      <c r="P277" s="982"/>
      <c r="Q277" s="1672"/>
      <c r="R277" s="983"/>
    </row>
    <row r="278" spans="1:18" ht="30" customHeight="1">
      <c r="A278" s="965">
        <f>A276+1</f>
        <v>136</v>
      </c>
      <c r="B278" s="968" t="s">
        <v>2998</v>
      </c>
      <c r="C278" s="968" t="s">
        <v>1277</v>
      </c>
      <c r="D278" s="967" t="s">
        <v>2455</v>
      </c>
      <c r="E278" s="968"/>
      <c r="F278" s="968"/>
      <c r="G278" s="968"/>
      <c r="H278" s="968"/>
      <c r="I278" s="972" t="s">
        <v>1765</v>
      </c>
      <c r="J278" s="973"/>
      <c r="K278" s="982"/>
      <c r="L278" s="982" t="s">
        <v>2919</v>
      </c>
      <c r="M278" s="966" t="s">
        <v>1009</v>
      </c>
      <c r="N278" s="966" t="s">
        <v>1009</v>
      </c>
      <c r="O278" s="974" t="s">
        <v>1009</v>
      </c>
      <c r="P278" s="982"/>
      <c r="Q278" s="969"/>
      <c r="R278" s="983"/>
    </row>
    <row r="279" spans="1:18" ht="30" customHeight="1">
      <c r="A279" s="965"/>
      <c r="B279" s="968"/>
      <c r="C279" s="968"/>
      <c r="D279" s="967"/>
      <c r="E279" s="968"/>
      <c r="F279" s="968"/>
      <c r="G279" s="968"/>
      <c r="H279" s="968"/>
      <c r="I279" s="972"/>
      <c r="J279" s="973">
        <v>326.20999999999998</v>
      </c>
      <c r="K279" s="982"/>
      <c r="L279" s="982"/>
      <c r="M279" s="982"/>
      <c r="N279" s="982"/>
      <c r="O279" s="982"/>
      <c r="P279" s="982"/>
      <c r="Q279" s="1670"/>
      <c r="R279" s="983"/>
    </row>
    <row r="280" spans="1:18" ht="30" customHeight="1">
      <c r="A280" s="965">
        <f>A278+1</f>
        <v>137</v>
      </c>
      <c r="B280" s="968" t="s">
        <v>2377</v>
      </c>
      <c r="C280" s="968" t="s">
        <v>76</v>
      </c>
      <c r="D280" s="967"/>
      <c r="E280" s="968"/>
      <c r="F280" s="968"/>
      <c r="G280" s="968"/>
      <c r="H280" s="968"/>
      <c r="I280" s="972" t="s">
        <v>1765</v>
      </c>
      <c r="J280" s="973"/>
      <c r="K280" s="982"/>
      <c r="L280" s="982" t="s">
        <v>2919</v>
      </c>
      <c r="M280" s="966" t="s">
        <v>1009</v>
      </c>
      <c r="N280" s="966" t="s">
        <v>1009</v>
      </c>
      <c r="O280" s="974" t="s">
        <v>1009</v>
      </c>
      <c r="P280" s="982"/>
      <c r="Q280" s="1671"/>
      <c r="R280" s="983"/>
    </row>
    <row r="281" spans="1:18" ht="30" customHeight="1">
      <c r="A281" s="965"/>
      <c r="B281" s="968"/>
      <c r="C281" s="968"/>
      <c r="D281" s="967"/>
      <c r="E281" s="968"/>
      <c r="F281" s="968"/>
      <c r="G281" s="968"/>
      <c r="H281" s="968"/>
      <c r="I281" s="972"/>
      <c r="J281" s="973">
        <v>308.149</v>
      </c>
      <c r="K281" s="982"/>
      <c r="L281" s="982"/>
      <c r="M281" s="982"/>
      <c r="N281" s="982"/>
      <c r="O281" s="982"/>
      <c r="P281" s="982"/>
      <c r="Q281" s="1672"/>
      <c r="R281" s="983"/>
    </row>
    <row r="282" spans="1:18" ht="30" customHeight="1">
      <c r="A282" s="965">
        <f>A280+1</f>
        <v>138</v>
      </c>
      <c r="B282" s="968" t="s">
        <v>2999</v>
      </c>
      <c r="C282" s="968" t="s">
        <v>1277</v>
      </c>
      <c r="D282" s="967" t="s">
        <v>2457</v>
      </c>
      <c r="E282" s="968"/>
      <c r="F282" s="968"/>
      <c r="G282" s="968"/>
      <c r="H282" s="968"/>
      <c r="I282" s="972"/>
      <c r="J282" s="973"/>
      <c r="K282" s="982"/>
      <c r="L282" s="982"/>
      <c r="M282" s="982"/>
      <c r="N282" s="982"/>
      <c r="O282" s="982"/>
      <c r="P282" s="982"/>
      <c r="Q282" s="969"/>
      <c r="R282" s="983"/>
    </row>
    <row r="283" spans="1:18" ht="30" customHeight="1">
      <c r="A283" s="965"/>
      <c r="B283" s="968"/>
      <c r="C283" s="968"/>
      <c r="D283" s="967"/>
      <c r="E283" s="968"/>
      <c r="F283" s="968"/>
      <c r="G283" s="968"/>
      <c r="H283" s="968"/>
      <c r="I283" s="972"/>
      <c r="J283" s="973">
        <v>285.935</v>
      </c>
      <c r="K283" s="982"/>
      <c r="L283" s="982"/>
      <c r="M283" s="982"/>
      <c r="N283" s="982"/>
      <c r="O283" s="982"/>
      <c r="P283" s="982"/>
      <c r="Q283" s="1670"/>
      <c r="R283" s="983"/>
    </row>
    <row r="284" spans="1:18" ht="30" customHeight="1">
      <c r="A284" s="965">
        <f>A282+1</f>
        <v>139</v>
      </c>
      <c r="B284" s="968" t="s">
        <v>2458</v>
      </c>
      <c r="C284" s="968" t="s">
        <v>76</v>
      </c>
      <c r="D284" s="967"/>
      <c r="E284" s="968"/>
      <c r="F284" s="968"/>
      <c r="G284" s="968"/>
      <c r="H284" s="968"/>
      <c r="I284" s="972"/>
      <c r="J284" s="973"/>
      <c r="K284" s="982"/>
      <c r="L284" s="982"/>
      <c r="M284" s="982"/>
      <c r="N284" s="982"/>
      <c r="O284" s="982"/>
      <c r="P284" s="982"/>
      <c r="Q284" s="1671"/>
      <c r="R284" s="983"/>
    </row>
    <row r="285" spans="1:18" ht="30" customHeight="1">
      <c r="A285" s="965"/>
      <c r="B285" s="968"/>
      <c r="C285" s="968"/>
      <c r="D285" s="967"/>
      <c r="E285" s="968"/>
      <c r="F285" s="968"/>
      <c r="G285" s="968"/>
      <c r="H285" s="968"/>
      <c r="I285" s="972"/>
      <c r="J285" s="973">
        <v>232.238</v>
      </c>
      <c r="K285" s="982"/>
      <c r="L285" s="982"/>
      <c r="M285" s="982"/>
      <c r="N285" s="982"/>
      <c r="O285" s="982"/>
      <c r="P285" s="982"/>
      <c r="Q285" s="1672"/>
      <c r="R285" s="983"/>
    </row>
    <row r="286" spans="1:18" ht="30" customHeight="1">
      <c r="A286" s="965">
        <f>A284+1</f>
        <v>140</v>
      </c>
      <c r="B286" s="968" t="s">
        <v>3000</v>
      </c>
      <c r="C286" s="968" t="s">
        <v>1319</v>
      </c>
      <c r="D286" s="967" t="s">
        <v>2460</v>
      </c>
      <c r="E286" s="968"/>
      <c r="F286" s="968"/>
      <c r="G286" s="968"/>
      <c r="H286" s="968"/>
      <c r="I286" s="972"/>
      <c r="J286" s="973"/>
      <c r="K286" s="982"/>
      <c r="L286" s="982"/>
      <c r="M286" s="982"/>
      <c r="N286" s="982"/>
      <c r="O286" s="982"/>
      <c r="P286" s="982"/>
      <c r="Q286" s="969"/>
      <c r="R286" s="983"/>
    </row>
    <row r="287" spans="1:18" ht="30" customHeight="1">
      <c r="A287" s="965"/>
      <c r="B287" s="968"/>
      <c r="C287" s="968"/>
      <c r="D287" s="967"/>
      <c r="E287" s="968"/>
      <c r="F287" s="968"/>
      <c r="G287" s="968"/>
      <c r="H287" s="968"/>
      <c r="I287" s="972"/>
      <c r="J287" s="973">
        <v>396.91300000000001</v>
      </c>
      <c r="K287" s="982"/>
      <c r="L287" s="982"/>
      <c r="M287" s="982"/>
      <c r="N287" s="982"/>
      <c r="O287" s="982"/>
      <c r="P287" s="982"/>
      <c r="Q287" s="1670"/>
      <c r="R287" s="983"/>
    </row>
    <row r="288" spans="1:18" ht="30" customHeight="1">
      <c r="A288" s="965">
        <f>A286+1</f>
        <v>141</v>
      </c>
      <c r="B288" s="968" t="s">
        <v>2461</v>
      </c>
      <c r="C288" s="968" t="s">
        <v>62</v>
      </c>
      <c r="D288" s="967"/>
      <c r="E288" s="968"/>
      <c r="F288" s="968"/>
      <c r="G288" s="968"/>
      <c r="H288" s="968"/>
      <c r="I288" s="972"/>
      <c r="J288" s="973"/>
      <c r="K288" s="982"/>
      <c r="L288" s="982"/>
      <c r="M288" s="982"/>
      <c r="N288" s="982"/>
      <c r="O288" s="982"/>
      <c r="P288" s="982"/>
      <c r="Q288" s="1671"/>
      <c r="R288" s="983"/>
    </row>
    <row r="289" spans="1:18" ht="30" customHeight="1">
      <c r="A289" s="965"/>
      <c r="B289" s="968"/>
      <c r="C289" s="968"/>
      <c r="D289" s="967"/>
      <c r="E289" s="968"/>
      <c r="F289" s="968"/>
      <c r="G289" s="968"/>
      <c r="H289" s="968"/>
      <c r="I289" s="972"/>
      <c r="J289" s="973">
        <v>412.767</v>
      </c>
      <c r="K289" s="982"/>
      <c r="L289" s="982"/>
      <c r="M289" s="982"/>
      <c r="N289" s="982"/>
      <c r="O289" s="982"/>
      <c r="P289" s="982"/>
      <c r="Q289" s="1671"/>
      <c r="R289" s="983"/>
    </row>
    <row r="290" spans="1:18" ht="30" customHeight="1">
      <c r="A290" s="965">
        <f>A288+1</f>
        <v>142</v>
      </c>
      <c r="B290" s="968" t="s">
        <v>2462</v>
      </c>
      <c r="C290" s="968" t="s">
        <v>53</v>
      </c>
      <c r="D290" s="967"/>
      <c r="E290" s="968"/>
      <c r="F290" s="968"/>
      <c r="G290" s="968"/>
      <c r="H290" s="968"/>
      <c r="I290" s="972"/>
      <c r="J290" s="973"/>
      <c r="K290" s="982"/>
      <c r="L290" s="982"/>
      <c r="M290" s="982"/>
      <c r="N290" s="982"/>
      <c r="O290" s="982"/>
      <c r="P290" s="982"/>
      <c r="Q290" s="1671"/>
      <c r="R290" s="983"/>
    </row>
    <row r="291" spans="1:18" ht="30" customHeight="1">
      <c r="A291" s="965"/>
      <c r="B291" s="968"/>
      <c r="C291" s="968"/>
      <c r="D291" s="967"/>
      <c r="E291" s="968"/>
      <c r="F291" s="968"/>
      <c r="G291" s="968"/>
      <c r="H291" s="968"/>
      <c r="I291" s="972"/>
      <c r="J291" s="973">
        <v>402.69</v>
      </c>
      <c r="K291" s="982"/>
      <c r="L291" s="982"/>
      <c r="M291" s="982"/>
      <c r="N291" s="982"/>
      <c r="O291" s="982"/>
      <c r="P291" s="982"/>
      <c r="Q291" s="1672"/>
      <c r="R291" s="983"/>
    </row>
    <row r="292" spans="1:18" ht="30" customHeight="1">
      <c r="A292" s="965">
        <f>A290+1</f>
        <v>143</v>
      </c>
      <c r="B292" s="968" t="s">
        <v>3001</v>
      </c>
      <c r="C292" s="968" t="s">
        <v>1361</v>
      </c>
      <c r="D292" s="967" t="s">
        <v>2484</v>
      </c>
      <c r="E292" s="968"/>
      <c r="F292" s="968"/>
      <c r="G292" s="968"/>
      <c r="H292" s="968"/>
      <c r="I292" s="972"/>
      <c r="J292" s="973"/>
      <c r="K292" s="982"/>
      <c r="L292" s="982"/>
      <c r="M292" s="982"/>
      <c r="N292" s="982"/>
      <c r="O292" s="982"/>
      <c r="P292" s="982"/>
      <c r="Q292" s="969"/>
      <c r="R292" s="983"/>
    </row>
    <row r="293" spans="1:18" ht="30" customHeight="1">
      <c r="A293" s="965"/>
      <c r="B293" s="968"/>
      <c r="C293" s="968"/>
      <c r="D293" s="967"/>
      <c r="E293" s="968"/>
      <c r="F293" s="968"/>
      <c r="G293" s="968"/>
      <c r="H293" s="968"/>
      <c r="I293" s="972"/>
      <c r="J293" s="973">
        <v>374.13299999999998</v>
      </c>
      <c r="K293" s="982"/>
      <c r="L293" s="982"/>
      <c r="M293" s="982"/>
      <c r="N293" s="982"/>
      <c r="O293" s="982"/>
      <c r="P293" s="982"/>
      <c r="Q293" s="1670"/>
      <c r="R293" s="983"/>
    </row>
    <row r="294" spans="1:18" ht="30" customHeight="1">
      <c r="A294" s="965">
        <f>A292+1</f>
        <v>144</v>
      </c>
      <c r="B294" s="968" t="s">
        <v>2464</v>
      </c>
      <c r="C294" s="968" t="s">
        <v>76</v>
      </c>
      <c r="D294" s="967"/>
      <c r="E294" s="968"/>
      <c r="F294" s="968"/>
      <c r="G294" s="968"/>
      <c r="H294" s="968"/>
      <c r="I294" s="972"/>
      <c r="J294" s="973"/>
      <c r="K294" s="982"/>
      <c r="L294" s="982"/>
      <c r="M294" s="982"/>
      <c r="N294" s="982"/>
      <c r="O294" s="982"/>
      <c r="P294" s="982"/>
      <c r="Q294" s="1671"/>
      <c r="R294" s="983"/>
    </row>
    <row r="295" spans="1:18" ht="30" customHeight="1">
      <c r="A295" s="965"/>
      <c r="B295" s="968"/>
      <c r="C295" s="968"/>
      <c r="D295" s="967"/>
      <c r="E295" s="968"/>
      <c r="F295" s="968"/>
      <c r="G295" s="968"/>
      <c r="H295" s="968"/>
      <c r="I295" s="972"/>
      <c r="J295" s="973">
        <v>377.37599999999998</v>
      </c>
      <c r="K295" s="982"/>
      <c r="L295" s="982"/>
      <c r="M295" s="982"/>
      <c r="N295" s="982"/>
      <c r="O295" s="982"/>
      <c r="P295" s="982"/>
      <c r="Q295" s="1671"/>
      <c r="R295" s="983"/>
    </row>
    <row r="296" spans="1:18" ht="30" customHeight="1">
      <c r="A296" s="965">
        <f>A294+1</f>
        <v>145</v>
      </c>
      <c r="B296" s="968" t="s">
        <v>2465</v>
      </c>
      <c r="C296" s="968" t="s">
        <v>76</v>
      </c>
      <c r="D296" s="967"/>
      <c r="E296" s="968"/>
      <c r="F296" s="968"/>
      <c r="G296" s="968"/>
      <c r="H296" s="968"/>
      <c r="I296" s="972"/>
      <c r="J296" s="973"/>
      <c r="K296" s="982"/>
      <c r="L296" s="982"/>
      <c r="M296" s="982"/>
      <c r="N296" s="982"/>
      <c r="O296" s="982"/>
      <c r="P296" s="982"/>
      <c r="Q296" s="1671"/>
      <c r="R296" s="983"/>
    </row>
    <row r="297" spans="1:18" ht="30" customHeight="1">
      <c r="A297" s="965"/>
      <c r="B297" s="968"/>
      <c r="C297" s="968"/>
      <c r="D297" s="967"/>
      <c r="E297" s="968"/>
      <c r="F297" s="968"/>
      <c r="G297" s="968"/>
      <c r="H297" s="968"/>
      <c r="I297" s="972"/>
      <c r="J297" s="973">
        <v>385.34899999999999</v>
      </c>
      <c r="K297" s="982"/>
      <c r="L297" s="982"/>
      <c r="M297" s="982"/>
      <c r="N297" s="982"/>
      <c r="O297" s="982"/>
      <c r="P297" s="982"/>
      <c r="Q297" s="1672"/>
      <c r="R297" s="983"/>
    </row>
    <row r="298" spans="1:18" ht="30" customHeight="1">
      <c r="A298" s="965">
        <f>A296+1</f>
        <v>146</v>
      </c>
      <c r="B298" s="968" t="s">
        <v>3002</v>
      </c>
      <c r="C298" s="968" t="s">
        <v>1269</v>
      </c>
      <c r="D298" s="967" t="s">
        <v>2488</v>
      </c>
      <c r="E298" s="968"/>
      <c r="F298" s="968"/>
      <c r="G298" s="968"/>
      <c r="H298" s="968"/>
      <c r="I298" s="972"/>
      <c r="J298" s="973"/>
      <c r="K298" s="982"/>
      <c r="L298" s="982"/>
      <c r="M298" s="982"/>
      <c r="N298" s="982"/>
      <c r="O298" s="982"/>
      <c r="P298" s="982"/>
      <c r="Q298" s="969"/>
      <c r="R298" s="983"/>
    </row>
    <row r="299" spans="1:18" ht="30" customHeight="1">
      <c r="A299" s="965"/>
      <c r="B299" s="968"/>
      <c r="C299" s="968"/>
      <c r="D299" s="967"/>
      <c r="E299" s="968"/>
      <c r="F299" s="968"/>
      <c r="G299" s="968"/>
      <c r="H299" s="968"/>
      <c r="I299" s="972"/>
      <c r="J299" s="973">
        <v>395.25200000000001</v>
      </c>
      <c r="K299" s="982"/>
      <c r="L299" s="982"/>
      <c r="M299" s="982"/>
      <c r="N299" s="982"/>
      <c r="O299" s="982"/>
      <c r="P299" s="982"/>
      <c r="Q299" s="1670"/>
      <c r="R299" s="983"/>
    </row>
    <row r="300" spans="1:18" ht="30" customHeight="1">
      <c r="A300" s="965">
        <f>A298+1</f>
        <v>147</v>
      </c>
      <c r="B300" s="968" t="s">
        <v>2467</v>
      </c>
      <c r="C300" s="968" t="s">
        <v>62</v>
      </c>
      <c r="D300" s="967"/>
      <c r="E300" s="968"/>
      <c r="F300" s="968"/>
      <c r="G300" s="968"/>
      <c r="H300" s="968"/>
      <c r="I300" s="972" t="s">
        <v>1765</v>
      </c>
      <c r="J300" s="973"/>
      <c r="K300" s="982"/>
      <c r="L300" s="982" t="s">
        <v>2919</v>
      </c>
      <c r="M300" s="966" t="s">
        <v>1009</v>
      </c>
      <c r="N300" s="966" t="s">
        <v>1009</v>
      </c>
      <c r="O300" s="982" t="s">
        <v>1009</v>
      </c>
      <c r="P300" s="982"/>
      <c r="Q300" s="1671"/>
      <c r="R300" s="983"/>
    </row>
    <row r="301" spans="1:18" ht="30" customHeight="1">
      <c r="A301" s="965"/>
      <c r="B301" s="968"/>
      <c r="C301" s="968"/>
      <c r="D301" s="967"/>
      <c r="E301" s="968"/>
      <c r="F301" s="968"/>
      <c r="G301" s="968"/>
      <c r="H301" s="968"/>
      <c r="I301" s="972"/>
      <c r="J301" s="973">
        <v>358.29399999999998</v>
      </c>
      <c r="K301" s="982"/>
      <c r="L301" s="982"/>
      <c r="M301" s="982"/>
      <c r="N301" s="982"/>
      <c r="O301" s="982"/>
      <c r="P301" s="982"/>
      <c r="Q301" s="1672"/>
      <c r="R301" s="983"/>
    </row>
    <row r="302" spans="1:18" ht="30" customHeight="1">
      <c r="A302" s="965">
        <f>A300+1</f>
        <v>148</v>
      </c>
      <c r="B302" s="968" t="s">
        <v>3003</v>
      </c>
      <c r="C302" s="981" t="s">
        <v>1277</v>
      </c>
      <c r="D302" s="967" t="s">
        <v>2492</v>
      </c>
      <c r="E302" s="968"/>
      <c r="F302" s="968"/>
      <c r="G302" s="968"/>
      <c r="H302" s="968"/>
      <c r="I302" s="972" t="s">
        <v>1765</v>
      </c>
      <c r="J302" s="974"/>
      <c r="K302" s="982"/>
      <c r="L302" s="982" t="s">
        <v>2919</v>
      </c>
      <c r="M302" s="966" t="s">
        <v>1009</v>
      </c>
      <c r="N302" s="966" t="s">
        <v>1009</v>
      </c>
      <c r="O302" s="982" t="s">
        <v>22</v>
      </c>
      <c r="P302" s="982"/>
      <c r="Q302" s="969"/>
      <c r="R302" s="983"/>
    </row>
    <row r="303" spans="1:18" ht="30" customHeight="1">
      <c r="A303" s="965"/>
      <c r="B303" s="968"/>
      <c r="C303" s="968"/>
      <c r="D303" s="967"/>
      <c r="E303" s="968"/>
      <c r="F303" s="968"/>
      <c r="G303" s="968"/>
      <c r="H303" s="968"/>
      <c r="I303" s="972"/>
      <c r="J303" s="973">
        <v>426.27600000000001</v>
      </c>
      <c r="K303" s="982"/>
      <c r="L303" s="982"/>
      <c r="M303" s="982"/>
      <c r="N303" s="982"/>
      <c r="O303" s="982"/>
      <c r="P303" s="982"/>
      <c r="Q303" s="969"/>
      <c r="R303" s="984" t="s">
        <v>3226</v>
      </c>
    </row>
    <row r="304" spans="1:18" ht="30" customHeight="1">
      <c r="A304" s="965">
        <f>A302+1</f>
        <v>149</v>
      </c>
      <c r="B304" s="968" t="s">
        <v>3119</v>
      </c>
      <c r="C304" s="981" t="s">
        <v>1977</v>
      </c>
      <c r="D304" s="967" t="s">
        <v>3126</v>
      </c>
      <c r="E304" s="968"/>
      <c r="F304" s="968"/>
      <c r="G304" s="968"/>
      <c r="H304" s="968"/>
      <c r="I304" s="972" t="s">
        <v>2736</v>
      </c>
      <c r="J304" s="973"/>
      <c r="K304" s="982"/>
      <c r="L304" s="982" t="s">
        <v>2919</v>
      </c>
      <c r="M304" s="966" t="s">
        <v>1009</v>
      </c>
      <c r="N304" s="982"/>
      <c r="O304" s="982" t="s">
        <v>1009</v>
      </c>
      <c r="P304" s="982"/>
      <c r="Q304" s="969"/>
      <c r="R304" s="983"/>
    </row>
    <row r="305" spans="1:18" ht="30" customHeight="1">
      <c r="A305" s="965"/>
      <c r="B305" s="968"/>
      <c r="C305" s="968"/>
      <c r="D305" s="967"/>
      <c r="E305" s="968"/>
      <c r="F305" s="968"/>
      <c r="G305" s="968"/>
      <c r="H305" s="968"/>
      <c r="I305" s="972"/>
      <c r="J305" s="973">
        <v>217.161</v>
      </c>
      <c r="K305" s="982"/>
      <c r="L305" s="982"/>
      <c r="M305" s="982"/>
      <c r="N305" s="982"/>
      <c r="O305" s="982"/>
      <c r="P305" s="982"/>
      <c r="Q305" s="969"/>
      <c r="R305" s="983"/>
    </row>
    <row r="306" spans="1:18" ht="30" customHeight="1">
      <c r="A306" s="965">
        <f>A304+1</f>
        <v>150</v>
      </c>
      <c r="B306" s="968" t="s">
        <v>3120</v>
      </c>
      <c r="C306" s="968" t="s">
        <v>2197</v>
      </c>
      <c r="D306" s="967" t="s">
        <v>3127</v>
      </c>
      <c r="E306" s="968"/>
      <c r="F306" s="968"/>
      <c r="G306" s="968"/>
      <c r="H306" s="968"/>
      <c r="I306" s="972" t="s">
        <v>2736</v>
      </c>
      <c r="J306" s="973"/>
      <c r="K306" s="982"/>
      <c r="L306" s="982" t="s">
        <v>2919</v>
      </c>
      <c r="M306" s="966" t="s">
        <v>1009</v>
      </c>
      <c r="N306" s="966" t="s">
        <v>1009</v>
      </c>
      <c r="O306" s="982"/>
      <c r="P306" s="982"/>
      <c r="Q306" s="969"/>
      <c r="R306" s="983"/>
    </row>
    <row r="307" spans="1:18" ht="30" customHeight="1">
      <c r="A307" s="965"/>
      <c r="B307" s="968"/>
      <c r="C307" s="968"/>
      <c r="D307" s="967"/>
      <c r="E307" s="968"/>
      <c r="F307" s="968"/>
      <c r="G307" s="968"/>
      <c r="H307" s="968"/>
      <c r="I307" s="972"/>
      <c r="J307" s="973">
        <v>425.24400000000003</v>
      </c>
      <c r="K307" s="982"/>
      <c r="L307" s="982"/>
      <c r="M307" s="982"/>
      <c r="N307" s="982"/>
      <c r="O307" s="982"/>
      <c r="P307" s="982"/>
      <c r="Q307" s="969"/>
      <c r="R307" s="983"/>
    </row>
    <row r="308" spans="1:18" ht="30" customHeight="1">
      <c r="A308" s="965">
        <f>A306+1</f>
        <v>151</v>
      </c>
      <c r="B308" s="968" t="s">
        <v>3121</v>
      </c>
      <c r="C308" s="968" t="s">
        <v>3222</v>
      </c>
      <c r="D308" s="967"/>
      <c r="E308" s="968"/>
      <c r="F308" s="968"/>
      <c r="G308" s="968"/>
      <c r="H308" s="968"/>
      <c r="I308" s="972" t="s">
        <v>1765</v>
      </c>
      <c r="J308" s="973"/>
      <c r="K308" s="982"/>
      <c r="L308" s="982" t="s">
        <v>2919</v>
      </c>
      <c r="M308" s="966" t="s">
        <v>1009</v>
      </c>
      <c r="N308" s="966" t="s">
        <v>1009</v>
      </c>
      <c r="O308" s="982"/>
      <c r="P308" s="982"/>
      <c r="Q308" s="969"/>
      <c r="R308" s="983"/>
    </row>
    <row r="309" spans="1:18" ht="30" customHeight="1">
      <c r="A309" s="965"/>
      <c r="B309" s="968"/>
      <c r="C309" s="968"/>
      <c r="D309" s="967"/>
      <c r="E309" s="968"/>
      <c r="F309" s="968"/>
      <c r="G309" s="968"/>
      <c r="H309" s="968"/>
      <c r="I309" s="972"/>
      <c r="J309" s="973">
        <v>373.291</v>
      </c>
      <c r="K309" s="982"/>
      <c r="L309" s="982"/>
      <c r="M309" s="982"/>
      <c r="N309" s="982"/>
      <c r="O309" s="982"/>
      <c r="P309" s="982"/>
      <c r="Q309" s="969"/>
      <c r="R309" s="983"/>
    </row>
    <row r="310" spans="1:18" ht="30" customHeight="1">
      <c r="A310" s="965">
        <f>A308+1</f>
        <v>152</v>
      </c>
      <c r="B310" s="968" t="s">
        <v>3122</v>
      </c>
      <c r="C310" s="968" t="s">
        <v>2023</v>
      </c>
      <c r="D310" s="967" t="s">
        <v>3128</v>
      </c>
      <c r="E310" s="968">
        <v>2</v>
      </c>
      <c r="F310" s="968">
        <v>2</v>
      </c>
      <c r="G310" s="968">
        <v>2</v>
      </c>
      <c r="H310" s="968">
        <v>2</v>
      </c>
      <c r="I310" s="972" t="s">
        <v>2736</v>
      </c>
      <c r="J310" s="973"/>
      <c r="K310" s="982"/>
      <c r="L310" s="982" t="s">
        <v>2919</v>
      </c>
      <c r="M310" s="966" t="s">
        <v>1009</v>
      </c>
      <c r="N310" s="966" t="s">
        <v>1009</v>
      </c>
      <c r="O310" s="982"/>
      <c r="P310" s="982"/>
      <c r="Q310" s="969"/>
      <c r="R310" s="983"/>
    </row>
    <row r="311" spans="1:18" ht="30" customHeight="1">
      <c r="A311" s="965"/>
      <c r="B311" s="968"/>
      <c r="C311" s="968"/>
      <c r="D311" s="967"/>
      <c r="E311" s="968"/>
      <c r="F311" s="968"/>
      <c r="G311" s="968"/>
      <c r="H311" s="968"/>
      <c r="I311" s="972"/>
      <c r="J311" s="973">
        <v>240.81</v>
      </c>
      <c r="K311" s="982"/>
      <c r="L311" s="982"/>
      <c r="M311" s="982"/>
      <c r="N311" s="982"/>
      <c r="O311" s="982"/>
      <c r="P311" s="982"/>
      <c r="Q311" s="969"/>
      <c r="R311" s="984" t="s">
        <v>3227</v>
      </c>
    </row>
    <row r="312" spans="1:18" ht="30" customHeight="1">
      <c r="A312" s="965">
        <f>A310+1</f>
        <v>153</v>
      </c>
      <c r="B312" s="968" t="s">
        <v>3123</v>
      </c>
      <c r="C312" s="968" t="s">
        <v>3223</v>
      </c>
      <c r="D312" s="967" t="s">
        <v>3129</v>
      </c>
      <c r="E312" s="968">
        <v>2</v>
      </c>
      <c r="F312" s="968">
        <v>2</v>
      </c>
      <c r="G312" s="968">
        <v>2</v>
      </c>
      <c r="H312" s="968">
        <v>2</v>
      </c>
      <c r="I312" s="972" t="s">
        <v>2736</v>
      </c>
      <c r="J312" s="973"/>
      <c r="K312" s="982"/>
      <c r="L312" s="966" t="s">
        <v>2919</v>
      </c>
      <c r="M312" s="966" t="s">
        <v>1009</v>
      </c>
      <c r="N312" s="966" t="s">
        <v>1009</v>
      </c>
      <c r="O312" s="982"/>
      <c r="P312" s="982"/>
      <c r="Q312" s="969"/>
      <c r="R312" s="983"/>
    </row>
    <row r="313" spans="1:18" ht="30" customHeight="1">
      <c r="A313" s="965"/>
      <c r="B313" s="968"/>
      <c r="C313" s="968"/>
      <c r="D313" s="967"/>
      <c r="E313" s="968"/>
      <c r="F313" s="968"/>
      <c r="G313" s="968"/>
      <c r="H313" s="968"/>
      <c r="I313" s="972"/>
      <c r="J313" s="973">
        <v>501.81299999999999</v>
      </c>
      <c r="K313" s="982"/>
      <c r="L313" s="982"/>
      <c r="M313" s="982"/>
      <c r="N313" s="982"/>
      <c r="O313" s="982"/>
      <c r="P313" s="982"/>
      <c r="Q313" s="969"/>
      <c r="R313" s="983"/>
    </row>
    <row r="314" spans="1:18" ht="30" customHeight="1">
      <c r="A314" s="965">
        <f>A312+1</f>
        <v>154</v>
      </c>
      <c r="B314" s="968" t="s">
        <v>3124</v>
      </c>
      <c r="C314" s="981" t="s">
        <v>1977</v>
      </c>
      <c r="D314" s="967" t="s">
        <v>3130</v>
      </c>
      <c r="E314" s="968"/>
      <c r="F314" s="968"/>
      <c r="G314" s="968"/>
      <c r="H314" s="968"/>
      <c r="I314" s="972" t="s">
        <v>2736</v>
      </c>
      <c r="J314" s="973"/>
      <c r="K314" s="982"/>
      <c r="L314" s="982" t="s">
        <v>2919</v>
      </c>
      <c r="M314" s="966" t="s">
        <v>1009</v>
      </c>
      <c r="N314" s="966" t="s">
        <v>1009</v>
      </c>
      <c r="O314" s="966" t="s">
        <v>1009</v>
      </c>
      <c r="P314" s="982"/>
      <c r="Q314" s="969"/>
      <c r="R314" s="983"/>
    </row>
    <row r="315" spans="1:18" ht="30" customHeight="1">
      <c r="A315" s="965"/>
      <c r="B315" s="968"/>
      <c r="C315" s="968"/>
      <c r="D315" s="967"/>
      <c r="E315" s="968"/>
      <c r="F315" s="968"/>
      <c r="G315" s="968"/>
      <c r="H315" s="968"/>
      <c r="I315" s="972"/>
      <c r="J315" s="973">
        <v>244.06800000000001</v>
      </c>
      <c r="K315" s="982"/>
      <c r="L315" s="982"/>
      <c r="M315" s="982"/>
      <c r="N315" s="982"/>
      <c r="O315" s="982"/>
      <c r="P315" s="982"/>
      <c r="Q315" s="969"/>
      <c r="R315" s="984" t="s">
        <v>3228</v>
      </c>
    </row>
    <row r="316" spans="1:18" ht="30" customHeight="1">
      <c r="A316" s="965">
        <f>A314+1</f>
        <v>155</v>
      </c>
      <c r="B316" s="968" t="s">
        <v>3125</v>
      </c>
      <c r="C316" s="968" t="s">
        <v>2197</v>
      </c>
      <c r="D316" s="967" t="s">
        <v>3131</v>
      </c>
      <c r="E316" s="968"/>
      <c r="F316" s="968"/>
      <c r="G316" s="968"/>
      <c r="H316" s="968"/>
      <c r="I316" s="972" t="s">
        <v>2736</v>
      </c>
      <c r="J316" s="973"/>
      <c r="K316" s="982"/>
      <c r="L316" s="982" t="s">
        <v>2919</v>
      </c>
      <c r="M316" s="966" t="s">
        <v>1009</v>
      </c>
      <c r="N316" s="966" t="s">
        <v>1009</v>
      </c>
      <c r="O316" s="982"/>
      <c r="P316" s="982"/>
      <c r="Q316" s="969"/>
      <c r="R316" s="983"/>
    </row>
    <row r="317" spans="1:18" ht="30" customHeight="1">
      <c r="A317" s="965"/>
      <c r="B317" s="968"/>
      <c r="C317" s="968"/>
      <c r="D317" s="967"/>
      <c r="E317" s="968"/>
      <c r="F317" s="968"/>
      <c r="G317" s="968"/>
      <c r="H317" s="968"/>
      <c r="I317" s="972"/>
      <c r="J317" s="973">
        <v>387.815</v>
      </c>
      <c r="K317" s="982"/>
      <c r="L317" s="982"/>
      <c r="M317" s="982"/>
      <c r="N317" s="982"/>
      <c r="O317" s="982"/>
      <c r="P317" s="982"/>
      <c r="Q317" s="969"/>
      <c r="R317" s="983"/>
    </row>
    <row r="318" spans="1:18" ht="30" customHeight="1">
      <c r="A318" s="965">
        <f>A316+1</f>
        <v>156</v>
      </c>
      <c r="B318" s="968" t="s">
        <v>3117</v>
      </c>
      <c r="C318" s="968" t="s">
        <v>3151</v>
      </c>
      <c r="D318" s="967"/>
      <c r="E318" s="968"/>
      <c r="F318" s="968"/>
      <c r="G318" s="968"/>
      <c r="H318" s="968"/>
      <c r="I318" s="972" t="s">
        <v>1765</v>
      </c>
      <c r="J318" s="973"/>
      <c r="K318" s="982"/>
      <c r="L318" s="982" t="s">
        <v>2919</v>
      </c>
      <c r="M318" s="966" t="s">
        <v>1009</v>
      </c>
      <c r="N318" s="966" t="s">
        <v>1009</v>
      </c>
      <c r="O318" s="982" t="s">
        <v>1009</v>
      </c>
      <c r="P318" s="982"/>
      <c r="Q318" s="969"/>
      <c r="R318" s="983"/>
    </row>
    <row r="319" spans="1:18" ht="30" customHeight="1">
      <c r="A319" s="965"/>
      <c r="B319" s="968"/>
      <c r="C319" s="968"/>
      <c r="D319" s="967"/>
      <c r="E319" s="968"/>
      <c r="F319" s="968"/>
      <c r="G319" s="968"/>
      <c r="H319" s="968"/>
      <c r="I319" s="972"/>
      <c r="J319" s="973">
        <v>303.92700000000002</v>
      </c>
      <c r="K319" s="982"/>
      <c r="L319" s="982"/>
      <c r="M319" s="982"/>
      <c r="N319" s="982"/>
      <c r="O319" s="982"/>
      <c r="P319" s="982"/>
      <c r="Q319" s="969"/>
      <c r="R319" s="983"/>
    </row>
    <row r="320" spans="1:18" ht="30" customHeight="1">
      <c r="A320" s="965">
        <f>A318+1</f>
        <v>157</v>
      </c>
      <c r="B320" s="968" t="s">
        <v>3118</v>
      </c>
      <c r="C320" s="968" t="s">
        <v>76</v>
      </c>
      <c r="D320" s="967"/>
      <c r="E320" s="968"/>
      <c r="F320" s="968"/>
      <c r="G320" s="968"/>
      <c r="H320" s="968"/>
      <c r="I320" s="972" t="s">
        <v>1765</v>
      </c>
      <c r="J320" s="973"/>
      <c r="K320" s="982"/>
      <c r="L320" s="982" t="s">
        <v>2919</v>
      </c>
      <c r="M320" s="966" t="s">
        <v>1009</v>
      </c>
      <c r="N320" s="966" t="s">
        <v>1009</v>
      </c>
      <c r="O320" s="974" t="s">
        <v>1009</v>
      </c>
      <c r="P320" s="982"/>
      <c r="Q320" s="969"/>
      <c r="R320" s="1032"/>
    </row>
    <row r="321" spans="1:18">
      <c r="O321" s="958"/>
    </row>
    <row r="322" spans="1:18" ht="30" customHeight="1">
      <c r="A322" s="965">
        <f>A320+1</f>
        <v>158</v>
      </c>
      <c r="B322" s="968" t="s">
        <v>3004</v>
      </c>
      <c r="C322" s="968" t="s">
        <v>3132</v>
      </c>
      <c r="D322" s="967" t="s">
        <v>2499</v>
      </c>
      <c r="E322" s="968"/>
      <c r="F322" s="968"/>
      <c r="G322" s="968"/>
      <c r="H322" s="968"/>
      <c r="I322" s="972" t="s">
        <v>1765</v>
      </c>
      <c r="J322" s="974"/>
      <c r="K322" s="982"/>
      <c r="L322" s="982" t="s">
        <v>2919</v>
      </c>
      <c r="M322" s="966" t="s">
        <v>1009</v>
      </c>
      <c r="N322" s="966" t="s">
        <v>1009</v>
      </c>
      <c r="O322" s="982" t="s">
        <v>1009</v>
      </c>
      <c r="P322" s="982"/>
      <c r="Q322" s="969"/>
      <c r="R322" s="983"/>
    </row>
    <row r="323" spans="1:18" ht="30" customHeight="1">
      <c r="A323" s="965"/>
      <c r="B323" s="968"/>
      <c r="C323" s="968"/>
      <c r="D323" s="967"/>
      <c r="E323" s="968"/>
      <c r="F323" s="968"/>
      <c r="G323" s="968"/>
      <c r="H323" s="968"/>
      <c r="I323" s="972"/>
      <c r="J323" s="973">
        <v>407.94600000000003</v>
      </c>
      <c r="K323" s="982"/>
      <c r="L323" s="982"/>
      <c r="M323" s="982"/>
      <c r="N323" s="982"/>
      <c r="O323" s="982"/>
      <c r="P323" s="982"/>
      <c r="Q323" s="1670"/>
      <c r="R323" s="983"/>
    </row>
    <row r="324" spans="1:18" ht="30" customHeight="1">
      <c r="A324" s="965">
        <f>A322+1</f>
        <v>159</v>
      </c>
      <c r="B324" s="968" t="s">
        <v>2500</v>
      </c>
      <c r="C324" s="968" t="s">
        <v>62</v>
      </c>
      <c r="D324" s="967"/>
      <c r="E324" s="968"/>
      <c r="F324" s="968"/>
      <c r="G324" s="968"/>
      <c r="H324" s="968"/>
      <c r="I324" s="972" t="s">
        <v>1765</v>
      </c>
      <c r="J324" s="973"/>
      <c r="K324" s="982"/>
      <c r="L324" s="982" t="s">
        <v>2919</v>
      </c>
      <c r="M324" s="966" t="s">
        <v>1009</v>
      </c>
      <c r="N324" s="966" t="s">
        <v>1009</v>
      </c>
      <c r="O324" s="974" t="s">
        <v>1009</v>
      </c>
      <c r="P324" s="982"/>
      <c r="Q324" s="1671"/>
      <c r="R324" s="983"/>
    </row>
    <row r="325" spans="1:18" ht="30" customHeight="1">
      <c r="A325" s="965"/>
      <c r="B325" s="968"/>
      <c r="C325" s="968"/>
      <c r="D325" s="967"/>
      <c r="E325" s="968"/>
      <c r="F325" s="968"/>
      <c r="G325" s="968"/>
      <c r="H325" s="968"/>
      <c r="I325" s="972"/>
      <c r="J325" s="973">
        <v>429.84699999999998</v>
      </c>
      <c r="K325" s="982"/>
      <c r="L325" s="982"/>
      <c r="M325" s="982"/>
      <c r="N325" s="982"/>
      <c r="O325" s="982"/>
      <c r="P325" s="982"/>
      <c r="Q325" s="1671"/>
      <c r="R325" s="983"/>
    </row>
    <row r="326" spans="1:18" ht="30" customHeight="1">
      <c r="A326" s="965">
        <f>A324+1</f>
        <v>160</v>
      </c>
      <c r="B326" s="968" t="s">
        <v>2501</v>
      </c>
      <c r="C326" s="968" t="s">
        <v>62</v>
      </c>
      <c r="D326" s="967"/>
      <c r="E326" s="968"/>
      <c r="F326" s="968"/>
      <c r="G326" s="968"/>
      <c r="H326" s="968"/>
      <c r="I326" s="972" t="s">
        <v>1765</v>
      </c>
      <c r="J326" s="973"/>
      <c r="K326" s="982"/>
      <c r="L326" s="982" t="s">
        <v>2919</v>
      </c>
      <c r="M326" s="966" t="s">
        <v>1009</v>
      </c>
      <c r="N326" s="966" t="s">
        <v>1009</v>
      </c>
      <c r="O326" s="974" t="s">
        <v>1009</v>
      </c>
      <c r="P326" s="982"/>
      <c r="Q326" s="1671"/>
      <c r="R326" s="983"/>
    </row>
    <row r="327" spans="1:18" ht="30" customHeight="1">
      <c r="A327" s="965"/>
      <c r="B327" s="968"/>
      <c r="C327" s="968"/>
      <c r="D327" s="967"/>
      <c r="E327" s="968"/>
      <c r="F327" s="968"/>
      <c r="G327" s="968"/>
      <c r="H327" s="968"/>
      <c r="I327" s="972"/>
      <c r="J327" s="973">
        <v>407.77800000000002</v>
      </c>
      <c r="K327" s="982"/>
      <c r="L327" s="982"/>
      <c r="M327" s="982"/>
      <c r="N327" s="982"/>
      <c r="O327" s="982"/>
      <c r="P327" s="982"/>
      <c r="Q327" s="1671"/>
      <c r="R327" s="983"/>
    </row>
    <row r="328" spans="1:18" ht="30" customHeight="1">
      <c r="A328" s="965">
        <f>A326+1</f>
        <v>161</v>
      </c>
      <c r="B328" s="968" t="s">
        <v>2502</v>
      </c>
      <c r="C328" s="968" t="s">
        <v>62</v>
      </c>
      <c r="D328" s="967"/>
      <c r="E328" s="968"/>
      <c r="F328" s="968"/>
      <c r="G328" s="968"/>
      <c r="H328" s="968"/>
      <c r="I328" s="972" t="s">
        <v>1765</v>
      </c>
      <c r="J328" s="973"/>
      <c r="K328" s="982"/>
      <c r="L328" s="982" t="s">
        <v>2919</v>
      </c>
      <c r="M328" s="966" t="s">
        <v>1009</v>
      </c>
      <c r="N328" s="966" t="s">
        <v>1009</v>
      </c>
      <c r="O328" s="974" t="s">
        <v>1009</v>
      </c>
      <c r="P328" s="982"/>
      <c r="Q328" s="1671"/>
      <c r="R328" s="983"/>
    </row>
    <row r="329" spans="1:18" ht="30" customHeight="1">
      <c r="A329" s="965"/>
      <c r="B329" s="968"/>
      <c r="C329" s="968"/>
      <c r="D329" s="967"/>
      <c r="E329" s="968"/>
      <c r="F329" s="968"/>
      <c r="G329" s="968"/>
      <c r="H329" s="968"/>
      <c r="I329" s="972"/>
      <c r="J329" s="973">
        <v>416.733</v>
      </c>
      <c r="K329" s="982"/>
      <c r="L329" s="982"/>
      <c r="M329" s="982"/>
      <c r="N329" s="982"/>
      <c r="O329" s="982"/>
      <c r="P329" s="982"/>
      <c r="Q329" s="1671"/>
      <c r="R329" s="983"/>
    </row>
    <row r="330" spans="1:18" ht="30" customHeight="1">
      <c r="A330" s="965">
        <f>A328+1</f>
        <v>162</v>
      </c>
      <c r="B330" s="968" t="s">
        <v>2503</v>
      </c>
      <c r="C330" s="968" t="s">
        <v>76</v>
      </c>
      <c r="D330" s="967"/>
      <c r="E330" s="968"/>
      <c r="F330" s="968"/>
      <c r="G330" s="968"/>
      <c r="H330" s="968"/>
      <c r="I330" s="972" t="s">
        <v>1765</v>
      </c>
      <c r="J330" s="973"/>
      <c r="K330" s="982"/>
      <c r="L330" s="982" t="s">
        <v>2919</v>
      </c>
      <c r="M330" s="966" t="s">
        <v>1009</v>
      </c>
      <c r="N330" s="966" t="s">
        <v>1009</v>
      </c>
      <c r="O330" s="974" t="s">
        <v>1009</v>
      </c>
      <c r="P330" s="982"/>
      <c r="Q330" s="1671"/>
      <c r="R330" s="983"/>
    </row>
    <row r="331" spans="1:18" ht="30" customHeight="1">
      <c r="A331" s="965"/>
      <c r="B331" s="968"/>
      <c r="C331" s="968"/>
      <c r="D331" s="967"/>
      <c r="E331" s="968"/>
      <c r="F331" s="968"/>
      <c r="G331" s="968"/>
      <c r="H331" s="968"/>
      <c r="I331" s="972"/>
      <c r="J331" s="973">
        <v>421.34500000000003</v>
      </c>
      <c r="K331" s="982"/>
      <c r="L331" s="982"/>
      <c r="M331" s="982"/>
      <c r="N331" s="982"/>
      <c r="O331" s="982"/>
      <c r="P331" s="982"/>
      <c r="Q331" s="1671"/>
      <c r="R331" s="983"/>
    </row>
    <row r="332" spans="1:18" ht="30" customHeight="1">
      <c r="A332" s="965">
        <f>A330+1</f>
        <v>163</v>
      </c>
      <c r="B332" s="968" t="s">
        <v>2504</v>
      </c>
      <c r="C332" s="968" t="s">
        <v>62</v>
      </c>
      <c r="D332" s="967"/>
      <c r="E332" s="968"/>
      <c r="F332" s="968"/>
      <c r="G332" s="968"/>
      <c r="H332" s="968"/>
      <c r="I332" s="972" t="s">
        <v>1765</v>
      </c>
      <c r="J332" s="973"/>
      <c r="K332" s="982"/>
      <c r="L332" s="982" t="s">
        <v>2919</v>
      </c>
      <c r="M332" s="966" t="s">
        <v>1009</v>
      </c>
      <c r="N332" s="966" t="s">
        <v>1009</v>
      </c>
      <c r="O332" s="974" t="s">
        <v>1009</v>
      </c>
      <c r="P332" s="982"/>
      <c r="Q332" s="1671"/>
      <c r="R332" s="983"/>
    </row>
    <row r="333" spans="1:18" ht="30" customHeight="1">
      <c r="A333" s="965"/>
      <c r="B333" s="968"/>
      <c r="C333" s="968"/>
      <c r="D333" s="967"/>
      <c r="E333" s="968"/>
      <c r="F333" s="968"/>
      <c r="G333" s="968"/>
      <c r="H333" s="968"/>
      <c r="I333" s="972"/>
      <c r="J333" s="973">
        <v>385.64</v>
      </c>
      <c r="K333" s="982"/>
      <c r="L333" s="982"/>
      <c r="M333" s="982"/>
      <c r="N333" s="982"/>
      <c r="O333" s="982"/>
      <c r="P333" s="982"/>
      <c r="Q333" s="1671"/>
      <c r="R333" s="983"/>
    </row>
    <row r="334" spans="1:18" ht="30" customHeight="1">
      <c r="A334" s="965">
        <f>A332+1</f>
        <v>164</v>
      </c>
      <c r="B334" s="968" t="s">
        <v>2505</v>
      </c>
      <c r="C334" s="1000" t="s">
        <v>249</v>
      </c>
      <c r="D334" s="967"/>
      <c r="E334" s="968"/>
      <c r="F334" s="968"/>
      <c r="G334" s="968"/>
      <c r="H334" s="968"/>
      <c r="I334" s="972" t="s">
        <v>1765</v>
      </c>
      <c r="J334" s="973"/>
      <c r="K334" s="982"/>
      <c r="L334" s="982" t="s">
        <v>2919</v>
      </c>
      <c r="M334" s="966" t="s">
        <v>1009</v>
      </c>
      <c r="N334" s="966" t="s">
        <v>1009</v>
      </c>
      <c r="O334" s="974" t="s">
        <v>1009</v>
      </c>
      <c r="P334" s="982"/>
      <c r="Q334" s="1671"/>
      <c r="R334" s="983"/>
    </row>
    <row r="335" spans="1:18" ht="30" customHeight="1">
      <c r="A335" s="965"/>
      <c r="B335" s="968"/>
      <c r="C335" s="968"/>
      <c r="D335" s="967"/>
      <c r="E335" s="968"/>
      <c r="F335" s="968"/>
      <c r="G335" s="968"/>
      <c r="H335" s="968"/>
      <c r="I335" s="972"/>
      <c r="J335" s="973">
        <v>372.69900000000001</v>
      </c>
      <c r="K335" s="982"/>
      <c r="L335" s="982"/>
      <c r="M335" s="982"/>
      <c r="N335" s="982"/>
      <c r="O335" s="982"/>
      <c r="P335" s="982"/>
      <c r="Q335" s="1672"/>
      <c r="R335" s="984" t="s">
        <v>3229</v>
      </c>
    </row>
    <row r="336" spans="1:18" ht="30" customHeight="1">
      <c r="A336" s="965">
        <f>A334+1</f>
        <v>165</v>
      </c>
      <c r="B336" s="968" t="s">
        <v>3005</v>
      </c>
      <c r="C336" s="968" t="s">
        <v>1953</v>
      </c>
      <c r="D336" s="967" t="s">
        <v>2507</v>
      </c>
      <c r="E336" s="968">
        <v>1.5</v>
      </c>
      <c r="F336" s="968">
        <v>1.5</v>
      </c>
      <c r="G336" s="968">
        <v>1.5</v>
      </c>
      <c r="H336" s="968">
        <v>1.5</v>
      </c>
      <c r="I336" s="972" t="s">
        <v>1765</v>
      </c>
      <c r="J336" s="973"/>
      <c r="K336" s="982"/>
      <c r="L336" s="982" t="s">
        <v>2919</v>
      </c>
      <c r="M336" s="966" t="s">
        <v>1009</v>
      </c>
      <c r="N336" s="966" t="s">
        <v>1009</v>
      </c>
      <c r="O336" s="982" t="s">
        <v>1009</v>
      </c>
      <c r="P336" s="982"/>
      <c r="Q336" s="969"/>
      <c r="R336" s="983"/>
    </row>
    <row r="337" spans="1:18" ht="30" customHeight="1">
      <c r="A337" s="965"/>
      <c r="B337" s="968"/>
      <c r="C337" s="968"/>
      <c r="D337" s="967"/>
      <c r="E337" s="968"/>
      <c r="F337" s="968"/>
      <c r="G337" s="968"/>
      <c r="H337" s="968"/>
      <c r="I337" s="972"/>
      <c r="J337" s="973">
        <v>407.91199999999998</v>
      </c>
      <c r="K337" s="982"/>
      <c r="L337" s="982"/>
      <c r="M337" s="982"/>
      <c r="N337" s="982"/>
      <c r="O337" s="982"/>
      <c r="P337" s="982"/>
      <c r="Q337" s="1670"/>
      <c r="R337" s="1016"/>
    </row>
    <row r="338" spans="1:18" ht="30" customHeight="1">
      <c r="A338" s="965">
        <f>A336+1</f>
        <v>166</v>
      </c>
      <c r="B338" s="968" t="s">
        <v>2508</v>
      </c>
      <c r="C338" s="968" t="s">
        <v>62</v>
      </c>
      <c r="D338" s="967"/>
      <c r="E338" s="968"/>
      <c r="F338" s="968"/>
      <c r="G338" s="968"/>
      <c r="H338" s="968"/>
      <c r="I338" s="972" t="s">
        <v>1765</v>
      </c>
      <c r="J338" s="973"/>
      <c r="K338" s="982"/>
      <c r="L338" s="982" t="s">
        <v>2919</v>
      </c>
      <c r="M338" s="966" t="s">
        <v>1009</v>
      </c>
      <c r="N338" s="966" t="s">
        <v>1009</v>
      </c>
      <c r="O338" s="974" t="s">
        <v>1009</v>
      </c>
      <c r="P338" s="982"/>
      <c r="Q338" s="1671"/>
      <c r="R338" s="983"/>
    </row>
    <row r="339" spans="1:18" ht="30" customHeight="1">
      <c r="A339" s="965"/>
      <c r="B339" s="968"/>
      <c r="C339" s="968"/>
      <c r="D339" s="967"/>
      <c r="E339" s="968"/>
      <c r="F339" s="968"/>
      <c r="G339" s="968"/>
      <c r="H339" s="968"/>
      <c r="I339" s="972"/>
      <c r="J339" s="973">
        <v>408.16500000000002</v>
      </c>
      <c r="K339" s="982"/>
      <c r="L339" s="982"/>
      <c r="M339" s="982"/>
      <c r="N339" s="982"/>
      <c r="O339" s="982"/>
      <c r="P339" s="982"/>
      <c r="Q339" s="1672"/>
      <c r="R339" s="983"/>
    </row>
    <row r="340" spans="1:18" ht="30" customHeight="1">
      <c r="A340" s="965">
        <f>A338+1</f>
        <v>167</v>
      </c>
      <c r="B340" s="968" t="s">
        <v>3006</v>
      </c>
      <c r="C340" s="968" t="s">
        <v>1402</v>
      </c>
      <c r="D340" s="967" t="s">
        <v>2510</v>
      </c>
      <c r="E340" s="968"/>
      <c r="F340" s="968"/>
      <c r="G340" s="968"/>
      <c r="H340" s="968"/>
      <c r="I340" s="972"/>
      <c r="J340" s="973"/>
      <c r="K340" s="982"/>
      <c r="L340" s="982"/>
      <c r="M340" s="982"/>
      <c r="N340" s="982"/>
      <c r="O340" s="982"/>
      <c r="P340" s="982"/>
      <c r="Q340" s="969"/>
      <c r="R340" s="983"/>
    </row>
    <row r="341" spans="1:18" ht="38.1" customHeight="1">
      <c r="A341" s="965"/>
      <c r="B341" s="968"/>
      <c r="C341" s="968"/>
      <c r="D341" s="967"/>
      <c r="E341" s="968"/>
      <c r="F341" s="968"/>
      <c r="G341" s="968"/>
      <c r="H341" s="968"/>
      <c r="I341" s="972"/>
      <c r="J341" s="973">
        <v>227.36600000000001</v>
      </c>
      <c r="K341" s="982"/>
      <c r="L341" s="982"/>
      <c r="M341" s="982"/>
      <c r="N341" s="982"/>
      <c r="O341" s="982"/>
      <c r="P341" s="982"/>
      <c r="Q341" s="969"/>
      <c r="R341" s="986" t="s">
        <v>3230</v>
      </c>
    </row>
    <row r="342" spans="1:18" ht="30" customHeight="1">
      <c r="A342" s="965">
        <f>A340+1</f>
        <v>168</v>
      </c>
      <c r="B342" s="968" t="s">
        <v>3007</v>
      </c>
      <c r="C342" s="968" t="s">
        <v>90</v>
      </c>
      <c r="D342" s="967" t="s">
        <v>2512</v>
      </c>
      <c r="E342" s="968"/>
      <c r="F342" s="968"/>
      <c r="G342" s="968"/>
      <c r="H342" s="968"/>
      <c r="I342" s="972"/>
      <c r="J342" s="973"/>
      <c r="K342" s="982"/>
      <c r="L342" s="966" t="s">
        <v>2919</v>
      </c>
      <c r="M342" s="966"/>
      <c r="N342" s="982"/>
      <c r="O342" s="982"/>
      <c r="P342" s="982"/>
      <c r="Q342" s="969"/>
      <c r="R342" s="983"/>
    </row>
    <row r="343" spans="1:18" ht="30" customHeight="1">
      <c r="A343" s="965"/>
      <c r="B343" s="968"/>
      <c r="C343" s="968"/>
      <c r="D343" s="967"/>
      <c r="E343" s="968"/>
      <c r="F343" s="968"/>
      <c r="G343" s="968"/>
      <c r="H343" s="968"/>
      <c r="I343" s="972"/>
      <c r="J343" s="973">
        <v>401.36599999999999</v>
      </c>
      <c r="K343" s="982"/>
      <c r="L343" s="982"/>
      <c r="M343" s="982"/>
      <c r="N343" s="982"/>
      <c r="O343" s="982"/>
      <c r="P343" s="982"/>
      <c r="Q343" s="969"/>
      <c r="R343" s="983"/>
    </row>
    <row r="344" spans="1:18" ht="30" customHeight="1">
      <c r="A344" s="965">
        <f>A342+1</f>
        <v>169</v>
      </c>
      <c r="B344" s="968" t="s">
        <v>3008</v>
      </c>
      <c r="C344" s="968" t="s">
        <v>90</v>
      </c>
      <c r="D344" s="967" t="s">
        <v>2514</v>
      </c>
      <c r="E344" s="968"/>
      <c r="F344" s="968"/>
      <c r="G344" s="968"/>
      <c r="H344" s="968"/>
      <c r="I344" s="972" t="s">
        <v>1765</v>
      </c>
      <c r="J344" s="973"/>
      <c r="K344" s="982"/>
      <c r="L344" s="982" t="s">
        <v>2919</v>
      </c>
      <c r="M344" s="966" t="s">
        <v>1009</v>
      </c>
      <c r="N344" s="966" t="s">
        <v>1009</v>
      </c>
      <c r="O344" s="974" t="s">
        <v>1009</v>
      </c>
      <c r="P344" s="982"/>
      <c r="Q344" s="969"/>
      <c r="R344" s="1030"/>
    </row>
    <row r="345" spans="1:18" ht="30" customHeight="1">
      <c r="A345" s="965"/>
      <c r="B345" s="968"/>
      <c r="C345" s="968"/>
      <c r="D345" s="967"/>
      <c r="E345" s="968"/>
      <c r="F345" s="968"/>
      <c r="G345" s="968"/>
      <c r="H345" s="968"/>
      <c r="I345" s="972"/>
      <c r="J345" s="973">
        <v>403.06400000000002</v>
      </c>
      <c r="K345" s="982"/>
      <c r="L345" s="982"/>
      <c r="M345" s="982"/>
      <c r="N345" s="982"/>
      <c r="O345" s="982"/>
      <c r="P345" s="982"/>
      <c r="Q345" s="1670"/>
      <c r="R345" s="983"/>
    </row>
    <row r="346" spans="1:18" ht="30" customHeight="1">
      <c r="A346" s="965">
        <f>A344+1</f>
        <v>170</v>
      </c>
      <c r="B346" s="968" t="s">
        <v>2515</v>
      </c>
      <c r="C346" s="968" t="s">
        <v>53</v>
      </c>
      <c r="D346" s="967"/>
      <c r="E346" s="968"/>
      <c r="F346" s="968"/>
      <c r="G346" s="968"/>
      <c r="H346" s="968"/>
      <c r="I346" s="972" t="s">
        <v>1765</v>
      </c>
      <c r="J346" s="973"/>
      <c r="K346" s="982"/>
      <c r="L346" s="982" t="s">
        <v>2919</v>
      </c>
      <c r="M346" s="966" t="s">
        <v>1009</v>
      </c>
      <c r="N346" s="966" t="s">
        <v>1009</v>
      </c>
      <c r="O346" s="974" t="s">
        <v>1009</v>
      </c>
      <c r="P346" s="982"/>
      <c r="Q346" s="1671"/>
      <c r="R346" s="1030"/>
    </row>
    <row r="347" spans="1:18" ht="30" customHeight="1">
      <c r="A347" s="965"/>
      <c r="B347" s="968"/>
      <c r="C347" s="968"/>
      <c r="D347" s="967"/>
      <c r="E347" s="968"/>
      <c r="F347" s="968"/>
      <c r="G347" s="968"/>
      <c r="H347" s="968"/>
      <c r="I347" s="972"/>
      <c r="J347" s="973">
        <v>398.93299999999999</v>
      </c>
      <c r="K347" s="982"/>
      <c r="L347" s="982"/>
      <c r="M347" s="982"/>
      <c r="N347" s="982"/>
      <c r="O347" s="982"/>
      <c r="P347" s="982"/>
      <c r="Q347" s="1671"/>
      <c r="R347" s="983"/>
    </row>
    <row r="348" spans="1:18" ht="30" customHeight="1">
      <c r="A348" s="965">
        <f>A346+1</f>
        <v>171</v>
      </c>
      <c r="B348" s="968" t="s">
        <v>2516</v>
      </c>
      <c r="C348" s="968" t="s">
        <v>62</v>
      </c>
      <c r="D348" s="967"/>
      <c r="E348" s="968"/>
      <c r="F348" s="968"/>
      <c r="G348" s="968"/>
      <c r="H348" s="968"/>
      <c r="I348" s="972" t="s">
        <v>1765</v>
      </c>
      <c r="J348" s="973"/>
      <c r="K348" s="982"/>
      <c r="L348" s="982" t="s">
        <v>2919</v>
      </c>
      <c r="M348" s="966" t="s">
        <v>1009</v>
      </c>
      <c r="N348" s="966" t="s">
        <v>1009</v>
      </c>
      <c r="O348" s="982" t="s">
        <v>1009</v>
      </c>
      <c r="P348" s="982"/>
      <c r="Q348" s="1671"/>
      <c r="R348" s="983"/>
    </row>
    <row r="349" spans="1:18" ht="30" customHeight="1">
      <c r="A349" s="965"/>
      <c r="B349" s="968"/>
      <c r="C349" s="968"/>
      <c r="D349" s="967"/>
      <c r="E349" s="968"/>
      <c r="F349" s="968"/>
      <c r="G349" s="968"/>
      <c r="H349" s="968"/>
      <c r="I349" s="972"/>
      <c r="J349" s="973">
        <v>419.90499999999997</v>
      </c>
      <c r="K349" s="982"/>
      <c r="L349" s="982"/>
      <c r="M349" s="982"/>
      <c r="N349" s="982"/>
      <c r="O349" s="982"/>
      <c r="P349" s="982"/>
      <c r="Q349" s="1672"/>
      <c r="R349" s="983"/>
    </row>
    <row r="350" spans="1:18" ht="30" customHeight="1">
      <c r="A350" s="965">
        <f>A348+1</f>
        <v>172</v>
      </c>
      <c r="B350" s="968" t="s">
        <v>3009</v>
      </c>
      <c r="C350" s="968" t="s">
        <v>1361</v>
      </c>
      <c r="D350" s="967" t="s">
        <v>2546</v>
      </c>
      <c r="E350" s="968"/>
      <c r="F350" s="968"/>
      <c r="G350" s="968"/>
      <c r="H350" s="968"/>
      <c r="I350" s="972" t="s">
        <v>1765</v>
      </c>
      <c r="J350" s="973"/>
      <c r="K350" s="982"/>
      <c r="L350" s="982" t="s">
        <v>2919</v>
      </c>
      <c r="M350" s="966" t="s">
        <v>1009</v>
      </c>
      <c r="N350" s="966" t="s">
        <v>1009</v>
      </c>
      <c r="O350" s="982" t="s">
        <v>1009</v>
      </c>
      <c r="P350" s="982"/>
      <c r="Q350" s="969"/>
      <c r="R350" s="983"/>
    </row>
    <row r="351" spans="1:18" ht="30" customHeight="1">
      <c r="A351" s="965"/>
      <c r="B351" s="968"/>
      <c r="C351" s="968"/>
      <c r="D351" s="967"/>
      <c r="E351" s="968"/>
      <c r="F351" s="968"/>
      <c r="G351" s="968"/>
      <c r="H351" s="968"/>
      <c r="I351" s="972"/>
      <c r="J351" s="973">
        <v>373.38900000000001</v>
      </c>
      <c r="K351" s="982"/>
      <c r="L351" s="982"/>
      <c r="M351" s="982"/>
      <c r="N351" s="982"/>
      <c r="O351" s="982"/>
      <c r="P351" s="982"/>
      <c r="Q351" s="1670"/>
      <c r="R351" s="983"/>
    </row>
    <row r="352" spans="1:18" ht="30" customHeight="1">
      <c r="A352" s="965">
        <f>A350+1</f>
        <v>173</v>
      </c>
      <c r="B352" s="968" t="s">
        <v>2519</v>
      </c>
      <c r="C352" s="968" t="s">
        <v>62</v>
      </c>
      <c r="D352" s="967"/>
      <c r="E352" s="968"/>
      <c r="F352" s="968"/>
      <c r="G352" s="968"/>
      <c r="H352" s="968"/>
      <c r="I352" s="972" t="s">
        <v>1765</v>
      </c>
      <c r="J352" s="973"/>
      <c r="K352" s="982"/>
      <c r="L352" s="982" t="s">
        <v>2919</v>
      </c>
      <c r="M352" s="966" t="s">
        <v>1009</v>
      </c>
      <c r="N352" s="966" t="s">
        <v>1009</v>
      </c>
      <c r="O352" s="974" t="s">
        <v>1009</v>
      </c>
      <c r="P352" s="982"/>
      <c r="Q352" s="1671"/>
      <c r="R352" s="1030"/>
    </row>
    <row r="353" spans="1:18" ht="30" customHeight="1">
      <c r="A353" s="965"/>
      <c r="B353" s="968"/>
      <c r="C353" s="968"/>
      <c r="D353" s="967"/>
      <c r="E353" s="968"/>
      <c r="F353" s="968"/>
      <c r="G353" s="968"/>
      <c r="H353" s="968"/>
      <c r="I353" s="972"/>
      <c r="J353" s="973">
        <v>419.81299999999999</v>
      </c>
      <c r="K353" s="982"/>
      <c r="L353" s="982"/>
      <c r="M353" s="982"/>
      <c r="N353" s="982"/>
      <c r="O353" s="982"/>
      <c r="P353" s="982"/>
      <c r="Q353" s="1671"/>
      <c r="R353" s="961"/>
    </row>
    <row r="354" spans="1:18" ht="30" customHeight="1">
      <c r="A354" s="965">
        <f>A352+1</f>
        <v>174</v>
      </c>
      <c r="B354" s="968" t="s">
        <v>2520</v>
      </c>
      <c r="C354" s="968" t="s">
        <v>62</v>
      </c>
      <c r="D354" s="967"/>
      <c r="E354" s="968"/>
      <c r="F354" s="968"/>
      <c r="G354" s="968"/>
      <c r="H354" s="968"/>
      <c r="I354" s="972" t="s">
        <v>1765</v>
      </c>
      <c r="J354" s="973"/>
      <c r="K354" s="982"/>
      <c r="L354" s="982" t="s">
        <v>2919</v>
      </c>
      <c r="M354" s="966" t="s">
        <v>1009</v>
      </c>
      <c r="N354" s="966" t="s">
        <v>1009</v>
      </c>
      <c r="O354" s="974" t="s">
        <v>1009</v>
      </c>
      <c r="P354" s="982"/>
      <c r="Q354" s="1671"/>
      <c r="R354" s="961"/>
    </row>
    <row r="355" spans="1:18" ht="30" customHeight="1">
      <c r="A355" s="965"/>
      <c r="B355" s="968"/>
      <c r="C355" s="968"/>
      <c r="D355" s="967"/>
      <c r="E355" s="968"/>
      <c r="F355" s="968"/>
      <c r="G355" s="968"/>
      <c r="H355" s="968"/>
      <c r="I355" s="972"/>
      <c r="J355" s="973">
        <v>410.04899999999998</v>
      </c>
      <c r="K355" s="982"/>
      <c r="L355" s="982"/>
      <c r="M355" s="982"/>
      <c r="N355" s="982"/>
      <c r="O355" s="982"/>
      <c r="P355" s="982"/>
      <c r="Q355" s="1671"/>
      <c r="R355" s="961"/>
    </row>
    <row r="356" spans="1:18" ht="30" customHeight="1">
      <c r="A356" s="965">
        <f>A354+1</f>
        <v>175</v>
      </c>
      <c r="B356" s="968" t="s">
        <v>2521</v>
      </c>
      <c r="C356" s="968" t="s">
        <v>76</v>
      </c>
      <c r="D356" s="967"/>
      <c r="E356" s="968"/>
      <c r="F356" s="968"/>
      <c r="G356" s="968"/>
      <c r="H356" s="968"/>
      <c r="I356" s="972" t="s">
        <v>1765</v>
      </c>
      <c r="J356" s="973"/>
      <c r="K356" s="982"/>
      <c r="L356" s="982" t="s">
        <v>2919</v>
      </c>
      <c r="M356" s="966" t="s">
        <v>1009</v>
      </c>
      <c r="N356" s="966" t="s">
        <v>1009</v>
      </c>
      <c r="O356" s="974" t="s">
        <v>1009</v>
      </c>
      <c r="P356" s="982"/>
      <c r="Q356" s="1671"/>
      <c r="R356" s="961"/>
    </row>
    <row r="357" spans="1:18" ht="30" customHeight="1">
      <c r="A357" s="965"/>
      <c r="B357" s="968"/>
      <c r="C357" s="968"/>
      <c r="D357" s="967"/>
      <c r="E357" s="968"/>
      <c r="F357" s="968"/>
      <c r="G357" s="968"/>
      <c r="H357" s="968"/>
      <c r="I357" s="972"/>
      <c r="J357" s="973">
        <v>415.17099999999999</v>
      </c>
      <c r="K357" s="982"/>
      <c r="L357" s="982"/>
      <c r="M357" s="982"/>
      <c r="N357" s="982"/>
      <c r="O357" s="982"/>
      <c r="P357" s="982"/>
      <c r="Q357" s="1671"/>
      <c r="R357" s="961"/>
    </row>
    <row r="358" spans="1:18" ht="30" customHeight="1">
      <c r="A358" s="965">
        <f>A356+1</f>
        <v>176</v>
      </c>
      <c r="B358" s="968" t="s">
        <v>2522</v>
      </c>
      <c r="C358" s="968" t="s">
        <v>62</v>
      </c>
      <c r="D358" s="967"/>
      <c r="E358" s="968"/>
      <c r="F358" s="968"/>
      <c r="G358" s="968"/>
      <c r="H358" s="968"/>
      <c r="I358" s="972" t="s">
        <v>1765</v>
      </c>
      <c r="J358" s="973"/>
      <c r="K358" s="982"/>
      <c r="L358" s="982" t="s">
        <v>2919</v>
      </c>
      <c r="M358" s="966" t="s">
        <v>1009</v>
      </c>
      <c r="N358" s="966" t="s">
        <v>1009</v>
      </c>
      <c r="O358" s="966" t="s">
        <v>1009</v>
      </c>
      <c r="P358" s="982"/>
      <c r="Q358" s="1671"/>
      <c r="R358" s="961"/>
    </row>
    <row r="359" spans="1:18" ht="30" customHeight="1">
      <c r="A359" s="965"/>
      <c r="B359" s="968"/>
      <c r="C359" s="968"/>
      <c r="D359" s="967"/>
      <c r="E359" s="968"/>
      <c r="F359" s="968"/>
      <c r="G359" s="968"/>
      <c r="H359" s="968"/>
      <c r="I359" s="972"/>
      <c r="J359" s="973">
        <v>381.971</v>
      </c>
      <c r="K359" s="982"/>
      <c r="L359" s="982"/>
      <c r="M359" s="982"/>
      <c r="N359" s="982"/>
      <c r="O359" s="982"/>
      <c r="P359" s="982"/>
      <c r="Q359" s="1672"/>
      <c r="R359" s="961"/>
    </row>
    <row r="360" spans="1:18" ht="30" customHeight="1">
      <c r="A360" s="965">
        <f>A358+1</f>
        <v>177</v>
      </c>
      <c r="B360" s="968" t="s">
        <v>3010</v>
      </c>
      <c r="C360" s="968" t="s">
        <v>1361</v>
      </c>
      <c r="D360" s="967" t="s">
        <v>2549</v>
      </c>
      <c r="E360" s="968"/>
      <c r="F360" s="968"/>
      <c r="G360" s="968"/>
      <c r="H360" s="968"/>
      <c r="I360" s="972" t="s">
        <v>1765</v>
      </c>
      <c r="J360" s="973"/>
      <c r="K360" s="982"/>
      <c r="L360" s="982" t="s">
        <v>2919</v>
      </c>
      <c r="M360" s="966" t="s">
        <v>1009</v>
      </c>
      <c r="N360" s="966" t="s">
        <v>1009</v>
      </c>
      <c r="O360" s="982" t="s">
        <v>1009</v>
      </c>
      <c r="P360" s="982"/>
      <c r="Q360" s="969"/>
      <c r="R360" s="961"/>
    </row>
    <row r="361" spans="1:18" ht="30" customHeight="1">
      <c r="A361" s="965"/>
      <c r="B361" s="968"/>
      <c r="C361" s="968"/>
      <c r="D361" s="967"/>
      <c r="E361" s="968"/>
      <c r="F361" s="968"/>
      <c r="G361" s="968"/>
      <c r="H361" s="968"/>
      <c r="I361" s="972"/>
      <c r="J361" s="973">
        <v>377.62299999999999</v>
      </c>
      <c r="K361" s="982"/>
      <c r="L361" s="982"/>
      <c r="M361" s="982"/>
      <c r="N361" s="982"/>
      <c r="O361" s="982"/>
      <c r="P361" s="982"/>
      <c r="Q361" s="1670"/>
      <c r="R361" s="961"/>
    </row>
    <row r="362" spans="1:18" ht="30" customHeight="1">
      <c r="A362" s="965">
        <f>A360+1</f>
        <v>178</v>
      </c>
      <c r="B362" s="968" t="s">
        <v>2525</v>
      </c>
      <c r="C362" s="968" t="s">
        <v>76</v>
      </c>
      <c r="D362" s="967"/>
      <c r="E362" s="968"/>
      <c r="F362" s="968"/>
      <c r="G362" s="968"/>
      <c r="H362" s="968"/>
      <c r="I362" s="972" t="s">
        <v>1765</v>
      </c>
      <c r="J362" s="973"/>
      <c r="K362" s="982"/>
      <c r="L362" s="982" t="s">
        <v>2919</v>
      </c>
      <c r="M362" s="966" t="s">
        <v>1009</v>
      </c>
      <c r="N362" s="966" t="s">
        <v>1009</v>
      </c>
      <c r="O362" s="974" t="s">
        <v>1009</v>
      </c>
      <c r="P362" s="982"/>
      <c r="Q362" s="1671"/>
      <c r="R362" s="961"/>
    </row>
    <row r="363" spans="1:18" ht="30" customHeight="1">
      <c r="A363" s="965"/>
      <c r="B363" s="968"/>
      <c r="C363" s="968"/>
      <c r="D363" s="967"/>
      <c r="E363" s="968"/>
      <c r="F363" s="968"/>
      <c r="G363" s="968"/>
      <c r="H363" s="968"/>
      <c r="I363" s="972"/>
      <c r="J363" s="973">
        <v>354.13799999999998</v>
      </c>
      <c r="K363" s="982"/>
      <c r="L363" s="982"/>
      <c r="M363" s="982"/>
      <c r="N363" s="982"/>
      <c r="O363" s="982"/>
      <c r="P363" s="982"/>
      <c r="Q363" s="1671"/>
      <c r="R363" s="961"/>
    </row>
    <row r="364" spans="1:18" ht="30" customHeight="1">
      <c r="A364" s="965">
        <f>A362+1</f>
        <v>179</v>
      </c>
      <c r="B364" s="968" t="s">
        <v>2526</v>
      </c>
      <c r="C364" s="968" t="s">
        <v>76</v>
      </c>
      <c r="D364" s="967"/>
      <c r="E364" s="968"/>
      <c r="F364" s="968"/>
      <c r="G364" s="968"/>
      <c r="H364" s="968"/>
      <c r="I364" s="972" t="s">
        <v>1765</v>
      </c>
      <c r="J364" s="973"/>
      <c r="K364" s="982"/>
      <c r="L364" s="982" t="s">
        <v>2919</v>
      </c>
      <c r="M364" s="966" t="s">
        <v>1009</v>
      </c>
      <c r="N364" s="966" t="s">
        <v>1009</v>
      </c>
      <c r="O364" s="982"/>
      <c r="P364" s="982"/>
      <c r="Q364" s="1671"/>
      <c r="R364" s="961"/>
    </row>
    <row r="365" spans="1:18" ht="30" customHeight="1">
      <c r="A365" s="965"/>
      <c r="B365" s="968"/>
      <c r="C365" s="968"/>
      <c r="D365" s="967"/>
      <c r="E365" s="968"/>
      <c r="F365" s="968"/>
      <c r="G365" s="968"/>
      <c r="H365" s="968"/>
      <c r="I365" s="972"/>
      <c r="J365" s="973">
        <v>305.82600000000002</v>
      </c>
      <c r="K365" s="982"/>
      <c r="L365" s="982"/>
      <c r="M365" s="982"/>
      <c r="N365" s="982"/>
      <c r="O365" s="982"/>
      <c r="P365" s="982"/>
      <c r="Q365" s="1672"/>
      <c r="R365" s="961"/>
    </row>
    <row r="366" spans="1:18" ht="30" customHeight="1">
      <c r="A366" s="965">
        <f>A364+1</f>
        <v>180</v>
      </c>
      <c r="B366" s="968" t="s">
        <v>3011</v>
      </c>
      <c r="C366" s="968" t="s">
        <v>1319</v>
      </c>
      <c r="D366" s="967" t="s">
        <v>2536</v>
      </c>
      <c r="E366" s="968"/>
      <c r="F366" s="968"/>
      <c r="G366" s="968"/>
      <c r="H366" s="968"/>
      <c r="I366" s="972" t="s">
        <v>1765</v>
      </c>
      <c r="J366" s="973"/>
      <c r="K366" s="982"/>
      <c r="L366" s="982" t="s">
        <v>2919</v>
      </c>
      <c r="M366" s="966" t="s">
        <v>1009</v>
      </c>
      <c r="N366" s="966" t="s">
        <v>1009</v>
      </c>
      <c r="O366" s="982"/>
      <c r="P366" s="982"/>
      <c r="Q366" s="969"/>
      <c r="R366" s="961"/>
    </row>
    <row r="367" spans="1:18" ht="30" customHeight="1">
      <c r="A367" s="965"/>
      <c r="B367" s="968"/>
      <c r="C367" s="968"/>
      <c r="D367" s="967"/>
      <c r="E367" s="968"/>
      <c r="F367" s="968"/>
      <c r="G367" s="968"/>
      <c r="H367" s="968"/>
      <c r="I367" s="972"/>
      <c r="J367" s="973">
        <v>320.98700000000002</v>
      </c>
      <c r="K367" s="982"/>
      <c r="L367" s="982"/>
      <c r="M367" s="982"/>
      <c r="N367" s="982"/>
      <c r="O367" s="982"/>
      <c r="P367" s="982"/>
      <c r="Q367" s="1670"/>
      <c r="R367" s="961"/>
    </row>
    <row r="368" spans="1:18" ht="30" customHeight="1">
      <c r="A368" s="965">
        <f>A366+1</f>
        <v>181</v>
      </c>
      <c r="B368" s="968" t="s">
        <v>2531</v>
      </c>
      <c r="C368" s="968" t="s">
        <v>76</v>
      </c>
      <c r="D368" s="967"/>
      <c r="E368" s="968"/>
      <c r="F368" s="968"/>
      <c r="G368" s="968"/>
      <c r="H368" s="968"/>
      <c r="I368" s="972" t="s">
        <v>1765</v>
      </c>
      <c r="J368" s="973"/>
      <c r="K368" s="982"/>
      <c r="L368" s="982" t="s">
        <v>2919</v>
      </c>
      <c r="M368" s="966" t="s">
        <v>1009</v>
      </c>
      <c r="N368" s="966" t="s">
        <v>1009</v>
      </c>
      <c r="O368" s="982"/>
      <c r="P368" s="982"/>
      <c r="Q368" s="1671"/>
      <c r="R368" s="961"/>
    </row>
    <row r="369" spans="1:18" ht="30" customHeight="1">
      <c r="A369" s="965"/>
      <c r="B369" s="968"/>
      <c r="C369" s="968"/>
      <c r="D369" s="967"/>
      <c r="E369" s="968"/>
      <c r="F369" s="968"/>
      <c r="G369" s="968"/>
      <c r="H369" s="968"/>
      <c r="I369" s="972"/>
      <c r="J369" s="973">
        <v>329.94600000000003</v>
      </c>
      <c r="K369" s="982"/>
      <c r="L369" s="982"/>
      <c r="M369" s="982"/>
      <c r="N369" s="982"/>
      <c r="O369" s="982"/>
      <c r="P369" s="982"/>
      <c r="Q369" s="1671"/>
      <c r="R369" s="983"/>
    </row>
    <row r="370" spans="1:18" ht="30" customHeight="1">
      <c r="A370" s="965">
        <f>A368+1</f>
        <v>182</v>
      </c>
      <c r="B370" s="968" t="s">
        <v>2532</v>
      </c>
      <c r="C370" s="968" t="s">
        <v>76</v>
      </c>
      <c r="D370" s="967"/>
      <c r="E370" s="968"/>
      <c r="F370" s="968"/>
      <c r="G370" s="968"/>
      <c r="H370" s="968"/>
      <c r="I370" s="972" t="s">
        <v>1765</v>
      </c>
      <c r="J370" s="973"/>
      <c r="K370" s="982"/>
      <c r="L370" s="982" t="s">
        <v>2919</v>
      </c>
      <c r="M370" s="966" t="s">
        <v>1009</v>
      </c>
      <c r="N370" s="966" t="s">
        <v>1009</v>
      </c>
      <c r="O370" s="982"/>
      <c r="P370" s="982"/>
      <c r="Q370" s="1671"/>
      <c r="R370" s="983"/>
    </row>
    <row r="371" spans="1:18" ht="30" customHeight="1">
      <c r="A371" s="965"/>
      <c r="B371" s="968"/>
      <c r="C371" s="968"/>
      <c r="D371" s="967"/>
      <c r="E371" s="968"/>
      <c r="F371" s="968"/>
      <c r="G371" s="968"/>
      <c r="H371" s="968"/>
      <c r="I371" s="972"/>
      <c r="J371" s="973">
        <v>294.041</v>
      </c>
      <c r="K371" s="982"/>
      <c r="L371" s="982"/>
      <c r="M371" s="982"/>
      <c r="N371" s="982"/>
      <c r="O371" s="982"/>
      <c r="P371" s="982"/>
      <c r="Q371" s="1672"/>
      <c r="R371" s="983"/>
    </row>
    <row r="372" spans="1:18" ht="30" customHeight="1">
      <c r="A372" s="965">
        <f>A370+1</f>
        <v>183</v>
      </c>
      <c r="B372" s="968" t="s">
        <v>3012</v>
      </c>
      <c r="C372" s="968" t="s">
        <v>1269</v>
      </c>
      <c r="D372" s="967" t="s">
        <v>2553</v>
      </c>
      <c r="E372" s="968"/>
      <c r="F372" s="968"/>
      <c r="G372" s="968"/>
      <c r="H372" s="968"/>
      <c r="I372" s="972" t="s">
        <v>1765</v>
      </c>
      <c r="J372" s="973"/>
      <c r="K372" s="982"/>
      <c r="L372" s="982" t="s">
        <v>2919</v>
      </c>
      <c r="M372" s="966" t="s">
        <v>1009</v>
      </c>
      <c r="N372" s="982"/>
      <c r="O372" s="982"/>
      <c r="P372" s="982"/>
      <c r="Q372" s="969"/>
      <c r="R372" s="983"/>
    </row>
    <row r="373" spans="1:18" ht="30" customHeight="1">
      <c r="A373" s="965"/>
      <c r="B373" s="968"/>
      <c r="C373" s="968"/>
      <c r="D373" s="967"/>
      <c r="E373" s="968"/>
      <c r="F373" s="968"/>
      <c r="G373" s="968"/>
      <c r="H373" s="968"/>
      <c r="I373" s="972"/>
      <c r="J373" s="973">
        <v>381.66899999999998</v>
      </c>
      <c r="K373" s="982"/>
      <c r="L373" s="982"/>
      <c r="M373" s="982"/>
      <c r="N373" s="982"/>
      <c r="O373" s="982"/>
      <c r="P373" s="982"/>
      <c r="Q373" s="1670"/>
      <c r="R373" s="983"/>
    </row>
    <row r="374" spans="1:18" ht="30" customHeight="1">
      <c r="A374" s="965">
        <f>A372+1</f>
        <v>184</v>
      </c>
      <c r="B374" s="968" t="s">
        <v>2534</v>
      </c>
      <c r="C374" s="968" t="s">
        <v>62</v>
      </c>
      <c r="D374" s="967"/>
      <c r="E374" s="968"/>
      <c r="F374" s="968"/>
      <c r="G374" s="968"/>
      <c r="H374" s="968"/>
      <c r="I374" s="972" t="s">
        <v>1765</v>
      </c>
      <c r="J374" s="973"/>
      <c r="K374" s="982"/>
      <c r="L374" s="982" t="s">
        <v>2919</v>
      </c>
      <c r="M374" s="966" t="s">
        <v>1009</v>
      </c>
      <c r="N374" s="966" t="s">
        <v>1009</v>
      </c>
      <c r="O374" s="982"/>
      <c r="P374" s="982"/>
      <c r="Q374" s="1671"/>
      <c r="R374" s="983"/>
    </row>
    <row r="375" spans="1:18" ht="30" customHeight="1">
      <c r="A375" s="965"/>
      <c r="B375" s="968"/>
      <c r="C375" s="968"/>
      <c r="D375" s="967"/>
      <c r="E375" s="968"/>
      <c r="F375" s="968"/>
      <c r="G375" s="968"/>
      <c r="H375" s="968"/>
      <c r="I375" s="972"/>
      <c r="J375" s="973">
        <v>427.45299999999997</v>
      </c>
      <c r="K375" s="982"/>
      <c r="L375" s="982"/>
      <c r="M375" s="982"/>
      <c r="N375" s="982"/>
      <c r="O375" s="982"/>
      <c r="P375" s="982"/>
      <c r="Q375" s="1672"/>
      <c r="R375" s="983"/>
    </row>
    <row r="376" spans="1:18" ht="30" customHeight="1">
      <c r="A376" s="965">
        <f>A374+1</f>
        <v>185</v>
      </c>
      <c r="B376" s="968" t="s">
        <v>3013</v>
      </c>
      <c r="C376" s="968" t="s">
        <v>2023</v>
      </c>
      <c r="D376" s="967" t="s">
        <v>2538</v>
      </c>
      <c r="E376" s="968"/>
      <c r="F376" s="968"/>
      <c r="G376" s="968"/>
      <c r="H376" s="968"/>
      <c r="I376" s="972" t="s">
        <v>897</v>
      </c>
      <c r="J376" s="974"/>
      <c r="K376" s="982"/>
      <c r="L376" s="982" t="s">
        <v>2919</v>
      </c>
      <c r="M376" s="982" t="s">
        <v>22</v>
      </c>
      <c r="N376" s="982"/>
      <c r="O376" s="982"/>
      <c r="P376" s="982"/>
      <c r="Q376" s="969"/>
      <c r="R376" s="983"/>
    </row>
    <row r="377" spans="1:18" ht="30" customHeight="1">
      <c r="A377" s="1017"/>
      <c r="B377" s="1018"/>
      <c r="C377" s="1018"/>
      <c r="D377" s="1019"/>
      <c r="E377" s="1018"/>
      <c r="F377" s="1018"/>
      <c r="G377" s="1018"/>
      <c r="H377" s="1018"/>
      <c r="I377" s="1020"/>
      <c r="J377" s="1021"/>
      <c r="K377" s="1022"/>
      <c r="L377" s="1022"/>
      <c r="M377" s="1022"/>
      <c r="N377" s="1022"/>
      <c r="O377" s="1022"/>
      <c r="P377" s="1022"/>
      <c r="Q377" s="1023"/>
      <c r="R377" s="985" t="s">
        <v>3198</v>
      </c>
    </row>
    <row r="378" spans="1:18" ht="30" customHeight="1">
      <c r="A378" s="965">
        <f>A376+1</f>
        <v>186</v>
      </c>
      <c r="B378" s="981" t="s">
        <v>3180</v>
      </c>
      <c r="C378" s="981" t="s">
        <v>1319</v>
      </c>
      <c r="D378" s="1164" t="s">
        <v>3162</v>
      </c>
      <c r="E378" s="981">
        <v>1</v>
      </c>
      <c r="F378" s="981">
        <v>1</v>
      </c>
      <c r="G378" s="981">
        <v>1</v>
      </c>
      <c r="H378" s="981">
        <v>1</v>
      </c>
      <c r="I378" s="1181" t="s">
        <v>3287</v>
      </c>
      <c r="K378" s="982"/>
      <c r="L378" s="982" t="s">
        <v>2919</v>
      </c>
      <c r="M378" s="966" t="s">
        <v>1009</v>
      </c>
      <c r="N378" s="966" t="s">
        <v>1009</v>
      </c>
      <c r="O378" s="982" t="s">
        <v>1009</v>
      </c>
      <c r="P378" s="982"/>
      <c r="Q378" s="969"/>
      <c r="R378" s="983"/>
    </row>
    <row r="379" spans="1:18" ht="30" customHeight="1">
      <c r="A379" s="965"/>
      <c r="B379" s="968"/>
      <c r="C379" s="968"/>
      <c r="D379" s="967"/>
      <c r="E379" s="968"/>
      <c r="F379" s="968"/>
      <c r="G379" s="968"/>
      <c r="H379" s="968"/>
      <c r="I379" s="972"/>
      <c r="J379" s="973">
        <v>392.505</v>
      </c>
      <c r="K379" s="982"/>
      <c r="L379" s="982"/>
      <c r="M379" s="982"/>
      <c r="N379" s="982"/>
      <c r="O379" s="982"/>
      <c r="P379" s="982"/>
      <c r="Q379" s="1670"/>
      <c r="R379" s="983"/>
    </row>
    <row r="380" spans="1:18" ht="30" customHeight="1">
      <c r="A380" s="965">
        <f>A378+1</f>
        <v>187</v>
      </c>
      <c r="B380" s="968" t="s">
        <v>3143</v>
      </c>
      <c r="C380" s="968" t="s">
        <v>76</v>
      </c>
      <c r="D380" s="967"/>
      <c r="E380" s="981">
        <v>1</v>
      </c>
      <c r="F380" s="981">
        <v>1</v>
      </c>
      <c r="G380" s="981">
        <v>1</v>
      </c>
      <c r="H380" s="981">
        <v>1</v>
      </c>
      <c r="I380" s="972" t="s">
        <v>3287</v>
      </c>
      <c r="J380" s="973"/>
      <c r="K380" s="982"/>
      <c r="L380" s="982" t="s">
        <v>2919</v>
      </c>
      <c r="M380" s="966" t="s">
        <v>1009</v>
      </c>
      <c r="N380" s="966" t="s">
        <v>1009</v>
      </c>
      <c r="O380" s="982" t="s">
        <v>1009</v>
      </c>
      <c r="P380" s="982"/>
      <c r="Q380" s="1671"/>
      <c r="R380" s="983"/>
    </row>
    <row r="381" spans="1:18" ht="30" customHeight="1">
      <c r="A381" s="965"/>
      <c r="B381" s="968"/>
      <c r="C381" s="968"/>
      <c r="D381" s="967"/>
      <c r="E381" s="968"/>
      <c r="F381" s="968"/>
      <c r="G381" s="968"/>
      <c r="H381" s="968"/>
      <c r="I381" s="972"/>
      <c r="J381" s="973">
        <v>392.67</v>
      </c>
      <c r="K381" s="982"/>
      <c r="L381" s="982"/>
      <c r="M381" s="982"/>
      <c r="N381" s="982"/>
      <c r="O381" s="982"/>
      <c r="P381" s="982"/>
      <c r="Q381" s="1671"/>
      <c r="R381" s="983"/>
    </row>
    <row r="382" spans="1:18" ht="30" customHeight="1">
      <c r="A382" s="965">
        <f>A380+1</f>
        <v>188</v>
      </c>
      <c r="B382" s="968" t="s">
        <v>3181</v>
      </c>
      <c r="C382" s="968" t="s">
        <v>1269</v>
      </c>
      <c r="D382" s="967" t="s">
        <v>3163</v>
      </c>
      <c r="E382" s="981">
        <v>1</v>
      </c>
      <c r="F382" s="981">
        <v>1</v>
      </c>
      <c r="G382" s="981">
        <v>1</v>
      </c>
      <c r="H382" s="981">
        <v>1</v>
      </c>
      <c r="I382" s="972" t="s">
        <v>3287</v>
      </c>
      <c r="J382" s="973"/>
      <c r="K382" s="982"/>
      <c r="L382" s="966" t="s">
        <v>2919</v>
      </c>
      <c r="M382" s="966" t="s">
        <v>1009</v>
      </c>
      <c r="N382" s="966" t="s">
        <v>1009</v>
      </c>
      <c r="O382" s="982" t="s">
        <v>1009</v>
      </c>
      <c r="P382" s="982"/>
      <c r="Q382" s="1671"/>
      <c r="R382" s="983"/>
    </row>
    <row r="383" spans="1:18" ht="30" customHeight="1">
      <c r="A383" s="965"/>
      <c r="B383" s="968"/>
      <c r="C383" s="968"/>
      <c r="D383" s="967"/>
      <c r="E383" s="968"/>
      <c r="F383" s="968"/>
      <c r="G383" s="968"/>
      <c r="H383" s="968"/>
      <c r="I383" s="972"/>
      <c r="J383" s="973">
        <v>292.26400000000001</v>
      </c>
      <c r="K383" s="982"/>
      <c r="L383" s="982"/>
      <c r="M383" s="982"/>
      <c r="N383" s="982"/>
      <c r="O383" s="982"/>
      <c r="P383" s="982"/>
      <c r="Q383" s="1672"/>
      <c r="R383" s="983"/>
    </row>
    <row r="384" spans="1:18" ht="30" customHeight="1">
      <c r="A384" s="965">
        <f>A382+1</f>
        <v>189</v>
      </c>
      <c r="B384" s="968" t="s">
        <v>3144</v>
      </c>
      <c r="C384" s="968" t="s">
        <v>76</v>
      </c>
      <c r="D384" s="967"/>
      <c r="E384" s="968">
        <v>1.5</v>
      </c>
      <c r="F384" s="968">
        <v>1.5</v>
      </c>
      <c r="G384" s="968">
        <v>1.5</v>
      </c>
      <c r="H384" s="968">
        <v>1.5</v>
      </c>
      <c r="I384" s="972"/>
      <c r="J384" s="973"/>
      <c r="K384" s="982"/>
      <c r="L384" s="966" t="s">
        <v>2919</v>
      </c>
      <c r="M384" s="966" t="s">
        <v>1009</v>
      </c>
      <c r="N384" s="966" t="s">
        <v>1009</v>
      </c>
      <c r="O384" s="982"/>
      <c r="P384" s="982"/>
      <c r="Q384" s="969"/>
      <c r="R384" s="983"/>
    </row>
    <row r="385" spans="1:18" ht="30" customHeight="1">
      <c r="A385" s="965"/>
      <c r="B385" s="968"/>
      <c r="C385" s="968"/>
      <c r="D385" s="967"/>
      <c r="E385" s="968"/>
      <c r="F385" s="968"/>
      <c r="G385" s="968"/>
      <c r="H385" s="968"/>
      <c r="I385" s="972"/>
      <c r="J385" s="973">
        <v>321.58699999999999</v>
      </c>
      <c r="K385" s="982"/>
      <c r="L385" s="982"/>
      <c r="M385" s="982"/>
      <c r="N385" s="982"/>
      <c r="O385" s="982"/>
      <c r="P385" s="982"/>
      <c r="Q385" s="969"/>
      <c r="R385" s="961"/>
    </row>
    <row r="386" spans="1:18" ht="30" customHeight="1">
      <c r="A386" s="965">
        <f>A384+1</f>
        <v>190</v>
      </c>
      <c r="B386" s="968" t="s">
        <v>3145</v>
      </c>
      <c r="C386" s="968" t="s">
        <v>76</v>
      </c>
      <c r="D386" s="967"/>
      <c r="E386" s="981">
        <v>1</v>
      </c>
      <c r="F386" s="981">
        <v>1</v>
      </c>
      <c r="G386" s="981">
        <v>1</v>
      </c>
      <c r="H386" s="981">
        <v>1</v>
      </c>
      <c r="I386" s="972" t="s">
        <v>3287</v>
      </c>
      <c r="J386" s="973"/>
      <c r="K386" s="982"/>
      <c r="L386" s="982" t="s">
        <v>2919</v>
      </c>
      <c r="M386" s="982" t="s">
        <v>1009</v>
      </c>
      <c r="N386" s="982"/>
      <c r="O386" s="982"/>
      <c r="P386" s="982"/>
      <c r="Q386" s="969"/>
      <c r="R386" s="961"/>
    </row>
    <row r="387" spans="1:18" ht="30" customHeight="1">
      <c r="A387" s="965"/>
      <c r="B387" s="968"/>
      <c r="C387" s="968"/>
      <c r="D387" s="967"/>
      <c r="E387" s="968"/>
      <c r="F387" s="968"/>
      <c r="G387" s="968"/>
      <c r="H387" s="968"/>
      <c r="I387" s="972"/>
      <c r="J387" s="973">
        <v>363.88200000000001</v>
      </c>
      <c r="K387" s="982"/>
      <c r="L387" s="982"/>
      <c r="M387" s="982"/>
      <c r="N387" s="982"/>
      <c r="O387" s="982"/>
      <c r="P387" s="982"/>
      <c r="Q387" s="969"/>
      <c r="R387" s="961"/>
    </row>
    <row r="388" spans="1:18" ht="30" customHeight="1">
      <c r="A388" s="965">
        <f>A386+1</f>
        <v>191</v>
      </c>
      <c r="B388" s="968" t="s">
        <v>3182</v>
      </c>
      <c r="C388" s="968" t="s">
        <v>3146</v>
      </c>
      <c r="D388" s="967" t="s">
        <v>3164</v>
      </c>
      <c r="E388" s="968"/>
      <c r="F388" s="968"/>
      <c r="G388" s="968"/>
      <c r="H388" s="968"/>
      <c r="I388" s="972" t="s">
        <v>3287</v>
      </c>
      <c r="J388" s="973"/>
      <c r="K388" s="982"/>
      <c r="L388" s="982" t="s">
        <v>2919</v>
      </c>
      <c r="M388" s="966" t="s">
        <v>1009</v>
      </c>
      <c r="N388" s="966" t="s">
        <v>1009</v>
      </c>
      <c r="O388" s="982"/>
      <c r="P388" s="982"/>
      <c r="Q388" s="969"/>
      <c r="R388" s="961"/>
    </row>
    <row r="389" spans="1:18" ht="30" customHeight="1">
      <c r="A389" s="965"/>
      <c r="B389" s="968"/>
      <c r="C389" s="968"/>
      <c r="D389" s="967"/>
      <c r="E389" s="968"/>
      <c r="F389" s="968"/>
      <c r="G389" s="968"/>
      <c r="H389" s="968"/>
      <c r="I389" s="972"/>
      <c r="J389" s="973">
        <v>369.226</v>
      </c>
      <c r="K389" s="982"/>
      <c r="L389" s="982"/>
      <c r="M389" s="982"/>
      <c r="N389" s="982"/>
      <c r="O389" s="982"/>
      <c r="P389" s="982"/>
      <c r="Q389" s="969"/>
      <c r="R389" s="961"/>
    </row>
    <row r="390" spans="1:18" ht="30" customHeight="1">
      <c r="A390" s="965">
        <f>A388+1</f>
        <v>192</v>
      </c>
      <c r="B390" s="968" t="s">
        <v>3147</v>
      </c>
      <c r="C390" s="968" t="s">
        <v>62</v>
      </c>
      <c r="D390" s="967"/>
      <c r="E390" s="968"/>
      <c r="F390" s="968"/>
      <c r="G390" s="968"/>
      <c r="H390" s="968"/>
      <c r="I390" s="972" t="s">
        <v>3287</v>
      </c>
      <c r="J390" s="973"/>
      <c r="K390" s="982"/>
      <c r="L390" s="982" t="s">
        <v>2919</v>
      </c>
      <c r="M390" s="982" t="s">
        <v>1009</v>
      </c>
      <c r="N390" s="982"/>
      <c r="O390" s="982"/>
      <c r="P390" s="982"/>
      <c r="Q390" s="969"/>
      <c r="R390" s="961"/>
    </row>
    <row r="391" spans="1:18" ht="30" customHeight="1">
      <c r="A391" s="965"/>
      <c r="B391" s="968"/>
      <c r="C391" s="968"/>
      <c r="D391" s="967"/>
      <c r="E391" s="968"/>
      <c r="F391" s="968"/>
      <c r="G391" s="968"/>
      <c r="H391" s="968"/>
      <c r="I391" s="972"/>
      <c r="J391" s="973">
        <v>380.673</v>
      </c>
      <c r="K391" s="982"/>
      <c r="L391" s="982"/>
      <c r="M391" s="982"/>
      <c r="N391" s="982"/>
      <c r="O391" s="982"/>
      <c r="P391" s="982"/>
      <c r="Q391" s="969"/>
      <c r="R391" s="961"/>
    </row>
    <row r="392" spans="1:18" ht="30" customHeight="1">
      <c r="A392" s="965">
        <f>A390+1</f>
        <v>193</v>
      </c>
      <c r="B392" s="968" t="s">
        <v>3148</v>
      </c>
      <c r="C392" s="968" t="s">
        <v>76</v>
      </c>
      <c r="D392" s="967"/>
      <c r="E392" s="968"/>
      <c r="F392" s="968"/>
      <c r="G392" s="968"/>
      <c r="H392" s="968"/>
      <c r="I392" s="972" t="s">
        <v>3287</v>
      </c>
      <c r="J392" s="973"/>
      <c r="K392" s="982"/>
      <c r="L392" s="982" t="s">
        <v>2919</v>
      </c>
      <c r="M392" s="982" t="s">
        <v>1009</v>
      </c>
      <c r="N392" s="982"/>
      <c r="O392" s="982" t="s">
        <v>22</v>
      </c>
      <c r="P392" s="982"/>
      <c r="Q392" s="969"/>
      <c r="R392" s="961"/>
    </row>
    <row r="393" spans="1:18" ht="30" customHeight="1">
      <c r="A393" s="965"/>
      <c r="B393" s="968"/>
      <c r="C393" s="968"/>
      <c r="D393" s="967"/>
      <c r="E393" s="968"/>
      <c r="F393" s="968"/>
      <c r="G393" s="968"/>
      <c r="H393" s="968"/>
      <c r="I393" s="972"/>
      <c r="J393" s="973">
        <v>385.66699999999997</v>
      </c>
      <c r="K393" s="982"/>
      <c r="L393" s="982"/>
      <c r="M393" s="982"/>
      <c r="N393" s="982"/>
      <c r="O393" s="982"/>
      <c r="P393" s="982"/>
      <c r="Q393" s="1670"/>
      <c r="R393" s="961"/>
    </row>
    <row r="394" spans="1:18" ht="30" customHeight="1">
      <c r="A394" s="965">
        <f>A392+1</f>
        <v>194</v>
      </c>
      <c r="B394" s="968" t="s">
        <v>3149</v>
      </c>
      <c r="C394" s="968" t="s">
        <v>53</v>
      </c>
      <c r="D394" s="967"/>
      <c r="E394" s="968"/>
      <c r="F394" s="968"/>
      <c r="G394" s="968"/>
      <c r="H394" s="968"/>
      <c r="I394" s="972" t="s">
        <v>3287</v>
      </c>
      <c r="J394" s="973"/>
      <c r="K394" s="982"/>
      <c r="L394" s="982" t="s">
        <v>2919</v>
      </c>
      <c r="M394" s="966" t="s">
        <v>1009</v>
      </c>
      <c r="N394" s="966" t="s">
        <v>1009</v>
      </c>
      <c r="O394" s="982" t="s">
        <v>1009</v>
      </c>
      <c r="P394" s="982"/>
      <c r="Q394" s="1671"/>
      <c r="R394" s="961"/>
    </row>
    <row r="395" spans="1:18" ht="30" customHeight="1">
      <c r="A395" s="965"/>
      <c r="B395" s="968"/>
      <c r="C395" s="968"/>
      <c r="D395" s="967"/>
      <c r="E395" s="968"/>
      <c r="F395" s="968"/>
      <c r="G395" s="968"/>
      <c r="H395" s="968"/>
      <c r="I395" s="972"/>
      <c r="J395" s="973">
        <v>380.89600000000002</v>
      </c>
      <c r="K395" s="982"/>
      <c r="L395" s="982"/>
      <c r="M395" s="982"/>
      <c r="N395" s="982"/>
      <c r="O395" s="982"/>
      <c r="P395" s="982"/>
      <c r="Q395" s="1671"/>
      <c r="R395" s="961"/>
    </row>
    <row r="396" spans="1:18" ht="30" customHeight="1">
      <c r="A396" s="965">
        <f>A394+1</f>
        <v>195</v>
      </c>
      <c r="B396" s="968" t="s">
        <v>3150</v>
      </c>
      <c r="C396" s="968" t="s">
        <v>76</v>
      </c>
      <c r="D396" s="967"/>
      <c r="E396" s="968"/>
      <c r="F396" s="968"/>
      <c r="G396" s="968"/>
      <c r="H396" s="968"/>
      <c r="I396" s="972" t="s">
        <v>3287</v>
      </c>
      <c r="J396" s="973"/>
      <c r="K396" s="982"/>
      <c r="L396" s="982" t="s">
        <v>2919</v>
      </c>
      <c r="M396" s="966" t="s">
        <v>1009</v>
      </c>
      <c r="N396" s="966" t="s">
        <v>1009</v>
      </c>
      <c r="O396" s="974" t="s">
        <v>1009</v>
      </c>
      <c r="P396" s="982"/>
      <c r="Q396" s="1671"/>
      <c r="R396" s="961"/>
    </row>
    <row r="397" spans="1:18" ht="30" customHeight="1">
      <c r="A397" s="965"/>
      <c r="B397" s="968"/>
      <c r="C397" s="968"/>
      <c r="D397" s="967"/>
      <c r="E397" s="968"/>
      <c r="F397" s="968"/>
      <c r="G397" s="968"/>
      <c r="H397" s="968"/>
      <c r="I397" s="972"/>
      <c r="J397" s="973">
        <v>391.34899999999999</v>
      </c>
      <c r="K397" s="982"/>
      <c r="L397" s="982"/>
      <c r="M397" s="982"/>
      <c r="N397" s="982"/>
      <c r="O397" s="982"/>
      <c r="P397" s="982"/>
      <c r="Q397" s="1672"/>
      <c r="R397" s="961"/>
    </row>
    <row r="398" spans="1:18" ht="30" customHeight="1">
      <c r="A398" s="965">
        <f>A396+1</f>
        <v>196</v>
      </c>
      <c r="B398" s="968" t="s">
        <v>3014</v>
      </c>
      <c r="C398" s="968" t="s">
        <v>1269</v>
      </c>
      <c r="D398" s="967" t="s">
        <v>3165</v>
      </c>
      <c r="E398" s="968"/>
      <c r="F398" s="968"/>
      <c r="G398" s="968"/>
      <c r="H398" s="968"/>
      <c r="I398" s="972" t="s">
        <v>3287</v>
      </c>
      <c r="J398" s="973"/>
      <c r="K398" s="982"/>
      <c r="L398" s="982" t="s">
        <v>2919</v>
      </c>
      <c r="M398" s="966" t="s">
        <v>1009</v>
      </c>
      <c r="N398" s="966" t="s">
        <v>1009</v>
      </c>
      <c r="O398" s="974" t="s">
        <v>1009</v>
      </c>
      <c r="P398" s="982"/>
      <c r="Q398" s="969"/>
      <c r="R398" s="961"/>
    </row>
    <row r="399" spans="1:18" ht="30" customHeight="1">
      <c r="A399" s="965"/>
      <c r="B399" s="968"/>
      <c r="C399" s="968"/>
      <c r="D399" s="967"/>
      <c r="E399" s="968"/>
      <c r="F399" s="968"/>
      <c r="G399" s="968"/>
      <c r="H399" s="968"/>
      <c r="I399" s="972"/>
      <c r="J399" s="973">
        <v>330.49299999999999</v>
      </c>
      <c r="K399" s="982"/>
      <c r="L399" s="982"/>
      <c r="M399" s="982"/>
      <c r="N399" s="982"/>
      <c r="O399" s="982"/>
      <c r="P399" s="982"/>
      <c r="Q399" s="1670"/>
      <c r="R399" s="961"/>
    </row>
    <row r="400" spans="1:18" ht="30" customHeight="1">
      <c r="A400" s="965">
        <f>A398+1</f>
        <v>197</v>
      </c>
      <c r="B400" s="968" t="s">
        <v>2558</v>
      </c>
      <c r="C400" s="968" t="s">
        <v>76</v>
      </c>
      <c r="D400" s="967"/>
      <c r="E400" s="968"/>
      <c r="F400" s="968"/>
      <c r="G400" s="968"/>
      <c r="H400" s="968"/>
      <c r="I400" s="972" t="s">
        <v>3287</v>
      </c>
      <c r="J400" s="973"/>
      <c r="K400" s="982"/>
      <c r="L400" s="982" t="s">
        <v>2919</v>
      </c>
      <c r="M400" s="966" t="s">
        <v>1009</v>
      </c>
      <c r="N400" s="966" t="s">
        <v>1009</v>
      </c>
      <c r="O400" s="974" t="s">
        <v>1009</v>
      </c>
      <c r="P400" s="982"/>
      <c r="Q400" s="1671"/>
      <c r="R400" s="961"/>
    </row>
    <row r="401" spans="1:18" ht="30" customHeight="1">
      <c r="A401" s="965"/>
      <c r="B401" s="968"/>
      <c r="C401" s="968"/>
      <c r="D401" s="967"/>
      <c r="E401" s="968"/>
      <c r="F401" s="968"/>
      <c r="G401" s="968"/>
      <c r="H401" s="968"/>
      <c r="I401" s="972"/>
      <c r="J401" s="973">
        <v>342.10599999999999</v>
      </c>
      <c r="K401" s="982"/>
      <c r="L401" s="982"/>
      <c r="M401" s="982"/>
      <c r="N401" s="982"/>
      <c r="O401" s="982"/>
      <c r="P401" s="982"/>
      <c r="Q401" s="1671"/>
      <c r="R401" s="983"/>
    </row>
    <row r="402" spans="1:18" ht="30" customHeight="1">
      <c r="A402" s="965">
        <f>A400+1</f>
        <v>198</v>
      </c>
      <c r="B402" s="968" t="s">
        <v>2559</v>
      </c>
      <c r="C402" s="968" t="s">
        <v>62</v>
      </c>
      <c r="D402" s="967"/>
      <c r="E402" s="968"/>
      <c r="F402" s="968"/>
      <c r="G402" s="968"/>
      <c r="H402" s="968"/>
      <c r="I402" s="972" t="s">
        <v>2736</v>
      </c>
      <c r="J402" s="973"/>
      <c r="K402" s="982"/>
      <c r="L402" s="982" t="s">
        <v>2919</v>
      </c>
      <c r="M402" s="966" t="s">
        <v>1009</v>
      </c>
      <c r="N402" s="966" t="s">
        <v>1009</v>
      </c>
      <c r="O402" s="974" t="s">
        <v>1009</v>
      </c>
      <c r="P402" s="982"/>
      <c r="Q402" s="1671"/>
      <c r="R402" s="983"/>
    </row>
    <row r="403" spans="1:18" ht="30" customHeight="1">
      <c r="A403" s="965"/>
      <c r="B403" s="968"/>
      <c r="C403" s="968"/>
      <c r="D403" s="967"/>
      <c r="E403" s="968"/>
      <c r="F403" s="968"/>
      <c r="G403" s="968"/>
      <c r="H403" s="968"/>
      <c r="I403" s="972"/>
      <c r="J403" s="973">
        <v>394.28399999999999</v>
      </c>
      <c r="K403" s="982"/>
      <c r="L403" s="982"/>
      <c r="M403" s="982"/>
      <c r="N403" s="982"/>
      <c r="O403" s="982"/>
      <c r="P403" s="982"/>
      <c r="Q403" s="1672"/>
      <c r="R403" s="983"/>
    </row>
    <row r="404" spans="1:18" ht="30" customHeight="1">
      <c r="A404" s="965">
        <f>A402+1</f>
        <v>199</v>
      </c>
      <c r="B404" s="968" t="s">
        <v>3015</v>
      </c>
      <c r="C404" s="968" t="s">
        <v>1277</v>
      </c>
      <c r="D404" s="967" t="s">
        <v>2561</v>
      </c>
      <c r="E404" s="968"/>
      <c r="F404" s="968"/>
      <c r="G404" s="968"/>
      <c r="H404" s="968"/>
      <c r="I404" s="972" t="s">
        <v>1765</v>
      </c>
      <c r="J404" s="973"/>
      <c r="K404" s="982"/>
      <c r="L404" s="982" t="s">
        <v>2919</v>
      </c>
      <c r="M404" s="966" t="s">
        <v>1009</v>
      </c>
      <c r="N404" s="966" t="s">
        <v>1009</v>
      </c>
      <c r="O404" s="974" t="s">
        <v>1009</v>
      </c>
      <c r="P404" s="982"/>
      <c r="Q404" s="969"/>
      <c r="R404" s="983"/>
    </row>
    <row r="405" spans="1:18" ht="30" customHeight="1">
      <c r="A405" s="965"/>
      <c r="B405" s="968"/>
      <c r="C405" s="968"/>
      <c r="D405" s="967"/>
      <c r="E405" s="968"/>
      <c r="F405" s="968"/>
      <c r="G405" s="968"/>
      <c r="H405" s="968"/>
      <c r="I405" s="972"/>
      <c r="J405" s="973">
        <v>245.679</v>
      </c>
      <c r="K405" s="982"/>
      <c r="L405" s="982"/>
      <c r="M405" s="982"/>
      <c r="N405" s="982"/>
      <c r="O405" s="982"/>
      <c r="P405" s="982"/>
      <c r="Q405" s="1670"/>
      <c r="R405" s="983"/>
    </row>
    <row r="406" spans="1:18" ht="30" customHeight="1">
      <c r="A406" s="965">
        <f>A404+1</f>
        <v>200</v>
      </c>
      <c r="B406" s="968" t="s">
        <v>3016</v>
      </c>
      <c r="C406" s="968" t="s">
        <v>1269</v>
      </c>
      <c r="D406" s="967"/>
      <c r="E406" s="968"/>
      <c r="F406" s="968"/>
      <c r="G406" s="968"/>
      <c r="H406" s="968"/>
      <c r="I406" s="972" t="s">
        <v>1765</v>
      </c>
      <c r="J406" s="973"/>
      <c r="K406" s="982"/>
      <c r="L406" s="982" t="s">
        <v>2919</v>
      </c>
      <c r="M406" s="966" t="s">
        <v>1009</v>
      </c>
      <c r="N406" s="966" t="s">
        <v>1009</v>
      </c>
      <c r="O406" s="974" t="s">
        <v>1009</v>
      </c>
      <c r="P406" s="982"/>
      <c r="Q406" s="1671"/>
      <c r="R406" s="983"/>
    </row>
    <row r="407" spans="1:18" ht="30" customHeight="1">
      <c r="A407" s="965"/>
      <c r="B407" s="968"/>
      <c r="C407" s="968"/>
      <c r="D407" s="967"/>
      <c r="E407" s="968"/>
      <c r="F407" s="968"/>
      <c r="G407" s="968"/>
      <c r="H407" s="968"/>
      <c r="I407" s="972"/>
      <c r="J407" s="973">
        <v>352.93</v>
      </c>
      <c r="K407" s="982"/>
      <c r="L407" s="982"/>
      <c r="M407" s="982"/>
      <c r="N407" s="982"/>
      <c r="O407" s="982"/>
      <c r="P407" s="982"/>
      <c r="Q407" s="1671"/>
      <c r="R407" s="983"/>
    </row>
    <row r="408" spans="1:18" ht="30" customHeight="1">
      <c r="A408" s="965">
        <f>A406+1</f>
        <v>201</v>
      </c>
      <c r="B408" s="968" t="s">
        <v>3017</v>
      </c>
      <c r="C408" s="968" t="s">
        <v>1988</v>
      </c>
      <c r="D408" s="967" t="s">
        <v>2564</v>
      </c>
      <c r="E408" s="968">
        <v>2</v>
      </c>
      <c r="F408" s="968">
        <v>2</v>
      </c>
      <c r="G408" s="968">
        <v>2</v>
      </c>
      <c r="H408" s="968">
        <v>2</v>
      </c>
      <c r="I408" s="972" t="s">
        <v>2736</v>
      </c>
      <c r="J408" s="973"/>
      <c r="K408" s="982"/>
      <c r="L408" s="982" t="s">
        <v>2919</v>
      </c>
      <c r="M408" s="966" t="s">
        <v>1009</v>
      </c>
      <c r="N408" s="966" t="s">
        <v>1009</v>
      </c>
      <c r="O408" s="982"/>
      <c r="P408" s="982"/>
      <c r="Q408" s="1671"/>
      <c r="R408" s="983"/>
    </row>
    <row r="409" spans="1:18" ht="30" customHeight="1">
      <c r="A409" s="965"/>
      <c r="B409" s="968"/>
      <c r="C409" s="968"/>
      <c r="D409" s="967"/>
      <c r="E409" s="968"/>
      <c r="F409" s="968"/>
      <c r="G409" s="968"/>
      <c r="H409" s="968"/>
      <c r="I409" s="972"/>
      <c r="J409" s="973">
        <v>232.30099999999999</v>
      </c>
      <c r="K409" s="982"/>
      <c r="L409" s="982"/>
      <c r="M409" s="982"/>
      <c r="N409" s="982"/>
      <c r="O409" s="982"/>
      <c r="P409" s="982"/>
      <c r="Q409" s="1671"/>
      <c r="R409" s="984" t="s">
        <v>3221</v>
      </c>
    </row>
    <row r="410" spans="1:18" ht="30" customHeight="1">
      <c r="A410" s="965">
        <f>A408+1</f>
        <v>202</v>
      </c>
      <c r="B410" s="968" t="s">
        <v>3018</v>
      </c>
      <c r="C410" s="968" t="s">
        <v>1988</v>
      </c>
      <c r="D410" s="967" t="s">
        <v>2566</v>
      </c>
      <c r="E410" s="968"/>
      <c r="F410" s="968"/>
      <c r="G410" s="968"/>
      <c r="H410" s="968"/>
      <c r="I410" s="972" t="s">
        <v>2736</v>
      </c>
      <c r="J410" s="973"/>
      <c r="K410" s="982"/>
      <c r="L410" s="982" t="s">
        <v>2919</v>
      </c>
      <c r="M410" s="966" t="s">
        <v>1009</v>
      </c>
      <c r="N410" s="966" t="s">
        <v>1009</v>
      </c>
      <c r="O410" s="982"/>
      <c r="P410" s="982"/>
      <c r="Q410" s="1671"/>
      <c r="R410" s="983"/>
    </row>
    <row r="411" spans="1:18" ht="30" customHeight="1">
      <c r="A411" s="965"/>
      <c r="B411" s="968"/>
      <c r="C411" s="968"/>
      <c r="D411" s="967"/>
      <c r="E411" s="968"/>
      <c r="F411" s="968"/>
      <c r="G411" s="968"/>
      <c r="H411" s="968"/>
      <c r="I411" s="972"/>
      <c r="J411" s="973">
        <v>474.983</v>
      </c>
      <c r="K411" s="982"/>
      <c r="L411" s="982"/>
      <c r="M411" s="982"/>
      <c r="N411" s="982"/>
      <c r="O411" s="982"/>
      <c r="P411" s="982"/>
      <c r="Q411" s="1671"/>
      <c r="R411" s="983"/>
    </row>
    <row r="412" spans="1:18" ht="30" customHeight="1">
      <c r="A412" s="965">
        <f>A410+1</f>
        <v>203</v>
      </c>
      <c r="B412" s="968" t="s">
        <v>3019</v>
      </c>
      <c r="C412" s="968" t="s">
        <v>1277</v>
      </c>
      <c r="D412" s="967" t="s">
        <v>2568</v>
      </c>
      <c r="E412" s="968"/>
      <c r="F412" s="968"/>
      <c r="G412" s="968"/>
      <c r="H412" s="968"/>
      <c r="I412" s="972" t="s">
        <v>1765</v>
      </c>
      <c r="J412" s="973"/>
      <c r="K412" s="982"/>
      <c r="L412" s="982" t="s">
        <v>2919</v>
      </c>
      <c r="M412" s="966" t="s">
        <v>1009</v>
      </c>
      <c r="N412" s="966" t="s">
        <v>1009</v>
      </c>
      <c r="O412" s="982"/>
      <c r="P412" s="982"/>
      <c r="Q412" s="1671"/>
      <c r="R412" s="983"/>
    </row>
    <row r="413" spans="1:18" ht="30" customHeight="1">
      <c r="A413" s="965"/>
      <c r="B413" s="968"/>
      <c r="C413" s="968"/>
      <c r="D413" s="967"/>
      <c r="E413" s="968"/>
      <c r="F413" s="968"/>
      <c r="G413" s="968"/>
      <c r="H413" s="968"/>
      <c r="I413" s="972"/>
      <c r="J413" s="973">
        <v>322.58800000000002</v>
      </c>
      <c r="K413" s="982"/>
      <c r="L413" s="982"/>
      <c r="M413" s="982"/>
      <c r="N413" s="982"/>
      <c r="O413" s="982"/>
      <c r="P413" s="982"/>
      <c r="Q413" s="1672"/>
      <c r="R413" s="983"/>
    </row>
    <row r="414" spans="1:18" ht="30" customHeight="1">
      <c r="A414" s="965">
        <f>A412+1</f>
        <v>204</v>
      </c>
      <c r="B414" s="968" t="s">
        <v>2569</v>
      </c>
      <c r="C414" s="968" t="s">
        <v>76</v>
      </c>
      <c r="D414" s="967"/>
      <c r="E414" s="968"/>
      <c r="F414" s="968"/>
      <c r="G414" s="968"/>
      <c r="H414" s="968"/>
      <c r="I414" s="972" t="s">
        <v>1765</v>
      </c>
      <c r="J414" s="972"/>
      <c r="K414" s="981"/>
      <c r="L414" s="968" t="s">
        <v>2919</v>
      </c>
      <c r="M414" s="966" t="s">
        <v>1009</v>
      </c>
      <c r="N414" s="966" t="s">
        <v>1009</v>
      </c>
      <c r="O414" s="974" t="s">
        <v>1009</v>
      </c>
      <c r="P414" s="982"/>
      <c r="Q414" s="969"/>
      <c r="R414" s="983"/>
    </row>
    <row r="415" spans="1:18" ht="30" customHeight="1">
      <c r="A415" s="965"/>
      <c r="B415" s="968"/>
      <c r="C415" s="968"/>
      <c r="D415" s="967"/>
      <c r="E415" s="968"/>
      <c r="F415" s="968"/>
      <c r="G415" s="968"/>
      <c r="H415" s="968"/>
      <c r="I415" s="972"/>
      <c r="J415" s="973">
        <v>317.88400000000001</v>
      </c>
      <c r="K415" s="982"/>
      <c r="L415" s="982"/>
      <c r="M415" s="982"/>
      <c r="N415" s="982"/>
      <c r="O415" s="982"/>
      <c r="P415" s="982"/>
      <c r="Q415" s="969"/>
      <c r="R415" s="983"/>
    </row>
    <row r="416" spans="1:18" ht="30" customHeight="1">
      <c r="A416" s="965">
        <f>A414+1</f>
        <v>205</v>
      </c>
      <c r="B416" s="968" t="s">
        <v>2570</v>
      </c>
      <c r="C416" s="968" t="s">
        <v>76</v>
      </c>
      <c r="D416" s="967"/>
      <c r="E416" s="968"/>
      <c r="F416" s="968"/>
      <c r="G416" s="968"/>
      <c r="H416" s="968"/>
      <c r="I416" s="972" t="s">
        <v>1765</v>
      </c>
      <c r="J416" s="973"/>
      <c r="K416" s="982"/>
      <c r="L416" s="982" t="s">
        <v>2919</v>
      </c>
      <c r="M416" s="966" t="s">
        <v>1009</v>
      </c>
      <c r="N416" s="966" t="s">
        <v>1009</v>
      </c>
      <c r="O416" s="974" t="s">
        <v>1009</v>
      </c>
      <c r="P416" s="982"/>
      <c r="Q416" s="969"/>
      <c r="R416" s="983"/>
    </row>
    <row r="417" spans="1:18" ht="30" customHeight="1">
      <c r="A417" s="965"/>
      <c r="B417" s="968"/>
      <c r="C417" s="968"/>
      <c r="D417" s="967"/>
      <c r="E417" s="968"/>
      <c r="F417" s="968"/>
      <c r="G417" s="968"/>
      <c r="H417" s="968"/>
      <c r="I417" s="972"/>
      <c r="J417" s="973">
        <v>297.73500000000001</v>
      </c>
      <c r="K417" s="982"/>
      <c r="L417" s="982"/>
      <c r="M417" s="961"/>
      <c r="N417" s="974"/>
      <c r="O417" s="961"/>
      <c r="P417" s="961"/>
      <c r="Q417" s="961"/>
      <c r="R417" s="961"/>
    </row>
    <row r="418" spans="1:18" ht="30" customHeight="1">
      <c r="A418" s="965">
        <f>A416+1</f>
        <v>206</v>
      </c>
      <c r="B418" s="968" t="s">
        <v>3020</v>
      </c>
      <c r="C418" s="968" t="s">
        <v>1277</v>
      </c>
      <c r="D418" s="967" t="s">
        <v>2572</v>
      </c>
      <c r="E418" s="968"/>
      <c r="F418" s="968"/>
      <c r="G418" s="968"/>
      <c r="H418" s="968"/>
      <c r="I418" s="972" t="s">
        <v>1765</v>
      </c>
      <c r="J418" s="973"/>
      <c r="K418" s="982"/>
      <c r="L418" s="982" t="s">
        <v>2919</v>
      </c>
      <c r="M418" s="974" t="s">
        <v>22</v>
      </c>
      <c r="N418" s="974"/>
      <c r="O418" s="961"/>
      <c r="P418" s="961"/>
      <c r="Q418" s="961"/>
      <c r="R418" s="961"/>
    </row>
    <row r="419" spans="1:18" ht="30" customHeight="1">
      <c r="A419" s="965"/>
      <c r="B419" s="968"/>
      <c r="C419" s="968"/>
      <c r="D419" s="967"/>
      <c r="E419" s="968"/>
      <c r="F419" s="968"/>
      <c r="G419" s="968"/>
      <c r="H419" s="968"/>
      <c r="I419" s="972"/>
      <c r="J419" s="973">
        <v>357.24900000000002</v>
      </c>
      <c r="K419" s="982"/>
      <c r="L419" s="982"/>
      <c r="M419" s="961"/>
      <c r="N419" s="974"/>
      <c r="O419" s="961"/>
      <c r="P419" s="961"/>
      <c r="Q419" s="961"/>
      <c r="R419" s="961"/>
    </row>
    <row r="420" spans="1:18" ht="30" customHeight="1">
      <c r="A420" s="965">
        <f>A418+1</f>
        <v>207</v>
      </c>
      <c r="B420" s="968" t="s">
        <v>2573</v>
      </c>
      <c r="C420" s="968" t="s">
        <v>76</v>
      </c>
      <c r="D420" s="967"/>
      <c r="E420" s="968"/>
      <c r="F420" s="968"/>
      <c r="G420" s="968"/>
      <c r="H420" s="968"/>
      <c r="I420" s="972" t="s">
        <v>1765</v>
      </c>
      <c r="J420" s="973"/>
      <c r="K420" s="982"/>
      <c r="L420" s="982" t="s">
        <v>2919</v>
      </c>
      <c r="M420" s="966" t="s">
        <v>1009</v>
      </c>
      <c r="N420" s="966" t="s">
        <v>1009</v>
      </c>
      <c r="O420" s="974" t="s">
        <v>1009</v>
      </c>
      <c r="P420" s="961"/>
      <c r="Q420" s="961"/>
      <c r="R420" s="961"/>
    </row>
    <row r="421" spans="1:18" ht="30" customHeight="1">
      <c r="A421" s="965"/>
      <c r="B421" s="968"/>
      <c r="C421" s="968"/>
      <c r="D421" s="967"/>
      <c r="E421" s="968"/>
      <c r="F421" s="968"/>
      <c r="G421" s="968"/>
      <c r="H421" s="968"/>
      <c r="I421" s="972"/>
      <c r="J421" s="973">
        <v>353.03300000000002</v>
      </c>
      <c r="K421" s="982"/>
      <c r="L421" s="982"/>
      <c r="M421" s="961"/>
      <c r="N421" s="974"/>
      <c r="O421" s="961"/>
      <c r="P421" s="961"/>
      <c r="Q421" s="961"/>
      <c r="R421" s="961"/>
    </row>
    <row r="422" spans="1:18" ht="30" customHeight="1">
      <c r="A422" s="965">
        <f>A420+1</f>
        <v>208</v>
      </c>
      <c r="B422" s="968" t="s">
        <v>2574</v>
      </c>
      <c r="C422" s="968" t="s">
        <v>62</v>
      </c>
      <c r="D422" s="967"/>
      <c r="E422" s="968"/>
      <c r="F422" s="968"/>
      <c r="G422" s="968"/>
      <c r="H422" s="968"/>
      <c r="I422" s="972" t="s">
        <v>1765</v>
      </c>
      <c r="J422" s="973"/>
      <c r="K422" s="982"/>
      <c r="L422" s="982" t="s">
        <v>2919</v>
      </c>
      <c r="M422" s="966" t="s">
        <v>1009</v>
      </c>
      <c r="N422" s="966" t="s">
        <v>1009</v>
      </c>
      <c r="O422" s="974" t="s">
        <v>1009</v>
      </c>
      <c r="P422" s="961"/>
      <c r="Q422" s="961"/>
      <c r="R422" s="961"/>
    </row>
    <row r="423" spans="1:18" ht="30" customHeight="1">
      <c r="A423" s="965"/>
      <c r="B423" s="968"/>
      <c r="C423" s="968"/>
      <c r="D423" s="967"/>
      <c r="E423" s="968"/>
      <c r="F423" s="968"/>
      <c r="G423" s="968"/>
      <c r="H423" s="968"/>
      <c r="I423" s="972"/>
      <c r="J423" s="973">
        <v>406.76600000000002</v>
      </c>
      <c r="K423" s="982"/>
      <c r="L423" s="982"/>
      <c r="M423" s="961"/>
      <c r="N423" s="974"/>
      <c r="O423" s="961"/>
      <c r="P423" s="961"/>
      <c r="Q423" s="961"/>
      <c r="R423" s="961"/>
    </row>
    <row r="424" spans="1:18" ht="30" customHeight="1">
      <c r="A424" s="965">
        <f>A422+1</f>
        <v>209</v>
      </c>
      <c r="B424" s="968" t="s">
        <v>3021</v>
      </c>
      <c r="C424" s="968" t="s">
        <v>1319</v>
      </c>
      <c r="D424" s="967" t="s">
        <v>2592</v>
      </c>
      <c r="E424" s="968"/>
      <c r="F424" s="968"/>
      <c r="G424" s="968"/>
      <c r="H424" s="968"/>
      <c r="I424" s="972" t="s">
        <v>1765</v>
      </c>
      <c r="J424" s="973"/>
      <c r="K424" s="982"/>
      <c r="L424" s="982" t="s">
        <v>2919</v>
      </c>
      <c r="M424" s="966" t="s">
        <v>1009</v>
      </c>
      <c r="N424" s="966" t="s">
        <v>1009</v>
      </c>
      <c r="O424" s="961"/>
      <c r="P424" s="961"/>
      <c r="Q424" s="961"/>
      <c r="R424" s="961"/>
    </row>
    <row r="425" spans="1:18" ht="30" customHeight="1">
      <c r="A425" s="965"/>
      <c r="B425" s="968"/>
      <c r="C425" s="968"/>
      <c r="D425" s="967"/>
      <c r="E425" s="968"/>
      <c r="F425" s="968"/>
      <c r="G425" s="968"/>
      <c r="H425" s="968"/>
      <c r="I425" s="972"/>
      <c r="J425" s="973">
        <v>392.39499999999998</v>
      </c>
      <c r="K425" s="982"/>
      <c r="L425" s="982"/>
      <c r="M425" s="961"/>
      <c r="N425" s="974"/>
      <c r="O425" s="961"/>
      <c r="P425" s="961"/>
      <c r="Q425" s="961"/>
      <c r="R425" s="961"/>
    </row>
    <row r="426" spans="1:18" ht="30" customHeight="1">
      <c r="A426" s="965">
        <f>A424+1</f>
        <v>210</v>
      </c>
      <c r="B426" s="968" t="s">
        <v>2577</v>
      </c>
      <c r="C426" s="968" t="s">
        <v>62</v>
      </c>
      <c r="D426" s="967"/>
      <c r="E426" s="968"/>
      <c r="F426" s="968"/>
      <c r="G426" s="968"/>
      <c r="H426" s="968"/>
      <c r="I426" s="972" t="s">
        <v>1765</v>
      </c>
      <c r="J426" s="973"/>
      <c r="K426" s="982"/>
      <c r="L426" s="982" t="s">
        <v>2919</v>
      </c>
      <c r="M426" s="966" t="s">
        <v>1009</v>
      </c>
      <c r="N426" s="966" t="s">
        <v>1009</v>
      </c>
      <c r="O426" s="974" t="s">
        <v>1009</v>
      </c>
      <c r="P426" s="961"/>
      <c r="Q426" s="961"/>
      <c r="R426" s="961"/>
    </row>
    <row r="427" spans="1:18" ht="30" customHeight="1">
      <c r="A427" s="965"/>
      <c r="B427" s="968"/>
      <c r="C427" s="968"/>
      <c r="D427" s="967"/>
      <c r="E427" s="968"/>
      <c r="F427" s="968"/>
      <c r="G427" s="968"/>
      <c r="H427" s="968"/>
      <c r="I427" s="972"/>
      <c r="J427" s="973">
        <v>408.83499999999998</v>
      </c>
      <c r="K427" s="982"/>
      <c r="L427" s="982"/>
      <c r="M427" s="961"/>
      <c r="N427" s="974"/>
      <c r="O427" s="961"/>
      <c r="P427" s="961"/>
      <c r="Q427" s="961"/>
      <c r="R427" s="961"/>
    </row>
    <row r="428" spans="1:18" ht="30" customHeight="1">
      <c r="A428" s="965">
        <f>A426+1</f>
        <v>211</v>
      </c>
      <c r="B428" s="968" t="s">
        <v>2578</v>
      </c>
      <c r="C428" s="968" t="s">
        <v>76</v>
      </c>
      <c r="D428" s="967"/>
      <c r="E428" s="968"/>
      <c r="F428" s="968"/>
      <c r="G428" s="968"/>
      <c r="H428" s="968"/>
      <c r="I428" s="972" t="s">
        <v>1765</v>
      </c>
      <c r="J428" s="973"/>
      <c r="K428" s="982"/>
      <c r="L428" s="982" t="s">
        <v>2919</v>
      </c>
      <c r="M428" s="966" t="s">
        <v>1009</v>
      </c>
      <c r="N428" s="966" t="s">
        <v>1009</v>
      </c>
      <c r="O428" s="974"/>
      <c r="P428" s="961"/>
      <c r="Q428" s="961"/>
      <c r="R428" s="961"/>
    </row>
    <row r="429" spans="1:18" ht="30" customHeight="1">
      <c r="A429" s="965"/>
      <c r="B429" s="968"/>
      <c r="C429" s="968"/>
      <c r="D429" s="967"/>
      <c r="E429" s="968"/>
      <c r="F429" s="968"/>
      <c r="G429" s="968"/>
      <c r="H429" s="968"/>
      <c r="I429" s="972"/>
      <c r="J429" s="973">
        <v>333.09</v>
      </c>
      <c r="K429" s="982"/>
      <c r="L429" s="982"/>
      <c r="M429" s="961"/>
      <c r="N429" s="974"/>
      <c r="O429" s="961"/>
      <c r="P429" s="961"/>
      <c r="Q429" s="961"/>
      <c r="R429" s="961"/>
    </row>
    <row r="430" spans="1:18" ht="30" customHeight="1">
      <c r="A430" s="965">
        <f>A428+1</f>
        <v>212</v>
      </c>
      <c r="B430" s="968" t="s">
        <v>2579</v>
      </c>
      <c r="C430" s="968" t="s">
        <v>76</v>
      </c>
      <c r="D430" s="967"/>
      <c r="E430" s="968">
        <v>1</v>
      </c>
      <c r="F430" s="968">
        <v>1</v>
      </c>
      <c r="G430" s="968">
        <v>1</v>
      </c>
      <c r="H430" s="968">
        <v>1</v>
      </c>
      <c r="I430" s="972" t="s">
        <v>2736</v>
      </c>
      <c r="J430" s="973"/>
      <c r="K430" s="982"/>
      <c r="L430" s="982" t="s">
        <v>2919</v>
      </c>
      <c r="M430" s="966" t="s">
        <v>1009</v>
      </c>
      <c r="N430" s="966" t="s">
        <v>1009</v>
      </c>
      <c r="O430" s="974" t="s">
        <v>1009</v>
      </c>
      <c r="P430" s="961"/>
      <c r="Q430" s="961"/>
      <c r="R430" s="961"/>
    </row>
    <row r="431" spans="1:18" ht="30" customHeight="1">
      <c r="A431" s="965"/>
      <c r="B431" s="968"/>
      <c r="C431" s="968"/>
      <c r="D431" s="967"/>
      <c r="E431" s="968"/>
      <c r="F431" s="968"/>
      <c r="G431" s="968"/>
      <c r="H431" s="968"/>
      <c r="I431" s="972"/>
      <c r="J431" s="973">
        <v>343.68299999999999</v>
      </c>
      <c r="K431" s="982"/>
      <c r="L431" s="982"/>
      <c r="M431" s="961"/>
      <c r="N431" s="974"/>
      <c r="O431" s="961"/>
      <c r="P431" s="961"/>
      <c r="Q431" s="961"/>
      <c r="R431" s="961"/>
    </row>
    <row r="432" spans="1:18" ht="30" customHeight="1">
      <c r="A432" s="965">
        <f>A430+1</f>
        <v>213</v>
      </c>
      <c r="B432" s="968" t="s">
        <v>2580</v>
      </c>
      <c r="C432" s="968" t="s">
        <v>76</v>
      </c>
      <c r="D432" s="967"/>
      <c r="E432" s="968"/>
      <c r="F432" s="968"/>
      <c r="G432" s="968"/>
      <c r="H432" s="968"/>
      <c r="I432" s="972" t="s">
        <v>1765</v>
      </c>
      <c r="J432" s="973"/>
      <c r="K432" s="982"/>
      <c r="L432" s="982" t="s">
        <v>2919</v>
      </c>
      <c r="M432" s="966" t="s">
        <v>1009</v>
      </c>
      <c r="N432" s="966" t="s">
        <v>1009</v>
      </c>
      <c r="O432" s="974" t="s">
        <v>1009</v>
      </c>
      <c r="P432" s="961"/>
      <c r="Q432" s="961"/>
      <c r="R432" s="961"/>
    </row>
    <row r="433" spans="1:18" ht="30" customHeight="1">
      <c r="A433" s="965"/>
      <c r="B433" s="968"/>
      <c r="C433" s="968"/>
      <c r="D433" s="967"/>
      <c r="E433" s="968"/>
      <c r="F433" s="968"/>
      <c r="G433" s="968"/>
      <c r="H433" s="968"/>
      <c r="I433" s="972"/>
      <c r="J433" s="973">
        <v>383.59899999999999</v>
      </c>
      <c r="K433" s="982"/>
      <c r="L433" s="982"/>
      <c r="M433" s="982"/>
      <c r="N433" s="974"/>
      <c r="O433" s="961"/>
      <c r="P433" s="961"/>
      <c r="Q433" s="961"/>
      <c r="R433" s="961"/>
    </row>
    <row r="434" spans="1:18" ht="30" customHeight="1">
      <c r="A434" s="965">
        <f>A432+1</f>
        <v>214</v>
      </c>
      <c r="B434" s="968" t="s">
        <v>3022</v>
      </c>
      <c r="C434" s="968" t="s">
        <v>1277</v>
      </c>
      <c r="D434" s="967" t="s">
        <v>2582</v>
      </c>
      <c r="E434" s="968"/>
      <c r="F434" s="968"/>
      <c r="G434" s="968"/>
      <c r="H434" s="968"/>
      <c r="I434" s="972" t="s">
        <v>1765</v>
      </c>
      <c r="J434" s="973"/>
      <c r="K434" s="982"/>
      <c r="L434" s="982" t="s">
        <v>2919</v>
      </c>
      <c r="M434" s="966" t="s">
        <v>1009</v>
      </c>
      <c r="N434" s="966" t="s">
        <v>1009</v>
      </c>
      <c r="O434" s="974" t="s">
        <v>1009</v>
      </c>
      <c r="P434" s="961"/>
      <c r="Q434" s="961"/>
      <c r="R434" s="961"/>
    </row>
    <row r="435" spans="1:18" ht="30" customHeight="1">
      <c r="A435" s="965"/>
      <c r="B435" s="968"/>
      <c r="C435" s="968"/>
      <c r="D435" s="967"/>
      <c r="E435" s="968"/>
      <c r="F435" s="968"/>
      <c r="G435" s="968"/>
      <c r="H435" s="968"/>
      <c r="I435" s="972"/>
      <c r="J435" s="973">
        <v>282.75900000000001</v>
      </c>
      <c r="K435" s="982"/>
      <c r="L435" s="982"/>
      <c r="M435" s="982"/>
      <c r="N435" s="974"/>
      <c r="O435" s="961"/>
      <c r="P435" s="961"/>
      <c r="Q435" s="961"/>
      <c r="R435" s="961"/>
    </row>
    <row r="436" spans="1:18" ht="30" customHeight="1">
      <c r="A436" s="965">
        <f>A434+1</f>
        <v>215</v>
      </c>
      <c r="B436" s="968" t="s">
        <v>3152</v>
      </c>
      <c r="C436" s="968" t="s">
        <v>76</v>
      </c>
      <c r="D436" s="967"/>
      <c r="E436" s="968"/>
      <c r="F436" s="968"/>
      <c r="G436" s="968"/>
      <c r="H436" s="968"/>
      <c r="I436" s="972" t="s">
        <v>1765</v>
      </c>
      <c r="J436" s="973"/>
      <c r="K436" s="982"/>
      <c r="L436" s="982" t="s">
        <v>2919</v>
      </c>
      <c r="M436" s="966" t="s">
        <v>1009</v>
      </c>
      <c r="N436" s="966" t="s">
        <v>1009</v>
      </c>
      <c r="O436" s="974" t="s">
        <v>1009</v>
      </c>
      <c r="P436" s="961"/>
      <c r="Q436" s="961"/>
      <c r="R436" s="961"/>
    </row>
    <row r="437" spans="1:18" ht="30" customHeight="1">
      <c r="A437" s="965"/>
      <c r="B437" s="968"/>
      <c r="C437" s="968"/>
      <c r="D437" s="967"/>
      <c r="E437" s="968"/>
      <c r="F437" s="968"/>
      <c r="G437" s="968"/>
      <c r="H437" s="968"/>
      <c r="I437" s="972"/>
      <c r="J437" s="973">
        <v>385.27100000000002</v>
      </c>
      <c r="K437" s="982"/>
      <c r="L437" s="982"/>
      <c r="M437" s="982"/>
      <c r="N437" s="974"/>
      <c r="O437" s="961"/>
      <c r="P437" s="961"/>
      <c r="Q437" s="961"/>
      <c r="R437" s="961"/>
    </row>
    <row r="438" spans="1:18" ht="30" customHeight="1">
      <c r="A438" s="965">
        <f>A436+1</f>
        <v>216</v>
      </c>
      <c r="B438" s="968" t="s">
        <v>3153</v>
      </c>
      <c r="C438" s="968" t="s">
        <v>62</v>
      </c>
      <c r="D438" s="967"/>
      <c r="E438" s="968"/>
      <c r="F438" s="968"/>
      <c r="G438" s="968"/>
      <c r="H438" s="968"/>
      <c r="I438" s="972" t="s">
        <v>1765</v>
      </c>
      <c r="J438" s="973"/>
      <c r="K438" s="982"/>
      <c r="L438" s="982" t="s">
        <v>2919</v>
      </c>
      <c r="M438" s="966" t="s">
        <v>1009</v>
      </c>
      <c r="N438" s="966" t="s">
        <v>1009</v>
      </c>
      <c r="O438" s="974" t="s">
        <v>1009</v>
      </c>
      <c r="P438" s="961"/>
      <c r="Q438" s="961"/>
      <c r="R438" s="961"/>
    </row>
    <row r="439" spans="1:18" ht="30" customHeight="1">
      <c r="A439" s="965"/>
      <c r="B439" s="968"/>
      <c r="C439" s="968"/>
      <c r="D439" s="967"/>
      <c r="E439" s="968"/>
      <c r="F439" s="968"/>
      <c r="G439" s="968"/>
      <c r="H439" s="968"/>
      <c r="I439" s="972"/>
      <c r="J439" s="973">
        <v>361.36099999999999</v>
      </c>
      <c r="K439" s="982"/>
      <c r="L439" s="982"/>
      <c r="M439" s="982"/>
      <c r="N439" s="974"/>
      <c r="O439" s="961"/>
      <c r="P439" s="961"/>
      <c r="Q439" s="961"/>
      <c r="R439" s="961"/>
    </row>
    <row r="440" spans="1:18" ht="30" customHeight="1">
      <c r="A440" s="965">
        <f>A438+1</f>
        <v>217</v>
      </c>
      <c r="B440" s="968" t="s">
        <v>3183</v>
      </c>
      <c r="C440" s="968" t="s">
        <v>1277</v>
      </c>
      <c r="D440" s="967" t="s">
        <v>3166</v>
      </c>
      <c r="E440" s="968"/>
      <c r="F440" s="968"/>
      <c r="G440" s="968"/>
      <c r="H440" s="968"/>
      <c r="I440" s="972" t="s">
        <v>1765</v>
      </c>
      <c r="J440" s="973"/>
      <c r="K440" s="982"/>
      <c r="L440" s="982" t="s">
        <v>2919</v>
      </c>
      <c r="M440" s="966" t="s">
        <v>1009</v>
      </c>
      <c r="N440" s="966" t="s">
        <v>1009</v>
      </c>
      <c r="O440" s="974" t="s">
        <v>1009</v>
      </c>
      <c r="P440" s="961"/>
      <c r="Q440" s="961"/>
      <c r="R440" s="961"/>
    </row>
    <row r="441" spans="1:18" ht="30" customHeight="1">
      <c r="A441" s="965"/>
      <c r="B441" s="968"/>
      <c r="C441" s="968"/>
      <c r="D441" s="967"/>
      <c r="E441" s="968"/>
      <c r="F441" s="968"/>
      <c r="G441" s="968"/>
      <c r="H441" s="968"/>
      <c r="I441" s="972"/>
      <c r="J441" s="973">
        <v>235.09</v>
      </c>
      <c r="K441" s="982"/>
      <c r="L441" s="982"/>
      <c r="M441" s="982"/>
      <c r="N441" s="974"/>
      <c r="O441" s="961"/>
      <c r="P441" s="961"/>
      <c r="Q441" s="961"/>
      <c r="R441" s="961"/>
    </row>
    <row r="442" spans="1:18" ht="30" customHeight="1">
      <c r="A442" s="965">
        <f>A440+1</f>
        <v>218</v>
      </c>
      <c r="B442" s="968" t="s">
        <v>3184</v>
      </c>
      <c r="C442" s="968" t="s">
        <v>1319</v>
      </c>
      <c r="D442" s="967" t="s">
        <v>3167</v>
      </c>
      <c r="E442" s="968"/>
      <c r="F442" s="968"/>
      <c r="G442" s="968"/>
      <c r="H442" s="968"/>
      <c r="I442" s="972" t="s">
        <v>1765</v>
      </c>
      <c r="J442" s="973"/>
      <c r="K442" s="982"/>
      <c r="L442" s="982" t="s">
        <v>2919</v>
      </c>
      <c r="M442" s="966" t="s">
        <v>1009</v>
      </c>
      <c r="N442" s="966" t="s">
        <v>1009</v>
      </c>
      <c r="O442" s="974" t="s">
        <v>1009</v>
      </c>
      <c r="P442" s="961"/>
      <c r="Q442" s="961"/>
      <c r="R442" s="961"/>
    </row>
    <row r="443" spans="1:18" ht="30" customHeight="1">
      <c r="A443" s="965"/>
      <c r="B443" s="968"/>
      <c r="C443" s="968"/>
      <c r="D443" s="967"/>
      <c r="E443" s="968"/>
      <c r="F443" s="968"/>
      <c r="G443" s="968"/>
      <c r="H443" s="968"/>
      <c r="I443" s="972"/>
      <c r="J443" s="973">
        <v>351.74299999999999</v>
      </c>
      <c r="K443" s="982"/>
      <c r="L443" s="982"/>
      <c r="M443" s="982"/>
      <c r="N443" s="974"/>
      <c r="O443" s="961"/>
      <c r="P443" s="961"/>
      <c r="Q443" s="961"/>
      <c r="R443" s="961"/>
    </row>
    <row r="444" spans="1:18" ht="30" customHeight="1">
      <c r="A444" s="965">
        <f>A442+1</f>
        <v>219</v>
      </c>
      <c r="B444" s="968" t="s">
        <v>3154</v>
      </c>
      <c r="C444" s="968" t="s">
        <v>76</v>
      </c>
      <c r="D444" s="967"/>
      <c r="E444" s="968"/>
      <c r="F444" s="968"/>
      <c r="G444" s="968"/>
      <c r="H444" s="968"/>
      <c r="I444" s="972" t="s">
        <v>1765</v>
      </c>
      <c r="J444" s="973"/>
      <c r="K444" s="982"/>
      <c r="L444" s="982" t="s">
        <v>2919</v>
      </c>
      <c r="M444" s="966" t="s">
        <v>1009</v>
      </c>
      <c r="N444" s="966" t="s">
        <v>1009</v>
      </c>
      <c r="O444" s="974" t="s">
        <v>1009</v>
      </c>
      <c r="P444" s="961"/>
      <c r="Q444" s="961"/>
      <c r="R444" s="961"/>
    </row>
    <row r="445" spans="1:18" ht="30" customHeight="1">
      <c r="A445" s="965"/>
      <c r="B445" s="968"/>
      <c r="C445" s="968"/>
      <c r="D445" s="967"/>
      <c r="E445" s="968"/>
      <c r="F445" s="968"/>
      <c r="G445" s="968"/>
      <c r="H445" s="968"/>
      <c r="I445" s="972"/>
      <c r="J445" s="973">
        <v>386.03800000000001</v>
      </c>
      <c r="K445" s="982"/>
      <c r="L445" s="982"/>
      <c r="M445" s="982"/>
      <c r="N445" s="974"/>
      <c r="O445" s="961"/>
      <c r="P445" s="961"/>
      <c r="Q445" s="961"/>
      <c r="R445" s="961"/>
    </row>
    <row r="446" spans="1:18" ht="30" customHeight="1">
      <c r="A446" s="965">
        <f>A444+1</f>
        <v>220</v>
      </c>
      <c r="B446" s="968" t="s">
        <v>3155</v>
      </c>
      <c r="C446" s="968" t="s">
        <v>76</v>
      </c>
      <c r="D446" s="967"/>
      <c r="E446" s="968"/>
      <c r="F446" s="968"/>
      <c r="G446" s="968"/>
      <c r="H446" s="968"/>
      <c r="I446" s="972" t="s">
        <v>1765</v>
      </c>
      <c r="J446" s="973"/>
      <c r="K446" s="982"/>
      <c r="L446" s="982" t="s">
        <v>2919</v>
      </c>
      <c r="M446" s="966" t="s">
        <v>1009</v>
      </c>
      <c r="N446" s="966" t="s">
        <v>1009</v>
      </c>
      <c r="O446" s="974" t="s">
        <v>1009</v>
      </c>
      <c r="P446" s="961"/>
      <c r="Q446" s="961"/>
      <c r="R446" s="961"/>
    </row>
    <row r="447" spans="1:18" ht="30" customHeight="1">
      <c r="A447" s="965"/>
      <c r="B447" s="968"/>
      <c r="C447" s="968"/>
      <c r="D447" s="967"/>
      <c r="E447" s="968"/>
      <c r="F447" s="968"/>
      <c r="G447" s="968"/>
      <c r="H447" s="968"/>
      <c r="I447" s="972"/>
      <c r="J447" s="973">
        <v>387.69499999999999</v>
      </c>
      <c r="K447" s="982"/>
      <c r="L447" s="982"/>
      <c r="M447" s="982"/>
      <c r="N447" s="974"/>
      <c r="O447" s="961"/>
      <c r="P447" s="961"/>
      <c r="Q447" s="961"/>
      <c r="R447" s="961"/>
    </row>
    <row r="448" spans="1:18" ht="30" customHeight="1">
      <c r="A448" s="965">
        <f>A446+1</f>
        <v>221</v>
      </c>
      <c r="B448" s="968" t="s">
        <v>3156</v>
      </c>
      <c r="C448" s="968" t="s">
        <v>76</v>
      </c>
      <c r="D448" s="967"/>
      <c r="E448" s="968"/>
      <c r="F448" s="968"/>
      <c r="G448" s="968"/>
      <c r="H448" s="968"/>
      <c r="I448" s="972" t="s">
        <v>1765</v>
      </c>
      <c r="J448" s="973"/>
      <c r="K448" s="982"/>
      <c r="L448" s="982" t="s">
        <v>2919</v>
      </c>
      <c r="M448" s="966" t="s">
        <v>1009</v>
      </c>
      <c r="N448" s="966" t="s">
        <v>1009</v>
      </c>
      <c r="O448" s="974" t="s">
        <v>1009</v>
      </c>
      <c r="P448" s="961"/>
      <c r="Q448" s="961"/>
      <c r="R448" s="961"/>
    </row>
    <row r="449" spans="1:18" ht="30" customHeight="1">
      <c r="A449" s="965"/>
      <c r="B449" s="968"/>
      <c r="C449" s="968"/>
      <c r="D449" s="967"/>
      <c r="E449" s="968"/>
      <c r="F449" s="968"/>
      <c r="G449" s="968"/>
      <c r="H449" s="968"/>
      <c r="I449" s="972"/>
      <c r="J449" s="973">
        <v>389.56799999999998</v>
      </c>
      <c r="K449" s="982"/>
      <c r="L449" s="982"/>
      <c r="M449" s="982"/>
      <c r="N449" s="982"/>
      <c r="O449" s="961"/>
      <c r="P449" s="961"/>
      <c r="Q449" s="961"/>
      <c r="R449" s="961"/>
    </row>
    <row r="450" spans="1:18" ht="30" customHeight="1">
      <c r="A450" s="965">
        <f>A448+1</f>
        <v>222</v>
      </c>
      <c r="B450" s="968" t="s">
        <v>3185</v>
      </c>
      <c r="C450" s="968" t="s">
        <v>1277</v>
      </c>
      <c r="D450" s="967" t="s">
        <v>3168</v>
      </c>
      <c r="E450" s="968"/>
      <c r="F450" s="968"/>
      <c r="G450" s="968"/>
      <c r="H450" s="968"/>
      <c r="I450" s="972" t="s">
        <v>1765</v>
      </c>
      <c r="J450" s="973"/>
      <c r="K450" s="982"/>
      <c r="L450" s="982" t="s">
        <v>2919</v>
      </c>
      <c r="M450" s="966" t="s">
        <v>1009</v>
      </c>
      <c r="N450" s="966" t="s">
        <v>1009</v>
      </c>
      <c r="O450" s="974" t="s">
        <v>1009</v>
      </c>
      <c r="P450" s="961"/>
      <c r="Q450" s="961"/>
      <c r="R450" s="961"/>
    </row>
    <row r="451" spans="1:18" ht="30" customHeight="1">
      <c r="A451" s="965"/>
      <c r="B451" s="968"/>
      <c r="C451" s="968"/>
      <c r="D451" s="967"/>
      <c r="E451" s="968"/>
      <c r="F451" s="968"/>
      <c r="G451" s="968"/>
      <c r="H451" s="968"/>
      <c r="I451" s="972"/>
      <c r="J451" s="973">
        <v>376.14400000000001</v>
      </c>
      <c r="K451" s="982"/>
      <c r="L451" s="982"/>
      <c r="M451" s="982"/>
      <c r="N451" s="982"/>
      <c r="O451" s="961"/>
      <c r="P451" s="961"/>
      <c r="Q451" s="961"/>
      <c r="R451" s="961"/>
    </row>
    <row r="452" spans="1:18" ht="30" customHeight="1">
      <c r="A452" s="965">
        <f>A450+1</f>
        <v>223</v>
      </c>
      <c r="B452" s="968" t="s">
        <v>3157</v>
      </c>
      <c r="C452" s="968" t="s">
        <v>53</v>
      </c>
      <c r="D452" s="967"/>
      <c r="E452" s="968"/>
      <c r="F452" s="968"/>
      <c r="G452" s="968"/>
      <c r="H452" s="968"/>
      <c r="I452" s="972" t="s">
        <v>1765</v>
      </c>
      <c r="J452" s="973"/>
      <c r="K452" s="982"/>
      <c r="L452" s="982" t="s">
        <v>2919</v>
      </c>
      <c r="M452" s="966" t="s">
        <v>1009</v>
      </c>
      <c r="N452" s="966" t="s">
        <v>1009</v>
      </c>
      <c r="O452" s="974" t="s">
        <v>1009</v>
      </c>
      <c r="P452" s="961"/>
      <c r="Q452" s="961"/>
      <c r="R452" s="961"/>
    </row>
    <row r="453" spans="1:18" ht="30" customHeight="1">
      <c r="A453" s="965"/>
      <c r="B453" s="968"/>
      <c r="C453" s="968"/>
      <c r="D453" s="967"/>
      <c r="E453" s="968"/>
      <c r="F453" s="968"/>
      <c r="G453" s="968"/>
      <c r="H453" s="968"/>
      <c r="I453" s="972"/>
      <c r="J453" s="973">
        <v>408</v>
      </c>
      <c r="K453" s="982"/>
      <c r="L453" s="982"/>
      <c r="M453" s="982"/>
      <c r="N453" s="982"/>
      <c r="O453" s="961"/>
      <c r="P453" s="961"/>
      <c r="Q453" s="961"/>
      <c r="R453" s="961"/>
    </row>
    <row r="454" spans="1:18" ht="30" customHeight="1">
      <c r="A454" s="965">
        <f>A452+1</f>
        <v>224</v>
      </c>
      <c r="B454" s="968" t="s">
        <v>3158</v>
      </c>
      <c r="C454" s="968" t="s">
        <v>76</v>
      </c>
      <c r="D454" s="967"/>
      <c r="E454" s="968"/>
      <c r="F454" s="968"/>
      <c r="G454" s="968"/>
      <c r="H454" s="968"/>
      <c r="I454" s="972" t="s">
        <v>1765</v>
      </c>
      <c r="J454" s="973"/>
      <c r="K454" s="982"/>
      <c r="L454" s="982" t="s">
        <v>2919</v>
      </c>
      <c r="M454" s="966" t="s">
        <v>1009</v>
      </c>
      <c r="N454" s="966" t="s">
        <v>1009</v>
      </c>
      <c r="O454" s="974" t="s">
        <v>1009</v>
      </c>
      <c r="P454" s="961"/>
      <c r="Q454" s="961"/>
      <c r="R454" s="961"/>
    </row>
    <row r="455" spans="1:18" ht="30" customHeight="1">
      <c r="A455" s="965"/>
      <c r="B455" s="968"/>
      <c r="C455" s="968"/>
      <c r="D455" s="967"/>
      <c r="E455" s="968"/>
      <c r="F455" s="968"/>
      <c r="G455" s="968"/>
      <c r="H455" s="968"/>
      <c r="I455" s="972"/>
      <c r="J455" s="973">
        <v>365.41300000000001</v>
      </c>
      <c r="K455" s="982"/>
      <c r="L455" s="982"/>
      <c r="M455" s="982"/>
      <c r="N455" s="982"/>
      <c r="O455" s="961"/>
      <c r="P455" s="961"/>
      <c r="Q455" s="961"/>
      <c r="R455" s="961"/>
    </row>
    <row r="456" spans="1:18" ht="30" customHeight="1">
      <c r="A456" s="965">
        <f>A454+1</f>
        <v>225</v>
      </c>
      <c r="B456" s="968" t="s">
        <v>3159</v>
      </c>
      <c r="C456" s="968" t="s">
        <v>76</v>
      </c>
      <c r="D456" s="967"/>
      <c r="E456" s="968"/>
      <c r="F456" s="968"/>
      <c r="G456" s="968"/>
      <c r="H456" s="968"/>
      <c r="I456" s="972" t="s">
        <v>1765</v>
      </c>
      <c r="J456" s="973"/>
      <c r="K456" s="982"/>
      <c r="L456" s="982" t="s">
        <v>2919</v>
      </c>
      <c r="M456" s="966" t="s">
        <v>1009</v>
      </c>
      <c r="N456" s="966" t="s">
        <v>1009</v>
      </c>
      <c r="O456" s="974" t="s">
        <v>1009</v>
      </c>
      <c r="P456" s="961"/>
      <c r="Q456" s="961"/>
      <c r="R456" s="961"/>
    </row>
    <row r="457" spans="1:18" ht="30" customHeight="1">
      <c r="A457" s="965"/>
      <c r="B457" s="968"/>
      <c r="C457" s="968"/>
      <c r="D457" s="967"/>
      <c r="E457" s="968"/>
      <c r="F457" s="968"/>
      <c r="G457" s="968"/>
      <c r="H457" s="968"/>
      <c r="I457" s="972"/>
      <c r="J457" s="973">
        <v>280.471</v>
      </c>
      <c r="K457" s="982"/>
      <c r="L457" s="982"/>
      <c r="M457" s="982"/>
      <c r="N457" s="982"/>
      <c r="O457" s="961"/>
      <c r="P457" s="961"/>
      <c r="Q457" s="961"/>
      <c r="R457" s="961"/>
    </row>
    <row r="458" spans="1:18" ht="30" customHeight="1">
      <c r="A458" s="965">
        <f>A456+1</f>
        <v>226</v>
      </c>
      <c r="B458" s="968" t="s">
        <v>3160</v>
      </c>
      <c r="C458" s="968" t="s">
        <v>76</v>
      </c>
      <c r="D458" s="967"/>
      <c r="E458" s="968"/>
      <c r="F458" s="968"/>
      <c r="G458" s="968"/>
      <c r="H458" s="968"/>
      <c r="I458" s="972" t="s">
        <v>1765</v>
      </c>
      <c r="J458" s="973"/>
      <c r="K458" s="982"/>
      <c r="L458" s="982" t="s">
        <v>2919</v>
      </c>
      <c r="M458" s="966" t="s">
        <v>1009</v>
      </c>
      <c r="N458" s="966" t="s">
        <v>1009</v>
      </c>
      <c r="O458" s="974" t="s">
        <v>1009</v>
      </c>
      <c r="P458" s="961"/>
      <c r="Q458" s="961"/>
      <c r="R458" s="961"/>
    </row>
    <row r="459" spans="1:18" ht="30" customHeight="1">
      <c r="A459" s="965"/>
      <c r="B459" s="968"/>
      <c r="C459" s="968"/>
      <c r="D459" s="967"/>
      <c r="E459" s="968"/>
      <c r="F459" s="968"/>
      <c r="G459" s="968"/>
      <c r="H459" s="968"/>
      <c r="I459" s="972"/>
      <c r="J459" s="973">
        <v>305.68900000000002</v>
      </c>
      <c r="K459" s="982"/>
      <c r="L459" s="982"/>
      <c r="M459" s="982"/>
      <c r="N459" s="982"/>
      <c r="O459" s="961"/>
      <c r="P459" s="961"/>
      <c r="Q459" s="961"/>
      <c r="R459" s="961"/>
    </row>
    <row r="460" spans="1:18" ht="30" customHeight="1">
      <c r="A460" s="965">
        <f>A458+1</f>
        <v>227</v>
      </c>
      <c r="B460" s="968" t="s">
        <v>3186</v>
      </c>
      <c r="C460" s="968" t="s">
        <v>1269</v>
      </c>
      <c r="D460" s="967" t="s">
        <v>3169</v>
      </c>
      <c r="E460" s="968"/>
      <c r="F460" s="968"/>
      <c r="G460" s="968"/>
      <c r="H460" s="968"/>
      <c r="I460" s="972" t="s">
        <v>1765</v>
      </c>
      <c r="J460" s="973"/>
      <c r="K460" s="982"/>
      <c r="L460" s="982" t="s">
        <v>2919</v>
      </c>
      <c r="M460" s="966" t="s">
        <v>1009</v>
      </c>
      <c r="N460" s="966" t="s">
        <v>1009</v>
      </c>
      <c r="O460" s="974" t="s">
        <v>1009</v>
      </c>
      <c r="P460" s="961"/>
      <c r="Q460" s="961"/>
      <c r="R460" s="961"/>
    </row>
    <row r="461" spans="1:18" ht="30" customHeight="1">
      <c r="A461" s="965"/>
      <c r="B461" s="968"/>
      <c r="C461" s="968"/>
      <c r="D461" s="967"/>
      <c r="E461" s="968"/>
      <c r="F461" s="968"/>
      <c r="G461" s="968"/>
      <c r="H461" s="968"/>
      <c r="I461" s="972"/>
      <c r="J461" s="973">
        <v>363.35899999999998</v>
      </c>
      <c r="K461" s="982"/>
      <c r="L461" s="982"/>
      <c r="M461" s="982"/>
      <c r="N461" s="982"/>
      <c r="O461" s="961"/>
      <c r="P461" s="961"/>
      <c r="Q461" s="961"/>
      <c r="R461" s="961"/>
    </row>
    <row r="462" spans="1:18" ht="30" customHeight="1">
      <c r="A462" s="965">
        <f>A460+1</f>
        <v>228</v>
      </c>
      <c r="B462" s="968" t="s">
        <v>3161</v>
      </c>
      <c r="C462" s="968" t="s">
        <v>76</v>
      </c>
      <c r="D462" s="967"/>
      <c r="E462" s="968"/>
      <c r="F462" s="968"/>
      <c r="G462" s="968"/>
      <c r="H462" s="968"/>
      <c r="I462" s="972" t="s">
        <v>1765</v>
      </c>
      <c r="J462" s="973"/>
      <c r="K462" s="982"/>
      <c r="L462" s="982" t="s">
        <v>2919</v>
      </c>
      <c r="M462" s="966" t="s">
        <v>1009</v>
      </c>
      <c r="N462" s="966" t="s">
        <v>1009</v>
      </c>
      <c r="O462" s="974" t="s">
        <v>1009</v>
      </c>
      <c r="P462" s="961"/>
      <c r="Q462" s="961"/>
      <c r="R462" s="961"/>
    </row>
    <row r="463" spans="1:18" ht="30" customHeight="1">
      <c r="A463" s="965"/>
      <c r="B463" s="968"/>
      <c r="C463" s="968"/>
      <c r="D463" s="967"/>
      <c r="E463" s="968"/>
      <c r="F463" s="968"/>
      <c r="G463" s="968"/>
      <c r="H463" s="968"/>
      <c r="I463" s="972"/>
      <c r="J463" s="973">
        <v>428.54300000000001</v>
      </c>
      <c r="K463" s="982"/>
      <c r="L463" s="982"/>
      <c r="M463" s="982"/>
      <c r="N463" s="982"/>
      <c r="O463" s="961"/>
      <c r="P463" s="961"/>
      <c r="Q463" s="961"/>
      <c r="R463" s="961"/>
    </row>
    <row r="464" spans="1:18" ht="30" customHeight="1">
      <c r="A464" s="965">
        <f>A462+1</f>
        <v>229</v>
      </c>
      <c r="B464" s="968" t="s">
        <v>3187</v>
      </c>
      <c r="C464" s="968" t="s">
        <v>2212</v>
      </c>
      <c r="D464" s="967" t="s">
        <v>3170</v>
      </c>
      <c r="E464" s="968"/>
      <c r="F464" s="968"/>
      <c r="G464" s="968"/>
      <c r="H464" s="968"/>
      <c r="I464" s="972" t="s">
        <v>2736</v>
      </c>
      <c r="J464" s="973"/>
      <c r="K464" s="982"/>
      <c r="L464" s="966" t="s">
        <v>2919</v>
      </c>
      <c r="M464" s="966" t="s">
        <v>1009</v>
      </c>
      <c r="N464" s="966" t="s">
        <v>1009</v>
      </c>
      <c r="O464" s="961"/>
      <c r="P464" s="961"/>
      <c r="Q464" s="961"/>
      <c r="R464" s="961"/>
    </row>
    <row r="465" spans="1:18" ht="30" customHeight="1">
      <c r="A465" s="965"/>
      <c r="B465" s="968"/>
      <c r="C465" s="968"/>
      <c r="D465" s="967"/>
      <c r="E465" s="968"/>
      <c r="F465" s="968"/>
      <c r="G465" s="968"/>
      <c r="H465" s="968"/>
      <c r="I465" s="972"/>
      <c r="J465" s="973">
        <v>223.00200000000001</v>
      </c>
      <c r="K465" s="982"/>
      <c r="L465" s="982"/>
      <c r="M465" s="982"/>
      <c r="N465" s="982"/>
      <c r="O465" s="982"/>
      <c r="P465" s="982"/>
      <c r="Q465" s="969"/>
      <c r="R465" s="984" t="s">
        <v>3220</v>
      </c>
    </row>
    <row r="466" spans="1:18" ht="30" customHeight="1">
      <c r="A466" s="965">
        <f>A464+1</f>
        <v>230</v>
      </c>
      <c r="B466" s="968" t="s">
        <v>3188</v>
      </c>
      <c r="C466" s="968" t="s">
        <v>2197</v>
      </c>
      <c r="D466" s="967" t="s">
        <v>3171</v>
      </c>
      <c r="E466" s="968"/>
      <c r="F466" s="968"/>
      <c r="G466" s="968"/>
      <c r="H466" s="968"/>
      <c r="I466" s="972" t="s">
        <v>2736</v>
      </c>
      <c r="J466" s="973"/>
      <c r="K466" s="982"/>
      <c r="L466" s="982" t="s">
        <v>2919</v>
      </c>
      <c r="M466" s="966" t="s">
        <v>1009</v>
      </c>
      <c r="N466" s="966" t="s">
        <v>1009</v>
      </c>
      <c r="O466" s="982"/>
      <c r="P466" s="982"/>
      <c r="Q466" s="969"/>
      <c r="R466" s="983"/>
    </row>
    <row r="467" spans="1:18" ht="30" customHeight="1">
      <c r="A467" s="965"/>
      <c r="B467" s="968"/>
      <c r="C467" s="968"/>
      <c r="D467" s="967"/>
      <c r="E467" s="968"/>
      <c r="F467" s="968"/>
      <c r="G467" s="968"/>
      <c r="H467" s="968"/>
      <c r="I467" s="972"/>
      <c r="J467" s="973">
        <v>433.78399999999999</v>
      </c>
      <c r="K467" s="982"/>
      <c r="L467" s="982"/>
      <c r="M467" s="982"/>
      <c r="N467" s="982"/>
      <c r="O467" s="982"/>
      <c r="P467" s="982"/>
      <c r="Q467" s="969"/>
      <c r="R467" s="983"/>
    </row>
    <row r="468" spans="1:18" ht="30" customHeight="1">
      <c r="A468" s="965">
        <f>A466+1</f>
        <v>231</v>
      </c>
      <c r="B468" s="968" t="s">
        <v>3261</v>
      </c>
      <c r="C468" s="968" t="s">
        <v>76</v>
      </c>
      <c r="D468" s="967"/>
      <c r="E468" s="968"/>
      <c r="F468" s="968"/>
      <c r="G468" s="968"/>
      <c r="H468" s="968"/>
      <c r="I468" s="972" t="s">
        <v>1765</v>
      </c>
      <c r="J468" s="973"/>
      <c r="K468" s="982"/>
      <c r="L468" s="982" t="s">
        <v>2919</v>
      </c>
      <c r="M468" s="982" t="s">
        <v>1009</v>
      </c>
      <c r="N468" s="982"/>
      <c r="O468" s="982"/>
      <c r="P468" s="982"/>
      <c r="Q468" s="969"/>
      <c r="R468" s="983"/>
    </row>
    <row r="469" spans="1:18" ht="30" customHeight="1">
      <c r="A469" s="965"/>
      <c r="B469" s="968"/>
      <c r="C469" s="968"/>
      <c r="D469" s="967"/>
      <c r="E469" s="968"/>
      <c r="F469" s="968"/>
      <c r="G469" s="968"/>
      <c r="H469" s="968"/>
      <c r="I469" s="972"/>
      <c r="J469" s="973">
        <v>377.77699999999999</v>
      </c>
      <c r="K469" s="982"/>
      <c r="L469" s="982"/>
      <c r="M469" s="982"/>
      <c r="N469" s="982"/>
      <c r="O469" s="982"/>
      <c r="P469" s="982"/>
      <c r="Q469" s="969"/>
      <c r="R469" s="983"/>
    </row>
    <row r="470" spans="1:18" ht="30" customHeight="1">
      <c r="A470" s="965">
        <f>A468+1</f>
        <v>232</v>
      </c>
      <c r="B470" s="968" t="s">
        <v>3262</v>
      </c>
      <c r="C470" s="968" t="s">
        <v>76</v>
      </c>
      <c r="D470" s="967"/>
      <c r="E470" s="968"/>
      <c r="F470" s="968"/>
      <c r="G470" s="968"/>
      <c r="H470" s="968"/>
      <c r="I470" s="972" t="s">
        <v>1765</v>
      </c>
      <c r="J470" s="973"/>
      <c r="K470" s="982"/>
      <c r="L470" s="966" t="s">
        <v>2919</v>
      </c>
      <c r="M470" s="966" t="s">
        <v>1009</v>
      </c>
      <c r="N470" s="966" t="s">
        <v>1009</v>
      </c>
      <c r="O470" s="982"/>
      <c r="P470" s="982"/>
      <c r="Q470" s="969"/>
      <c r="R470" s="983"/>
    </row>
    <row r="471" spans="1:18" ht="30" customHeight="1">
      <c r="A471" s="965"/>
      <c r="B471" s="968"/>
      <c r="C471" s="968"/>
      <c r="D471" s="967"/>
      <c r="E471" s="968"/>
      <c r="F471" s="968"/>
      <c r="G471" s="968"/>
      <c r="H471" s="968"/>
      <c r="I471" s="972"/>
      <c r="J471" s="973">
        <v>375.892</v>
      </c>
      <c r="K471" s="982"/>
      <c r="L471" s="982"/>
      <c r="M471" s="982"/>
      <c r="N471" s="982"/>
      <c r="O471" s="982"/>
      <c r="P471" s="982"/>
      <c r="Q471" s="969"/>
      <c r="R471" s="983"/>
    </row>
    <row r="472" spans="1:18" ht="30" customHeight="1">
      <c r="A472" s="965">
        <f>A470+1</f>
        <v>233</v>
      </c>
      <c r="B472" s="968" t="s">
        <v>3263</v>
      </c>
      <c r="C472" s="968" t="s">
        <v>76</v>
      </c>
      <c r="D472" s="967"/>
      <c r="E472" s="968"/>
      <c r="F472" s="968"/>
      <c r="G472" s="968"/>
      <c r="H472" s="968"/>
      <c r="I472" s="972" t="s">
        <v>1765</v>
      </c>
      <c r="J472" s="973"/>
      <c r="K472" s="982"/>
      <c r="L472" s="982" t="s">
        <v>2919</v>
      </c>
      <c r="M472" s="966" t="s">
        <v>1009</v>
      </c>
      <c r="N472" s="966" t="s">
        <v>1009</v>
      </c>
      <c r="O472" s="982"/>
      <c r="P472" s="982"/>
      <c r="Q472" s="969"/>
      <c r="R472" s="983"/>
    </row>
    <row r="473" spans="1:18" ht="30" customHeight="1">
      <c r="A473" s="965"/>
      <c r="B473" s="968"/>
      <c r="C473" s="968"/>
      <c r="D473" s="967"/>
      <c r="E473" s="968"/>
      <c r="F473" s="968"/>
      <c r="G473" s="968"/>
      <c r="H473" s="968"/>
      <c r="I473" s="972"/>
      <c r="J473" s="973">
        <v>394.94400000000002</v>
      </c>
      <c r="K473" s="982"/>
      <c r="L473" s="982"/>
      <c r="M473" s="982"/>
      <c r="N473" s="982"/>
      <c r="O473" s="982"/>
      <c r="P473" s="982"/>
      <c r="Q473" s="969"/>
      <c r="R473" s="983"/>
    </row>
    <row r="474" spans="1:18" ht="30" customHeight="1">
      <c r="A474" s="965">
        <f>A472+1</f>
        <v>234</v>
      </c>
      <c r="B474" s="968" t="s">
        <v>3189</v>
      </c>
      <c r="C474" s="968" t="s">
        <v>2212</v>
      </c>
      <c r="D474" s="967" t="s">
        <v>3172</v>
      </c>
      <c r="E474" s="968"/>
      <c r="F474" s="968"/>
      <c r="G474" s="968"/>
      <c r="H474" s="968"/>
      <c r="I474" s="972" t="s">
        <v>1765</v>
      </c>
      <c r="J474" s="973"/>
      <c r="K474" s="982"/>
      <c r="L474" s="982" t="s">
        <v>2919</v>
      </c>
      <c r="M474" s="966" t="s">
        <v>1009</v>
      </c>
      <c r="N474" s="966" t="s">
        <v>1009</v>
      </c>
      <c r="O474" s="982"/>
      <c r="P474" s="982"/>
      <c r="Q474" s="969"/>
      <c r="R474" s="983"/>
    </row>
    <row r="475" spans="1:18" ht="30" customHeight="1">
      <c r="A475" s="965"/>
      <c r="B475" s="968"/>
      <c r="C475" s="968"/>
      <c r="D475" s="967"/>
      <c r="E475" s="968"/>
      <c r="F475" s="968"/>
      <c r="G475" s="968"/>
      <c r="H475" s="968"/>
      <c r="I475" s="972"/>
      <c r="J475" s="973">
        <v>237.64099999999999</v>
      </c>
      <c r="K475" s="982"/>
      <c r="L475" s="982"/>
      <c r="M475" s="982"/>
      <c r="N475" s="982"/>
      <c r="O475" s="982"/>
      <c r="P475" s="982"/>
      <c r="Q475" s="969"/>
      <c r="R475" s="984" t="s">
        <v>3219</v>
      </c>
    </row>
    <row r="476" spans="1:18" ht="30" customHeight="1">
      <c r="A476" s="965">
        <f>A474+1</f>
        <v>235</v>
      </c>
      <c r="B476" s="968" t="s">
        <v>3190</v>
      </c>
      <c r="C476" s="968" t="s">
        <v>2197</v>
      </c>
      <c r="D476" s="967" t="s">
        <v>3173</v>
      </c>
      <c r="E476" s="968"/>
      <c r="F476" s="968"/>
      <c r="G476" s="968"/>
      <c r="H476" s="968"/>
      <c r="I476" s="972" t="s">
        <v>2736</v>
      </c>
      <c r="J476" s="973"/>
      <c r="K476" s="982"/>
      <c r="L476" s="982" t="s">
        <v>2919</v>
      </c>
      <c r="M476" s="966" t="s">
        <v>1009</v>
      </c>
      <c r="N476" s="966" t="s">
        <v>1009</v>
      </c>
      <c r="O476" s="982"/>
      <c r="P476" s="982"/>
      <c r="Q476" s="969"/>
      <c r="R476" s="983"/>
    </row>
    <row r="477" spans="1:18" ht="30" customHeight="1">
      <c r="A477" s="965"/>
      <c r="B477" s="968"/>
      <c r="C477" s="968"/>
      <c r="D477" s="967"/>
      <c r="E477" s="968"/>
      <c r="F477" s="968"/>
      <c r="G477" s="968"/>
      <c r="H477" s="968"/>
      <c r="I477" s="972"/>
      <c r="J477" s="973">
        <v>222.608</v>
      </c>
      <c r="K477" s="982"/>
      <c r="L477" s="982"/>
      <c r="M477" s="982"/>
      <c r="N477" s="982"/>
      <c r="O477" s="982"/>
      <c r="P477" s="982"/>
      <c r="Q477" s="969"/>
      <c r="R477" s="983"/>
    </row>
    <row r="478" spans="1:18" ht="30" customHeight="1">
      <c r="A478" s="965">
        <f>A476+1</f>
        <v>236</v>
      </c>
      <c r="B478" s="968" t="s">
        <v>3191</v>
      </c>
      <c r="C478" s="968" t="s">
        <v>1934</v>
      </c>
      <c r="D478" s="967" t="s">
        <v>3174</v>
      </c>
      <c r="E478" s="968"/>
      <c r="F478" s="968"/>
      <c r="G478" s="968"/>
      <c r="H478" s="968"/>
      <c r="I478" s="972" t="s">
        <v>1765</v>
      </c>
      <c r="J478" s="973"/>
      <c r="K478" s="982"/>
      <c r="L478" s="982" t="s">
        <v>2919</v>
      </c>
      <c r="M478" s="966" t="s">
        <v>1009</v>
      </c>
      <c r="N478" s="982"/>
      <c r="O478" s="982"/>
      <c r="P478" s="982"/>
      <c r="Q478" s="969"/>
      <c r="R478" s="983"/>
    </row>
    <row r="479" spans="1:18" ht="30" customHeight="1">
      <c r="A479" s="965"/>
      <c r="B479" s="968"/>
      <c r="C479" s="968"/>
      <c r="D479" s="967"/>
      <c r="E479" s="968"/>
      <c r="F479" s="968"/>
      <c r="G479" s="968"/>
      <c r="H479" s="968"/>
      <c r="I479" s="972"/>
      <c r="J479" s="973">
        <v>201.44200000000001</v>
      </c>
      <c r="K479" s="982"/>
      <c r="L479" s="982"/>
      <c r="M479" s="982"/>
      <c r="N479" s="982"/>
      <c r="O479" s="982"/>
      <c r="P479" s="982"/>
      <c r="Q479" s="969"/>
      <c r="R479" s="984" t="s">
        <v>3218</v>
      </c>
    </row>
    <row r="480" spans="1:18" ht="30" customHeight="1">
      <c r="A480" s="965">
        <f>A478+1</f>
        <v>237</v>
      </c>
      <c r="B480" s="968" t="s">
        <v>3192</v>
      </c>
      <c r="C480" s="968" t="s">
        <v>1977</v>
      </c>
      <c r="D480" s="967" t="s">
        <v>3175</v>
      </c>
      <c r="E480" s="968"/>
      <c r="F480" s="968"/>
      <c r="G480" s="968"/>
      <c r="H480" s="968"/>
      <c r="I480" s="972"/>
      <c r="J480" s="973"/>
      <c r="K480" s="982"/>
      <c r="L480" s="982"/>
      <c r="M480" s="982"/>
      <c r="N480" s="982"/>
      <c r="O480" s="982"/>
      <c r="P480" s="982"/>
      <c r="Q480" s="969"/>
      <c r="R480" s="1016"/>
    </row>
    <row r="481" spans="1:18" ht="30" customHeight="1">
      <c r="A481" s="965"/>
      <c r="B481" s="968"/>
      <c r="C481" s="968"/>
      <c r="D481" s="967"/>
      <c r="E481" s="968"/>
      <c r="F481" s="968"/>
      <c r="G481" s="968"/>
      <c r="H481" s="968"/>
      <c r="I481" s="972"/>
      <c r="J481" s="973">
        <v>228.755</v>
      </c>
      <c r="K481" s="982"/>
      <c r="L481" s="982"/>
      <c r="M481" s="982"/>
      <c r="N481" s="982"/>
      <c r="O481" s="982"/>
      <c r="P481" s="982"/>
      <c r="Q481" s="969"/>
      <c r="R481" s="984" t="s">
        <v>3217</v>
      </c>
    </row>
    <row r="482" spans="1:18" ht="30" customHeight="1">
      <c r="A482" s="965">
        <f>A480+1</f>
        <v>238</v>
      </c>
      <c r="B482" s="968" t="s">
        <v>3193</v>
      </c>
      <c r="C482" s="968" t="s">
        <v>1934</v>
      </c>
      <c r="D482" s="967" t="s">
        <v>3176</v>
      </c>
      <c r="E482" s="968">
        <v>1</v>
      </c>
      <c r="F482" s="968">
        <v>1</v>
      </c>
      <c r="G482" s="968">
        <v>1</v>
      </c>
      <c r="H482" s="968">
        <v>1</v>
      </c>
      <c r="I482" s="972" t="s">
        <v>897</v>
      </c>
      <c r="J482" s="973"/>
      <c r="K482" s="982"/>
      <c r="L482" s="982" t="s">
        <v>2919</v>
      </c>
      <c r="M482" s="966" t="s">
        <v>1009</v>
      </c>
      <c r="N482" s="966" t="s">
        <v>1009</v>
      </c>
      <c r="O482" s="982"/>
      <c r="P482" s="982"/>
      <c r="Q482" s="969"/>
      <c r="R482" s="983"/>
    </row>
    <row r="483" spans="1:18" ht="30" customHeight="1">
      <c r="A483" s="965"/>
      <c r="B483" s="968"/>
      <c r="C483" s="968"/>
      <c r="D483" s="967"/>
      <c r="E483" s="968"/>
      <c r="F483" s="968"/>
      <c r="G483" s="968"/>
      <c r="H483" s="968"/>
      <c r="I483" s="972"/>
      <c r="J483" s="973">
        <v>241.17099999999999</v>
      </c>
      <c r="K483" s="982"/>
      <c r="L483" s="982"/>
      <c r="M483" s="982"/>
      <c r="N483" s="982"/>
      <c r="O483" s="982"/>
      <c r="P483" s="982"/>
      <c r="Q483" s="969"/>
      <c r="R483" s="984" t="s">
        <v>3216</v>
      </c>
    </row>
    <row r="484" spans="1:18" ht="30" customHeight="1">
      <c r="A484" s="965">
        <f>A482+1</f>
        <v>239</v>
      </c>
      <c r="B484" s="981" t="s">
        <v>3194</v>
      </c>
      <c r="C484" s="981" t="s">
        <v>1934</v>
      </c>
      <c r="D484" s="1164" t="s">
        <v>3177</v>
      </c>
      <c r="E484" s="981">
        <v>2</v>
      </c>
      <c r="F484" s="981">
        <v>2</v>
      </c>
      <c r="G484" s="981">
        <v>2</v>
      </c>
      <c r="H484" s="981">
        <v>2</v>
      </c>
      <c r="I484" s="972" t="s">
        <v>897</v>
      </c>
      <c r="J484" s="973"/>
      <c r="K484" s="982"/>
      <c r="L484" s="982" t="s">
        <v>2919</v>
      </c>
      <c r="M484" s="966" t="s">
        <v>1009</v>
      </c>
      <c r="N484" s="966" t="s">
        <v>1009</v>
      </c>
      <c r="O484" s="982"/>
      <c r="P484" s="982"/>
      <c r="Q484" s="969"/>
      <c r="R484" s="983"/>
    </row>
    <row r="485" spans="1:18" ht="30" customHeight="1">
      <c r="A485" s="965"/>
      <c r="B485" s="968"/>
      <c r="C485" s="968"/>
      <c r="D485" s="967"/>
      <c r="E485" s="968"/>
      <c r="F485" s="968"/>
      <c r="G485" s="968"/>
      <c r="H485" s="968"/>
      <c r="I485" s="972"/>
      <c r="J485" s="973">
        <v>265.92200000000003</v>
      </c>
      <c r="K485" s="982"/>
      <c r="L485" s="982"/>
      <c r="M485" s="982"/>
      <c r="N485" s="982"/>
      <c r="O485" s="982"/>
      <c r="P485" s="982"/>
      <c r="Q485" s="969"/>
      <c r="R485" s="983"/>
    </row>
    <row r="486" spans="1:18" ht="30" customHeight="1">
      <c r="A486" s="965">
        <f>A484+1</f>
        <v>240</v>
      </c>
      <c r="B486" s="968" t="s">
        <v>3195</v>
      </c>
      <c r="C486" s="968" t="s">
        <v>2212</v>
      </c>
      <c r="D486" s="967" t="s">
        <v>3178</v>
      </c>
      <c r="E486" s="968"/>
      <c r="F486" s="968"/>
      <c r="G486" s="968"/>
      <c r="H486" s="968"/>
      <c r="I486" s="972" t="s">
        <v>897</v>
      </c>
      <c r="J486" s="973"/>
      <c r="K486" s="982"/>
      <c r="L486" s="982" t="s">
        <v>2919</v>
      </c>
      <c r="M486" s="982" t="s">
        <v>1009</v>
      </c>
      <c r="N486" s="982"/>
      <c r="O486" s="982"/>
      <c r="P486" s="982"/>
      <c r="Q486" s="969"/>
      <c r="R486" s="983"/>
    </row>
    <row r="487" spans="1:18" ht="30" customHeight="1">
      <c r="A487" s="965"/>
      <c r="B487" s="968"/>
      <c r="C487" s="968"/>
      <c r="D487" s="967"/>
      <c r="E487" s="968"/>
      <c r="F487" s="968"/>
      <c r="G487" s="968"/>
      <c r="H487" s="968"/>
      <c r="I487" s="972"/>
      <c r="J487" s="973">
        <v>215.81700000000001</v>
      </c>
      <c r="K487" s="982"/>
      <c r="L487" s="982"/>
      <c r="M487" s="982"/>
      <c r="N487" s="982"/>
      <c r="O487" s="982"/>
      <c r="P487" s="982"/>
      <c r="Q487" s="969"/>
      <c r="R487" s="984" t="s">
        <v>3215</v>
      </c>
    </row>
    <row r="488" spans="1:18" ht="30" customHeight="1">
      <c r="A488" s="965">
        <f>A486+1</f>
        <v>241</v>
      </c>
      <c r="B488" s="968" t="s">
        <v>3196</v>
      </c>
      <c r="C488" s="968" t="s">
        <v>2212</v>
      </c>
      <c r="D488" s="967" t="s">
        <v>3179</v>
      </c>
      <c r="E488" s="968"/>
      <c r="F488" s="968"/>
      <c r="G488" s="968"/>
      <c r="H488" s="968"/>
      <c r="I488" s="972"/>
      <c r="J488" s="974"/>
      <c r="K488" s="982"/>
      <c r="L488" s="966" t="s">
        <v>2919</v>
      </c>
      <c r="M488" s="966" t="s">
        <v>1009</v>
      </c>
      <c r="N488" s="982"/>
      <c r="O488" s="982"/>
      <c r="P488" s="982"/>
      <c r="Q488" s="969"/>
      <c r="R488" s="983"/>
    </row>
    <row r="489" spans="1:18" ht="27.6" customHeight="1">
      <c r="J489" s="962">
        <f>SUM(J8:J488)/1000</f>
        <v>84.930134999999993</v>
      </c>
      <c r="O489" s="958"/>
    </row>
    <row r="569" spans="2:2">
      <c r="B569" s="1143"/>
    </row>
    <row r="573" spans="2:2">
      <c r="B573" s="1143"/>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6" priority="4" operator="equal">
      <formula>"WIP"</formula>
    </cfRule>
    <cfRule type="cellIs" dxfId="3585" priority="5" operator="equal">
      <formula>"C"</formula>
    </cfRule>
  </conditionalFormatting>
  <conditionalFormatting sqref="B1:B1048576">
    <cfRule type="duplicateValues" dxfId="3584" priority="1"/>
  </conditionalFormatting>
  <conditionalFormatting sqref="L1:L1048576">
    <cfRule type="cellIs" dxfId="3583" priority="3" operator="equal">
      <formula>"Clear"</formula>
    </cfRule>
  </conditionalFormatting>
  <conditionalFormatting sqref="L8:L488">
    <cfRule type="cellIs" dxfId="3582"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5"/>
  <cols>
    <col min="2" max="4" width="8.7109375" style="2"/>
    <col min="5" max="5" width="8.140625" style="2" bestFit="1" customWidth="1"/>
    <col min="6" max="6" width="13.140625" style="2" bestFit="1" customWidth="1"/>
    <col min="7" max="7" width="11.5703125" style="2" bestFit="1" customWidth="1"/>
    <col min="8" max="9" width="9" style="2" bestFit="1" customWidth="1"/>
    <col min="10" max="12" width="8.7109375" style="2"/>
  </cols>
  <sheetData>
    <row r="2" spans="4:16">
      <c r="D2" s="1149" t="s">
        <v>1782</v>
      </c>
      <c r="E2" s="1149" t="s">
        <v>3214</v>
      </c>
      <c r="F2" s="1149" t="s">
        <v>1405</v>
      </c>
      <c r="G2" s="1149" t="s">
        <v>45</v>
      </c>
      <c r="H2" s="1149" t="s">
        <v>1441</v>
      </c>
      <c r="I2" s="1149" t="s">
        <v>3333</v>
      </c>
      <c r="J2" s="1149" t="s">
        <v>1399</v>
      </c>
    </row>
    <row r="3" spans="4:16">
      <c r="D3" s="1157">
        <v>1</v>
      </c>
      <c r="E3" s="1157" t="s">
        <v>2581</v>
      </c>
      <c r="F3" s="1157" t="s">
        <v>1277</v>
      </c>
      <c r="G3" s="1157" t="s">
        <v>1765</v>
      </c>
      <c r="H3" s="924">
        <v>46039</v>
      </c>
      <c r="I3" s="924">
        <v>46058</v>
      </c>
      <c r="J3" s="1157">
        <v>105</v>
      </c>
      <c r="K3" s="1157" t="s">
        <v>3343</v>
      </c>
    </row>
    <row r="4" spans="4:16">
      <c r="D4" s="1157">
        <f t="shared" ref="D4:D34" si="0">D3+1</f>
        <v>2</v>
      </c>
      <c r="E4" s="1157" t="s">
        <v>3012</v>
      </c>
      <c r="F4" s="1157" t="s">
        <v>1269</v>
      </c>
      <c r="G4" s="1157" t="s">
        <v>1765</v>
      </c>
      <c r="H4" s="924">
        <v>46042</v>
      </c>
      <c r="I4" s="924">
        <v>46059</v>
      </c>
      <c r="J4" s="1157">
        <f>J3+1</f>
        <v>106</v>
      </c>
      <c r="K4" s="1157" t="s">
        <v>3343</v>
      </c>
    </row>
    <row r="5" spans="4:16">
      <c r="D5" s="1157">
        <f t="shared" si="0"/>
        <v>3</v>
      </c>
      <c r="E5" s="1157" t="s">
        <v>2574</v>
      </c>
      <c r="F5" s="1157" t="s">
        <v>62</v>
      </c>
      <c r="G5" s="1157" t="s">
        <v>1765</v>
      </c>
      <c r="H5" s="924">
        <v>46056</v>
      </c>
      <c r="I5" s="924">
        <v>46060</v>
      </c>
      <c r="J5" s="1157">
        <f t="shared" ref="J5:J32" si="1">J4+1</f>
        <v>107</v>
      </c>
      <c r="K5" s="1157" t="s">
        <v>3343</v>
      </c>
    </row>
    <row r="6" spans="4:16">
      <c r="D6" s="1157">
        <f t="shared" si="0"/>
        <v>4</v>
      </c>
      <c r="E6" s="1157" t="s">
        <v>2389</v>
      </c>
      <c r="F6" s="1157" t="s">
        <v>1995</v>
      </c>
      <c r="G6" s="1157" t="s">
        <v>1765</v>
      </c>
      <c r="H6" s="924">
        <v>46051</v>
      </c>
      <c r="I6" s="924">
        <v>46061</v>
      </c>
      <c r="J6" s="1157">
        <f t="shared" si="1"/>
        <v>108</v>
      </c>
      <c r="K6" s="1158" t="s">
        <v>3343</v>
      </c>
    </row>
    <row r="7" spans="4:16">
      <c r="D7" s="1157">
        <f t="shared" si="0"/>
        <v>5</v>
      </c>
      <c r="E7" s="1157" t="s">
        <v>3184</v>
      </c>
      <c r="F7" s="1157" t="s">
        <v>1319</v>
      </c>
      <c r="G7" s="1157" t="s">
        <v>1765</v>
      </c>
      <c r="H7" s="924">
        <v>46053</v>
      </c>
      <c r="I7" s="924">
        <v>46062</v>
      </c>
      <c r="J7" s="1157">
        <f t="shared" si="1"/>
        <v>109</v>
      </c>
      <c r="K7" s="1158" t="s">
        <v>3343</v>
      </c>
    </row>
    <row r="8" spans="4:16">
      <c r="D8" s="1157">
        <f t="shared" si="0"/>
        <v>6</v>
      </c>
      <c r="E8" s="1157" t="s">
        <v>2520</v>
      </c>
      <c r="F8" s="1157" t="s">
        <v>62</v>
      </c>
      <c r="G8" s="1157" t="s">
        <v>1765</v>
      </c>
      <c r="H8" s="924">
        <v>46044</v>
      </c>
      <c r="I8" s="924">
        <v>46064</v>
      </c>
      <c r="J8" s="1157">
        <f t="shared" si="1"/>
        <v>110</v>
      </c>
      <c r="K8" s="1158" t="s">
        <v>3343</v>
      </c>
    </row>
    <row r="9" spans="4:16">
      <c r="D9" s="1157">
        <f t="shared" si="0"/>
        <v>7</v>
      </c>
      <c r="E9" s="1157" t="s">
        <v>3125</v>
      </c>
      <c r="F9" s="1157" t="s">
        <v>2197</v>
      </c>
      <c r="G9" s="1157" t="s">
        <v>2736</v>
      </c>
      <c r="H9" s="924">
        <v>46040</v>
      </c>
      <c r="I9" s="924">
        <v>46065</v>
      </c>
      <c r="J9" s="1157">
        <f t="shared" si="1"/>
        <v>111</v>
      </c>
      <c r="K9" s="1158" t="s">
        <v>3343</v>
      </c>
    </row>
    <row r="10" spans="4:16">
      <c r="D10" s="1157">
        <f t="shared" si="0"/>
        <v>8</v>
      </c>
      <c r="E10" s="1157" t="s">
        <v>2580</v>
      </c>
      <c r="F10" s="1157" t="s">
        <v>76</v>
      </c>
      <c r="G10" s="1157" t="s">
        <v>1765</v>
      </c>
      <c r="H10" s="924">
        <v>46057</v>
      </c>
      <c r="I10" s="924">
        <v>46065</v>
      </c>
      <c r="J10" s="1157">
        <f t="shared" si="1"/>
        <v>112</v>
      </c>
      <c r="K10" s="1158" t="s">
        <v>3343</v>
      </c>
    </row>
    <row r="11" spans="4:16">
      <c r="D11" s="1157">
        <f t="shared" si="0"/>
        <v>9</v>
      </c>
      <c r="E11" s="1157" t="s">
        <v>2954</v>
      </c>
      <c r="F11" s="1157" t="s">
        <v>1988</v>
      </c>
      <c r="G11" s="1157" t="s">
        <v>2736</v>
      </c>
      <c r="H11" s="924">
        <v>46043</v>
      </c>
      <c r="I11" s="924">
        <v>46066</v>
      </c>
      <c r="J11" s="1157">
        <f t="shared" si="1"/>
        <v>113</v>
      </c>
      <c r="K11" s="1158" t="s">
        <v>3343</v>
      </c>
      <c r="P11">
        <f>8+30+40+26</f>
        <v>104</v>
      </c>
    </row>
    <row r="12" spans="4:16">
      <c r="D12" s="1157">
        <f t="shared" si="0"/>
        <v>10</v>
      </c>
      <c r="E12" s="1157" t="s">
        <v>3152</v>
      </c>
      <c r="F12" s="1157" t="s">
        <v>76</v>
      </c>
      <c r="G12" s="1157" t="s">
        <v>1765</v>
      </c>
      <c r="H12" s="924">
        <v>46059</v>
      </c>
      <c r="I12" s="924">
        <v>46066</v>
      </c>
      <c r="J12" s="1157">
        <f t="shared" si="1"/>
        <v>114</v>
      </c>
      <c r="K12" s="1158" t="s">
        <v>3343</v>
      </c>
    </row>
    <row r="13" spans="4:16">
      <c r="D13" s="1157">
        <f t="shared" si="0"/>
        <v>11</v>
      </c>
      <c r="E13" s="1157" t="s">
        <v>3185</v>
      </c>
      <c r="F13" s="1157" t="s">
        <v>1277</v>
      </c>
      <c r="G13" s="1157" t="s">
        <v>1765</v>
      </c>
      <c r="H13" s="924">
        <v>46058</v>
      </c>
      <c r="I13" s="924">
        <v>46067</v>
      </c>
      <c r="J13" s="1157">
        <f t="shared" si="1"/>
        <v>115</v>
      </c>
      <c r="K13" s="1158" t="s">
        <v>3343</v>
      </c>
    </row>
    <row r="14" spans="4:16">
      <c r="D14" s="1157">
        <f t="shared" si="0"/>
        <v>12</v>
      </c>
      <c r="E14" s="1157" t="s">
        <v>2521</v>
      </c>
      <c r="F14" s="1157" t="s">
        <v>76</v>
      </c>
      <c r="G14" s="1157" t="s">
        <v>1765</v>
      </c>
      <c r="H14" s="924">
        <v>46062</v>
      </c>
      <c r="I14" s="924">
        <v>46068</v>
      </c>
      <c r="J14" s="1157">
        <f t="shared" si="1"/>
        <v>116</v>
      </c>
      <c r="K14" s="1158" t="s">
        <v>3343</v>
      </c>
    </row>
    <row r="15" spans="4:16">
      <c r="D15" s="1157">
        <f t="shared" si="0"/>
        <v>13</v>
      </c>
      <c r="E15" s="1157" t="s">
        <v>3161</v>
      </c>
      <c r="F15" s="1157" t="s">
        <v>76</v>
      </c>
      <c r="G15" s="1157" t="s">
        <v>1765</v>
      </c>
      <c r="H15" s="924">
        <v>46062</v>
      </c>
      <c r="I15" s="924">
        <v>46068</v>
      </c>
      <c r="J15" s="1157">
        <f t="shared" si="1"/>
        <v>117</v>
      </c>
      <c r="K15" s="1158" t="s">
        <v>3343</v>
      </c>
    </row>
    <row r="16" spans="4:16">
      <c r="D16" s="1157">
        <f t="shared" si="0"/>
        <v>14</v>
      </c>
      <c r="E16" s="1157" t="s">
        <v>458</v>
      </c>
      <c r="F16" s="1157" t="s">
        <v>62</v>
      </c>
      <c r="G16" s="1157" t="s">
        <v>1765</v>
      </c>
      <c r="H16" s="924">
        <v>46067</v>
      </c>
      <c r="I16" s="924">
        <v>46070</v>
      </c>
      <c r="J16" s="1157">
        <f t="shared" si="1"/>
        <v>118</v>
      </c>
      <c r="K16" s="1158" t="s">
        <v>3343</v>
      </c>
    </row>
    <row r="17" spans="4:11">
      <c r="D17" s="1157">
        <f t="shared" si="0"/>
        <v>15</v>
      </c>
      <c r="E17" s="1157" t="s">
        <v>3019</v>
      </c>
      <c r="F17" s="1157" t="s">
        <v>1277</v>
      </c>
      <c r="G17" s="1157" t="s">
        <v>1765</v>
      </c>
      <c r="H17" s="924">
        <v>46062</v>
      </c>
      <c r="I17" s="924">
        <v>46071</v>
      </c>
      <c r="J17" s="1157">
        <f t="shared" si="1"/>
        <v>119</v>
      </c>
      <c r="K17" s="1158" t="s">
        <v>3343</v>
      </c>
    </row>
    <row r="18" spans="4:11">
      <c r="D18" s="1157">
        <f t="shared" si="0"/>
        <v>16</v>
      </c>
      <c r="E18" s="1157" t="s">
        <v>2915</v>
      </c>
      <c r="F18" s="1157" t="s">
        <v>1361</v>
      </c>
      <c r="G18" s="1157" t="s">
        <v>3287</v>
      </c>
      <c r="H18" s="924">
        <v>46063</v>
      </c>
      <c r="I18" s="924">
        <v>46071</v>
      </c>
      <c r="J18" s="1157">
        <f t="shared" si="1"/>
        <v>120</v>
      </c>
      <c r="K18" s="1158" t="s">
        <v>3343</v>
      </c>
    </row>
    <row r="19" spans="4:11">
      <c r="D19" s="1157">
        <f t="shared" si="0"/>
        <v>17</v>
      </c>
      <c r="E19" s="1157" t="s">
        <v>3153</v>
      </c>
      <c r="F19" s="1157" t="s">
        <v>62</v>
      </c>
      <c r="G19" s="1157" t="s">
        <v>1765</v>
      </c>
      <c r="H19" s="924">
        <v>46066</v>
      </c>
      <c r="I19" s="924">
        <v>46071</v>
      </c>
      <c r="J19" s="1157">
        <f t="shared" si="1"/>
        <v>121</v>
      </c>
      <c r="K19" s="1158" t="s">
        <v>3343</v>
      </c>
    </row>
    <row r="20" spans="4:11">
      <c r="D20" s="1157">
        <f t="shared" si="0"/>
        <v>18</v>
      </c>
      <c r="E20" s="1157" t="s">
        <v>2988</v>
      </c>
      <c r="F20" s="1157" t="s">
        <v>1277</v>
      </c>
      <c r="G20" s="1157" t="s">
        <v>1765</v>
      </c>
      <c r="H20" s="924">
        <v>46059</v>
      </c>
      <c r="I20" s="924">
        <v>46072</v>
      </c>
      <c r="J20" s="1157">
        <f t="shared" si="1"/>
        <v>122</v>
      </c>
      <c r="K20" s="1158" t="s">
        <v>3343</v>
      </c>
    </row>
    <row r="21" spans="4:11">
      <c r="D21" s="1157">
        <f t="shared" si="0"/>
        <v>19</v>
      </c>
      <c r="E21" s="1157" t="s">
        <v>2522</v>
      </c>
      <c r="F21" s="1157" t="s">
        <v>62</v>
      </c>
      <c r="G21" s="1157" t="s">
        <v>1765</v>
      </c>
      <c r="H21" s="924">
        <v>46065</v>
      </c>
      <c r="I21" s="924">
        <v>46073</v>
      </c>
      <c r="J21" s="1157">
        <f t="shared" si="1"/>
        <v>123</v>
      </c>
      <c r="K21" s="1158" t="s">
        <v>3343</v>
      </c>
    </row>
    <row r="22" spans="4:11">
      <c r="D22" s="1157">
        <f t="shared" si="0"/>
        <v>20</v>
      </c>
      <c r="E22" s="1157" t="s">
        <v>529</v>
      </c>
      <c r="F22" s="1157" t="s">
        <v>76</v>
      </c>
      <c r="G22" s="1157" t="s">
        <v>3287</v>
      </c>
      <c r="H22" s="924">
        <v>46058</v>
      </c>
      <c r="I22" s="924">
        <v>46074</v>
      </c>
      <c r="J22" s="1157">
        <f t="shared" si="1"/>
        <v>124</v>
      </c>
      <c r="K22" s="1158" t="s">
        <v>3343</v>
      </c>
    </row>
    <row r="23" spans="4:11">
      <c r="D23" s="1157">
        <f t="shared" si="0"/>
        <v>21</v>
      </c>
      <c r="E23" s="1157" t="s">
        <v>2910</v>
      </c>
      <c r="F23" s="1157" t="s">
        <v>1269</v>
      </c>
      <c r="G23" s="1157" t="s">
        <v>3287</v>
      </c>
      <c r="H23" s="924">
        <v>46063</v>
      </c>
      <c r="I23" s="924">
        <v>46074</v>
      </c>
      <c r="J23" s="1157">
        <f t="shared" si="1"/>
        <v>125</v>
      </c>
      <c r="K23" s="1158" t="s">
        <v>3343</v>
      </c>
    </row>
    <row r="24" spans="4:11">
      <c r="D24" s="1157">
        <f t="shared" si="0"/>
        <v>22</v>
      </c>
      <c r="E24" s="1157" t="s">
        <v>3005</v>
      </c>
      <c r="F24" s="1157" t="s">
        <v>3306</v>
      </c>
      <c r="G24" s="1157" t="s">
        <v>1765</v>
      </c>
      <c r="H24" s="924">
        <v>46068</v>
      </c>
      <c r="I24" s="924">
        <v>46077</v>
      </c>
      <c r="J24" s="1157">
        <f t="shared" si="1"/>
        <v>126</v>
      </c>
      <c r="K24" s="1158" t="s">
        <v>3343</v>
      </c>
    </row>
    <row r="25" spans="4:11">
      <c r="D25" s="1157">
        <f t="shared" si="0"/>
        <v>23</v>
      </c>
      <c r="E25" s="1157" t="s">
        <v>2930</v>
      </c>
      <c r="F25" s="1157" t="s">
        <v>2212</v>
      </c>
      <c r="G25" s="1157" t="s">
        <v>1765</v>
      </c>
      <c r="H25" s="924">
        <v>46068</v>
      </c>
      <c r="I25" s="924">
        <v>46078</v>
      </c>
      <c r="J25" s="1157">
        <f t="shared" si="1"/>
        <v>127</v>
      </c>
      <c r="K25" s="1158" t="s">
        <v>3343</v>
      </c>
    </row>
    <row r="26" spans="4:11">
      <c r="D26" s="1157">
        <f t="shared" si="0"/>
        <v>24</v>
      </c>
      <c r="E26" s="1157" t="s">
        <v>3309</v>
      </c>
      <c r="F26" s="1157" t="s">
        <v>76</v>
      </c>
      <c r="G26" s="1157" t="s">
        <v>3286</v>
      </c>
      <c r="H26" s="924">
        <v>46072</v>
      </c>
      <c r="I26" s="924">
        <v>46079</v>
      </c>
      <c r="J26" s="1157">
        <f t="shared" si="1"/>
        <v>128</v>
      </c>
      <c r="K26" s="1158" t="s">
        <v>3343</v>
      </c>
    </row>
    <row r="27" spans="4:11">
      <c r="D27" s="1157">
        <f t="shared" si="0"/>
        <v>25</v>
      </c>
      <c r="E27" s="1157" t="s">
        <v>538</v>
      </c>
      <c r="F27" s="1157" t="s">
        <v>249</v>
      </c>
      <c r="G27" s="1157" t="s">
        <v>3286</v>
      </c>
      <c r="H27" s="924">
        <v>46075</v>
      </c>
      <c r="I27" s="924">
        <v>46079</v>
      </c>
      <c r="J27" s="1157">
        <f t="shared" si="1"/>
        <v>129</v>
      </c>
      <c r="K27" s="1158" t="s">
        <v>3343</v>
      </c>
    </row>
    <row r="28" spans="4:11">
      <c r="D28" s="1157">
        <f t="shared" si="0"/>
        <v>26</v>
      </c>
      <c r="E28" s="1157" t="s">
        <v>2952</v>
      </c>
      <c r="F28" s="1157" t="s">
        <v>1988</v>
      </c>
      <c r="G28" s="1157" t="s">
        <v>1765</v>
      </c>
      <c r="H28" s="924">
        <v>46065</v>
      </c>
      <c r="I28" s="924">
        <v>46080</v>
      </c>
      <c r="J28" s="1157">
        <f t="shared" si="1"/>
        <v>130</v>
      </c>
      <c r="K28" s="1158" t="s">
        <v>3343</v>
      </c>
    </row>
    <row r="29" spans="4:11">
      <c r="D29" s="1157">
        <f t="shared" si="0"/>
        <v>27</v>
      </c>
      <c r="E29" s="1157" t="s">
        <v>3010</v>
      </c>
      <c r="F29" s="1157" t="s">
        <v>1361</v>
      </c>
      <c r="G29" s="1157" t="s">
        <v>1765</v>
      </c>
      <c r="H29" s="924">
        <v>46068</v>
      </c>
      <c r="I29" s="924">
        <v>46080</v>
      </c>
      <c r="J29" s="1157">
        <f t="shared" si="1"/>
        <v>131</v>
      </c>
      <c r="K29" s="1158" t="s">
        <v>3343</v>
      </c>
    </row>
    <row r="30" spans="4:11">
      <c r="D30" s="1157">
        <f t="shared" si="0"/>
        <v>28</v>
      </c>
      <c r="E30" s="1157" t="s">
        <v>3188</v>
      </c>
      <c r="F30" s="1157" t="s">
        <v>2197</v>
      </c>
      <c r="G30" s="1157" t="s">
        <v>2736</v>
      </c>
      <c r="H30" s="924">
        <v>46072</v>
      </c>
      <c r="I30" s="924">
        <v>46081</v>
      </c>
      <c r="J30" s="1157">
        <f t="shared" si="1"/>
        <v>132</v>
      </c>
      <c r="K30" s="1158" t="s">
        <v>3343</v>
      </c>
    </row>
    <row r="31" spans="4:11">
      <c r="D31" s="1157">
        <f t="shared" si="0"/>
        <v>29</v>
      </c>
      <c r="E31" s="1157" t="s">
        <v>2558</v>
      </c>
      <c r="F31" s="1157" t="s">
        <v>76</v>
      </c>
      <c r="G31" s="1157" t="s">
        <v>3286</v>
      </c>
      <c r="H31" s="924">
        <v>46074</v>
      </c>
      <c r="I31" s="924">
        <v>46081</v>
      </c>
      <c r="J31" s="1157">
        <f t="shared" si="1"/>
        <v>133</v>
      </c>
      <c r="K31" s="1157" t="s">
        <v>3343</v>
      </c>
    </row>
    <row r="32" spans="4:11">
      <c r="D32" s="1157">
        <f t="shared" si="0"/>
        <v>30</v>
      </c>
      <c r="E32" s="1157" t="s">
        <v>2994</v>
      </c>
      <c r="F32" s="1157" t="s">
        <v>1269</v>
      </c>
      <c r="G32" s="1157" t="s">
        <v>1765</v>
      </c>
      <c r="H32" s="924">
        <v>46074</v>
      </c>
      <c r="I32" s="924">
        <v>46081</v>
      </c>
      <c r="J32" s="1157">
        <f t="shared" si="1"/>
        <v>134</v>
      </c>
      <c r="K32" s="1158" t="s">
        <v>3343</v>
      </c>
    </row>
    <row r="33" spans="4:11">
      <c r="D33" s="1157">
        <f t="shared" si="0"/>
        <v>31</v>
      </c>
      <c r="E33" s="1158" t="s">
        <v>495</v>
      </c>
      <c r="F33" s="1158" t="s">
        <v>249</v>
      </c>
      <c r="G33" s="1158" t="s">
        <v>1765</v>
      </c>
      <c r="H33" s="1157"/>
      <c r="I33" s="1157"/>
      <c r="J33" s="1157">
        <v>135</v>
      </c>
      <c r="K33" s="1158" t="s">
        <v>3343</v>
      </c>
    </row>
    <row r="34" spans="4:11">
      <c r="D34" s="1157">
        <f t="shared" si="0"/>
        <v>32</v>
      </c>
      <c r="E34" s="1157" t="s">
        <v>421</v>
      </c>
      <c r="F34" s="1157"/>
      <c r="G34" s="1157"/>
      <c r="H34" s="1159">
        <v>46077</v>
      </c>
      <c r="I34" s="1159">
        <v>46082</v>
      </c>
      <c r="J34" s="1157">
        <v>136</v>
      </c>
      <c r="K34" s="1158" t="s">
        <v>3343</v>
      </c>
    </row>
    <row r="37" spans="4:11">
      <c r="D37" s="1149" t="s">
        <v>1782</v>
      </c>
      <c r="E37" s="1149" t="s">
        <v>3214</v>
      </c>
      <c r="F37" s="1149" t="s">
        <v>1405</v>
      </c>
      <c r="G37" s="1149" t="s">
        <v>45</v>
      </c>
      <c r="H37" s="1149" t="s">
        <v>1441</v>
      </c>
      <c r="I37" s="1149" t="s">
        <v>3333</v>
      </c>
      <c r="J37" s="1149" t="s">
        <v>1399</v>
      </c>
    </row>
    <row r="38" spans="4:11">
      <c r="D38" s="1157">
        <v>1</v>
      </c>
      <c r="E38" s="1157" t="s">
        <v>3017</v>
      </c>
      <c r="F38" s="1157" t="s">
        <v>3308</v>
      </c>
      <c r="G38" s="1157" t="s">
        <v>2736</v>
      </c>
      <c r="H38" s="924">
        <v>46072</v>
      </c>
      <c r="I38" s="924">
        <v>46097</v>
      </c>
      <c r="J38" s="1157">
        <v>140</v>
      </c>
      <c r="K38" s="1157"/>
    </row>
    <row r="39" spans="4:11">
      <c r="D39" s="1157">
        <f>D38+1</f>
        <v>2</v>
      </c>
      <c r="E39" s="1157" t="s">
        <v>3018</v>
      </c>
      <c r="F39" s="1157" t="s">
        <v>1988</v>
      </c>
      <c r="G39" s="1157" t="s">
        <v>2736</v>
      </c>
      <c r="H39" s="924">
        <v>46074</v>
      </c>
      <c r="I39" s="924">
        <v>46091</v>
      </c>
      <c r="J39" s="1157">
        <v>137</v>
      </c>
      <c r="K39" s="1157"/>
    </row>
    <row r="40" spans="4:11">
      <c r="D40" s="1157">
        <f t="shared" ref="D40:D47" si="2">D39+1</f>
        <v>3</v>
      </c>
      <c r="E40" s="1157" t="s">
        <v>188</v>
      </c>
      <c r="F40" s="1157" t="s">
        <v>76</v>
      </c>
      <c r="G40" s="1157" t="s">
        <v>3286</v>
      </c>
      <c r="H40" s="924">
        <v>46085</v>
      </c>
      <c r="I40" s="924">
        <v>46094</v>
      </c>
      <c r="J40" s="1157">
        <v>138</v>
      </c>
      <c r="K40" s="1157" t="s">
        <v>3343</v>
      </c>
    </row>
    <row r="41" spans="4:11">
      <c r="D41" s="1157">
        <f t="shared" si="2"/>
        <v>4</v>
      </c>
      <c r="E41" s="1157" t="s">
        <v>2918</v>
      </c>
      <c r="F41" s="1157" t="s">
        <v>1953</v>
      </c>
      <c r="G41" s="1157" t="s">
        <v>3286</v>
      </c>
      <c r="H41" s="924">
        <v>46084</v>
      </c>
      <c r="I41" s="924">
        <v>46104</v>
      </c>
      <c r="J41" s="1157">
        <v>143</v>
      </c>
      <c r="K41" s="1157" t="s">
        <v>3343</v>
      </c>
    </row>
    <row r="42" spans="4:11">
      <c r="D42" s="1157">
        <f t="shared" si="2"/>
        <v>5</v>
      </c>
      <c r="E42" s="1157" t="s">
        <v>3021</v>
      </c>
      <c r="F42" s="1157" t="s">
        <v>1319</v>
      </c>
      <c r="G42" s="1157" t="s">
        <v>1765</v>
      </c>
      <c r="H42" s="924">
        <v>46081</v>
      </c>
      <c r="I42" s="924">
        <v>46107</v>
      </c>
      <c r="J42" s="1157">
        <v>145</v>
      </c>
      <c r="K42" s="1157"/>
    </row>
    <row r="43" spans="4:11">
      <c r="D43" s="1157">
        <f t="shared" si="2"/>
        <v>6</v>
      </c>
      <c r="E43" s="1157" t="s">
        <v>3122</v>
      </c>
      <c r="F43" s="1157" t="s">
        <v>3313</v>
      </c>
      <c r="G43" s="1157" t="s">
        <v>2736</v>
      </c>
      <c r="H43" s="924">
        <v>46082</v>
      </c>
      <c r="I43" s="924">
        <v>46096</v>
      </c>
      <c r="J43" s="1157">
        <v>139</v>
      </c>
      <c r="K43" s="1157"/>
    </row>
    <row r="44" spans="4:11">
      <c r="D44" s="1157">
        <f t="shared" si="2"/>
        <v>7</v>
      </c>
      <c r="E44" s="1157" t="s">
        <v>3014</v>
      </c>
      <c r="F44" s="1157" t="s">
        <v>1269</v>
      </c>
      <c r="G44" s="1157" t="s">
        <v>3286</v>
      </c>
      <c r="H44" s="924">
        <v>46082</v>
      </c>
      <c r="I44" s="924">
        <v>46106</v>
      </c>
      <c r="J44" s="1157">
        <v>144</v>
      </c>
      <c r="K44" s="1157"/>
    </row>
    <row r="45" spans="4:11">
      <c r="D45" s="1157">
        <f t="shared" si="2"/>
        <v>8</v>
      </c>
      <c r="E45" s="1157" t="s">
        <v>3009</v>
      </c>
      <c r="F45" s="1157" t="s">
        <v>1361</v>
      </c>
      <c r="G45" s="1157" t="s">
        <v>1765</v>
      </c>
      <c r="H45" s="924">
        <v>46083</v>
      </c>
      <c r="I45" s="924">
        <v>46099</v>
      </c>
      <c r="J45" s="1157">
        <v>141</v>
      </c>
      <c r="K45" s="1157"/>
    </row>
    <row r="46" spans="4:11">
      <c r="D46" s="1157">
        <f t="shared" si="2"/>
        <v>9</v>
      </c>
      <c r="E46" s="1157" t="s">
        <v>200</v>
      </c>
      <c r="F46" s="1157" t="s">
        <v>76</v>
      </c>
      <c r="G46" s="1157" t="s">
        <v>3287</v>
      </c>
      <c r="H46" s="924">
        <v>46094</v>
      </c>
      <c r="I46" s="924">
        <v>46100</v>
      </c>
      <c r="J46" s="1157">
        <v>142</v>
      </c>
      <c r="K46" s="1157" t="s">
        <v>3343</v>
      </c>
    </row>
    <row r="47" spans="4:11">
      <c r="D47" s="1157">
        <f t="shared" si="2"/>
        <v>10</v>
      </c>
      <c r="E47" s="1157" t="s">
        <v>2981</v>
      </c>
      <c r="F47" s="1157" t="s">
        <v>1988</v>
      </c>
      <c r="G47" s="1157" t="s">
        <v>2736</v>
      </c>
      <c r="H47" s="1159">
        <v>46082</v>
      </c>
      <c r="I47" s="1159">
        <v>46109</v>
      </c>
      <c r="J47" s="1157">
        <v>146</v>
      </c>
      <c r="K47" s="1157"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5"/>
  <cols>
    <col min="2" max="2" width="4.5703125" bestFit="1" customWidth="1"/>
    <col min="3" max="3" width="29.85546875" bestFit="1" customWidth="1"/>
    <col min="4" max="4" width="10.42578125" bestFit="1" customWidth="1"/>
    <col min="5" max="5" width="10" bestFit="1" customWidth="1"/>
  </cols>
  <sheetData>
    <row r="2" spans="2:7" ht="60">
      <c r="B2" s="10" t="s">
        <v>1782</v>
      </c>
      <c r="C2" s="10" t="s">
        <v>2401</v>
      </c>
      <c r="D2" s="752" t="s">
        <v>2853</v>
      </c>
      <c r="E2" s="10" t="s">
        <v>631</v>
      </c>
      <c r="F2" s="10" t="s">
        <v>22</v>
      </c>
      <c r="G2" s="10" t="s">
        <v>593</v>
      </c>
    </row>
    <row r="3" spans="2:7">
      <c r="B3" s="33">
        <v>1</v>
      </c>
      <c r="C3" s="942" t="s">
        <v>2854</v>
      </c>
      <c r="D3" s="33">
        <v>95</v>
      </c>
      <c r="E3" s="33">
        <v>84</v>
      </c>
      <c r="F3" s="33">
        <v>7</v>
      </c>
      <c r="G3" s="33">
        <f>D3-E3-F3</f>
        <v>4</v>
      </c>
    </row>
    <row r="4" spans="2:7">
      <c r="B4" s="33">
        <f>B3+1</f>
        <v>2</v>
      </c>
      <c r="C4" s="942" t="s">
        <v>2855</v>
      </c>
      <c r="D4" s="33">
        <v>181</v>
      </c>
      <c r="E4" s="33">
        <v>158</v>
      </c>
      <c r="F4" s="33">
        <v>10</v>
      </c>
      <c r="G4" s="33">
        <f>D4-E4-F4</f>
        <v>13</v>
      </c>
    </row>
    <row r="5" spans="2:7">
      <c r="B5" s="33">
        <f>B4+1</f>
        <v>3</v>
      </c>
      <c r="C5" s="942" t="s">
        <v>2856</v>
      </c>
      <c r="D5" s="33">
        <v>56</v>
      </c>
      <c r="E5" s="33">
        <v>46</v>
      </c>
      <c r="F5" s="33">
        <v>7</v>
      </c>
      <c r="G5" s="33">
        <f>D5-E5-F5</f>
        <v>3</v>
      </c>
    </row>
    <row r="6" spans="2:7">
      <c r="B6" s="33">
        <f>B5+1</f>
        <v>4</v>
      </c>
      <c r="C6" s="942" t="s">
        <v>2701</v>
      </c>
      <c r="D6" s="33">
        <v>4</v>
      </c>
      <c r="E6" s="33"/>
      <c r="F6" s="33">
        <v>3</v>
      </c>
      <c r="G6" s="33">
        <f>D6-E6-F6</f>
        <v>1</v>
      </c>
    </row>
    <row r="7" spans="2:7">
      <c r="B7" s="1536" t="s">
        <v>994</v>
      </c>
      <c r="C7" s="1536"/>
      <c r="D7" s="998">
        <f>SUM(D3:D6)</f>
        <v>336</v>
      </c>
      <c r="E7" s="998">
        <f>SUM(E3:E6)</f>
        <v>288</v>
      </c>
      <c r="F7" s="998">
        <f>SUM(F3:F6)</f>
        <v>27</v>
      </c>
      <c r="G7" s="998">
        <f>SUM(G3:G6)</f>
        <v>21</v>
      </c>
    </row>
    <row r="38" spans="4:5">
      <c r="D38" s="1162">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theme="4" tint="0.39997558519241921"/>
  </sheetPr>
  <dimension ref="A1:R245"/>
  <sheetViews>
    <sheetView topLeftCell="F1" zoomScale="97" zoomScaleNormal="100" workbookViewId="0">
      <pane ySplit="6" topLeftCell="A242" activePane="bottomLeft" state="frozen"/>
      <selection activeCell="H158" sqref="H158"/>
      <selection pane="bottomLeft" activeCell="Q244" sqref="Q244"/>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9.140625" style="648" customWidth="1"/>
    <col min="7" max="7" width="10.140625" style="648" customWidth="1"/>
    <col min="8" max="8" width="11.140625" style="648" customWidth="1"/>
    <col min="9" max="9" width="10.28515625" style="648" customWidth="1"/>
    <col min="10" max="10" width="12.5703125" style="648" customWidth="1"/>
    <col min="11" max="11" width="9.140625" style="648"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12.42578125" style="1059" customWidth="1"/>
    <col min="19" max="16384" width="7.85546875" style="1059"/>
  </cols>
  <sheetData>
    <row r="1" spans="1:17" ht="12.75">
      <c r="A1" s="1669" t="s">
        <v>3310</v>
      </c>
      <c r="B1" s="1669"/>
      <c r="C1" s="1669"/>
      <c r="D1" s="1669"/>
      <c r="E1" s="1669"/>
      <c r="F1" s="1669"/>
      <c r="G1" s="1669"/>
      <c r="H1" s="1669"/>
      <c r="I1" s="647"/>
      <c r="J1" s="647"/>
      <c r="K1" s="647"/>
      <c r="M1" s="647"/>
      <c r="N1" s="647"/>
      <c r="O1" s="695" t="s">
        <v>38</v>
      </c>
      <c r="P1" s="696">
        <f>'TB-605'!E1</f>
        <v>46246</v>
      </c>
    </row>
    <row r="2" spans="1:17" ht="12.75">
      <c r="A2" s="651" t="s">
        <v>2740</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1060" customFormat="1" ht="17.45" customHeight="1">
      <c r="A5" s="1645" t="s">
        <v>1782</v>
      </c>
      <c r="B5" s="1645" t="s">
        <v>998</v>
      </c>
      <c r="C5" s="1645" t="s">
        <v>44</v>
      </c>
      <c r="D5" s="1645" t="s">
        <v>45</v>
      </c>
      <c r="E5" s="1645" t="s">
        <v>1761</v>
      </c>
      <c r="F5" s="1645" t="s">
        <v>1441</v>
      </c>
      <c r="G5" s="1647" t="s">
        <v>28</v>
      </c>
      <c r="H5" s="1648"/>
      <c r="I5" s="1648"/>
      <c r="J5" s="1648"/>
      <c r="K5" s="1649"/>
      <c r="L5" s="1650" t="s">
        <v>2396</v>
      </c>
      <c r="M5" s="1645" t="s">
        <v>3237</v>
      </c>
      <c r="N5" s="1645" t="s">
        <v>609</v>
      </c>
      <c r="O5" s="656" t="s">
        <v>1762</v>
      </c>
      <c r="P5" s="657" t="s">
        <v>1763</v>
      </c>
      <c r="Q5" s="657" t="s">
        <v>1764</v>
      </c>
    </row>
    <row r="6" spans="1:17" s="1060" customFormat="1" ht="17.45" customHeight="1">
      <c r="A6" s="1646"/>
      <c r="B6" s="1646"/>
      <c r="C6" s="1646"/>
      <c r="D6" s="1646"/>
      <c r="E6" s="1646"/>
      <c r="F6" s="1646"/>
      <c r="G6" s="656" t="s">
        <v>1416</v>
      </c>
      <c r="H6" s="656" t="s">
        <v>2394</v>
      </c>
      <c r="I6" s="656" t="s">
        <v>2368</v>
      </c>
      <c r="J6" s="656" t="s">
        <v>2395</v>
      </c>
      <c r="K6" s="656" t="s">
        <v>2386</v>
      </c>
      <c r="L6" s="1651"/>
      <c r="M6" s="1646"/>
      <c r="N6" s="1646"/>
      <c r="O6" s="656"/>
      <c r="P6" s="657"/>
      <c r="Q6" s="657"/>
    </row>
    <row r="7" spans="1:17" s="1035" customFormat="1" ht="56.1" customHeight="1">
      <c r="A7" s="747">
        <v>1</v>
      </c>
      <c r="B7" s="748" t="s">
        <v>2724</v>
      </c>
      <c r="C7" s="747" t="s">
        <v>62</v>
      </c>
      <c r="D7" s="747" t="s">
        <v>1765</v>
      </c>
      <c r="E7" s="779">
        <f>31.932+4.177</f>
        <v>36.108999999999995</v>
      </c>
      <c r="F7" s="749">
        <v>45925</v>
      </c>
      <c r="G7" s="749">
        <v>46033</v>
      </c>
      <c r="H7" s="749">
        <v>46033</v>
      </c>
      <c r="I7" s="749">
        <v>46033</v>
      </c>
      <c r="J7" s="749">
        <v>46033</v>
      </c>
      <c r="K7" s="749">
        <v>46033</v>
      </c>
      <c r="L7" s="749">
        <v>46033</v>
      </c>
      <c r="M7" s="937" t="s">
        <v>631</v>
      </c>
      <c r="N7" s="937"/>
      <c r="O7" s="747" t="s">
        <v>2725</v>
      </c>
      <c r="P7" s="747">
        <v>25</v>
      </c>
      <c r="Q7" s="854" t="s">
        <v>3250</v>
      </c>
    </row>
    <row r="8" spans="1:17" s="1035" customFormat="1" ht="37.5" customHeight="1">
      <c r="A8" s="747">
        <f>A7+1</f>
        <v>2</v>
      </c>
      <c r="B8" s="748" t="s">
        <v>2378</v>
      </c>
      <c r="C8" s="747" t="s">
        <v>76</v>
      </c>
      <c r="D8" s="747" t="s">
        <v>1765</v>
      </c>
      <c r="E8" s="779"/>
      <c r="F8" s="749">
        <v>45943</v>
      </c>
      <c r="G8" s="749">
        <v>45948</v>
      </c>
      <c r="H8" s="749">
        <v>45948</v>
      </c>
      <c r="I8" s="749">
        <v>45949</v>
      </c>
      <c r="J8" s="749">
        <v>45949</v>
      </c>
      <c r="K8" s="749">
        <v>45950</v>
      </c>
      <c r="L8" s="749">
        <v>45950</v>
      </c>
      <c r="M8" s="937" t="s">
        <v>631</v>
      </c>
      <c r="N8" s="937"/>
      <c r="O8" s="747" t="s">
        <v>2837</v>
      </c>
      <c r="P8" s="747">
        <v>10</v>
      </c>
      <c r="Q8" s="854"/>
    </row>
    <row r="9" spans="1:17" s="1035" customFormat="1" ht="45" customHeight="1">
      <c r="A9" s="747">
        <f>A8+1</f>
        <v>3</v>
      </c>
      <c r="B9" s="748" t="s">
        <v>2842</v>
      </c>
      <c r="C9" s="747" t="s">
        <v>76</v>
      </c>
      <c r="D9" s="747" t="s">
        <v>1765</v>
      </c>
      <c r="E9" s="779"/>
      <c r="F9" s="749">
        <v>45946</v>
      </c>
      <c r="G9" s="749">
        <v>45955</v>
      </c>
      <c r="H9" s="749">
        <v>45955</v>
      </c>
      <c r="I9" s="749">
        <v>45955</v>
      </c>
      <c r="J9" s="749">
        <v>45956</v>
      </c>
      <c r="K9" s="749">
        <v>45957</v>
      </c>
      <c r="L9" s="749">
        <v>45957</v>
      </c>
      <c r="M9" s="937" t="s">
        <v>631</v>
      </c>
      <c r="N9" s="937"/>
      <c r="O9" s="747" t="s">
        <v>2843</v>
      </c>
      <c r="P9" s="747">
        <v>9</v>
      </c>
      <c r="Q9" s="854"/>
    </row>
    <row r="10" spans="1:17" s="1035" customFormat="1" ht="45" customHeight="1">
      <c r="A10" s="747">
        <f t="shared" ref="A10:A25" si="0">A9+1</f>
        <v>4</v>
      </c>
      <c r="B10" s="748" t="s">
        <v>2847</v>
      </c>
      <c r="C10" s="747" t="s">
        <v>53</v>
      </c>
      <c r="D10" s="747" t="s">
        <v>1765</v>
      </c>
      <c r="E10" s="779"/>
      <c r="F10" s="749">
        <v>45949</v>
      </c>
      <c r="G10" s="749">
        <v>45955</v>
      </c>
      <c r="H10" s="749">
        <v>45957</v>
      </c>
      <c r="I10" s="749">
        <v>45957</v>
      </c>
      <c r="J10" s="749">
        <v>45958</v>
      </c>
      <c r="K10" s="749">
        <v>45958</v>
      </c>
      <c r="L10" s="749">
        <v>45958</v>
      </c>
      <c r="M10" s="937" t="s">
        <v>631</v>
      </c>
      <c r="N10" s="937"/>
      <c r="O10" s="747" t="s">
        <v>2843</v>
      </c>
      <c r="P10" s="747">
        <v>10</v>
      </c>
      <c r="Q10" s="854"/>
    </row>
    <row r="11" spans="1:17" s="1035" customFormat="1" ht="45" customHeight="1">
      <c r="A11" s="747">
        <f t="shared" si="0"/>
        <v>5</v>
      </c>
      <c r="B11" s="748" t="s">
        <v>490</v>
      </c>
      <c r="C11" s="747" t="s">
        <v>53</v>
      </c>
      <c r="D11" s="747" t="s">
        <v>1765</v>
      </c>
      <c r="E11" s="779"/>
      <c r="F11" s="749">
        <v>45947</v>
      </c>
      <c r="G11" s="749">
        <v>45949</v>
      </c>
      <c r="H11" s="749">
        <v>45950</v>
      </c>
      <c r="I11" s="749">
        <v>45950</v>
      </c>
      <c r="J11" s="749">
        <v>45951</v>
      </c>
      <c r="K11" s="749">
        <v>45953</v>
      </c>
      <c r="L11" s="749">
        <v>45953</v>
      </c>
      <c r="M11" s="937" t="s">
        <v>631</v>
      </c>
      <c r="N11" s="937"/>
      <c r="O11" s="747" t="s">
        <v>2830</v>
      </c>
      <c r="P11" s="747">
        <v>12</v>
      </c>
      <c r="Q11" s="854"/>
    </row>
    <row r="12" spans="1:17" s="1035" customFormat="1" ht="45" customHeight="1">
      <c r="A12" s="747">
        <f t="shared" si="0"/>
        <v>6</v>
      </c>
      <c r="B12" s="748" t="s">
        <v>402</v>
      </c>
      <c r="C12" s="747" t="s">
        <v>53</v>
      </c>
      <c r="D12" s="747" t="s">
        <v>1765</v>
      </c>
      <c r="E12" s="779"/>
      <c r="F12" s="749">
        <v>45953</v>
      </c>
      <c r="G12" s="749">
        <v>45954</v>
      </c>
      <c r="H12" s="749">
        <v>45955</v>
      </c>
      <c r="I12" s="749">
        <v>45955</v>
      </c>
      <c r="J12" s="749">
        <v>45956</v>
      </c>
      <c r="K12" s="749">
        <v>45958</v>
      </c>
      <c r="L12" s="749">
        <v>45958</v>
      </c>
      <c r="M12" s="937" t="s">
        <v>631</v>
      </c>
      <c r="N12" s="937"/>
      <c r="O12" s="747" t="s">
        <v>2830</v>
      </c>
      <c r="P12" s="747">
        <v>12</v>
      </c>
      <c r="Q12" s="854"/>
    </row>
    <row r="13" spans="1:17" s="1035" customFormat="1" ht="45" customHeight="1">
      <c r="A13" s="747">
        <f t="shared" si="0"/>
        <v>7</v>
      </c>
      <c r="B13" s="748" t="s">
        <v>2379</v>
      </c>
      <c r="C13" s="747" t="s">
        <v>76</v>
      </c>
      <c r="D13" s="747" t="s">
        <v>1765</v>
      </c>
      <c r="E13" s="779"/>
      <c r="F13" s="749">
        <v>45953</v>
      </c>
      <c r="G13" s="749">
        <v>45955</v>
      </c>
      <c r="H13" s="749">
        <v>45956</v>
      </c>
      <c r="I13" s="749">
        <v>45957</v>
      </c>
      <c r="J13" s="749">
        <v>45959</v>
      </c>
      <c r="K13" s="749">
        <v>45959</v>
      </c>
      <c r="L13" s="749">
        <v>45959</v>
      </c>
      <c r="M13" s="937" t="s">
        <v>631</v>
      </c>
      <c r="N13" s="999">
        <v>45965</v>
      </c>
      <c r="O13" s="747" t="s">
        <v>2837</v>
      </c>
      <c r="P13" s="747">
        <v>10</v>
      </c>
      <c r="Q13" s="854"/>
    </row>
    <row r="14" spans="1:17" s="1035" customFormat="1" ht="45" customHeight="1">
      <c r="A14" s="747">
        <f t="shared" si="0"/>
        <v>8</v>
      </c>
      <c r="B14" s="748" t="s">
        <v>427</v>
      </c>
      <c r="C14" s="747" t="s">
        <v>1269</v>
      </c>
      <c r="D14" s="747" t="s">
        <v>1765</v>
      </c>
      <c r="E14" s="779"/>
      <c r="F14" s="749">
        <v>45955</v>
      </c>
      <c r="G14" s="749">
        <v>45957</v>
      </c>
      <c r="H14" s="749">
        <v>45961</v>
      </c>
      <c r="I14" s="749">
        <v>45961</v>
      </c>
      <c r="J14" s="749">
        <v>45962</v>
      </c>
      <c r="K14" s="749">
        <v>45967</v>
      </c>
      <c r="L14" s="749">
        <v>45967</v>
      </c>
      <c r="M14" s="937" t="s">
        <v>631</v>
      </c>
      <c r="N14" s="999">
        <v>45973</v>
      </c>
      <c r="O14" s="1041" t="s">
        <v>2830</v>
      </c>
      <c r="P14" s="1643">
        <v>16</v>
      </c>
      <c r="Q14" s="854"/>
    </row>
    <row r="15" spans="1:17" s="1035" customFormat="1" ht="45" customHeight="1">
      <c r="A15" s="747">
        <f t="shared" si="0"/>
        <v>9</v>
      </c>
      <c r="B15" s="748" t="s">
        <v>473</v>
      </c>
      <c r="C15" s="747" t="s">
        <v>90</v>
      </c>
      <c r="D15" s="747" t="s">
        <v>1765</v>
      </c>
      <c r="E15" s="779"/>
      <c r="F15" s="749">
        <v>45962</v>
      </c>
      <c r="G15" s="749">
        <v>45963</v>
      </c>
      <c r="H15" s="749">
        <v>45964</v>
      </c>
      <c r="I15" s="749">
        <v>45965</v>
      </c>
      <c r="J15" s="749">
        <v>45966</v>
      </c>
      <c r="K15" s="749">
        <v>45970</v>
      </c>
      <c r="L15" s="749">
        <v>45970</v>
      </c>
      <c r="M15" s="937" t="s">
        <v>631</v>
      </c>
      <c r="N15" s="999">
        <v>45973</v>
      </c>
      <c r="O15" s="1041" t="s">
        <v>2830</v>
      </c>
      <c r="P15" s="1644"/>
      <c r="Q15" s="854"/>
    </row>
    <row r="16" spans="1:17" s="1035" customFormat="1" ht="45" customHeight="1">
      <c r="A16" s="747">
        <f t="shared" si="0"/>
        <v>10</v>
      </c>
      <c r="B16" s="748" t="s">
        <v>2851</v>
      </c>
      <c r="C16" s="747" t="s">
        <v>62</v>
      </c>
      <c r="D16" s="747" t="s">
        <v>1765</v>
      </c>
      <c r="E16" s="779"/>
      <c r="F16" s="749">
        <v>45956</v>
      </c>
      <c r="G16" s="749">
        <v>45960</v>
      </c>
      <c r="H16" s="749">
        <v>45961</v>
      </c>
      <c r="I16" s="749">
        <v>45961</v>
      </c>
      <c r="J16" s="749">
        <v>45961</v>
      </c>
      <c r="K16" s="749">
        <v>45961</v>
      </c>
      <c r="L16" s="749">
        <v>45961</v>
      </c>
      <c r="M16" s="937" t="s">
        <v>631</v>
      </c>
      <c r="N16" s="999">
        <v>45968</v>
      </c>
      <c r="O16" s="747" t="s">
        <v>2725</v>
      </c>
      <c r="P16" s="747">
        <f>8+15</f>
        <v>23</v>
      </c>
      <c r="Q16" s="854"/>
    </row>
    <row r="17" spans="1:17" s="1035" customFormat="1" ht="45" customHeight="1">
      <c r="A17" s="747">
        <f t="shared" si="0"/>
        <v>11</v>
      </c>
      <c r="B17" s="748" t="s">
        <v>2852</v>
      </c>
      <c r="C17" s="747" t="s">
        <v>76</v>
      </c>
      <c r="D17" s="747" t="s">
        <v>1765</v>
      </c>
      <c r="E17" s="779"/>
      <c r="F17" s="749">
        <v>45957</v>
      </c>
      <c r="G17" s="749">
        <v>45958</v>
      </c>
      <c r="H17" s="749">
        <v>45960</v>
      </c>
      <c r="I17" s="749">
        <v>45960</v>
      </c>
      <c r="J17" s="749">
        <v>45960</v>
      </c>
      <c r="K17" s="749">
        <v>45961</v>
      </c>
      <c r="L17" s="749">
        <v>45961</v>
      </c>
      <c r="M17" s="937" t="s">
        <v>631</v>
      </c>
      <c r="N17" s="999">
        <v>45970</v>
      </c>
      <c r="O17" s="747" t="s">
        <v>2843</v>
      </c>
      <c r="P17" s="747">
        <v>19</v>
      </c>
      <c r="Q17" s="854"/>
    </row>
    <row r="18" spans="1:17" s="1035" customFormat="1" ht="45" customHeight="1">
      <c r="A18" s="747">
        <f t="shared" si="0"/>
        <v>12</v>
      </c>
      <c r="B18" s="748" t="s">
        <v>2453</v>
      </c>
      <c r="C18" s="747" t="s">
        <v>62</v>
      </c>
      <c r="D18" s="747" t="s">
        <v>1765</v>
      </c>
      <c r="E18" s="779"/>
      <c r="F18" s="749">
        <v>45956</v>
      </c>
      <c r="G18" s="749">
        <v>45958</v>
      </c>
      <c r="H18" s="749">
        <v>45962</v>
      </c>
      <c r="I18" s="749">
        <v>45962</v>
      </c>
      <c r="J18" s="749">
        <v>45963</v>
      </c>
      <c r="K18" s="749">
        <v>45965</v>
      </c>
      <c r="L18" s="749">
        <v>45965</v>
      </c>
      <c r="M18" s="937" t="s">
        <v>631</v>
      </c>
      <c r="N18" s="999">
        <v>45967</v>
      </c>
      <c r="O18" s="1041" t="s">
        <v>2837</v>
      </c>
      <c r="P18" s="1643">
        <v>20</v>
      </c>
      <c r="Q18" s="854"/>
    </row>
    <row r="19" spans="1:17" s="1035" customFormat="1" ht="45" customHeight="1">
      <c r="A19" s="747">
        <f t="shared" si="0"/>
        <v>13</v>
      </c>
      <c r="B19" s="748" t="s">
        <v>2377</v>
      </c>
      <c r="C19" s="747" t="s">
        <v>76</v>
      </c>
      <c r="D19" s="747" t="s">
        <v>1765</v>
      </c>
      <c r="E19" s="779"/>
      <c r="F19" s="749">
        <v>45963</v>
      </c>
      <c r="G19" s="749">
        <v>45964</v>
      </c>
      <c r="H19" s="749">
        <v>45965</v>
      </c>
      <c r="I19" s="749">
        <v>45965</v>
      </c>
      <c r="J19" s="749">
        <v>45965</v>
      </c>
      <c r="K19" s="749">
        <v>45967</v>
      </c>
      <c r="L19" s="749">
        <v>45967</v>
      </c>
      <c r="M19" s="937" t="s">
        <v>631</v>
      </c>
      <c r="N19" s="999">
        <v>45969</v>
      </c>
      <c r="O19" s="1041" t="s">
        <v>2837</v>
      </c>
      <c r="P19" s="1644"/>
      <c r="Q19" s="854"/>
    </row>
    <row r="20" spans="1:17" s="1035" customFormat="1" ht="45" customHeight="1">
      <c r="A20" s="747">
        <f t="shared" si="0"/>
        <v>14</v>
      </c>
      <c r="B20" s="748" t="s">
        <v>2858</v>
      </c>
      <c r="C20" s="747" t="s">
        <v>76</v>
      </c>
      <c r="D20" s="747" t="s">
        <v>1765</v>
      </c>
      <c r="E20" s="779"/>
      <c r="F20" s="749">
        <v>45959</v>
      </c>
      <c r="G20" s="749">
        <v>45965</v>
      </c>
      <c r="H20" s="749">
        <v>45966</v>
      </c>
      <c r="I20" s="749">
        <v>45967</v>
      </c>
      <c r="J20" s="749">
        <v>45967</v>
      </c>
      <c r="K20" s="749">
        <v>45969</v>
      </c>
      <c r="L20" s="749">
        <v>45969</v>
      </c>
      <c r="M20" s="937" t="s">
        <v>631</v>
      </c>
      <c r="N20" s="999">
        <v>45970</v>
      </c>
      <c r="O20" s="1041" t="s">
        <v>2868</v>
      </c>
      <c r="P20" s="1643">
        <v>13</v>
      </c>
      <c r="Q20" s="854"/>
    </row>
    <row r="21" spans="1:17" s="1035" customFormat="1" ht="45" customHeight="1">
      <c r="A21" s="747">
        <f t="shared" si="0"/>
        <v>15</v>
      </c>
      <c r="B21" s="748" t="s">
        <v>2869</v>
      </c>
      <c r="C21" s="747" t="s">
        <v>76</v>
      </c>
      <c r="D21" s="747" t="s">
        <v>1765</v>
      </c>
      <c r="E21" s="779"/>
      <c r="F21" s="749">
        <v>45961</v>
      </c>
      <c r="G21" s="749">
        <v>45969</v>
      </c>
      <c r="H21" s="749">
        <v>45970</v>
      </c>
      <c r="I21" s="749">
        <v>45970</v>
      </c>
      <c r="J21" s="749">
        <v>45970</v>
      </c>
      <c r="K21" s="749">
        <v>45971</v>
      </c>
      <c r="L21" s="749">
        <v>45971</v>
      </c>
      <c r="M21" s="937" t="s">
        <v>631</v>
      </c>
      <c r="N21" s="999">
        <v>45972</v>
      </c>
      <c r="O21" s="1041" t="s">
        <v>2868</v>
      </c>
      <c r="P21" s="1644"/>
      <c r="Q21" s="854"/>
    </row>
    <row r="22" spans="1:17" s="1035" customFormat="1" ht="45" customHeight="1">
      <c r="A22" s="747">
        <f t="shared" si="0"/>
        <v>16</v>
      </c>
      <c r="B22" s="748" t="s">
        <v>2859</v>
      </c>
      <c r="C22" s="747" t="s">
        <v>76</v>
      </c>
      <c r="D22" s="747" t="s">
        <v>1765</v>
      </c>
      <c r="E22" s="779"/>
      <c r="F22" s="749">
        <v>45959</v>
      </c>
      <c r="G22" s="749">
        <v>45960</v>
      </c>
      <c r="H22" s="749">
        <v>45963</v>
      </c>
      <c r="I22" s="749">
        <v>45963</v>
      </c>
      <c r="J22" s="749">
        <v>45963</v>
      </c>
      <c r="K22" s="749">
        <v>45965</v>
      </c>
      <c r="L22" s="749">
        <v>45965</v>
      </c>
      <c r="M22" s="937" t="s">
        <v>631</v>
      </c>
      <c r="N22" s="999"/>
      <c r="O22" s="1041" t="s">
        <v>2843</v>
      </c>
      <c r="P22" s="1643">
        <v>19</v>
      </c>
      <c r="Q22" s="854"/>
    </row>
    <row r="23" spans="1:17" s="1035" customFormat="1" ht="45" customHeight="1">
      <c r="A23" s="747">
        <f t="shared" si="0"/>
        <v>17</v>
      </c>
      <c r="B23" s="748" t="s">
        <v>2871</v>
      </c>
      <c r="C23" s="747" t="s">
        <v>62</v>
      </c>
      <c r="D23" s="747" t="s">
        <v>1765</v>
      </c>
      <c r="E23" s="779"/>
      <c r="F23" s="749">
        <v>45964</v>
      </c>
      <c r="G23" s="749">
        <v>45968</v>
      </c>
      <c r="H23" s="749">
        <v>45970</v>
      </c>
      <c r="I23" s="749">
        <v>45970</v>
      </c>
      <c r="J23" s="749">
        <v>45971</v>
      </c>
      <c r="K23" s="749">
        <v>45971</v>
      </c>
      <c r="L23" s="749">
        <v>45971</v>
      </c>
      <c r="M23" s="937" t="s">
        <v>631</v>
      </c>
      <c r="N23" s="999">
        <v>45975</v>
      </c>
      <c r="O23" s="1041" t="s">
        <v>2843</v>
      </c>
      <c r="P23" s="1644"/>
      <c r="Q23" s="854"/>
    </row>
    <row r="24" spans="1:17" s="1035" customFormat="1" ht="45" customHeight="1">
      <c r="A24" s="747">
        <f t="shared" si="0"/>
        <v>18</v>
      </c>
      <c r="B24" s="748" t="s">
        <v>2860</v>
      </c>
      <c r="C24" s="747" t="s">
        <v>76</v>
      </c>
      <c r="D24" s="747" t="s">
        <v>1765</v>
      </c>
      <c r="E24" s="779"/>
      <c r="F24" s="749">
        <v>45960</v>
      </c>
      <c r="G24" s="749">
        <v>45963</v>
      </c>
      <c r="H24" s="749">
        <v>45969</v>
      </c>
      <c r="I24" s="749">
        <v>45970</v>
      </c>
      <c r="J24" s="749">
        <v>45971</v>
      </c>
      <c r="K24" s="749">
        <v>45973</v>
      </c>
      <c r="L24" s="749">
        <v>45973</v>
      </c>
      <c r="M24" s="937" t="s">
        <v>631</v>
      </c>
      <c r="N24" s="999">
        <v>45977</v>
      </c>
      <c r="O24" s="1041" t="s">
        <v>2861</v>
      </c>
      <c r="P24" s="1643">
        <v>25</v>
      </c>
      <c r="Q24" s="854"/>
    </row>
    <row r="25" spans="1:17" s="1035" customFormat="1" ht="45" customHeight="1">
      <c r="A25" s="747">
        <f t="shared" si="0"/>
        <v>19</v>
      </c>
      <c r="B25" s="748" t="s">
        <v>2870</v>
      </c>
      <c r="C25" s="747" t="s">
        <v>76</v>
      </c>
      <c r="D25" s="747" t="s">
        <v>1765</v>
      </c>
      <c r="E25" s="779"/>
      <c r="F25" s="749">
        <v>45963</v>
      </c>
      <c r="G25" s="749">
        <v>45967</v>
      </c>
      <c r="H25" s="749">
        <v>45971</v>
      </c>
      <c r="I25" s="749">
        <v>45972</v>
      </c>
      <c r="J25" s="749">
        <v>45972</v>
      </c>
      <c r="K25" s="749">
        <v>45974</v>
      </c>
      <c r="L25" s="749">
        <v>45974</v>
      </c>
      <c r="M25" s="937" t="s">
        <v>631</v>
      </c>
      <c r="N25" s="999">
        <v>45977</v>
      </c>
      <c r="O25" s="1041" t="s">
        <v>2861</v>
      </c>
      <c r="P25" s="1644"/>
      <c r="Q25" s="854"/>
    </row>
    <row r="26" spans="1:17" s="1035" customFormat="1" ht="45" customHeight="1">
      <c r="A26" s="747">
        <f t="shared" ref="A26:A64" si="1">A25+1</f>
        <v>20</v>
      </c>
      <c r="B26" s="748" t="s">
        <v>2867</v>
      </c>
      <c r="C26" s="747" t="s">
        <v>1319</v>
      </c>
      <c r="D26" s="747" t="s">
        <v>1765</v>
      </c>
      <c r="E26" s="779"/>
      <c r="F26" s="749">
        <v>45962</v>
      </c>
      <c r="G26" s="749">
        <v>45978</v>
      </c>
      <c r="H26" s="749">
        <v>45979</v>
      </c>
      <c r="I26" s="749">
        <v>45979</v>
      </c>
      <c r="J26" s="749">
        <v>45981</v>
      </c>
      <c r="K26" s="749">
        <v>45983</v>
      </c>
      <c r="L26" s="749">
        <v>45983</v>
      </c>
      <c r="M26" s="937" t="s">
        <v>631</v>
      </c>
      <c r="N26" s="999">
        <v>45980</v>
      </c>
      <c r="O26" s="747" t="s">
        <v>2725</v>
      </c>
      <c r="P26" s="747">
        <v>25</v>
      </c>
      <c r="Q26" s="854"/>
    </row>
    <row r="27" spans="1:17" s="1035" customFormat="1" ht="45" customHeight="1">
      <c r="A27" s="747">
        <f t="shared" si="1"/>
        <v>21</v>
      </c>
      <c r="B27" s="748" t="s">
        <v>2998</v>
      </c>
      <c r="C27" s="747" t="s">
        <v>1277</v>
      </c>
      <c r="D27" s="747" t="s">
        <v>1765</v>
      </c>
      <c r="E27" s="779"/>
      <c r="F27" s="749">
        <v>45968</v>
      </c>
      <c r="G27" s="749">
        <v>45973</v>
      </c>
      <c r="H27" s="749">
        <v>45974</v>
      </c>
      <c r="I27" s="749">
        <v>45974</v>
      </c>
      <c r="J27" s="749">
        <v>45974</v>
      </c>
      <c r="K27" s="749">
        <v>45977</v>
      </c>
      <c r="L27" s="749">
        <v>45977</v>
      </c>
      <c r="M27" s="937" t="s">
        <v>631</v>
      </c>
      <c r="N27" s="999">
        <v>45980</v>
      </c>
      <c r="O27" s="747" t="s">
        <v>2837</v>
      </c>
      <c r="P27" s="747">
        <v>20</v>
      </c>
      <c r="Q27" s="854"/>
    </row>
    <row r="28" spans="1:17" s="1035" customFormat="1" ht="45" customHeight="1">
      <c r="A28" s="747">
        <f t="shared" si="1"/>
        <v>22</v>
      </c>
      <c r="B28" s="748" t="s">
        <v>2500</v>
      </c>
      <c r="C28" s="747" t="s">
        <v>62</v>
      </c>
      <c r="D28" s="747" t="s">
        <v>1765</v>
      </c>
      <c r="E28" s="779"/>
      <c r="F28" s="749">
        <v>45967</v>
      </c>
      <c r="G28" s="749">
        <v>46003</v>
      </c>
      <c r="H28" s="749">
        <v>46003</v>
      </c>
      <c r="I28" s="749">
        <v>45975</v>
      </c>
      <c r="J28" s="749">
        <v>45975</v>
      </c>
      <c r="K28" s="749">
        <v>45976</v>
      </c>
      <c r="L28" s="749">
        <v>45976</v>
      </c>
      <c r="M28" s="937" t="s">
        <v>631</v>
      </c>
      <c r="N28" s="999">
        <v>45982</v>
      </c>
      <c r="O28" s="747" t="s">
        <v>3073</v>
      </c>
      <c r="P28" s="747">
        <v>16</v>
      </c>
      <c r="Q28" s="854"/>
    </row>
    <row r="29" spans="1:17" s="1035" customFormat="1" ht="45" customHeight="1">
      <c r="A29" s="747">
        <f t="shared" si="1"/>
        <v>23</v>
      </c>
      <c r="B29" s="748" t="s">
        <v>3091</v>
      </c>
      <c r="C29" s="747" t="s">
        <v>76</v>
      </c>
      <c r="D29" s="747" t="s">
        <v>1765</v>
      </c>
      <c r="E29" s="779"/>
      <c r="F29" s="749">
        <v>45970</v>
      </c>
      <c r="G29" s="749">
        <v>45974</v>
      </c>
      <c r="H29" s="749">
        <v>45975</v>
      </c>
      <c r="I29" s="749">
        <v>45975</v>
      </c>
      <c r="J29" s="749">
        <v>45975</v>
      </c>
      <c r="K29" s="749">
        <v>45976</v>
      </c>
      <c r="L29" s="749">
        <v>45976</v>
      </c>
      <c r="M29" s="937" t="s">
        <v>631</v>
      </c>
      <c r="N29" s="999">
        <v>45977</v>
      </c>
      <c r="O29" s="747" t="s">
        <v>2868</v>
      </c>
      <c r="P29" s="747">
        <v>20</v>
      </c>
      <c r="Q29" s="854"/>
    </row>
    <row r="30" spans="1:17" s="1035" customFormat="1" ht="45" customHeight="1">
      <c r="A30" s="747">
        <f t="shared" si="1"/>
        <v>24</v>
      </c>
      <c r="B30" s="748" t="s">
        <v>2955</v>
      </c>
      <c r="C30" s="747" t="s">
        <v>1277</v>
      </c>
      <c r="D30" s="747" t="s">
        <v>1765</v>
      </c>
      <c r="E30" s="779"/>
      <c r="F30" s="749">
        <v>45971</v>
      </c>
      <c r="G30" s="749">
        <v>45978</v>
      </c>
      <c r="H30" s="749">
        <v>45979</v>
      </c>
      <c r="I30" s="749">
        <v>45979</v>
      </c>
      <c r="J30" s="749">
        <v>45979</v>
      </c>
      <c r="K30" s="749">
        <v>45980</v>
      </c>
      <c r="L30" s="749">
        <v>45980</v>
      </c>
      <c r="M30" s="937" t="s">
        <v>631</v>
      </c>
      <c r="N30" s="999">
        <v>45992</v>
      </c>
      <c r="O30" s="747" t="s">
        <v>2843</v>
      </c>
      <c r="P30" s="747">
        <v>19</v>
      </c>
      <c r="Q30" s="854"/>
    </row>
    <row r="31" spans="1:17" s="1035" customFormat="1" ht="45" customHeight="1">
      <c r="A31" s="747">
        <f t="shared" si="1"/>
        <v>25</v>
      </c>
      <c r="B31" s="748" t="s">
        <v>2202</v>
      </c>
      <c r="C31" s="747" t="s">
        <v>62</v>
      </c>
      <c r="D31" s="747" t="s">
        <v>1765</v>
      </c>
      <c r="E31" s="779"/>
      <c r="F31" s="749">
        <v>45972</v>
      </c>
      <c r="G31" s="749">
        <v>45973</v>
      </c>
      <c r="H31" s="749">
        <v>45974</v>
      </c>
      <c r="I31" s="749">
        <v>45974</v>
      </c>
      <c r="J31" s="749">
        <v>45974</v>
      </c>
      <c r="K31" s="749">
        <v>45975</v>
      </c>
      <c r="L31" s="749">
        <v>45975</v>
      </c>
      <c r="M31" s="937" t="s">
        <v>631</v>
      </c>
      <c r="N31" s="999">
        <v>45976</v>
      </c>
      <c r="O31" s="747" t="s">
        <v>2830</v>
      </c>
      <c r="P31" s="747">
        <v>16</v>
      </c>
      <c r="Q31" s="854"/>
    </row>
    <row r="32" spans="1:17" s="1035" customFormat="1" ht="45" customHeight="1">
      <c r="A32" s="747">
        <f t="shared" si="1"/>
        <v>26</v>
      </c>
      <c r="B32" s="748" t="s">
        <v>3093</v>
      </c>
      <c r="C32" s="747" t="s">
        <v>62</v>
      </c>
      <c r="D32" s="747" t="s">
        <v>1765</v>
      </c>
      <c r="E32" s="779"/>
      <c r="F32" s="749">
        <v>45972</v>
      </c>
      <c r="G32" s="749">
        <v>45973</v>
      </c>
      <c r="H32" s="749">
        <v>45976</v>
      </c>
      <c r="I32" s="749">
        <v>45979</v>
      </c>
      <c r="J32" s="749">
        <v>45979</v>
      </c>
      <c r="K32" s="749">
        <v>45981</v>
      </c>
      <c r="L32" s="749">
        <v>45981</v>
      </c>
      <c r="M32" s="937" t="s">
        <v>631</v>
      </c>
      <c r="N32" s="999">
        <v>45982</v>
      </c>
      <c r="O32" s="1041" t="s">
        <v>2861</v>
      </c>
      <c r="P32" s="1643">
        <v>25</v>
      </c>
      <c r="Q32" s="854"/>
    </row>
    <row r="33" spans="1:17" s="1035" customFormat="1" ht="45" customHeight="1">
      <c r="A33" s="747">
        <f t="shared" si="1"/>
        <v>27</v>
      </c>
      <c r="B33" s="748" t="s">
        <v>2963</v>
      </c>
      <c r="C33" s="747" t="s">
        <v>90</v>
      </c>
      <c r="D33" s="747" t="s">
        <v>1765</v>
      </c>
      <c r="E33" s="779"/>
      <c r="F33" s="749">
        <v>45973</v>
      </c>
      <c r="G33" s="749">
        <v>45980</v>
      </c>
      <c r="H33" s="749">
        <v>45982</v>
      </c>
      <c r="I33" s="749">
        <v>45982</v>
      </c>
      <c r="J33" s="749">
        <v>45984</v>
      </c>
      <c r="K33" s="749">
        <v>45985</v>
      </c>
      <c r="L33" s="749">
        <v>45985</v>
      </c>
      <c r="M33" s="937" t="s">
        <v>631</v>
      </c>
      <c r="N33" s="999">
        <v>45992</v>
      </c>
      <c r="O33" s="1041" t="s">
        <v>2861</v>
      </c>
      <c r="P33" s="1644"/>
      <c r="Q33" s="854"/>
    </row>
    <row r="34" spans="1:17" s="1035" customFormat="1" ht="45" customHeight="1">
      <c r="A34" s="747">
        <f t="shared" si="1"/>
        <v>28</v>
      </c>
      <c r="B34" s="748" t="s">
        <v>3094</v>
      </c>
      <c r="C34" s="747" t="s">
        <v>76</v>
      </c>
      <c r="D34" s="747" t="s">
        <v>1765</v>
      </c>
      <c r="E34" s="779"/>
      <c r="F34" s="749">
        <v>45974</v>
      </c>
      <c r="G34" s="749">
        <v>45979</v>
      </c>
      <c r="H34" s="749">
        <v>45980</v>
      </c>
      <c r="I34" s="749">
        <v>45980</v>
      </c>
      <c r="J34" s="749">
        <v>45981</v>
      </c>
      <c r="K34" s="749">
        <v>45981</v>
      </c>
      <c r="L34" s="749">
        <v>45981</v>
      </c>
      <c r="M34" s="937" t="s">
        <v>631</v>
      </c>
      <c r="N34" s="999">
        <v>45982</v>
      </c>
      <c r="O34" s="747" t="s">
        <v>2875</v>
      </c>
      <c r="P34" s="747">
        <v>11</v>
      </c>
      <c r="Q34" s="854"/>
    </row>
    <row r="35" spans="1:17" s="1035" customFormat="1" ht="45" customHeight="1">
      <c r="A35" s="747">
        <f t="shared" si="1"/>
        <v>29</v>
      </c>
      <c r="B35" s="748" t="s">
        <v>2201</v>
      </c>
      <c r="C35" s="747" t="s">
        <v>76</v>
      </c>
      <c r="D35" s="747" t="s">
        <v>1765</v>
      </c>
      <c r="E35" s="779"/>
      <c r="F35" s="749">
        <v>45975</v>
      </c>
      <c r="G35" s="749">
        <v>45976</v>
      </c>
      <c r="H35" s="749">
        <v>45976</v>
      </c>
      <c r="I35" s="749">
        <v>45977</v>
      </c>
      <c r="J35" s="749">
        <v>45977</v>
      </c>
      <c r="K35" s="749">
        <v>45979</v>
      </c>
      <c r="L35" s="749">
        <v>45979</v>
      </c>
      <c r="M35" s="937" t="s">
        <v>631</v>
      </c>
      <c r="N35" s="999">
        <v>45980</v>
      </c>
      <c r="O35" s="747" t="s">
        <v>2830</v>
      </c>
      <c r="P35" s="747">
        <v>16</v>
      </c>
      <c r="Q35" s="854"/>
    </row>
    <row r="36" spans="1:17" s="1035" customFormat="1" ht="45" customHeight="1">
      <c r="A36" s="747">
        <f t="shared" si="1"/>
        <v>30</v>
      </c>
      <c r="B36" s="748" t="s">
        <v>2502</v>
      </c>
      <c r="C36" s="747" t="s">
        <v>62</v>
      </c>
      <c r="D36" s="747" t="s">
        <v>1765</v>
      </c>
      <c r="E36" s="779"/>
      <c r="F36" s="749">
        <v>45976</v>
      </c>
      <c r="G36" s="749">
        <v>45977</v>
      </c>
      <c r="H36" s="749">
        <v>45979</v>
      </c>
      <c r="I36" s="749">
        <v>45979</v>
      </c>
      <c r="J36" s="749">
        <v>45980</v>
      </c>
      <c r="K36" s="749">
        <v>45980</v>
      </c>
      <c r="L36" s="749">
        <v>45980</v>
      </c>
      <c r="M36" s="937" t="s">
        <v>631</v>
      </c>
      <c r="N36" s="999">
        <v>45982</v>
      </c>
      <c r="O36" s="747" t="s">
        <v>3073</v>
      </c>
      <c r="P36" s="747">
        <v>16</v>
      </c>
      <c r="Q36" s="854"/>
    </row>
    <row r="37" spans="1:17" s="1035" customFormat="1" ht="45" customHeight="1">
      <c r="A37" s="747">
        <f t="shared" si="1"/>
        <v>31</v>
      </c>
      <c r="B37" s="748" t="s">
        <v>2996</v>
      </c>
      <c r="C37" s="1026" t="s">
        <v>915</v>
      </c>
      <c r="D37" s="747" t="s">
        <v>897</v>
      </c>
      <c r="E37" s="779"/>
      <c r="F37" s="749">
        <v>45977</v>
      </c>
      <c r="G37" s="749">
        <v>45988</v>
      </c>
      <c r="H37" s="749">
        <v>45989</v>
      </c>
      <c r="I37" s="749">
        <v>45989</v>
      </c>
      <c r="J37" s="749">
        <v>45989</v>
      </c>
      <c r="K37" s="749">
        <v>45991</v>
      </c>
      <c r="L37" s="749">
        <v>45991</v>
      </c>
      <c r="M37" s="937" t="s">
        <v>631</v>
      </c>
      <c r="N37" s="999">
        <v>45992</v>
      </c>
      <c r="O37" s="747" t="s">
        <v>2837</v>
      </c>
      <c r="P37" s="747">
        <v>20</v>
      </c>
      <c r="Q37" s="854"/>
    </row>
    <row r="38" spans="1:17" s="1035" customFormat="1" ht="45" customHeight="1">
      <c r="A38" s="747">
        <f t="shared" si="1"/>
        <v>32</v>
      </c>
      <c r="B38" s="748" t="s">
        <v>2960</v>
      </c>
      <c r="C38" s="747" t="s">
        <v>1277</v>
      </c>
      <c r="D38" s="747" t="s">
        <v>1765</v>
      </c>
      <c r="E38" s="779"/>
      <c r="F38" s="749">
        <v>45978</v>
      </c>
      <c r="G38" s="749">
        <v>45988</v>
      </c>
      <c r="H38" s="749">
        <v>45988</v>
      </c>
      <c r="I38" s="749">
        <v>45988</v>
      </c>
      <c r="J38" s="749">
        <v>45989</v>
      </c>
      <c r="K38" s="749">
        <v>45990</v>
      </c>
      <c r="L38" s="749">
        <v>45990</v>
      </c>
      <c r="M38" s="937" t="s">
        <v>631</v>
      </c>
      <c r="N38" s="999">
        <v>45992</v>
      </c>
      <c r="O38" s="747" t="s">
        <v>3107</v>
      </c>
      <c r="P38" s="747">
        <v>12</v>
      </c>
      <c r="Q38" s="854"/>
    </row>
    <row r="39" spans="1:17" s="1035" customFormat="1" ht="63.75">
      <c r="A39" s="747">
        <f t="shared" si="1"/>
        <v>33</v>
      </c>
      <c r="B39" s="748" t="s">
        <v>2927</v>
      </c>
      <c r="C39" s="747" t="s">
        <v>90</v>
      </c>
      <c r="D39" s="747" t="s">
        <v>1765</v>
      </c>
      <c r="E39" s="779"/>
      <c r="F39" s="749">
        <v>45979</v>
      </c>
      <c r="G39" s="749">
        <v>46001</v>
      </c>
      <c r="H39" s="749">
        <v>46002</v>
      </c>
      <c r="I39" s="749">
        <v>46002</v>
      </c>
      <c r="J39" s="749">
        <v>46002</v>
      </c>
      <c r="K39" s="749">
        <v>46004</v>
      </c>
      <c r="L39" s="749">
        <v>46004</v>
      </c>
      <c r="M39" s="937" t="s">
        <v>631</v>
      </c>
      <c r="N39" s="999">
        <v>46005</v>
      </c>
      <c r="O39" s="747" t="s">
        <v>2830</v>
      </c>
      <c r="P39" s="747">
        <v>16</v>
      </c>
      <c r="Q39" s="854" t="s">
        <v>3206</v>
      </c>
    </row>
    <row r="40" spans="1:17" s="1035" customFormat="1" ht="45" customHeight="1">
      <c r="A40" s="747">
        <f t="shared" si="1"/>
        <v>34</v>
      </c>
      <c r="B40" s="748" t="s">
        <v>2501</v>
      </c>
      <c r="C40" s="747" t="s">
        <v>62</v>
      </c>
      <c r="D40" s="747" t="s">
        <v>1765</v>
      </c>
      <c r="E40" s="779"/>
      <c r="F40" s="749">
        <v>45980</v>
      </c>
      <c r="G40" s="749">
        <v>45982</v>
      </c>
      <c r="H40" s="749">
        <v>45983</v>
      </c>
      <c r="I40" s="749">
        <v>45984</v>
      </c>
      <c r="J40" s="749">
        <v>45984</v>
      </c>
      <c r="K40" s="749">
        <v>45985</v>
      </c>
      <c r="L40" s="749">
        <v>45985</v>
      </c>
      <c r="M40" s="937" t="s">
        <v>631</v>
      </c>
      <c r="N40" s="999">
        <v>45987</v>
      </c>
      <c r="O40" s="747" t="s">
        <v>3073</v>
      </c>
      <c r="P40" s="747">
        <v>16</v>
      </c>
      <c r="Q40" s="854"/>
    </row>
    <row r="41" spans="1:17" s="1035" customFormat="1" ht="45" customHeight="1">
      <c r="A41" s="747">
        <f t="shared" si="1"/>
        <v>35</v>
      </c>
      <c r="B41" s="748" t="s">
        <v>2957</v>
      </c>
      <c r="C41" s="747" t="s">
        <v>1269</v>
      </c>
      <c r="D41" s="747" t="s">
        <v>1765</v>
      </c>
      <c r="E41" s="779"/>
      <c r="F41" s="749">
        <v>45981</v>
      </c>
      <c r="G41" s="749">
        <v>45985</v>
      </c>
      <c r="H41" s="749">
        <v>45986</v>
      </c>
      <c r="I41" s="749">
        <v>45986</v>
      </c>
      <c r="J41" s="749">
        <v>45987</v>
      </c>
      <c r="K41" s="749">
        <v>45988</v>
      </c>
      <c r="L41" s="749">
        <v>45988</v>
      </c>
      <c r="M41" s="937" t="s">
        <v>631</v>
      </c>
      <c r="N41" s="999">
        <v>45996</v>
      </c>
      <c r="O41" s="747" t="s">
        <v>2843</v>
      </c>
      <c r="P41" s="747">
        <v>19</v>
      </c>
      <c r="Q41" s="854"/>
    </row>
    <row r="42" spans="1:17" s="1035" customFormat="1" ht="45" customHeight="1">
      <c r="A42" s="747">
        <f t="shared" si="1"/>
        <v>36</v>
      </c>
      <c r="B42" s="748" t="s">
        <v>3108</v>
      </c>
      <c r="C42" s="747" t="s">
        <v>62</v>
      </c>
      <c r="D42" s="747" t="s">
        <v>1765</v>
      </c>
      <c r="E42" s="779"/>
      <c r="F42" s="749">
        <v>45981</v>
      </c>
      <c r="G42" s="749">
        <v>45984</v>
      </c>
      <c r="H42" s="749">
        <v>45986</v>
      </c>
      <c r="I42" s="749">
        <v>45986</v>
      </c>
      <c r="J42" s="749">
        <v>45987</v>
      </c>
      <c r="K42" s="749">
        <v>45987</v>
      </c>
      <c r="L42" s="749">
        <v>45987</v>
      </c>
      <c r="M42" s="937" t="s">
        <v>631</v>
      </c>
      <c r="N42" s="999">
        <v>45987</v>
      </c>
      <c r="O42" s="747" t="s">
        <v>2861</v>
      </c>
      <c r="P42" s="747">
        <v>12</v>
      </c>
      <c r="Q42" s="854"/>
    </row>
    <row r="43" spans="1:17" s="1035" customFormat="1" ht="45" customHeight="1">
      <c r="A43" s="747">
        <f t="shared" si="1"/>
        <v>37</v>
      </c>
      <c r="B43" s="748" t="s">
        <v>3109</v>
      </c>
      <c r="C43" s="747" t="s">
        <v>76</v>
      </c>
      <c r="D43" s="747" t="s">
        <v>1765</v>
      </c>
      <c r="E43" s="779"/>
      <c r="F43" s="749">
        <v>45983</v>
      </c>
      <c r="G43" s="749">
        <v>45987</v>
      </c>
      <c r="H43" s="749">
        <v>45988</v>
      </c>
      <c r="I43" s="749">
        <v>45988</v>
      </c>
      <c r="J43" s="749">
        <v>45989</v>
      </c>
      <c r="K43" s="749">
        <v>45989</v>
      </c>
      <c r="L43" s="749">
        <v>45989</v>
      </c>
      <c r="M43" s="937" t="s">
        <v>631</v>
      </c>
      <c r="N43" s="999">
        <v>45989</v>
      </c>
      <c r="O43" s="747" t="s">
        <v>2875</v>
      </c>
      <c r="P43" s="747">
        <v>11</v>
      </c>
      <c r="Q43" s="854"/>
    </row>
    <row r="44" spans="1:17" s="1035" customFormat="1" ht="45" customHeight="1">
      <c r="A44" s="747">
        <f t="shared" si="1"/>
        <v>38</v>
      </c>
      <c r="B44" s="748" t="s">
        <v>2503</v>
      </c>
      <c r="C44" s="747" t="s">
        <v>76</v>
      </c>
      <c r="D44" s="747" t="s">
        <v>1765</v>
      </c>
      <c r="E44" s="779"/>
      <c r="F44" s="749">
        <v>45983</v>
      </c>
      <c r="G44" s="749">
        <v>45988</v>
      </c>
      <c r="H44" s="749">
        <v>45989</v>
      </c>
      <c r="I44" s="749">
        <v>45989</v>
      </c>
      <c r="J44" s="749">
        <v>45990</v>
      </c>
      <c r="K44" s="749">
        <v>45991</v>
      </c>
      <c r="L44" s="749">
        <v>45991</v>
      </c>
      <c r="M44" s="937" t="s">
        <v>631</v>
      </c>
      <c r="N44" s="999">
        <v>45992</v>
      </c>
      <c r="O44" s="747" t="s">
        <v>3073</v>
      </c>
      <c r="P44" s="747">
        <v>16</v>
      </c>
      <c r="Q44" s="854"/>
    </row>
    <row r="45" spans="1:17" s="1035" customFormat="1" ht="45" customHeight="1">
      <c r="A45" s="747">
        <f t="shared" si="1"/>
        <v>39</v>
      </c>
      <c r="B45" s="748" t="s">
        <v>2946</v>
      </c>
      <c r="C45" s="747" t="s">
        <v>1977</v>
      </c>
      <c r="D45" s="747" t="s">
        <v>2736</v>
      </c>
      <c r="E45" s="779"/>
      <c r="F45" s="749">
        <v>45982</v>
      </c>
      <c r="G45" s="749">
        <v>45988</v>
      </c>
      <c r="H45" s="749">
        <v>45990</v>
      </c>
      <c r="I45" s="749">
        <v>45990</v>
      </c>
      <c r="J45" s="749">
        <v>45990</v>
      </c>
      <c r="K45" s="749">
        <v>45991</v>
      </c>
      <c r="L45" s="749">
        <v>45991</v>
      </c>
      <c r="M45" s="937" t="s">
        <v>631</v>
      </c>
      <c r="N45" s="999">
        <v>45994</v>
      </c>
      <c r="O45" s="747" t="s">
        <v>2725</v>
      </c>
      <c r="P45" s="747">
        <v>25</v>
      </c>
      <c r="Q45" s="854"/>
    </row>
    <row r="46" spans="1:17" s="1035" customFormat="1" ht="45" customHeight="1">
      <c r="A46" s="747">
        <f t="shared" si="1"/>
        <v>40</v>
      </c>
      <c r="B46" s="748" t="s">
        <v>2965</v>
      </c>
      <c r="C46" s="747" t="s">
        <v>1269</v>
      </c>
      <c r="D46" s="747" t="s">
        <v>1765</v>
      </c>
      <c r="E46" s="779"/>
      <c r="F46" s="749">
        <v>45984</v>
      </c>
      <c r="G46" s="749">
        <v>45987</v>
      </c>
      <c r="H46" s="749">
        <v>45988</v>
      </c>
      <c r="I46" s="749">
        <v>45989</v>
      </c>
      <c r="J46" s="749">
        <v>45989</v>
      </c>
      <c r="K46" s="749">
        <v>45991</v>
      </c>
      <c r="L46" s="749">
        <v>45991</v>
      </c>
      <c r="M46" s="937" t="s">
        <v>631</v>
      </c>
      <c r="N46" s="999">
        <v>46001</v>
      </c>
      <c r="O46" s="747" t="s">
        <v>2861</v>
      </c>
      <c r="P46" s="747">
        <v>15</v>
      </c>
      <c r="Q46" s="854"/>
    </row>
    <row r="47" spans="1:17" s="1035" customFormat="1" ht="45" customHeight="1">
      <c r="A47" s="747">
        <f t="shared" si="1"/>
        <v>41</v>
      </c>
      <c r="B47" s="748" t="s">
        <v>2924</v>
      </c>
      <c r="C47" s="747" t="s">
        <v>1977</v>
      </c>
      <c r="D47" s="747" t="s">
        <v>897</v>
      </c>
      <c r="E47" s="779"/>
      <c r="F47" s="749">
        <v>45986</v>
      </c>
      <c r="G47" s="749">
        <v>45989</v>
      </c>
      <c r="H47" s="749">
        <v>45990</v>
      </c>
      <c r="I47" s="749">
        <v>45990</v>
      </c>
      <c r="J47" s="749">
        <v>45990</v>
      </c>
      <c r="K47" s="749">
        <v>45992</v>
      </c>
      <c r="L47" s="749">
        <v>45992</v>
      </c>
      <c r="M47" s="937" t="s">
        <v>631</v>
      </c>
      <c r="N47" s="999">
        <v>45992</v>
      </c>
      <c r="O47" s="747" t="s">
        <v>2830</v>
      </c>
      <c r="P47" s="747">
        <v>16</v>
      </c>
      <c r="Q47" s="854"/>
    </row>
    <row r="48" spans="1:17" s="1035" customFormat="1" ht="36.950000000000003" customHeight="1">
      <c r="A48" s="747">
        <f t="shared" si="1"/>
        <v>42</v>
      </c>
      <c r="B48" s="748" t="s">
        <v>2222</v>
      </c>
      <c r="C48" s="747" t="s">
        <v>62</v>
      </c>
      <c r="D48" s="747" t="s">
        <v>1765</v>
      </c>
      <c r="E48" s="779"/>
      <c r="F48" s="749">
        <v>45987</v>
      </c>
      <c r="G48" s="749">
        <v>45993</v>
      </c>
      <c r="H48" s="749">
        <v>45994</v>
      </c>
      <c r="I48" s="749">
        <v>45994</v>
      </c>
      <c r="J48" s="749">
        <v>45995</v>
      </c>
      <c r="K48" s="749">
        <v>45996</v>
      </c>
      <c r="L48" s="749">
        <v>45996</v>
      </c>
      <c r="M48" s="937" t="s">
        <v>631</v>
      </c>
      <c r="N48" s="999">
        <v>45999</v>
      </c>
      <c r="O48" s="747" t="s">
        <v>2725</v>
      </c>
      <c r="P48" s="747">
        <v>25</v>
      </c>
      <c r="Q48" s="854"/>
    </row>
    <row r="49" spans="1:17" s="1035" customFormat="1" ht="45" customHeight="1">
      <c r="A49" s="747">
        <f t="shared" si="1"/>
        <v>43</v>
      </c>
      <c r="B49" s="748" t="s">
        <v>2967</v>
      </c>
      <c r="C49" s="747" t="s">
        <v>1361</v>
      </c>
      <c r="D49" s="747" t="s">
        <v>1765</v>
      </c>
      <c r="E49" s="779"/>
      <c r="F49" s="749">
        <v>45987</v>
      </c>
      <c r="G49" s="749">
        <v>45994</v>
      </c>
      <c r="H49" s="749">
        <v>45996</v>
      </c>
      <c r="I49" s="749">
        <v>45996</v>
      </c>
      <c r="J49" s="749">
        <v>45997</v>
      </c>
      <c r="K49" s="749">
        <v>45998</v>
      </c>
      <c r="L49" s="749">
        <v>45998</v>
      </c>
      <c r="M49" s="937" t="s">
        <v>631</v>
      </c>
      <c r="N49" s="999">
        <v>46001</v>
      </c>
      <c r="O49" s="747" t="s">
        <v>2861</v>
      </c>
      <c r="P49" s="747">
        <v>13</v>
      </c>
      <c r="Q49" s="854"/>
    </row>
    <row r="50" spans="1:17" s="1035" customFormat="1" ht="45" customHeight="1">
      <c r="A50" s="747">
        <f t="shared" si="1"/>
        <v>44</v>
      </c>
      <c r="B50" s="748" t="s">
        <v>2997</v>
      </c>
      <c r="C50" s="747" t="s">
        <v>1269</v>
      </c>
      <c r="D50" s="747" t="s">
        <v>1765</v>
      </c>
      <c r="E50" s="779"/>
      <c r="F50" s="749">
        <v>45990</v>
      </c>
      <c r="G50" s="749">
        <v>45995</v>
      </c>
      <c r="H50" s="749">
        <v>45996</v>
      </c>
      <c r="I50" s="749">
        <v>45997</v>
      </c>
      <c r="J50" s="749">
        <v>45997</v>
      </c>
      <c r="K50" s="749">
        <v>111743</v>
      </c>
      <c r="L50" s="749">
        <v>46000</v>
      </c>
      <c r="M50" s="937" t="s">
        <v>631</v>
      </c>
      <c r="N50" s="999">
        <v>46000</v>
      </c>
      <c r="O50" s="747" t="s">
        <v>2837</v>
      </c>
      <c r="P50" s="747">
        <v>20</v>
      </c>
      <c r="Q50" s="854"/>
    </row>
    <row r="51" spans="1:17" s="1035" customFormat="1" ht="45" customHeight="1">
      <c r="A51" s="747">
        <f t="shared" si="1"/>
        <v>45</v>
      </c>
      <c r="B51" s="748" t="s">
        <v>2958</v>
      </c>
      <c r="C51" s="747" t="s">
        <v>1361</v>
      </c>
      <c r="D51" s="747" t="s">
        <v>1765</v>
      </c>
      <c r="E51" s="779"/>
      <c r="F51" s="749">
        <v>45990</v>
      </c>
      <c r="G51" s="749">
        <v>45996</v>
      </c>
      <c r="H51" s="749">
        <v>45996</v>
      </c>
      <c r="I51" s="749">
        <v>45997</v>
      </c>
      <c r="J51" s="749">
        <v>45997</v>
      </c>
      <c r="K51" s="749">
        <v>45998</v>
      </c>
      <c r="L51" s="749">
        <v>45998</v>
      </c>
      <c r="M51" s="937" t="s">
        <v>631</v>
      </c>
      <c r="N51" s="999">
        <v>45998</v>
      </c>
      <c r="O51" s="747" t="s">
        <v>2843</v>
      </c>
      <c r="P51" s="747">
        <v>19</v>
      </c>
      <c r="Q51" s="854"/>
    </row>
    <row r="52" spans="1:17" s="1035" customFormat="1" ht="45" customHeight="1">
      <c r="A52" s="747">
        <f t="shared" si="1"/>
        <v>46</v>
      </c>
      <c r="B52" s="748" t="s">
        <v>3134</v>
      </c>
      <c r="C52" s="747" t="s">
        <v>62</v>
      </c>
      <c r="D52" s="747" t="s">
        <v>1765</v>
      </c>
      <c r="E52" s="779"/>
      <c r="F52" s="749">
        <v>45991</v>
      </c>
      <c r="G52" s="749">
        <v>45994</v>
      </c>
      <c r="H52" s="749">
        <v>45994</v>
      </c>
      <c r="I52" s="749">
        <v>45994</v>
      </c>
      <c r="J52" s="749">
        <v>45995</v>
      </c>
      <c r="K52" s="749">
        <v>45995</v>
      </c>
      <c r="L52" s="749">
        <v>45995</v>
      </c>
      <c r="M52" s="937" t="s">
        <v>631</v>
      </c>
      <c r="N52" s="999">
        <v>45996</v>
      </c>
      <c r="O52" s="747" t="s">
        <v>3107</v>
      </c>
      <c r="P52" s="747">
        <v>12</v>
      </c>
      <c r="Q52" s="854"/>
    </row>
    <row r="53" spans="1:17" s="1035" customFormat="1" ht="45" customHeight="1">
      <c r="A53" s="747">
        <f t="shared" si="1"/>
        <v>47</v>
      </c>
      <c r="B53" s="748" t="s">
        <v>2974</v>
      </c>
      <c r="C53" s="747" t="s">
        <v>1319</v>
      </c>
      <c r="D53" s="747" t="s">
        <v>1765</v>
      </c>
      <c r="E53" s="1047"/>
      <c r="F53" s="749">
        <v>45993</v>
      </c>
      <c r="G53" s="749">
        <v>46006</v>
      </c>
      <c r="H53" s="749">
        <v>46007</v>
      </c>
      <c r="I53" s="749">
        <v>46007</v>
      </c>
      <c r="J53" s="749">
        <v>46008</v>
      </c>
      <c r="K53" s="749">
        <v>46009</v>
      </c>
      <c r="L53" s="749">
        <v>46009</v>
      </c>
      <c r="M53" s="937" t="s">
        <v>631</v>
      </c>
      <c r="N53" s="999">
        <v>46003</v>
      </c>
      <c r="O53" s="747" t="s">
        <v>2875</v>
      </c>
      <c r="P53" s="747">
        <v>11</v>
      </c>
      <c r="Q53" s="854"/>
    </row>
    <row r="54" spans="1:17" s="1035" customFormat="1" ht="45" customHeight="1">
      <c r="A54" s="747">
        <f t="shared" si="1"/>
        <v>48</v>
      </c>
      <c r="B54" s="748" t="s">
        <v>3135</v>
      </c>
      <c r="C54" s="747" t="s">
        <v>249</v>
      </c>
      <c r="D54" s="747" t="s">
        <v>1765</v>
      </c>
      <c r="E54" s="779"/>
      <c r="F54" s="749">
        <v>45992</v>
      </c>
      <c r="G54" s="749">
        <v>45994</v>
      </c>
      <c r="H54" s="749">
        <v>45996</v>
      </c>
      <c r="I54" s="749" t="s">
        <v>3138</v>
      </c>
      <c r="J54" s="749">
        <v>45996</v>
      </c>
      <c r="K54" s="749">
        <v>45997</v>
      </c>
      <c r="L54" s="749">
        <v>45997</v>
      </c>
      <c r="M54" s="937" t="s">
        <v>631</v>
      </c>
      <c r="N54" s="999">
        <v>46002</v>
      </c>
      <c r="O54" s="747" t="s">
        <v>2861</v>
      </c>
      <c r="P54" s="747">
        <v>12</v>
      </c>
      <c r="Q54" s="854"/>
    </row>
    <row r="55" spans="1:17" s="1035" customFormat="1" ht="40.5" customHeight="1">
      <c r="A55" s="747">
        <f t="shared" si="1"/>
        <v>49</v>
      </c>
      <c r="B55" s="748" t="s">
        <v>2221</v>
      </c>
      <c r="C55" s="747" t="s">
        <v>76</v>
      </c>
      <c r="D55" s="747" t="s">
        <v>1765</v>
      </c>
      <c r="E55" s="779"/>
      <c r="F55" s="749">
        <v>45994</v>
      </c>
      <c r="G55" s="749">
        <v>45996</v>
      </c>
      <c r="H55" s="749">
        <v>45999</v>
      </c>
      <c r="I55" s="749">
        <v>46000</v>
      </c>
      <c r="J55" s="749">
        <v>46000</v>
      </c>
      <c r="K55" s="749">
        <v>46001</v>
      </c>
      <c r="L55" s="749">
        <v>46001</v>
      </c>
      <c r="M55" s="937" t="s">
        <v>631</v>
      </c>
      <c r="N55" s="999">
        <v>46002</v>
      </c>
      <c r="O55" s="747" t="s">
        <v>2725</v>
      </c>
      <c r="P55" s="747">
        <v>25</v>
      </c>
      <c r="Q55" s="854"/>
    </row>
    <row r="56" spans="1:17" s="1035" customFormat="1" ht="45" customHeight="1">
      <c r="A56" s="747">
        <f t="shared" si="1"/>
        <v>50</v>
      </c>
      <c r="B56" s="748" t="s">
        <v>2203</v>
      </c>
      <c r="C56" s="747" t="s">
        <v>62</v>
      </c>
      <c r="D56" s="747" t="s">
        <v>1765</v>
      </c>
      <c r="E56" s="779"/>
      <c r="F56" s="749">
        <v>45994</v>
      </c>
      <c r="G56" s="749">
        <v>45994</v>
      </c>
      <c r="H56" s="749">
        <v>45994</v>
      </c>
      <c r="I56" s="749">
        <v>45994</v>
      </c>
      <c r="J56" s="749">
        <v>45995</v>
      </c>
      <c r="K56" s="749">
        <v>45997</v>
      </c>
      <c r="L56" s="749">
        <v>45997</v>
      </c>
      <c r="M56" s="937" t="s">
        <v>631</v>
      </c>
      <c r="N56" s="999">
        <v>45998</v>
      </c>
      <c r="O56" s="747" t="s">
        <v>2830</v>
      </c>
      <c r="P56" s="747">
        <v>16</v>
      </c>
      <c r="Q56" s="854"/>
    </row>
    <row r="57" spans="1:17" s="1035" customFormat="1" ht="45" customHeight="1">
      <c r="A57" s="747">
        <f t="shared" si="1"/>
        <v>51</v>
      </c>
      <c r="B57" s="748" t="s">
        <v>2207</v>
      </c>
      <c r="C57" s="747" t="s">
        <v>1269</v>
      </c>
      <c r="D57" s="747" t="s">
        <v>1765</v>
      </c>
      <c r="E57" s="779"/>
      <c r="F57" s="749">
        <v>45996</v>
      </c>
      <c r="G57" s="749">
        <v>45996</v>
      </c>
      <c r="H57" s="749">
        <v>45996</v>
      </c>
      <c r="I57" s="749">
        <v>45997</v>
      </c>
      <c r="J57" s="749">
        <v>45998</v>
      </c>
      <c r="K57" s="749">
        <v>46001</v>
      </c>
      <c r="L57" s="749">
        <v>46001</v>
      </c>
      <c r="M57" s="937" t="s">
        <v>631</v>
      </c>
      <c r="N57" s="999">
        <v>46003</v>
      </c>
      <c r="O57" s="747" t="s">
        <v>2830</v>
      </c>
      <c r="P57" s="747">
        <v>16</v>
      </c>
      <c r="Q57" s="854"/>
    </row>
    <row r="58" spans="1:17" s="1035" customFormat="1" ht="45" customHeight="1">
      <c r="A58" s="747">
        <f t="shared" si="1"/>
        <v>52</v>
      </c>
      <c r="B58" s="748" t="s">
        <v>2387</v>
      </c>
      <c r="C58" s="747" t="s">
        <v>1935</v>
      </c>
      <c r="D58" s="747" t="s">
        <v>1765</v>
      </c>
      <c r="E58" s="779"/>
      <c r="F58" s="749">
        <v>45996</v>
      </c>
      <c r="G58" s="749">
        <v>46002</v>
      </c>
      <c r="H58" s="749">
        <v>46003</v>
      </c>
      <c r="I58" s="749">
        <v>46003</v>
      </c>
      <c r="J58" s="749">
        <v>46004</v>
      </c>
      <c r="K58" s="749">
        <v>46006</v>
      </c>
      <c r="L58" s="749">
        <v>46006</v>
      </c>
      <c r="M58" s="937" t="s">
        <v>631</v>
      </c>
      <c r="N58" s="999">
        <v>46008</v>
      </c>
      <c r="O58" s="747" t="s">
        <v>2861</v>
      </c>
      <c r="P58" s="747">
        <v>25</v>
      </c>
      <c r="Q58" s="854"/>
    </row>
    <row r="59" spans="1:17" s="1035" customFormat="1" ht="45" customHeight="1">
      <c r="A59" s="747">
        <f t="shared" si="1"/>
        <v>53</v>
      </c>
      <c r="B59" s="748" t="s">
        <v>2976</v>
      </c>
      <c r="C59" s="747" t="s">
        <v>1269</v>
      </c>
      <c r="D59" s="747" t="s">
        <v>1765</v>
      </c>
      <c r="E59" s="779"/>
      <c r="F59" s="749">
        <v>45996</v>
      </c>
      <c r="G59" s="749">
        <v>46002</v>
      </c>
      <c r="H59" s="749">
        <v>46002</v>
      </c>
      <c r="I59" s="749">
        <v>46003</v>
      </c>
      <c r="J59" s="749">
        <v>46003</v>
      </c>
      <c r="K59" s="749">
        <v>46004</v>
      </c>
      <c r="L59" s="749">
        <v>46004</v>
      </c>
      <c r="M59" s="937" t="s">
        <v>631</v>
      </c>
      <c r="N59" s="999">
        <v>46006</v>
      </c>
      <c r="O59" s="747" t="s">
        <v>3107</v>
      </c>
      <c r="P59" s="747">
        <v>12</v>
      </c>
      <c r="Q59" s="854"/>
    </row>
    <row r="60" spans="1:17" s="1035" customFormat="1" ht="45" customHeight="1">
      <c r="A60" s="747">
        <f t="shared" si="1"/>
        <v>54</v>
      </c>
      <c r="B60" s="748" t="s">
        <v>3008</v>
      </c>
      <c r="C60" s="747" t="s">
        <v>90</v>
      </c>
      <c r="D60" s="747" t="s">
        <v>1765</v>
      </c>
      <c r="E60" s="779"/>
      <c r="F60" s="749">
        <v>45996</v>
      </c>
      <c r="G60" s="749">
        <v>45998</v>
      </c>
      <c r="H60" s="749">
        <v>46000</v>
      </c>
      <c r="I60" s="749">
        <v>46000</v>
      </c>
      <c r="J60" s="749">
        <v>46003</v>
      </c>
      <c r="K60" s="749">
        <v>46007</v>
      </c>
      <c r="L60" s="749">
        <v>46007</v>
      </c>
      <c r="M60" s="937" t="s">
        <v>631</v>
      </c>
      <c r="N60" s="999">
        <v>46011</v>
      </c>
      <c r="O60" s="747" t="s">
        <v>3139</v>
      </c>
      <c r="P60" s="1041">
        <v>40</v>
      </c>
      <c r="Q60" s="854"/>
    </row>
    <row r="61" spans="1:17" s="1035" customFormat="1" ht="51">
      <c r="A61" s="747">
        <f t="shared" si="1"/>
        <v>55</v>
      </c>
      <c r="B61" s="748" t="s">
        <v>2515</v>
      </c>
      <c r="C61" s="747" t="s">
        <v>53</v>
      </c>
      <c r="D61" s="747" t="s">
        <v>1765</v>
      </c>
      <c r="E61" s="779"/>
      <c r="F61" s="749">
        <v>45998</v>
      </c>
      <c r="G61" s="749">
        <v>46000</v>
      </c>
      <c r="H61" s="749">
        <v>46002</v>
      </c>
      <c r="I61" s="749">
        <v>46003</v>
      </c>
      <c r="J61" s="749">
        <v>46005</v>
      </c>
      <c r="K61" s="749">
        <v>46020</v>
      </c>
      <c r="L61" s="749">
        <v>46020</v>
      </c>
      <c r="M61" s="937" t="s">
        <v>631</v>
      </c>
      <c r="N61" s="999">
        <v>46025</v>
      </c>
      <c r="O61" s="747" t="s">
        <v>3139</v>
      </c>
      <c r="P61" s="1041">
        <v>40</v>
      </c>
      <c r="Q61" s="854" t="s">
        <v>3241</v>
      </c>
    </row>
    <row r="62" spans="1:17" s="1035" customFormat="1" ht="45" customHeight="1">
      <c r="A62" s="747">
        <f t="shared" si="1"/>
        <v>56</v>
      </c>
      <c r="B62" s="748" t="s">
        <v>3140</v>
      </c>
      <c r="C62" s="747" t="s">
        <v>249</v>
      </c>
      <c r="D62" s="747" t="s">
        <v>1765</v>
      </c>
      <c r="E62" s="779"/>
      <c r="F62" s="749">
        <v>45997</v>
      </c>
      <c r="G62" s="749">
        <v>46003</v>
      </c>
      <c r="H62" s="749">
        <v>46005</v>
      </c>
      <c r="I62" s="749">
        <v>46005</v>
      </c>
      <c r="J62" s="749">
        <v>46006</v>
      </c>
      <c r="K62" s="749">
        <v>46007</v>
      </c>
      <c r="L62" s="749">
        <v>46007</v>
      </c>
      <c r="M62" s="937" t="s">
        <v>631</v>
      </c>
      <c r="N62" s="999">
        <v>46012</v>
      </c>
      <c r="O62" s="747" t="s">
        <v>2725</v>
      </c>
      <c r="P62" s="747">
        <v>25</v>
      </c>
      <c r="Q62" s="854"/>
    </row>
    <row r="63" spans="1:17" s="1035" customFormat="1" ht="45" customHeight="1">
      <c r="A63" s="747">
        <f t="shared" si="1"/>
        <v>57</v>
      </c>
      <c r="B63" s="748" t="s">
        <v>3197</v>
      </c>
      <c r="C63" s="747" t="s">
        <v>76</v>
      </c>
      <c r="D63" s="747" t="s">
        <v>1765</v>
      </c>
      <c r="E63" s="943"/>
      <c r="F63" s="749">
        <v>46001</v>
      </c>
      <c r="G63" s="749">
        <v>46005</v>
      </c>
      <c r="H63" s="749">
        <v>46007</v>
      </c>
      <c r="I63" s="749">
        <v>46007</v>
      </c>
      <c r="J63" s="749">
        <v>46007</v>
      </c>
      <c r="K63" s="749">
        <v>46008</v>
      </c>
      <c r="L63" s="749">
        <v>46008</v>
      </c>
      <c r="M63" s="937" t="s">
        <v>631</v>
      </c>
      <c r="N63" s="999">
        <v>46013</v>
      </c>
      <c r="O63" s="747" t="s">
        <v>2861</v>
      </c>
      <c r="P63" s="747">
        <v>25</v>
      </c>
      <c r="Q63" s="854"/>
    </row>
    <row r="64" spans="1:17" s="1035" customFormat="1" ht="45" customHeight="1">
      <c r="A64" s="747">
        <f t="shared" si="1"/>
        <v>58</v>
      </c>
      <c r="B64" s="748" t="s">
        <v>2519</v>
      </c>
      <c r="C64" s="747" t="s">
        <v>62</v>
      </c>
      <c r="D64" s="747" t="s">
        <v>1765</v>
      </c>
      <c r="E64" s="779"/>
      <c r="F64" s="749">
        <v>46002</v>
      </c>
      <c r="G64" s="749">
        <v>46003</v>
      </c>
      <c r="H64" s="749">
        <v>46006</v>
      </c>
      <c r="I64" s="749">
        <v>46006</v>
      </c>
      <c r="J64" s="749">
        <v>46008</v>
      </c>
      <c r="K64" s="749">
        <v>46010</v>
      </c>
      <c r="L64" s="749">
        <v>46010</v>
      </c>
      <c r="M64" s="937" t="s">
        <v>631</v>
      </c>
      <c r="N64" s="999">
        <v>46015</v>
      </c>
      <c r="O64" s="747" t="s">
        <v>3139</v>
      </c>
      <c r="P64" s="747">
        <v>40</v>
      </c>
      <c r="Q64" s="854"/>
    </row>
    <row r="65" spans="1:17" s="1035" customFormat="1" ht="45" customHeight="1">
      <c r="A65" s="1042">
        <f t="shared" ref="A65:A139" si="2">A64+1</f>
        <v>59</v>
      </c>
      <c r="B65" s="1043" t="s">
        <v>3118</v>
      </c>
      <c r="C65" s="1042" t="s">
        <v>76</v>
      </c>
      <c r="D65" s="1042" t="s">
        <v>1765</v>
      </c>
      <c r="E65" s="943"/>
      <c r="F65" s="1044">
        <v>46003</v>
      </c>
      <c r="G65" s="1044">
        <v>46006</v>
      </c>
      <c r="H65" s="1044">
        <v>46006</v>
      </c>
      <c r="I65" s="1044">
        <v>46006</v>
      </c>
      <c r="J65" s="1044">
        <v>46006</v>
      </c>
      <c r="K65" s="1044">
        <v>46008</v>
      </c>
      <c r="L65" s="1044">
        <v>46008</v>
      </c>
      <c r="M65" s="1045" t="s">
        <v>631</v>
      </c>
      <c r="N65" s="999">
        <v>46011</v>
      </c>
      <c r="O65" s="1042" t="s">
        <v>2843</v>
      </c>
      <c r="P65" s="1042">
        <v>20</v>
      </c>
      <c r="Q65" s="1046"/>
    </row>
    <row r="66" spans="1:17" s="1035" customFormat="1" ht="36.6" customHeight="1">
      <c r="A66" s="747">
        <f t="shared" si="2"/>
        <v>60</v>
      </c>
      <c r="B66" s="748" t="s">
        <v>2942</v>
      </c>
      <c r="C66" s="747" t="s">
        <v>1269</v>
      </c>
      <c r="D66" s="747" t="s">
        <v>1765</v>
      </c>
      <c r="E66" s="779"/>
      <c r="F66" s="749">
        <v>46003</v>
      </c>
      <c r="G66" s="749">
        <v>46009</v>
      </c>
      <c r="H66" s="749">
        <v>46011</v>
      </c>
      <c r="I66" s="749">
        <v>46011</v>
      </c>
      <c r="J66" s="749">
        <v>46014</v>
      </c>
      <c r="K66" s="749">
        <v>46015</v>
      </c>
      <c r="L66" s="749">
        <v>46015</v>
      </c>
      <c r="M66" s="937" t="s">
        <v>631</v>
      </c>
      <c r="N66" s="999">
        <v>46017</v>
      </c>
      <c r="O66" s="747" t="s">
        <v>2725</v>
      </c>
      <c r="P66" s="747">
        <v>25</v>
      </c>
      <c r="Q66" s="854"/>
    </row>
    <row r="67" spans="1:17" s="1035" customFormat="1" ht="45" customHeight="1">
      <c r="A67" s="747">
        <f t="shared" si="2"/>
        <v>61</v>
      </c>
      <c r="B67" s="748" t="s">
        <v>2516</v>
      </c>
      <c r="C67" s="747" t="s">
        <v>62</v>
      </c>
      <c r="D67" s="747" t="s">
        <v>1765</v>
      </c>
      <c r="E67" s="779"/>
      <c r="F67" s="749">
        <v>46004</v>
      </c>
      <c r="G67" s="749">
        <v>46005</v>
      </c>
      <c r="H67" s="749">
        <v>46007</v>
      </c>
      <c r="I67" s="749">
        <v>46008</v>
      </c>
      <c r="J67" s="749">
        <v>46009</v>
      </c>
      <c r="K67" s="749">
        <v>46012</v>
      </c>
      <c r="L67" s="749">
        <v>46012</v>
      </c>
      <c r="M67" s="937" t="s">
        <v>631</v>
      </c>
      <c r="N67" s="999">
        <v>46016</v>
      </c>
      <c r="O67" s="747" t="s">
        <v>3139</v>
      </c>
      <c r="P67" s="747">
        <v>40</v>
      </c>
      <c r="Q67" s="854"/>
    </row>
    <row r="68" spans="1:17" s="1035" customFormat="1" ht="45" customHeight="1">
      <c r="A68" s="747">
        <f t="shared" si="2"/>
        <v>62</v>
      </c>
      <c r="B68" s="748" t="s">
        <v>2206</v>
      </c>
      <c r="C68" s="747" t="s">
        <v>62</v>
      </c>
      <c r="D68" s="747" t="s">
        <v>1765</v>
      </c>
      <c r="E68" s="779"/>
      <c r="F68" s="749">
        <v>46004</v>
      </c>
      <c r="G68" s="749">
        <v>46005</v>
      </c>
      <c r="H68" s="749">
        <v>46005</v>
      </c>
      <c r="I68" s="749">
        <v>46005</v>
      </c>
      <c r="J68" s="749">
        <v>46006</v>
      </c>
      <c r="K68" s="749">
        <v>46007</v>
      </c>
      <c r="L68" s="749">
        <v>46007</v>
      </c>
      <c r="M68" s="937" t="s">
        <v>631</v>
      </c>
      <c r="N68" s="999">
        <v>46009</v>
      </c>
      <c r="O68" s="747" t="s">
        <v>2830</v>
      </c>
      <c r="P68" s="747">
        <v>16</v>
      </c>
      <c r="Q68" s="854"/>
    </row>
    <row r="69" spans="1:17" s="1035" customFormat="1" ht="45" customHeight="1">
      <c r="A69" s="747">
        <f t="shared" si="2"/>
        <v>63</v>
      </c>
      <c r="B69" s="748" t="s">
        <v>2973</v>
      </c>
      <c r="C69" s="747" t="s">
        <v>53</v>
      </c>
      <c r="D69" s="747" t="s">
        <v>1765</v>
      </c>
      <c r="E69" s="779"/>
      <c r="F69" s="749">
        <v>46005</v>
      </c>
      <c r="G69" s="749">
        <v>46008</v>
      </c>
      <c r="H69" s="749">
        <v>46008</v>
      </c>
      <c r="I69" s="749">
        <v>46008</v>
      </c>
      <c r="J69" s="749">
        <v>46008</v>
      </c>
      <c r="K69" s="749">
        <v>46009</v>
      </c>
      <c r="L69" s="749">
        <v>46009</v>
      </c>
      <c r="M69" s="937" t="s">
        <v>631</v>
      </c>
      <c r="N69" s="999">
        <v>46009</v>
      </c>
      <c r="O69" s="747" t="s">
        <v>3107</v>
      </c>
      <c r="P69" s="747">
        <v>12</v>
      </c>
      <c r="Q69" s="854"/>
    </row>
    <row r="70" spans="1:17" s="1035" customFormat="1" ht="45" customHeight="1">
      <c r="A70" s="747">
        <f t="shared" si="2"/>
        <v>64</v>
      </c>
      <c r="B70" s="748" t="s">
        <v>3117</v>
      </c>
      <c r="C70" s="747" t="s">
        <v>76</v>
      </c>
      <c r="D70" s="747" t="s">
        <v>1765</v>
      </c>
      <c r="E70" s="779"/>
      <c r="F70" s="749">
        <v>46007</v>
      </c>
      <c r="G70" s="749">
        <v>46008</v>
      </c>
      <c r="H70" s="749">
        <v>46009</v>
      </c>
      <c r="I70" s="749">
        <v>46010</v>
      </c>
      <c r="J70" s="749">
        <v>46010</v>
      </c>
      <c r="K70" s="749">
        <v>46011</v>
      </c>
      <c r="L70" s="749">
        <v>46011</v>
      </c>
      <c r="M70" s="937" t="s">
        <v>631</v>
      </c>
      <c r="N70" s="999">
        <v>46011</v>
      </c>
      <c r="O70" s="747" t="s">
        <v>2843</v>
      </c>
      <c r="P70" s="747">
        <v>20</v>
      </c>
      <c r="Q70" s="854"/>
    </row>
    <row r="71" spans="1:17" s="1035" customFormat="1" ht="45" customHeight="1">
      <c r="A71" s="1042">
        <f t="shared" si="2"/>
        <v>65</v>
      </c>
      <c r="B71" s="1043" t="s">
        <v>2933</v>
      </c>
      <c r="C71" s="1042" t="s">
        <v>1319</v>
      </c>
      <c r="D71" s="1042" t="s">
        <v>2736</v>
      </c>
      <c r="E71" s="943"/>
      <c r="F71" s="1044">
        <v>46007</v>
      </c>
      <c r="G71" s="1044">
        <v>46012</v>
      </c>
      <c r="H71" s="1044">
        <v>46013</v>
      </c>
      <c r="I71" s="1044">
        <v>46013</v>
      </c>
      <c r="J71" s="1044">
        <v>46014</v>
      </c>
      <c r="K71" s="1044">
        <v>46016</v>
      </c>
      <c r="L71" s="1044">
        <v>46016</v>
      </c>
      <c r="M71" s="1045" t="s">
        <v>631</v>
      </c>
      <c r="N71" s="1058">
        <v>46017</v>
      </c>
      <c r="O71" s="1042" t="s">
        <v>2830</v>
      </c>
      <c r="P71" s="1042">
        <v>16</v>
      </c>
      <c r="Q71" s="1046"/>
    </row>
    <row r="72" spans="1:17" s="1035" customFormat="1" ht="45" customHeight="1">
      <c r="A72" s="747">
        <f t="shared" si="2"/>
        <v>66</v>
      </c>
      <c r="B72" s="748" t="s">
        <v>2450</v>
      </c>
      <c r="C72" s="747" t="s">
        <v>76</v>
      </c>
      <c r="D72" s="747" t="s">
        <v>1765</v>
      </c>
      <c r="E72" s="779"/>
      <c r="F72" s="749">
        <v>46008</v>
      </c>
      <c r="G72" s="749">
        <v>46009</v>
      </c>
      <c r="H72" s="749">
        <v>46010</v>
      </c>
      <c r="I72" s="749">
        <v>46010</v>
      </c>
      <c r="J72" s="749">
        <v>46010</v>
      </c>
      <c r="K72" s="749">
        <v>46011</v>
      </c>
      <c r="L72" s="749">
        <v>46011</v>
      </c>
      <c r="M72" s="937" t="s">
        <v>631</v>
      </c>
      <c r="N72" s="999">
        <v>46012</v>
      </c>
      <c r="O72" s="747" t="s">
        <v>2861</v>
      </c>
      <c r="P72" s="747">
        <v>25</v>
      </c>
      <c r="Q72" s="854"/>
    </row>
    <row r="73" spans="1:17" s="1035" customFormat="1" ht="45" customHeight="1">
      <c r="A73" s="747">
        <f t="shared" si="2"/>
        <v>67</v>
      </c>
      <c r="B73" s="748" t="s">
        <v>3160</v>
      </c>
      <c r="C73" s="747" t="s">
        <v>76</v>
      </c>
      <c r="D73" s="747" t="s">
        <v>1765</v>
      </c>
      <c r="E73" s="779"/>
      <c r="F73" s="749">
        <v>46009</v>
      </c>
      <c r="G73" s="749">
        <v>46012</v>
      </c>
      <c r="H73" s="749">
        <v>46012</v>
      </c>
      <c r="I73" s="749">
        <v>46016</v>
      </c>
      <c r="J73" s="749">
        <v>46016</v>
      </c>
      <c r="K73" s="749">
        <v>46017</v>
      </c>
      <c r="L73" s="749">
        <v>46017</v>
      </c>
      <c r="M73" s="937" t="s">
        <v>631</v>
      </c>
      <c r="N73" s="999">
        <v>46025</v>
      </c>
      <c r="O73" s="747" t="s">
        <v>2861</v>
      </c>
      <c r="P73" s="747">
        <v>25</v>
      </c>
      <c r="Q73" s="854"/>
    </row>
    <row r="74" spans="1:17" s="1035" customFormat="1" ht="45" customHeight="1">
      <c r="A74" s="747">
        <f t="shared" si="2"/>
        <v>68</v>
      </c>
      <c r="B74" s="748" t="s">
        <v>2534</v>
      </c>
      <c r="C74" s="747" t="s">
        <v>76</v>
      </c>
      <c r="D74" s="747" t="s">
        <v>1765</v>
      </c>
      <c r="E74" s="779"/>
      <c r="F74" s="749">
        <v>46010</v>
      </c>
      <c r="G74" s="749">
        <v>46012</v>
      </c>
      <c r="H74" s="749">
        <v>46013</v>
      </c>
      <c r="I74" s="749">
        <v>46013</v>
      </c>
      <c r="J74" s="749">
        <v>46013</v>
      </c>
      <c r="K74" s="749">
        <v>46015</v>
      </c>
      <c r="L74" s="749">
        <v>46015</v>
      </c>
      <c r="M74" s="937" t="s">
        <v>631</v>
      </c>
      <c r="N74" s="999">
        <v>46018</v>
      </c>
      <c r="O74" s="747" t="s">
        <v>3139</v>
      </c>
      <c r="P74" s="747">
        <v>40</v>
      </c>
      <c r="Q74" s="854"/>
    </row>
    <row r="75" spans="1:17" s="1035" customFormat="1" ht="45" customHeight="1">
      <c r="A75" s="747">
        <f t="shared" si="2"/>
        <v>69</v>
      </c>
      <c r="B75" s="748" t="s">
        <v>853</v>
      </c>
      <c r="C75" s="747" t="s">
        <v>76</v>
      </c>
      <c r="D75" s="747" t="s">
        <v>1765</v>
      </c>
      <c r="E75" s="943"/>
      <c r="F75" s="749">
        <v>46010</v>
      </c>
      <c r="G75" s="749">
        <v>46026</v>
      </c>
      <c r="H75" s="749">
        <v>46026</v>
      </c>
      <c r="I75" s="749">
        <v>46027</v>
      </c>
      <c r="J75" s="749">
        <v>46027</v>
      </c>
      <c r="K75" s="749">
        <v>46029</v>
      </c>
      <c r="L75" s="749">
        <v>46029</v>
      </c>
      <c r="M75" s="937" t="s">
        <v>631</v>
      </c>
      <c r="N75" s="999">
        <v>46031</v>
      </c>
      <c r="O75" s="747" t="s">
        <v>3213</v>
      </c>
      <c r="P75" s="747">
        <v>12</v>
      </c>
      <c r="Q75" s="854"/>
    </row>
    <row r="76" spans="1:17" s="1035" customFormat="1" ht="45" customHeight="1">
      <c r="A76" s="747">
        <f t="shared" si="2"/>
        <v>70</v>
      </c>
      <c r="B76" s="748" t="s">
        <v>2505</v>
      </c>
      <c r="C76" s="747" t="s">
        <v>249</v>
      </c>
      <c r="D76" s="747" t="s">
        <v>1765</v>
      </c>
      <c r="E76" s="779"/>
      <c r="F76" s="749">
        <v>46011</v>
      </c>
      <c r="G76" s="749">
        <v>46012</v>
      </c>
      <c r="H76" s="749">
        <v>46013</v>
      </c>
      <c r="I76" s="749">
        <v>46014</v>
      </c>
      <c r="J76" s="749">
        <v>46014</v>
      </c>
      <c r="K76" s="749">
        <v>46015</v>
      </c>
      <c r="L76" s="749">
        <v>46015</v>
      </c>
      <c r="M76" s="937" t="s">
        <v>631</v>
      </c>
      <c r="N76" s="999">
        <v>46017</v>
      </c>
      <c r="O76" s="747" t="s">
        <v>2843</v>
      </c>
      <c r="P76" s="747">
        <v>20</v>
      </c>
      <c r="Q76" s="854"/>
    </row>
    <row r="77" spans="1:17" s="1035" customFormat="1" ht="45" customHeight="1">
      <c r="A77" s="747">
        <f t="shared" si="2"/>
        <v>71</v>
      </c>
      <c r="B77" s="748" t="s">
        <v>2569</v>
      </c>
      <c r="C77" s="747" t="s">
        <v>76</v>
      </c>
      <c r="D77" s="747" t="s">
        <v>1765</v>
      </c>
      <c r="E77" s="943"/>
      <c r="F77" s="749">
        <v>46012</v>
      </c>
      <c r="G77" s="749">
        <v>46017</v>
      </c>
      <c r="H77" s="749">
        <v>46017</v>
      </c>
      <c r="I77" s="749">
        <v>46017</v>
      </c>
      <c r="J77" s="749">
        <v>46017</v>
      </c>
      <c r="K77" s="749">
        <v>46018</v>
      </c>
      <c r="L77" s="749">
        <v>46018</v>
      </c>
      <c r="M77" s="937" t="s">
        <v>631</v>
      </c>
      <c r="N77" s="999">
        <v>46022</v>
      </c>
      <c r="O77" s="747" t="s">
        <v>3231</v>
      </c>
      <c r="P77" s="747">
        <v>13</v>
      </c>
      <c r="Q77" s="854"/>
    </row>
    <row r="78" spans="1:17" s="1035" customFormat="1" ht="45" customHeight="1">
      <c r="A78" s="747">
        <f t="shared" si="2"/>
        <v>72</v>
      </c>
      <c r="B78" s="748" t="s">
        <v>2531</v>
      </c>
      <c r="C78" s="747" t="s">
        <v>76</v>
      </c>
      <c r="D78" s="747" t="s">
        <v>1765</v>
      </c>
      <c r="E78" s="779"/>
      <c r="F78" s="749">
        <v>46012</v>
      </c>
      <c r="G78" s="749">
        <v>46013</v>
      </c>
      <c r="H78" s="749">
        <v>46014</v>
      </c>
      <c r="I78" s="749">
        <v>46014</v>
      </c>
      <c r="J78" s="749">
        <v>46015</v>
      </c>
      <c r="K78" s="749">
        <v>46017</v>
      </c>
      <c r="L78" s="749">
        <v>46017</v>
      </c>
      <c r="M78" s="937" t="s">
        <v>631</v>
      </c>
      <c r="N78" s="999">
        <v>46022</v>
      </c>
      <c r="O78" s="747" t="s">
        <v>3139</v>
      </c>
      <c r="P78" s="747">
        <v>40</v>
      </c>
      <c r="Q78" s="854"/>
    </row>
    <row r="79" spans="1:17" s="1035" customFormat="1" ht="45" customHeight="1">
      <c r="A79" s="747">
        <f t="shared" si="2"/>
        <v>73</v>
      </c>
      <c r="B79" s="748" t="s">
        <v>2525</v>
      </c>
      <c r="C79" s="747" t="s">
        <v>76</v>
      </c>
      <c r="D79" s="747" t="s">
        <v>1765</v>
      </c>
      <c r="E79" s="779"/>
      <c r="F79" s="749">
        <v>46012</v>
      </c>
      <c r="G79" s="749">
        <v>46013</v>
      </c>
      <c r="H79" s="749">
        <v>46017</v>
      </c>
      <c r="I79" s="749">
        <v>46017</v>
      </c>
      <c r="J79" s="749">
        <v>46018</v>
      </c>
      <c r="K79" s="749">
        <v>46019</v>
      </c>
      <c r="L79" s="749">
        <v>46019</v>
      </c>
      <c r="M79" s="937" t="s">
        <v>631</v>
      </c>
      <c r="N79" s="999">
        <v>46031</v>
      </c>
      <c r="O79" s="747" t="s">
        <v>3139</v>
      </c>
      <c r="P79" s="747">
        <v>40</v>
      </c>
      <c r="Q79" s="854"/>
    </row>
    <row r="80" spans="1:17" s="1035" customFormat="1" ht="45" customHeight="1">
      <c r="A80" s="1042">
        <f t="shared" si="2"/>
        <v>74</v>
      </c>
      <c r="B80" s="1043" t="s">
        <v>2504</v>
      </c>
      <c r="C80" s="1042" t="s">
        <v>62</v>
      </c>
      <c r="D80" s="1042" t="s">
        <v>1765</v>
      </c>
      <c r="E80" s="943"/>
      <c r="F80" s="1044">
        <v>46014</v>
      </c>
      <c r="G80" s="1044">
        <v>46015</v>
      </c>
      <c r="H80" s="1044">
        <v>46017</v>
      </c>
      <c r="I80" s="1044">
        <v>46017</v>
      </c>
      <c r="J80" s="1044">
        <v>46017</v>
      </c>
      <c r="K80" s="1044">
        <v>46018</v>
      </c>
      <c r="L80" s="1044">
        <v>46018</v>
      </c>
      <c r="M80" s="1045" t="s">
        <v>631</v>
      </c>
      <c r="N80" s="1058">
        <v>46018</v>
      </c>
      <c r="O80" s="1042" t="s">
        <v>2843</v>
      </c>
      <c r="P80" s="1042">
        <v>20</v>
      </c>
      <c r="Q80" s="1046"/>
    </row>
    <row r="81" spans="1:17" s="1035" customFormat="1" ht="45" customHeight="1">
      <c r="A81" s="747">
        <f t="shared" si="2"/>
        <v>75</v>
      </c>
      <c r="B81" s="748" t="s">
        <v>3015</v>
      </c>
      <c r="C81" s="747" t="s">
        <v>1277</v>
      </c>
      <c r="D81" s="747" t="s">
        <v>1765</v>
      </c>
      <c r="E81" s="779"/>
      <c r="F81" s="749">
        <v>46014</v>
      </c>
      <c r="G81" s="749">
        <v>46025</v>
      </c>
      <c r="H81" s="749">
        <v>46025</v>
      </c>
      <c r="I81" s="749">
        <v>46026</v>
      </c>
      <c r="J81" s="749">
        <v>46026</v>
      </c>
      <c r="K81" s="749">
        <v>46027</v>
      </c>
      <c r="L81" s="749">
        <v>46027</v>
      </c>
      <c r="M81" s="937" t="s">
        <v>631</v>
      </c>
      <c r="N81" s="999">
        <v>46027</v>
      </c>
      <c r="O81" s="747" t="s">
        <v>2875</v>
      </c>
      <c r="P81" s="747">
        <v>11</v>
      </c>
      <c r="Q81" s="854"/>
    </row>
    <row r="82" spans="1:17" s="1035" customFormat="1" ht="45" customHeight="1">
      <c r="A82" s="747">
        <f t="shared" si="2"/>
        <v>76</v>
      </c>
      <c r="B82" s="748" t="s">
        <v>2971</v>
      </c>
      <c r="C82" s="747" t="s">
        <v>1269</v>
      </c>
      <c r="D82" s="747" t="s">
        <v>1765</v>
      </c>
      <c r="E82" s="779"/>
      <c r="F82" s="749">
        <v>46014</v>
      </c>
      <c r="G82" s="749">
        <v>46019</v>
      </c>
      <c r="H82" s="749">
        <v>46020</v>
      </c>
      <c r="I82" s="749">
        <v>46020</v>
      </c>
      <c r="J82" s="749">
        <v>46020</v>
      </c>
      <c r="K82" s="749">
        <v>46020</v>
      </c>
      <c r="L82" s="749">
        <v>46020</v>
      </c>
      <c r="M82" s="937" t="s">
        <v>631</v>
      </c>
      <c r="N82" s="999">
        <v>46024</v>
      </c>
      <c r="O82" s="747" t="s">
        <v>2861</v>
      </c>
      <c r="P82" s="747">
        <v>25</v>
      </c>
      <c r="Q82" s="854"/>
    </row>
    <row r="83" spans="1:17" s="1035" customFormat="1" ht="45" customHeight="1">
      <c r="A83" s="747">
        <f t="shared" si="2"/>
        <v>77</v>
      </c>
      <c r="B83" s="748" t="s">
        <v>2216</v>
      </c>
      <c r="C83" s="747" t="s">
        <v>90</v>
      </c>
      <c r="D83" s="747" t="s">
        <v>1765</v>
      </c>
      <c r="E83" s="779"/>
      <c r="F83" s="749">
        <v>46015</v>
      </c>
      <c r="G83" s="749">
        <v>46020</v>
      </c>
      <c r="H83" s="749">
        <v>46020</v>
      </c>
      <c r="I83" s="749">
        <v>46020</v>
      </c>
      <c r="J83" s="749">
        <v>46021</v>
      </c>
      <c r="K83" s="749">
        <v>46021</v>
      </c>
      <c r="L83" s="749">
        <v>46021</v>
      </c>
      <c r="M83" s="937" t="s">
        <v>631</v>
      </c>
      <c r="N83" s="999">
        <v>46022</v>
      </c>
      <c r="O83" s="747" t="s">
        <v>2830</v>
      </c>
      <c r="P83" s="747">
        <v>16</v>
      </c>
      <c r="Q83" s="854"/>
    </row>
    <row r="84" spans="1:17" s="1035" customFormat="1" ht="45" customHeight="1">
      <c r="A84" s="747">
        <f t="shared" si="2"/>
        <v>78</v>
      </c>
      <c r="B84" s="748" t="s">
        <v>3236</v>
      </c>
      <c r="C84" s="747" t="s">
        <v>62</v>
      </c>
      <c r="D84" s="747" t="s">
        <v>1765</v>
      </c>
      <c r="E84" s="779"/>
      <c r="F84" s="749">
        <v>46015</v>
      </c>
      <c r="G84" s="749">
        <v>46019</v>
      </c>
      <c r="H84" s="749">
        <v>46020</v>
      </c>
      <c r="I84" s="749">
        <v>46020</v>
      </c>
      <c r="J84" s="749">
        <v>46021</v>
      </c>
      <c r="K84" s="749">
        <v>46021</v>
      </c>
      <c r="L84" s="749">
        <v>46021</v>
      </c>
      <c r="M84" s="937" t="s">
        <v>631</v>
      </c>
      <c r="N84" s="999">
        <v>46022</v>
      </c>
      <c r="O84" s="747" t="s">
        <v>2725</v>
      </c>
      <c r="P84" s="747">
        <v>25</v>
      </c>
      <c r="Q84" s="854"/>
    </row>
    <row r="85" spans="1:17" s="1035" customFormat="1" ht="45" customHeight="1">
      <c r="A85" s="747">
        <f t="shared" si="2"/>
        <v>79</v>
      </c>
      <c r="B85" s="748" t="s">
        <v>3159</v>
      </c>
      <c r="C85" s="747" t="s">
        <v>76</v>
      </c>
      <c r="D85" s="747" t="s">
        <v>1765</v>
      </c>
      <c r="E85" s="779"/>
      <c r="F85" s="749">
        <v>46015</v>
      </c>
      <c r="G85" s="749">
        <v>46019</v>
      </c>
      <c r="H85" s="749">
        <v>46020</v>
      </c>
      <c r="I85" s="749">
        <v>46020</v>
      </c>
      <c r="J85" s="749">
        <v>46020</v>
      </c>
      <c r="K85" s="749">
        <v>46021</v>
      </c>
      <c r="L85" s="749">
        <v>46021</v>
      </c>
      <c r="M85" s="937" t="s">
        <v>631</v>
      </c>
      <c r="N85" s="999">
        <v>46029</v>
      </c>
      <c r="O85" s="747" t="s">
        <v>2861</v>
      </c>
      <c r="P85" s="747">
        <v>25</v>
      </c>
      <c r="Q85" s="854"/>
    </row>
    <row r="86" spans="1:17" s="1035" customFormat="1" ht="45" customHeight="1">
      <c r="A86" s="747">
        <f t="shared" si="2"/>
        <v>80</v>
      </c>
      <c r="B86" s="748" t="s">
        <v>2570</v>
      </c>
      <c r="C86" s="747" t="s">
        <v>76</v>
      </c>
      <c r="D86" s="747" t="s">
        <v>1765</v>
      </c>
      <c r="E86" s="779"/>
      <c r="F86" s="749">
        <v>46018</v>
      </c>
      <c r="G86" s="749">
        <v>46024</v>
      </c>
      <c r="H86" s="749">
        <v>46025</v>
      </c>
      <c r="I86" s="749">
        <v>46025</v>
      </c>
      <c r="J86" s="749">
        <v>46025</v>
      </c>
      <c r="K86" s="749">
        <v>46026</v>
      </c>
      <c r="L86" s="749">
        <v>46026</v>
      </c>
      <c r="M86" s="937" t="s">
        <v>631</v>
      </c>
      <c r="N86" s="999">
        <v>46025</v>
      </c>
      <c r="O86" s="747" t="s">
        <v>3231</v>
      </c>
      <c r="P86" s="747">
        <v>13</v>
      </c>
      <c r="Q86" s="854"/>
    </row>
    <row r="87" spans="1:17" s="1035" customFormat="1" ht="45" customHeight="1">
      <c r="A87" s="747">
        <f t="shared" si="2"/>
        <v>81</v>
      </c>
      <c r="B87" s="748" t="s">
        <v>2508</v>
      </c>
      <c r="C87" s="747" t="s">
        <v>62</v>
      </c>
      <c r="D87" s="747" t="s">
        <v>1765</v>
      </c>
      <c r="E87" s="779"/>
      <c r="F87" s="749">
        <v>46018</v>
      </c>
      <c r="G87" s="749">
        <v>46020</v>
      </c>
      <c r="H87" s="749">
        <v>46021</v>
      </c>
      <c r="I87" s="749">
        <v>46021</v>
      </c>
      <c r="J87" s="749">
        <v>46021</v>
      </c>
      <c r="K87" s="749">
        <v>46022</v>
      </c>
      <c r="L87" s="749">
        <v>46022</v>
      </c>
      <c r="M87" s="937" t="s">
        <v>631</v>
      </c>
      <c r="N87" s="999">
        <v>46024</v>
      </c>
      <c r="O87" s="747" t="s">
        <v>2843</v>
      </c>
      <c r="P87" s="747">
        <v>20</v>
      </c>
      <c r="Q87" s="854"/>
    </row>
    <row r="88" spans="1:17" s="1035" customFormat="1" ht="45" customHeight="1">
      <c r="A88" s="747">
        <f t="shared" si="2"/>
        <v>82</v>
      </c>
      <c r="B88" s="748" t="s">
        <v>2532</v>
      </c>
      <c r="C88" s="747" t="s">
        <v>76</v>
      </c>
      <c r="D88" s="747" t="s">
        <v>1765</v>
      </c>
      <c r="E88" s="779"/>
      <c r="F88" s="749">
        <v>46018</v>
      </c>
      <c r="G88" s="749">
        <v>46020</v>
      </c>
      <c r="H88" s="749">
        <v>46020</v>
      </c>
      <c r="I88" s="749">
        <v>46020</v>
      </c>
      <c r="J88" s="749">
        <v>46022</v>
      </c>
      <c r="K88" s="749">
        <v>46022</v>
      </c>
      <c r="L88" s="749">
        <v>46022</v>
      </c>
      <c r="M88" s="937" t="s">
        <v>631</v>
      </c>
      <c r="N88" s="999">
        <v>46043</v>
      </c>
      <c r="O88" s="747" t="s">
        <v>3139</v>
      </c>
      <c r="P88" s="747">
        <v>40</v>
      </c>
      <c r="Q88" s="854"/>
    </row>
    <row r="89" spans="1:17" s="1035" customFormat="1" ht="45" customHeight="1">
      <c r="A89" s="747">
        <f t="shared" si="2"/>
        <v>83</v>
      </c>
      <c r="B89" s="748" t="s">
        <v>3158</v>
      </c>
      <c r="C89" s="747" t="s">
        <v>76</v>
      </c>
      <c r="D89" s="747" t="s">
        <v>1765</v>
      </c>
      <c r="E89" s="779"/>
      <c r="F89" s="749">
        <v>46019</v>
      </c>
      <c r="G89" s="749">
        <v>46020</v>
      </c>
      <c r="H89" s="749">
        <v>46029</v>
      </c>
      <c r="I89" s="749">
        <v>46029</v>
      </c>
      <c r="J89" s="749">
        <v>46029</v>
      </c>
      <c r="K89" s="749">
        <v>46030</v>
      </c>
      <c r="L89" s="749">
        <v>46030</v>
      </c>
      <c r="M89" s="937" t="s">
        <v>631</v>
      </c>
      <c r="N89" s="999">
        <v>46061</v>
      </c>
      <c r="O89" s="747" t="s">
        <v>2861</v>
      </c>
      <c r="P89" s="747">
        <v>25</v>
      </c>
      <c r="Q89" s="854"/>
    </row>
    <row r="90" spans="1:17" s="1035" customFormat="1" ht="45" customHeight="1">
      <c r="A90" s="747">
        <f t="shared" si="2"/>
        <v>84</v>
      </c>
      <c r="B90" s="748" t="s">
        <v>3154</v>
      </c>
      <c r="C90" s="747" t="s">
        <v>76</v>
      </c>
      <c r="D90" s="747" t="s">
        <v>1765</v>
      </c>
      <c r="E90" s="779"/>
      <c r="F90" s="749">
        <v>46022</v>
      </c>
      <c r="G90" s="749">
        <v>46029</v>
      </c>
      <c r="H90" s="749">
        <v>46030</v>
      </c>
      <c r="I90" s="749">
        <v>46030</v>
      </c>
      <c r="J90" s="749">
        <v>46030</v>
      </c>
      <c r="K90" s="749">
        <v>46031</v>
      </c>
      <c r="L90" s="749">
        <v>46031</v>
      </c>
      <c r="M90" s="937" t="s">
        <v>631</v>
      </c>
      <c r="N90" s="999">
        <v>46066</v>
      </c>
      <c r="O90" s="747" t="s">
        <v>2861</v>
      </c>
      <c r="P90" s="747">
        <v>25</v>
      </c>
      <c r="Q90" s="854"/>
    </row>
    <row r="91" spans="1:17" s="1035" customFormat="1" ht="45" customHeight="1">
      <c r="A91" s="747">
        <f t="shared" si="2"/>
        <v>85</v>
      </c>
      <c r="B91" s="748" t="s">
        <v>3004</v>
      </c>
      <c r="C91" s="747" t="s">
        <v>1277</v>
      </c>
      <c r="D91" s="747" t="s">
        <v>1765</v>
      </c>
      <c r="E91" s="779"/>
      <c r="F91" s="749">
        <v>46027</v>
      </c>
      <c r="G91" s="749">
        <v>46031</v>
      </c>
      <c r="H91" s="749">
        <v>46031</v>
      </c>
      <c r="I91" s="749">
        <v>46031</v>
      </c>
      <c r="J91" s="749">
        <v>46032</v>
      </c>
      <c r="K91" s="749">
        <v>46033</v>
      </c>
      <c r="L91" s="749">
        <v>46033</v>
      </c>
      <c r="M91" s="937" t="s">
        <v>631</v>
      </c>
      <c r="N91" s="999">
        <v>46031</v>
      </c>
      <c r="O91" s="747" t="s">
        <v>2843</v>
      </c>
      <c r="P91" s="747">
        <v>20</v>
      </c>
      <c r="Q91" s="854"/>
    </row>
    <row r="92" spans="1:17" s="1035" customFormat="1" ht="45" customHeight="1">
      <c r="A92" s="747">
        <f t="shared" si="2"/>
        <v>86</v>
      </c>
      <c r="B92" s="748" t="s">
        <v>3243</v>
      </c>
      <c r="C92" s="747" t="s">
        <v>76</v>
      </c>
      <c r="D92" s="747" t="s">
        <v>1765</v>
      </c>
      <c r="E92" s="779"/>
      <c r="F92" s="749">
        <v>46026</v>
      </c>
      <c r="G92" s="749">
        <v>46032</v>
      </c>
      <c r="H92" s="749">
        <v>46037</v>
      </c>
      <c r="I92" s="749">
        <v>46037</v>
      </c>
      <c r="J92" s="749">
        <v>46037</v>
      </c>
      <c r="K92" s="749">
        <v>46038</v>
      </c>
      <c r="L92" s="749">
        <v>46038</v>
      </c>
      <c r="M92" s="937" t="s">
        <v>631</v>
      </c>
      <c r="N92" s="999">
        <v>46039</v>
      </c>
      <c r="O92" s="747" t="s">
        <v>2725</v>
      </c>
      <c r="P92" s="747">
        <v>25</v>
      </c>
      <c r="Q92" s="854"/>
    </row>
    <row r="93" spans="1:17" s="1035" customFormat="1" ht="45" customHeight="1">
      <c r="A93" s="747">
        <f t="shared" si="2"/>
        <v>87</v>
      </c>
      <c r="B93" s="748" t="s">
        <v>2995</v>
      </c>
      <c r="C93" s="747" t="s">
        <v>1269</v>
      </c>
      <c r="D93" s="747" t="s">
        <v>1765</v>
      </c>
      <c r="E93" s="779"/>
      <c r="F93" s="749">
        <v>46027</v>
      </c>
      <c r="G93" s="749">
        <v>46041</v>
      </c>
      <c r="H93" s="749">
        <v>46041</v>
      </c>
      <c r="I93" s="749">
        <v>46041</v>
      </c>
      <c r="J93" s="749">
        <v>46041</v>
      </c>
      <c r="K93" s="749">
        <v>46044</v>
      </c>
      <c r="L93" s="749">
        <v>46044</v>
      </c>
      <c r="M93" s="937" t="s">
        <v>631</v>
      </c>
      <c r="N93" s="999">
        <v>46044</v>
      </c>
      <c r="O93" s="747" t="s">
        <v>2837</v>
      </c>
      <c r="P93" s="747">
        <v>12</v>
      </c>
      <c r="Q93" s="854"/>
    </row>
    <row r="94" spans="1:17" s="1035" customFormat="1" ht="45" customHeight="1">
      <c r="A94" s="747">
        <f t="shared" si="2"/>
        <v>88</v>
      </c>
      <c r="B94" s="748" t="s">
        <v>2577</v>
      </c>
      <c r="C94" s="747" t="s">
        <v>62</v>
      </c>
      <c r="D94" s="747" t="s">
        <v>1765</v>
      </c>
      <c r="E94" s="779"/>
      <c r="F94" s="749">
        <v>46027</v>
      </c>
      <c r="G94" s="749">
        <v>46029</v>
      </c>
      <c r="H94" s="749">
        <v>46031</v>
      </c>
      <c r="I94" s="749">
        <v>46031</v>
      </c>
      <c r="J94" s="749">
        <v>46032</v>
      </c>
      <c r="K94" s="749">
        <v>46033</v>
      </c>
      <c r="L94" s="749">
        <v>46033</v>
      </c>
      <c r="M94" s="937" t="s">
        <v>631</v>
      </c>
      <c r="N94" s="999">
        <v>46056</v>
      </c>
      <c r="O94" s="747" t="s">
        <v>3139</v>
      </c>
      <c r="P94" s="747">
        <v>40</v>
      </c>
      <c r="Q94" s="854"/>
    </row>
    <row r="95" spans="1:17" s="1035" customFormat="1" ht="45" customHeight="1">
      <c r="A95" s="747">
        <f t="shared" si="2"/>
        <v>89</v>
      </c>
      <c r="B95" s="748" t="s">
        <v>2526</v>
      </c>
      <c r="C95" s="747" t="s">
        <v>76</v>
      </c>
      <c r="D95" s="747" t="s">
        <v>1765</v>
      </c>
      <c r="E95" s="779"/>
      <c r="F95" s="749">
        <v>46027</v>
      </c>
      <c r="G95" s="749">
        <v>46030</v>
      </c>
      <c r="H95" s="749">
        <v>46030</v>
      </c>
      <c r="I95" s="749">
        <v>46030</v>
      </c>
      <c r="J95" s="749">
        <v>46031</v>
      </c>
      <c r="K95" s="749">
        <v>46032</v>
      </c>
      <c r="L95" s="749">
        <v>46032</v>
      </c>
      <c r="M95" s="937" t="s">
        <v>631</v>
      </c>
      <c r="N95" s="999">
        <v>46042</v>
      </c>
      <c r="O95" s="747" t="s">
        <v>3139</v>
      </c>
      <c r="P95" s="747">
        <v>40</v>
      </c>
      <c r="Q95" s="854"/>
    </row>
    <row r="96" spans="1:17" s="1035" customFormat="1" ht="45" customHeight="1">
      <c r="A96" s="747">
        <f t="shared" si="2"/>
        <v>90</v>
      </c>
      <c r="B96" s="748" t="s">
        <v>3247</v>
      </c>
      <c r="C96" s="747" t="s">
        <v>62</v>
      </c>
      <c r="D96" s="747" t="s">
        <v>1765</v>
      </c>
      <c r="E96" s="779"/>
      <c r="F96" s="749">
        <v>46029</v>
      </c>
      <c r="G96" s="749">
        <v>46033</v>
      </c>
      <c r="H96" s="749">
        <v>46033</v>
      </c>
      <c r="I96" s="749">
        <v>46033</v>
      </c>
      <c r="J96" s="749">
        <v>46033</v>
      </c>
      <c r="K96" s="749">
        <v>46034</v>
      </c>
      <c r="L96" s="749">
        <v>46034</v>
      </c>
      <c r="M96" s="937" t="s">
        <v>631</v>
      </c>
      <c r="N96" s="999">
        <v>46035</v>
      </c>
      <c r="O96" s="747" t="s">
        <v>2830</v>
      </c>
      <c r="P96" s="747">
        <v>16</v>
      </c>
      <c r="Q96" s="854"/>
    </row>
    <row r="97" spans="1:17" s="1035" customFormat="1" ht="45" customHeight="1">
      <c r="A97" s="747">
        <f t="shared" si="2"/>
        <v>91</v>
      </c>
      <c r="B97" s="748" t="s">
        <v>2559</v>
      </c>
      <c r="C97" s="747" t="s">
        <v>62</v>
      </c>
      <c r="D97" s="747" t="s">
        <v>2736</v>
      </c>
      <c r="E97" s="779"/>
      <c r="F97" s="749">
        <v>46029</v>
      </c>
      <c r="G97" s="749">
        <v>46041</v>
      </c>
      <c r="H97" s="749">
        <v>46041</v>
      </c>
      <c r="I97" s="749">
        <v>46041</v>
      </c>
      <c r="J97" s="749">
        <v>46041</v>
      </c>
      <c r="K97" s="749">
        <v>46042</v>
      </c>
      <c r="L97" s="749">
        <v>46042</v>
      </c>
      <c r="M97" s="937" t="s">
        <v>631</v>
      </c>
      <c r="N97" s="999">
        <v>46042</v>
      </c>
      <c r="O97" s="747" t="s">
        <v>2875</v>
      </c>
      <c r="P97" s="747">
        <v>11</v>
      </c>
      <c r="Q97" s="854"/>
    </row>
    <row r="98" spans="1:17" s="1035" customFormat="1" ht="45" customHeight="1">
      <c r="A98" s="747">
        <f t="shared" si="2"/>
        <v>92</v>
      </c>
      <c r="B98" s="748" t="s">
        <v>3016</v>
      </c>
      <c r="C98" s="747" t="s">
        <v>1269</v>
      </c>
      <c r="D98" s="747" t="s">
        <v>1765</v>
      </c>
      <c r="E98" s="779"/>
      <c r="F98" s="749">
        <v>46029</v>
      </c>
      <c r="G98" s="749">
        <v>46036</v>
      </c>
      <c r="H98" s="749">
        <v>46038</v>
      </c>
      <c r="I98" s="749">
        <v>46038</v>
      </c>
      <c r="J98" s="749">
        <v>46038</v>
      </c>
      <c r="K98" s="749">
        <v>46038</v>
      </c>
      <c r="L98" s="749">
        <v>46038</v>
      </c>
      <c r="M98" s="937" t="s">
        <v>631</v>
      </c>
      <c r="N98" s="999">
        <v>46038</v>
      </c>
      <c r="O98" s="747" t="s">
        <v>3231</v>
      </c>
      <c r="P98" s="747">
        <v>13</v>
      </c>
      <c r="Q98" s="854"/>
    </row>
    <row r="99" spans="1:17" s="1035" customFormat="1" ht="45" customHeight="1">
      <c r="A99" s="747">
        <f t="shared" si="2"/>
        <v>93</v>
      </c>
      <c r="B99" s="748" t="s">
        <v>3183</v>
      </c>
      <c r="C99" s="747" t="s">
        <v>1277</v>
      </c>
      <c r="D99" s="747" t="s">
        <v>1765</v>
      </c>
      <c r="E99" s="779"/>
      <c r="F99" s="749">
        <v>46030</v>
      </c>
      <c r="G99" s="749">
        <v>46036</v>
      </c>
      <c r="H99" s="749">
        <v>46038</v>
      </c>
      <c r="I99" s="749">
        <v>46038</v>
      </c>
      <c r="J99" s="749">
        <v>46038</v>
      </c>
      <c r="K99" s="749">
        <v>46040</v>
      </c>
      <c r="L99" s="749">
        <v>46040</v>
      </c>
      <c r="M99" s="937" t="s">
        <v>631</v>
      </c>
      <c r="N99" s="999">
        <v>46066</v>
      </c>
      <c r="O99" s="747" t="s">
        <v>2861</v>
      </c>
      <c r="P99" s="747">
        <v>25</v>
      </c>
      <c r="Q99" s="854"/>
    </row>
    <row r="100" spans="1:17" s="1035" customFormat="1" ht="45" customHeight="1">
      <c r="A100" s="747">
        <f t="shared" si="2"/>
        <v>94</v>
      </c>
      <c r="B100" s="748" t="s">
        <v>2578</v>
      </c>
      <c r="C100" s="747" t="s">
        <v>3248</v>
      </c>
      <c r="D100" s="747" t="s">
        <v>1765</v>
      </c>
      <c r="E100" s="779"/>
      <c r="F100" s="749">
        <v>46030</v>
      </c>
      <c r="G100" s="749">
        <v>46034</v>
      </c>
      <c r="H100" s="749">
        <v>46036</v>
      </c>
      <c r="I100" s="749">
        <v>46036</v>
      </c>
      <c r="J100" s="749">
        <v>46036</v>
      </c>
      <c r="K100" s="749">
        <v>46038</v>
      </c>
      <c r="L100" s="749">
        <v>46038</v>
      </c>
      <c r="M100" s="937" t="s">
        <v>631</v>
      </c>
      <c r="N100" s="999">
        <v>46056</v>
      </c>
      <c r="O100" s="747" t="s">
        <v>3139</v>
      </c>
      <c r="P100" s="747">
        <v>40</v>
      </c>
      <c r="Q100" s="854"/>
    </row>
    <row r="101" spans="1:17" s="1035" customFormat="1" ht="45" customHeight="1">
      <c r="A101" s="747">
        <f t="shared" si="2"/>
        <v>95</v>
      </c>
      <c r="B101" s="748" t="s">
        <v>3011</v>
      </c>
      <c r="C101" s="747" t="s">
        <v>1319</v>
      </c>
      <c r="D101" s="747" t="s">
        <v>1765</v>
      </c>
      <c r="E101" s="780"/>
      <c r="F101" s="749">
        <v>46030</v>
      </c>
      <c r="G101" s="749">
        <v>46038</v>
      </c>
      <c r="H101" s="749">
        <v>46039</v>
      </c>
      <c r="I101" s="749">
        <v>46039</v>
      </c>
      <c r="J101" s="749">
        <v>46040</v>
      </c>
      <c r="K101" s="749">
        <v>46042</v>
      </c>
      <c r="L101" s="749">
        <v>46042</v>
      </c>
      <c r="M101" s="937" t="s">
        <v>631</v>
      </c>
      <c r="N101" s="999">
        <v>46042</v>
      </c>
      <c r="O101" s="747" t="s">
        <v>3139</v>
      </c>
      <c r="P101" s="747">
        <v>40</v>
      </c>
      <c r="Q101" s="854"/>
    </row>
    <row r="102" spans="1:17" s="1035" customFormat="1" ht="45" customHeight="1">
      <c r="A102" s="747">
        <f t="shared" si="2"/>
        <v>96</v>
      </c>
      <c r="B102" s="748" t="s">
        <v>3186</v>
      </c>
      <c r="C102" s="747" t="s">
        <v>1269</v>
      </c>
      <c r="D102" s="747" t="s">
        <v>1765</v>
      </c>
      <c r="E102" s="779"/>
      <c r="F102" s="749">
        <v>46031</v>
      </c>
      <c r="G102" s="749">
        <v>46035</v>
      </c>
      <c r="H102" s="749">
        <v>46036</v>
      </c>
      <c r="I102" s="749">
        <v>46036</v>
      </c>
      <c r="J102" s="749">
        <v>46036</v>
      </c>
      <c r="K102" s="749">
        <v>46039</v>
      </c>
      <c r="L102" s="749">
        <v>46039</v>
      </c>
      <c r="M102" s="937" t="s">
        <v>631</v>
      </c>
      <c r="N102" s="999">
        <v>46042</v>
      </c>
      <c r="O102" s="747" t="s">
        <v>2861</v>
      </c>
      <c r="P102" s="747">
        <v>25</v>
      </c>
      <c r="Q102" s="854"/>
    </row>
    <row r="103" spans="1:17" s="1035" customFormat="1" ht="45" customHeight="1">
      <c r="A103" s="747">
        <f t="shared" si="2"/>
        <v>97</v>
      </c>
      <c r="B103" s="748" t="s">
        <v>3124</v>
      </c>
      <c r="C103" s="747" t="s">
        <v>1977</v>
      </c>
      <c r="D103" s="747" t="s">
        <v>2736</v>
      </c>
      <c r="E103" s="779"/>
      <c r="F103" s="749">
        <v>46033</v>
      </c>
      <c r="G103" s="749">
        <v>46038</v>
      </c>
      <c r="H103" s="749">
        <v>46039</v>
      </c>
      <c r="I103" s="749">
        <v>46039</v>
      </c>
      <c r="J103" s="749">
        <v>46041</v>
      </c>
      <c r="K103" s="749">
        <v>46042</v>
      </c>
      <c r="L103" s="749">
        <v>46042</v>
      </c>
      <c r="M103" s="937" t="s">
        <v>631</v>
      </c>
      <c r="N103" s="999">
        <v>46042</v>
      </c>
      <c r="O103" s="747" t="s">
        <v>2843</v>
      </c>
      <c r="P103" s="747">
        <v>20</v>
      </c>
      <c r="Q103" s="854"/>
    </row>
    <row r="104" spans="1:17" s="1035" customFormat="1" ht="45" customHeight="1">
      <c r="A104" s="747">
        <f t="shared" si="2"/>
        <v>98</v>
      </c>
      <c r="B104" s="748" t="s">
        <v>850</v>
      </c>
      <c r="C104" s="747" t="s">
        <v>76</v>
      </c>
      <c r="D104" s="747" t="s">
        <v>897</v>
      </c>
      <c r="E104" s="779"/>
      <c r="F104" s="749">
        <v>46037</v>
      </c>
      <c r="G104" s="749">
        <v>46043</v>
      </c>
      <c r="H104" s="749">
        <v>46043</v>
      </c>
      <c r="I104" s="749">
        <v>46043</v>
      </c>
      <c r="J104" s="749">
        <v>46043</v>
      </c>
      <c r="K104" s="749">
        <v>46044</v>
      </c>
      <c r="L104" s="749">
        <v>46044</v>
      </c>
      <c r="M104" s="937" t="s">
        <v>631</v>
      </c>
      <c r="N104" s="999">
        <v>46047</v>
      </c>
      <c r="O104" s="747" t="s">
        <v>3252</v>
      </c>
      <c r="P104" s="747">
        <v>25</v>
      </c>
      <c r="Q104" s="854"/>
    </row>
    <row r="105" spans="1:17" s="1035" customFormat="1" ht="45" customHeight="1">
      <c r="A105" s="747">
        <f t="shared" si="2"/>
        <v>99</v>
      </c>
      <c r="B105" s="748" t="s">
        <v>3157</v>
      </c>
      <c r="C105" s="747" t="s">
        <v>53</v>
      </c>
      <c r="D105" s="747" t="s">
        <v>1765</v>
      </c>
      <c r="E105" s="779"/>
      <c r="F105" s="749">
        <v>46039</v>
      </c>
      <c r="G105" s="749">
        <v>46041</v>
      </c>
      <c r="H105" s="749">
        <v>46042</v>
      </c>
      <c r="I105" s="749">
        <v>46042</v>
      </c>
      <c r="J105" s="749">
        <v>46043</v>
      </c>
      <c r="K105" s="749">
        <v>46044</v>
      </c>
      <c r="L105" s="749">
        <v>46044</v>
      </c>
      <c r="M105" s="937" t="s">
        <v>631</v>
      </c>
      <c r="N105" s="999">
        <v>46066</v>
      </c>
      <c r="O105" s="747" t="s">
        <v>2861</v>
      </c>
      <c r="P105" s="747">
        <v>25</v>
      </c>
      <c r="Q105" s="854"/>
    </row>
    <row r="106" spans="1:17" s="1035" customFormat="1" ht="45" customHeight="1">
      <c r="A106" s="747">
        <f t="shared" si="2"/>
        <v>100</v>
      </c>
      <c r="B106" s="748" t="s">
        <v>2581</v>
      </c>
      <c r="C106" s="747" t="s">
        <v>1277</v>
      </c>
      <c r="D106" s="747" t="s">
        <v>1765</v>
      </c>
      <c r="E106" s="779"/>
      <c r="F106" s="749">
        <v>46039</v>
      </c>
      <c r="G106" s="749">
        <v>46055</v>
      </c>
      <c r="H106" s="749">
        <v>46056</v>
      </c>
      <c r="I106" s="749">
        <v>46056</v>
      </c>
      <c r="J106" s="749">
        <v>46056</v>
      </c>
      <c r="K106" s="749">
        <v>46058</v>
      </c>
      <c r="L106" s="749">
        <v>46058</v>
      </c>
      <c r="M106" s="937" t="s">
        <v>631</v>
      </c>
      <c r="N106" s="999">
        <v>46061</v>
      </c>
      <c r="O106" s="747" t="s">
        <v>3139</v>
      </c>
      <c r="P106" s="747">
        <v>40</v>
      </c>
      <c r="Q106" s="854"/>
    </row>
    <row r="107" spans="1:17" s="1035" customFormat="1" ht="45" customHeight="1">
      <c r="A107" s="747">
        <f t="shared" si="2"/>
        <v>101</v>
      </c>
      <c r="B107" s="748" t="s">
        <v>3125</v>
      </c>
      <c r="C107" s="747" t="s">
        <v>2197</v>
      </c>
      <c r="D107" s="747" t="s">
        <v>2736</v>
      </c>
      <c r="E107" s="779"/>
      <c r="F107" s="749">
        <v>46040</v>
      </c>
      <c r="G107" s="749">
        <v>46063</v>
      </c>
      <c r="H107" s="749">
        <v>46063</v>
      </c>
      <c r="I107" s="749">
        <v>46063</v>
      </c>
      <c r="J107" s="749">
        <v>46064</v>
      </c>
      <c r="K107" s="749">
        <v>46065</v>
      </c>
      <c r="L107" s="749">
        <v>46065</v>
      </c>
      <c r="M107" s="937" t="s">
        <v>631</v>
      </c>
      <c r="N107" s="999">
        <v>46065</v>
      </c>
      <c r="O107" s="747" t="s">
        <v>2843</v>
      </c>
      <c r="P107" s="747">
        <v>20</v>
      </c>
      <c r="Q107" s="854"/>
    </row>
    <row r="108" spans="1:17" s="1035" customFormat="1" ht="45" customHeight="1">
      <c r="A108" s="747">
        <f t="shared" si="2"/>
        <v>102</v>
      </c>
      <c r="B108" s="748" t="s">
        <v>2954</v>
      </c>
      <c r="C108" s="747" t="s">
        <v>1988</v>
      </c>
      <c r="D108" s="747" t="s">
        <v>2736</v>
      </c>
      <c r="E108" s="779"/>
      <c r="F108" s="749">
        <v>46043</v>
      </c>
      <c r="G108" s="749">
        <v>46061</v>
      </c>
      <c r="H108" s="749">
        <v>46062</v>
      </c>
      <c r="I108" s="749">
        <v>46062</v>
      </c>
      <c r="J108" s="749">
        <v>46063</v>
      </c>
      <c r="K108" s="749">
        <v>46066</v>
      </c>
      <c r="L108" s="749">
        <v>46066</v>
      </c>
      <c r="M108" s="937" t="s">
        <v>631</v>
      </c>
      <c r="N108" s="999">
        <v>46070</v>
      </c>
      <c r="O108" s="747" t="s">
        <v>2725</v>
      </c>
      <c r="P108" s="747">
        <v>20</v>
      </c>
      <c r="Q108" s="854"/>
    </row>
    <row r="109" spans="1:17" s="1035" customFormat="1" ht="45" customHeight="1">
      <c r="A109" s="1081">
        <f t="shared" si="2"/>
        <v>103</v>
      </c>
      <c r="B109" s="1082" t="s">
        <v>495</v>
      </c>
      <c r="C109" s="1085" t="s">
        <v>3302</v>
      </c>
      <c r="D109" s="1081" t="s">
        <v>1765</v>
      </c>
      <c r="E109" s="1083"/>
      <c r="F109" s="1084">
        <v>46040</v>
      </c>
      <c r="G109" s="1084">
        <v>46042</v>
      </c>
      <c r="H109" s="1084">
        <v>46042</v>
      </c>
      <c r="I109" s="1084">
        <v>46042</v>
      </c>
      <c r="J109" s="1084">
        <v>46042</v>
      </c>
      <c r="K109" s="1084">
        <v>46043</v>
      </c>
      <c r="L109" s="1084">
        <v>46043</v>
      </c>
      <c r="M109" s="1085" t="s">
        <v>631</v>
      </c>
      <c r="N109" s="1086">
        <v>46044</v>
      </c>
      <c r="O109" s="1081" t="s">
        <v>2830</v>
      </c>
      <c r="P109" s="1081">
        <v>16</v>
      </c>
      <c r="Q109" s="1087" t="s">
        <v>3298</v>
      </c>
    </row>
    <row r="110" spans="1:17" s="1035" customFormat="1" ht="45" customHeight="1">
      <c r="A110" s="747">
        <f t="shared" si="2"/>
        <v>104</v>
      </c>
      <c r="B110" s="748" t="s">
        <v>2573</v>
      </c>
      <c r="C110" s="747" t="s">
        <v>76</v>
      </c>
      <c r="D110" s="747" t="s">
        <v>1765</v>
      </c>
      <c r="E110" s="779"/>
      <c r="F110" s="749">
        <v>46040</v>
      </c>
      <c r="G110" s="749">
        <v>46044</v>
      </c>
      <c r="H110" s="749">
        <v>46052</v>
      </c>
      <c r="I110" s="749">
        <v>46052</v>
      </c>
      <c r="J110" s="749">
        <v>46053</v>
      </c>
      <c r="K110" s="749">
        <v>46053</v>
      </c>
      <c r="L110" s="749">
        <v>46053</v>
      </c>
      <c r="M110" s="937" t="s">
        <v>631</v>
      </c>
      <c r="N110" s="999">
        <v>46054</v>
      </c>
      <c r="O110" s="747" t="s">
        <v>3231</v>
      </c>
      <c r="P110" s="747">
        <v>13</v>
      </c>
      <c r="Q110" s="854"/>
    </row>
    <row r="111" spans="1:17" s="1035" customFormat="1" ht="45" customHeight="1">
      <c r="A111" s="747">
        <f t="shared" si="2"/>
        <v>105</v>
      </c>
      <c r="B111" s="748" t="s">
        <v>394</v>
      </c>
      <c r="C111" s="747" t="s">
        <v>76</v>
      </c>
      <c r="D111" s="747" t="s">
        <v>897</v>
      </c>
      <c r="E111" s="779"/>
      <c r="F111" s="749">
        <v>46040</v>
      </c>
      <c r="G111" s="749">
        <v>46044</v>
      </c>
      <c r="H111" s="749">
        <v>46044</v>
      </c>
      <c r="I111" s="749">
        <v>46044</v>
      </c>
      <c r="J111" s="749">
        <v>46044</v>
      </c>
      <c r="K111" s="749">
        <v>46049</v>
      </c>
      <c r="L111" s="749">
        <v>46049</v>
      </c>
      <c r="M111" s="937" t="s">
        <v>631</v>
      </c>
      <c r="N111" s="999">
        <v>46072</v>
      </c>
      <c r="O111" s="747" t="s">
        <v>3252</v>
      </c>
      <c r="P111" s="747">
        <v>25</v>
      </c>
      <c r="Q111" s="854"/>
    </row>
    <row r="112" spans="1:17" s="1035" customFormat="1" ht="45" customHeight="1">
      <c r="A112" s="747">
        <f t="shared" si="2"/>
        <v>106</v>
      </c>
      <c r="B112" s="748" t="s">
        <v>3012</v>
      </c>
      <c r="C112" s="747" t="s">
        <v>1269</v>
      </c>
      <c r="D112" s="747" t="s">
        <v>1765</v>
      </c>
      <c r="E112" s="779"/>
      <c r="F112" s="749">
        <v>46042</v>
      </c>
      <c r="G112" s="749">
        <v>46057</v>
      </c>
      <c r="H112" s="749">
        <v>46058</v>
      </c>
      <c r="I112" s="749">
        <v>46058</v>
      </c>
      <c r="J112" s="749">
        <v>46058</v>
      </c>
      <c r="K112" s="749">
        <v>46059</v>
      </c>
      <c r="L112" s="749">
        <v>46059</v>
      </c>
      <c r="M112" s="937" t="s">
        <v>631</v>
      </c>
      <c r="N112" s="999">
        <v>46061</v>
      </c>
      <c r="O112" s="747" t="s">
        <v>3139</v>
      </c>
      <c r="P112" s="747">
        <v>40</v>
      </c>
      <c r="Q112" s="854"/>
    </row>
    <row r="113" spans="1:17" s="1035" customFormat="1" ht="45" customHeight="1">
      <c r="A113" s="747">
        <f t="shared" si="2"/>
        <v>107</v>
      </c>
      <c r="B113" s="748" t="s">
        <v>3155</v>
      </c>
      <c r="C113" s="747" t="s">
        <v>76</v>
      </c>
      <c r="D113" s="747" t="s">
        <v>1765</v>
      </c>
      <c r="E113" s="779"/>
      <c r="F113" s="749">
        <v>46042</v>
      </c>
      <c r="G113" s="749">
        <v>46051</v>
      </c>
      <c r="H113" s="749">
        <v>46051</v>
      </c>
      <c r="I113" s="749">
        <v>46051</v>
      </c>
      <c r="J113" s="749">
        <v>46052</v>
      </c>
      <c r="K113" s="749">
        <v>46052</v>
      </c>
      <c r="L113" s="749">
        <v>46052</v>
      </c>
      <c r="M113" s="937" t="s">
        <v>631</v>
      </c>
      <c r="N113" s="999">
        <v>46052</v>
      </c>
      <c r="O113" s="747" t="s">
        <v>2861</v>
      </c>
      <c r="P113" s="747">
        <v>25</v>
      </c>
      <c r="Q113" s="854"/>
    </row>
    <row r="114" spans="1:17" s="1035" customFormat="1" ht="45" customHeight="1">
      <c r="A114" s="747">
        <f t="shared" si="2"/>
        <v>108</v>
      </c>
      <c r="B114" s="748" t="s">
        <v>2447</v>
      </c>
      <c r="C114" s="747" t="s">
        <v>53</v>
      </c>
      <c r="D114" s="747" t="s">
        <v>1765</v>
      </c>
      <c r="E114" s="779"/>
      <c r="F114" s="749">
        <v>46043</v>
      </c>
      <c r="G114" s="749">
        <v>46052</v>
      </c>
      <c r="H114" s="749">
        <v>46052</v>
      </c>
      <c r="I114" s="749">
        <v>46052</v>
      </c>
      <c r="J114" s="749">
        <v>46053</v>
      </c>
      <c r="K114" s="749">
        <v>46053</v>
      </c>
      <c r="L114" s="749">
        <v>46053</v>
      </c>
      <c r="M114" s="937" t="s">
        <v>631</v>
      </c>
      <c r="N114" s="999">
        <v>46055</v>
      </c>
      <c r="O114" s="747" t="s">
        <v>2837</v>
      </c>
      <c r="P114" s="747">
        <v>20</v>
      </c>
      <c r="Q114" s="854"/>
    </row>
    <row r="115" spans="1:17" s="1035" customFormat="1" ht="45" customHeight="1">
      <c r="A115" s="747">
        <f t="shared" si="2"/>
        <v>109</v>
      </c>
      <c r="B115" s="748" t="s">
        <v>2520</v>
      </c>
      <c r="C115" s="747" t="s">
        <v>62</v>
      </c>
      <c r="D115" s="747" t="s">
        <v>1765</v>
      </c>
      <c r="E115" s="779"/>
      <c r="F115" s="749">
        <v>46044</v>
      </c>
      <c r="G115" s="749">
        <v>46059</v>
      </c>
      <c r="H115" s="749">
        <v>46060</v>
      </c>
      <c r="I115" s="749">
        <v>46060</v>
      </c>
      <c r="J115" s="749">
        <v>46063</v>
      </c>
      <c r="K115" s="749">
        <v>46064</v>
      </c>
      <c r="L115" s="749">
        <v>46064</v>
      </c>
      <c r="M115" s="937" t="s">
        <v>631</v>
      </c>
      <c r="N115" s="999">
        <v>46068</v>
      </c>
      <c r="O115" s="747" t="s">
        <v>3139</v>
      </c>
      <c r="P115" s="747">
        <v>40</v>
      </c>
      <c r="Q115" s="854"/>
    </row>
    <row r="116" spans="1:17" s="1035" customFormat="1" ht="45" customHeight="1">
      <c r="A116" s="747">
        <f t="shared" si="2"/>
        <v>110</v>
      </c>
      <c r="B116" s="748" t="s">
        <v>3156</v>
      </c>
      <c r="C116" s="747" t="s">
        <v>76</v>
      </c>
      <c r="D116" s="747" t="s">
        <v>1765</v>
      </c>
      <c r="E116" s="779"/>
      <c r="F116" s="749">
        <v>46045</v>
      </c>
      <c r="G116" s="749">
        <v>46052</v>
      </c>
      <c r="H116" s="749">
        <v>46053</v>
      </c>
      <c r="I116" s="749">
        <v>46053</v>
      </c>
      <c r="J116" s="749">
        <v>46053</v>
      </c>
      <c r="K116" s="749">
        <v>46053</v>
      </c>
      <c r="L116" s="749">
        <v>46053</v>
      </c>
      <c r="M116" s="937" t="s">
        <v>631</v>
      </c>
      <c r="N116" s="999">
        <v>46058</v>
      </c>
      <c r="O116" s="747" t="s">
        <v>2861</v>
      </c>
      <c r="P116" s="747">
        <v>25</v>
      </c>
      <c r="Q116" s="854"/>
    </row>
    <row r="117" spans="1:17" s="1035" customFormat="1" ht="45" customHeight="1">
      <c r="A117" s="747">
        <f>A116+1</f>
        <v>111</v>
      </c>
      <c r="B117" s="748" t="s">
        <v>2389</v>
      </c>
      <c r="C117" s="747" t="s">
        <v>1995</v>
      </c>
      <c r="D117" s="747" t="s">
        <v>1765</v>
      </c>
      <c r="E117" s="779"/>
      <c r="F117" s="749">
        <v>46051</v>
      </c>
      <c r="G117" s="749">
        <v>46059</v>
      </c>
      <c r="H117" s="749">
        <v>46059</v>
      </c>
      <c r="I117" s="749">
        <v>46059</v>
      </c>
      <c r="J117" s="749">
        <v>46060</v>
      </c>
      <c r="K117" s="749">
        <v>46061</v>
      </c>
      <c r="L117" s="749">
        <v>46061</v>
      </c>
      <c r="M117" s="937" t="s">
        <v>631</v>
      </c>
      <c r="N117" s="999">
        <v>46060</v>
      </c>
      <c r="O117" s="747" t="s">
        <v>3252</v>
      </c>
      <c r="P117" s="747">
        <v>20</v>
      </c>
      <c r="Q117" s="854"/>
    </row>
    <row r="118" spans="1:17" s="1035" customFormat="1" ht="45" customHeight="1">
      <c r="A118" s="747">
        <f t="shared" si="2"/>
        <v>112</v>
      </c>
      <c r="B118" s="748" t="s">
        <v>3184</v>
      </c>
      <c r="C118" s="747" t="s">
        <v>1319</v>
      </c>
      <c r="D118" s="747" t="s">
        <v>1765</v>
      </c>
      <c r="E118" s="779"/>
      <c r="F118" s="749">
        <v>46053</v>
      </c>
      <c r="G118" s="749">
        <v>46059</v>
      </c>
      <c r="H118" s="749">
        <v>46060</v>
      </c>
      <c r="I118" s="749">
        <v>46060</v>
      </c>
      <c r="J118" s="749">
        <v>46062</v>
      </c>
      <c r="K118" s="749">
        <v>46062</v>
      </c>
      <c r="L118" s="749">
        <v>46062</v>
      </c>
      <c r="M118" s="937" t="s">
        <v>631</v>
      </c>
      <c r="N118" s="999">
        <v>46063</v>
      </c>
      <c r="O118" s="747" t="s">
        <v>2861</v>
      </c>
      <c r="P118" s="747">
        <v>25</v>
      </c>
      <c r="Q118" s="854"/>
    </row>
    <row r="119" spans="1:17" s="1035" customFormat="1" ht="45" customHeight="1">
      <c r="A119" s="747">
        <f t="shared" si="2"/>
        <v>113</v>
      </c>
      <c r="B119" s="748" t="s">
        <v>2574</v>
      </c>
      <c r="C119" s="747" t="s">
        <v>62</v>
      </c>
      <c r="D119" s="747" t="s">
        <v>1765</v>
      </c>
      <c r="E119" s="779"/>
      <c r="F119" s="749">
        <v>46056</v>
      </c>
      <c r="G119" s="749">
        <v>46059</v>
      </c>
      <c r="H119" s="749">
        <v>46059</v>
      </c>
      <c r="I119" s="749">
        <v>46059</v>
      </c>
      <c r="J119" s="749">
        <v>46059</v>
      </c>
      <c r="K119" s="749">
        <v>46060</v>
      </c>
      <c r="L119" s="749">
        <v>46060</v>
      </c>
      <c r="M119" s="937" t="s">
        <v>631</v>
      </c>
      <c r="N119" s="999">
        <v>46060</v>
      </c>
      <c r="O119" s="747" t="s">
        <v>3231</v>
      </c>
      <c r="P119" s="747">
        <v>13</v>
      </c>
      <c r="Q119" s="854"/>
    </row>
    <row r="120" spans="1:17" s="1035" customFormat="1" ht="45" customHeight="1">
      <c r="A120" s="747">
        <f t="shared" si="2"/>
        <v>114</v>
      </c>
      <c r="B120" s="748" t="s">
        <v>2580</v>
      </c>
      <c r="C120" s="747" t="s">
        <v>76</v>
      </c>
      <c r="D120" s="747" t="s">
        <v>1765</v>
      </c>
      <c r="E120" s="779"/>
      <c r="F120" s="749">
        <v>46057</v>
      </c>
      <c r="G120" s="749">
        <v>45327</v>
      </c>
      <c r="H120" s="749">
        <v>46063</v>
      </c>
      <c r="I120" s="749">
        <v>46063</v>
      </c>
      <c r="J120" s="749">
        <v>46064</v>
      </c>
      <c r="K120" s="749">
        <v>46065</v>
      </c>
      <c r="L120" s="749">
        <v>46065</v>
      </c>
      <c r="M120" s="937" t="s">
        <v>631</v>
      </c>
      <c r="N120" s="999">
        <v>46067</v>
      </c>
      <c r="O120" s="747" t="s">
        <v>3139</v>
      </c>
      <c r="P120" s="747">
        <v>40</v>
      </c>
      <c r="Q120" s="854"/>
    </row>
    <row r="121" spans="1:17" s="1035" customFormat="1" ht="45" customHeight="1">
      <c r="A121" s="1042">
        <f t="shared" si="2"/>
        <v>115</v>
      </c>
      <c r="B121" s="1043" t="s">
        <v>3185</v>
      </c>
      <c r="C121" s="1042" t="s">
        <v>1277</v>
      </c>
      <c r="D121" s="1042" t="s">
        <v>1765</v>
      </c>
      <c r="E121" s="943"/>
      <c r="F121" s="1044">
        <v>46058</v>
      </c>
      <c r="G121" s="1044">
        <v>46066</v>
      </c>
      <c r="H121" s="1044">
        <v>46066</v>
      </c>
      <c r="I121" s="1044">
        <v>46066</v>
      </c>
      <c r="J121" s="1044">
        <v>46067</v>
      </c>
      <c r="K121" s="1044">
        <v>46067</v>
      </c>
      <c r="L121" s="1044">
        <v>46067</v>
      </c>
      <c r="M121" s="1045" t="s">
        <v>631</v>
      </c>
      <c r="N121" s="1058">
        <v>46068</v>
      </c>
      <c r="O121" s="1042" t="s">
        <v>2861</v>
      </c>
      <c r="P121" s="1042">
        <v>25</v>
      </c>
      <c r="Q121" s="1046"/>
    </row>
    <row r="122" spans="1:17" s="1035" customFormat="1" ht="45" customHeight="1">
      <c r="A122" s="1042">
        <f t="shared" si="2"/>
        <v>116</v>
      </c>
      <c r="B122" s="1043" t="s">
        <v>529</v>
      </c>
      <c r="C122" s="1042" t="s">
        <v>76</v>
      </c>
      <c r="D122" s="1042" t="s">
        <v>3287</v>
      </c>
      <c r="E122" s="943"/>
      <c r="F122" s="1044">
        <v>46058</v>
      </c>
      <c r="G122" s="1044">
        <v>46073</v>
      </c>
      <c r="H122" s="1044">
        <v>46073</v>
      </c>
      <c r="I122" s="1044">
        <v>46073</v>
      </c>
      <c r="J122" s="1044">
        <v>46073</v>
      </c>
      <c r="K122" s="1044">
        <v>46074</v>
      </c>
      <c r="L122" s="1044">
        <v>46074</v>
      </c>
      <c r="M122" s="1045" t="s">
        <v>631</v>
      </c>
      <c r="N122" s="1058">
        <v>46073</v>
      </c>
      <c r="O122" s="1042" t="s">
        <v>2830</v>
      </c>
      <c r="P122" s="1042">
        <v>16</v>
      </c>
      <c r="Q122" s="1046"/>
    </row>
    <row r="123" spans="1:17" s="1035" customFormat="1" ht="45" customHeight="1">
      <c r="A123" s="747">
        <f t="shared" si="2"/>
        <v>117</v>
      </c>
      <c r="B123" s="748" t="s">
        <v>3152</v>
      </c>
      <c r="C123" s="747" t="s">
        <v>76</v>
      </c>
      <c r="D123" s="747" t="s">
        <v>1765</v>
      </c>
      <c r="E123" s="779"/>
      <c r="F123" s="749">
        <v>46059</v>
      </c>
      <c r="G123" s="749">
        <v>46063</v>
      </c>
      <c r="H123" s="749">
        <v>46064</v>
      </c>
      <c r="I123" s="749">
        <v>46064</v>
      </c>
      <c r="J123" s="749">
        <v>46066</v>
      </c>
      <c r="K123" s="749">
        <v>46066</v>
      </c>
      <c r="L123" s="749">
        <v>46066</v>
      </c>
      <c r="M123" s="937" t="s">
        <v>631</v>
      </c>
      <c r="N123" s="999">
        <v>46067</v>
      </c>
      <c r="O123" s="747" t="s">
        <v>3139</v>
      </c>
      <c r="P123" s="747">
        <v>40</v>
      </c>
      <c r="Q123" s="854"/>
    </row>
    <row r="124" spans="1:17" s="1035" customFormat="1" ht="45" customHeight="1">
      <c r="A124" s="747">
        <f t="shared" si="2"/>
        <v>118</v>
      </c>
      <c r="B124" s="748" t="s">
        <v>2988</v>
      </c>
      <c r="C124" s="747" t="s">
        <v>1277</v>
      </c>
      <c r="D124" s="747" t="s">
        <v>1765</v>
      </c>
      <c r="E124" s="779"/>
      <c r="F124" s="749">
        <v>46059</v>
      </c>
      <c r="G124" s="749">
        <v>46067</v>
      </c>
      <c r="H124" s="749">
        <v>46067</v>
      </c>
      <c r="I124" s="749">
        <v>46067</v>
      </c>
      <c r="J124" s="749">
        <v>46068</v>
      </c>
      <c r="K124" s="749">
        <v>46072</v>
      </c>
      <c r="L124" s="749">
        <v>46072</v>
      </c>
      <c r="M124" s="937" t="s">
        <v>631</v>
      </c>
      <c r="N124" s="999">
        <v>46072</v>
      </c>
      <c r="O124" s="747" t="s">
        <v>2837</v>
      </c>
      <c r="P124" s="747">
        <v>20</v>
      </c>
      <c r="Q124" s="854"/>
    </row>
    <row r="125" spans="1:17" s="1035" customFormat="1" ht="45" customHeight="1">
      <c r="A125" s="1042">
        <f t="shared" si="2"/>
        <v>119</v>
      </c>
      <c r="B125" s="1043" t="s">
        <v>2521</v>
      </c>
      <c r="C125" s="1042" t="s">
        <v>76</v>
      </c>
      <c r="D125" s="1042" t="s">
        <v>1765</v>
      </c>
      <c r="E125" s="943"/>
      <c r="F125" s="1044">
        <v>46062</v>
      </c>
      <c r="G125" s="1044">
        <v>46066</v>
      </c>
      <c r="H125" s="1044">
        <v>46066</v>
      </c>
      <c r="I125" s="1044">
        <v>46066</v>
      </c>
      <c r="J125" s="1044">
        <v>46067</v>
      </c>
      <c r="K125" s="1044">
        <v>46068</v>
      </c>
      <c r="L125" s="1044">
        <v>46068</v>
      </c>
      <c r="M125" s="1045" t="s">
        <v>631</v>
      </c>
      <c r="N125" s="1058">
        <v>46073</v>
      </c>
      <c r="O125" s="1042" t="s">
        <v>3139</v>
      </c>
      <c r="P125" s="1042">
        <v>40</v>
      </c>
      <c r="Q125" s="1046"/>
    </row>
    <row r="126" spans="1:17" s="1035" customFormat="1" ht="45" customHeight="1">
      <c r="A126" s="1042">
        <f t="shared" si="2"/>
        <v>120</v>
      </c>
      <c r="B126" s="1043" t="s">
        <v>3161</v>
      </c>
      <c r="C126" s="1042" t="s">
        <v>76</v>
      </c>
      <c r="D126" s="1042" t="s">
        <v>1765</v>
      </c>
      <c r="E126" s="943"/>
      <c r="F126" s="1044">
        <v>46062</v>
      </c>
      <c r="G126" s="1044">
        <v>46066</v>
      </c>
      <c r="H126" s="1044">
        <v>46066</v>
      </c>
      <c r="I126" s="1044">
        <v>46067</v>
      </c>
      <c r="J126" s="1044">
        <v>46067</v>
      </c>
      <c r="K126" s="1044">
        <v>46068</v>
      </c>
      <c r="L126" s="1044">
        <v>46068</v>
      </c>
      <c r="M126" s="1045" t="s">
        <v>631</v>
      </c>
      <c r="N126" s="1058">
        <v>46068</v>
      </c>
      <c r="O126" s="1042" t="s">
        <v>2861</v>
      </c>
      <c r="P126" s="1042">
        <v>25</v>
      </c>
      <c r="Q126" s="1046"/>
    </row>
    <row r="127" spans="1:17" s="1035" customFormat="1" ht="45" customHeight="1">
      <c r="A127" s="1042">
        <f t="shared" si="2"/>
        <v>121</v>
      </c>
      <c r="B127" s="1043" t="s">
        <v>3019</v>
      </c>
      <c r="C127" s="1042" t="s">
        <v>1277</v>
      </c>
      <c r="D127" s="1042" t="s">
        <v>1765</v>
      </c>
      <c r="E127" s="943"/>
      <c r="F127" s="1044">
        <v>46062</v>
      </c>
      <c r="G127" s="1044">
        <v>46068</v>
      </c>
      <c r="H127" s="1044">
        <v>46069</v>
      </c>
      <c r="I127" s="1044">
        <v>46069</v>
      </c>
      <c r="J127" s="1044">
        <v>46070</v>
      </c>
      <c r="K127" s="1044">
        <v>46071</v>
      </c>
      <c r="L127" s="1044">
        <v>46071</v>
      </c>
      <c r="M127" s="1045" t="s">
        <v>631</v>
      </c>
      <c r="N127" s="1058">
        <v>46071</v>
      </c>
      <c r="O127" s="1042" t="s">
        <v>3231</v>
      </c>
      <c r="P127" s="1042">
        <v>13</v>
      </c>
      <c r="Q127" s="1046"/>
    </row>
    <row r="128" spans="1:17" s="1035" customFormat="1" ht="45" customHeight="1">
      <c r="A128" s="1042">
        <f t="shared" si="2"/>
        <v>122</v>
      </c>
      <c r="B128" s="1043" t="s">
        <v>2915</v>
      </c>
      <c r="C128" s="1042" t="s">
        <v>1361</v>
      </c>
      <c r="D128" s="1042" t="s">
        <v>3287</v>
      </c>
      <c r="E128" s="943"/>
      <c r="F128" s="1044">
        <v>46063</v>
      </c>
      <c r="G128" s="1044">
        <v>46067</v>
      </c>
      <c r="H128" s="1044">
        <v>46068</v>
      </c>
      <c r="I128" s="1044">
        <v>46068</v>
      </c>
      <c r="J128" s="1044">
        <v>46069</v>
      </c>
      <c r="K128" s="1044">
        <v>46071</v>
      </c>
      <c r="L128" s="1044">
        <v>46071</v>
      </c>
      <c r="M128" s="1045" t="s">
        <v>631</v>
      </c>
      <c r="N128" s="1058">
        <v>46072</v>
      </c>
      <c r="O128" s="1042" t="s">
        <v>3299</v>
      </c>
      <c r="P128" s="1042">
        <v>18</v>
      </c>
      <c r="Q128" s="1046"/>
    </row>
    <row r="129" spans="1:17" s="1035" customFormat="1" ht="45" customHeight="1">
      <c r="A129" s="747">
        <f t="shared" si="2"/>
        <v>123</v>
      </c>
      <c r="B129" s="748" t="s">
        <v>2522</v>
      </c>
      <c r="C129" s="747" t="s">
        <v>62</v>
      </c>
      <c r="D129" s="747" t="s">
        <v>1765</v>
      </c>
      <c r="E129" s="779"/>
      <c r="F129" s="749">
        <v>46065</v>
      </c>
      <c r="G129" s="749">
        <v>46068</v>
      </c>
      <c r="H129" s="749">
        <v>46069</v>
      </c>
      <c r="I129" s="749">
        <v>46069</v>
      </c>
      <c r="J129" s="749">
        <v>46069</v>
      </c>
      <c r="K129" s="749">
        <v>46073</v>
      </c>
      <c r="L129" s="749">
        <v>46073</v>
      </c>
      <c r="M129" s="937" t="s">
        <v>631</v>
      </c>
      <c r="N129" s="999">
        <v>46073</v>
      </c>
      <c r="O129" s="747" t="s">
        <v>3304</v>
      </c>
      <c r="P129" s="747">
        <v>25</v>
      </c>
      <c r="Q129" s="854"/>
    </row>
    <row r="130" spans="1:17" s="1035" customFormat="1" ht="45" customHeight="1">
      <c r="A130" s="1042">
        <f t="shared" si="2"/>
        <v>124</v>
      </c>
      <c r="B130" s="1043" t="s">
        <v>2910</v>
      </c>
      <c r="C130" s="1042" t="s">
        <v>1269</v>
      </c>
      <c r="D130" s="1042" t="s">
        <v>3287</v>
      </c>
      <c r="E130" s="943"/>
      <c r="F130" s="1044">
        <v>46063</v>
      </c>
      <c r="G130" s="1044">
        <v>46072</v>
      </c>
      <c r="H130" s="1044">
        <v>46073</v>
      </c>
      <c r="I130" s="1044">
        <v>46073</v>
      </c>
      <c r="J130" s="1044">
        <v>46073</v>
      </c>
      <c r="K130" s="1044">
        <v>46074</v>
      </c>
      <c r="L130" s="1044">
        <v>46074</v>
      </c>
      <c r="M130" s="1045" t="s">
        <v>631</v>
      </c>
      <c r="N130" s="1058">
        <v>46072</v>
      </c>
      <c r="O130" s="1042" t="s">
        <v>3300</v>
      </c>
      <c r="P130" s="1042">
        <v>15</v>
      </c>
      <c r="Q130" s="1046"/>
    </row>
    <row r="131" spans="1:17" s="1035" customFormat="1" ht="45" customHeight="1">
      <c r="A131" s="1042">
        <f t="shared" si="2"/>
        <v>125</v>
      </c>
      <c r="B131" s="1043" t="s">
        <v>2952</v>
      </c>
      <c r="C131" s="1042" t="s">
        <v>1988</v>
      </c>
      <c r="D131" s="1042" t="s">
        <v>2736</v>
      </c>
      <c r="E131" s="943"/>
      <c r="F131" s="1044">
        <v>46065</v>
      </c>
      <c r="G131" s="1044">
        <v>46077</v>
      </c>
      <c r="H131" s="1044">
        <v>46078</v>
      </c>
      <c r="I131" s="1044">
        <v>46078</v>
      </c>
      <c r="J131" s="1044">
        <v>46080</v>
      </c>
      <c r="K131" s="1044">
        <v>46080</v>
      </c>
      <c r="L131" s="1044">
        <v>46080</v>
      </c>
      <c r="M131" s="1045" t="s">
        <v>631</v>
      </c>
      <c r="N131" s="1058">
        <v>46078</v>
      </c>
      <c r="O131" s="1042" t="s">
        <v>2725</v>
      </c>
      <c r="P131" s="1042">
        <v>20</v>
      </c>
      <c r="Q131" s="1046"/>
    </row>
    <row r="132" spans="1:17" s="1035" customFormat="1" ht="45" customHeight="1">
      <c r="A132" s="1042">
        <f t="shared" si="2"/>
        <v>126</v>
      </c>
      <c r="B132" s="1043" t="s">
        <v>3153</v>
      </c>
      <c r="C132" s="1042" t="s">
        <v>62</v>
      </c>
      <c r="D132" s="1042" t="s">
        <v>1765</v>
      </c>
      <c r="E132" s="943"/>
      <c r="F132" s="1044">
        <v>46066</v>
      </c>
      <c r="G132" s="1044">
        <v>46070</v>
      </c>
      <c r="H132" s="1044">
        <v>46070</v>
      </c>
      <c r="I132" s="1044">
        <v>46070</v>
      </c>
      <c r="J132" s="1044">
        <v>46070</v>
      </c>
      <c r="K132" s="1044">
        <v>46071</v>
      </c>
      <c r="L132" s="1044">
        <v>46071</v>
      </c>
      <c r="M132" s="1045" t="s">
        <v>631</v>
      </c>
      <c r="N132" s="1058">
        <v>46072</v>
      </c>
      <c r="O132" s="1042" t="s">
        <v>3305</v>
      </c>
      <c r="P132" s="1042">
        <v>20</v>
      </c>
      <c r="Q132" s="1046"/>
    </row>
    <row r="133" spans="1:17" s="1035" customFormat="1" ht="45" customHeight="1">
      <c r="A133" s="747">
        <f t="shared" si="2"/>
        <v>127</v>
      </c>
      <c r="B133" s="748" t="s">
        <v>2930</v>
      </c>
      <c r="C133" s="747" t="s">
        <v>2212</v>
      </c>
      <c r="D133" s="747" t="s">
        <v>1765</v>
      </c>
      <c r="E133" s="780"/>
      <c r="F133" s="749">
        <v>46068</v>
      </c>
      <c r="G133" s="749">
        <v>46076</v>
      </c>
      <c r="H133" s="749">
        <v>46077</v>
      </c>
      <c r="I133" s="749">
        <v>46077</v>
      </c>
      <c r="J133" s="749">
        <v>46077</v>
      </c>
      <c r="K133" s="749">
        <v>46078</v>
      </c>
      <c r="L133" s="749">
        <v>46078</v>
      </c>
      <c r="M133" s="937" t="s">
        <v>631</v>
      </c>
      <c r="N133" s="999">
        <v>46079</v>
      </c>
      <c r="O133" s="747" t="s">
        <v>3303</v>
      </c>
      <c r="P133" s="747">
        <v>15</v>
      </c>
      <c r="Q133" s="854"/>
    </row>
    <row r="134" spans="1:17" s="1035" customFormat="1" ht="45" customHeight="1">
      <c r="A134" s="747">
        <f t="shared" si="2"/>
        <v>128</v>
      </c>
      <c r="B134" s="748" t="s">
        <v>458</v>
      </c>
      <c r="C134" s="747" t="s">
        <v>62</v>
      </c>
      <c r="D134" s="747" t="s">
        <v>1765</v>
      </c>
      <c r="E134" s="779"/>
      <c r="F134" s="749">
        <v>46067</v>
      </c>
      <c r="G134" s="749">
        <v>46068</v>
      </c>
      <c r="H134" s="749">
        <v>46068</v>
      </c>
      <c r="I134" s="749">
        <v>46068</v>
      </c>
      <c r="J134" s="749">
        <v>46069</v>
      </c>
      <c r="K134" s="749">
        <v>46070</v>
      </c>
      <c r="L134" s="749">
        <v>46070</v>
      </c>
      <c r="M134" s="937" t="s">
        <v>631</v>
      </c>
      <c r="N134" s="999">
        <v>46070</v>
      </c>
      <c r="O134" s="747" t="s">
        <v>2830</v>
      </c>
      <c r="P134" s="747">
        <v>16</v>
      </c>
      <c r="Q134" s="854"/>
    </row>
    <row r="135" spans="1:17" s="1035" customFormat="1" ht="45" customHeight="1">
      <c r="A135" s="1042">
        <f t="shared" si="2"/>
        <v>129</v>
      </c>
      <c r="B135" s="1043" t="s">
        <v>3010</v>
      </c>
      <c r="C135" s="1042" t="s">
        <v>1361</v>
      </c>
      <c r="D135" s="1042" t="s">
        <v>1765</v>
      </c>
      <c r="E135" s="943"/>
      <c r="F135" s="1044">
        <v>46068</v>
      </c>
      <c r="G135" s="1044">
        <v>46078</v>
      </c>
      <c r="H135" s="1044">
        <v>46080</v>
      </c>
      <c r="I135" s="1044">
        <v>46080</v>
      </c>
      <c r="J135" s="1044">
        <v>46080</v>
      </c>
      <c r="K135" s="1044">
        <v>46080</v>
      </c>
      <c r="L135" s="1044">
        <v>46080</v>
      </c>
      <c r="M135" s="1045" t="s">
        <v>631</v>
      </c>
      <c r="N135" s="1058">
        <v>46081</v>
      </c>
      <c r="O135" s="1042" t="s">
        <v>3305</v>
      </c>
      <c r="P135" s="1042">
        <v>20</v>
      </c>
      <c r="Q135" s="1046"/>
    </row>
    <row r="136" spans="1:17" s="1035" customFormat="1" ht="45" customHeight="1">
      <c r="A136" s="747">
        <f t="shared" si="2"/>
        <v>130</v>
      </c>
      <c r="B136" s="748" t="s">
        <v>3005</v>
      </c>
      <c r="C136" s="937" t="s">
        <v>3306</v>
      </c>
      <c r="D136" s="747" t="s">
        <v>1765</v>
      </c>
      <c r="E136" s="779"/>
      <c r="F136" s="749">
        <v>46068</v>
      </c>
      <c r="G136" s="749">
        <v>46074</v>
      </c>
      <c r="H136" s="749">
        <v>46074</v>
      </c>
      <c r="I136" s="749">
        <v>46074</v>
      </c>
      <c r="J136" s="749">
        <v>46075</v>
      </c>
      <c r="K136" s="749">
        <v>46077</v>
      </c>
      <c r="L136" s="749">
        <v>46077</v>
      </c>
      <c r="M136" s="937" t="s">
        <v>631</v>
      </c>
      <c r="N136" s="999">
        <v>46078</v>
      </c>
      <c r="O136" s="747" t="s">
        <v>2843</v>
      </c>
      <c r="P136" s="747">
        <v>20</v>
      </c>
      <c r="Q136" s="854"/>
    </row>
    <row r="137" spans="1:17" s="1035" customFormat="1" ht="59.1" customHeight="1">
      <c r="A137" s="747">
        <f t="shared" si="2"/>
        <v>131</v>
      </c>
      <c r="B137" s="748" t="s">
        <v>3017</v>
      </c>
      <c r="C137" s="937" t="s">
        <v>3308</v>
      </c>
      <c r="D137" s="747" t="s">
        <v>2736</v>
      </c>
      <c r="E137" s="779"/>
      <c r="F137" s="749">
        <v>46072</v>
      </c>
      <c r="G137" s="749">
        <v>46082</v>
      </c>
      <c r="H137" s="749">
        <v>46082</v>
      </c>
      <c r="I137" s="749">
        <v>46086</v>
      </c>
      <c r="J137" s="749">
        <v>46087</v>
      </c>
      <c r="K137" s="749">
        <v>46097</v>
      </c>
      <c r="L137" s="749">
        <v>46097</v>
      </c>
      <c r="M137" s="937" t="s">
        <v>631</v>
      </c>
      <c r="N137" s="999">
        <v>46097</v>
      </c>
      <c r="O137" s="747" t="s">
        <v>3305</v>
      </c>
      <c r="P137" s="747">
        <v>20</v>
      </c>
      <c r="Q137" s="854"/>
    </row>
    <row r="138" spans="1:17" s="1035" customFormat="1" ht="45" customHeight="1">
      <c r="A138" s="747">
        <f t="shared" si="2"/>
        <v>132</v>
      </c>
      <c r="B138" s="748" t="s">
        <v>3188</v>
      </c>
      <c r="C138" s="937" t="s">
        <v>2197</v>
      </c>
      <c r="D138" s="747" t="s">
        <v>2736</v>
      </c>
      <c r="E138" s="779"/>
      <c r="F138" s="749">
        <v>46072</v>
      </c>
      <c r="G138" s="749">
        <v>46079</v>
      </c>
      <c r="H138" s="749">
        <v>46080</v>
      </c>
      <c r="I138" s="749">
        <v>46080</v>
      </c>
      <c r="J138" s="749">
        <v>46081</v>
      </c>
      <c r="K138" s="749">
        <v>46081</v>
      </c>
      <c r="L138" s="749">
        <v>46081</v>
      </c>
      <c r="M138" s="937" t="s">
        <v>631</v>
      </c>
      <c r="N138" s="999">
        <v>46084</v>
      </c>
      <c r="O138" s="747" t="s">
        <v>2861</v>
      </c>
      <c r="P138" s="747">
        <v>20</v>
      </c>
      <c r="Q138" s="854"/>
    </row>
    <row r="139" spans="1:17" s="1035" customFormat="1" ht="38.1" customHeight="1">
      <c r="A139" s="747">
        <f t="shared" si="2"/>
        <v>133</v>
      </c>
      <c r="B139" s="748" t="s">
        <v>3309</v>
      </c>
      <c r="C139" s="937" t="s">
        <v>76</v>
      </c>
      <c r="D139" s="747" t="s">
        <v>3286</v>
      </c>
      <c r="E139" s="779"/>
      <c r="F139" s="749">
        <v>46072</v>
      </c>
      <c r="G139" s="749">
        <v>46078</v>
      </c>
      <c r="H139" s="749">
        <v>46078</v>
      </c>
      <c r="I139" s="749">
        <v>46078</v>
      </c>
      <c r="J139" s="749">
        <v>46078</v>
      </c>
      <c r="K139" s="749">
        <v>46079</v>
      </c>
      <c r="L139" s="749">
        <v>46079</v>
      </c>
      <c r="M139" s="937" t="s">
        <v>631</v>
      </c>
      <c r="N139" s="999">
        <v>46105</v>
      </c>
      <c r="O139" s="747" t="s">
        <v>3252</v>
      </c>
      <c r="P139" s="747">
        <v>15</v>
      </c>
      <c r="Q139" s="854"/>
    </row>
    <row r="140" spans="1:17" s="1035" customFormat="1" ht="45" customHeight="1">
      <c r="A140" s="747">
        <f t="shared" ref="A140:A144" si="3">A139+1</f>
        <v>134</v>
      </c>
      <c r="B140" s="748" t="s">
        <v>2912</v>
      </c>
      <c r="C140" s="937" t="s">
        <v>1269</v>
      </c>
      <c r="D140" s="747" t="s">
        <v>3286</v>
      </c>
      <c r="E140" s="779"/>
      <c r="F140" s="749">
        <v>46072</v>
      </c>
      <c r="G140" s="749">
        <v>46082</v>
      </c>
      <c r="H140" s="749">
        <v>46082</v>
      </c>
      <c r="I140" s="749">
        <v>46082</v>
      </c>
      <c r="J140" s="749">
        <v>46083</v>
      </c>
      <c r="K140" s="749">
        <v>46083</v>
      </c>
      <c r="L140" s="749">
        <v>46083</v>
      </c>
      <c r="M140" s="937" t="s">
        <v>631</v>
      </c>
      <c r="N140" s="999">
        <v>46095</v>
      </c>
      <c r="O140" s="747" t="s">
        <v>3252</v>
      </c>
      <c r="P140" s="747">
        <v>15</v>
      </c>
      <c r="Q140" s="854"/>
    </row>
    <row r="141" spans="1:17" s="1035" customFormat="1" ht="45" customHeight="1">
      <c r="A141" s="747">
        <f t="shared" si="3"/>
        <v>135</v>
      </c>
      <c r="B141" s="748" t="s">
        <v>2558</v>
      </c>
      <c r="C141" s="937" t="s">
        <v>76</v>
      </c>
      <c r="D141" s="747" t="s">
        <v>3286</v>
      </c>
      <c r="E141" s="779"/>
      <c r="F141" s="749">
        <v>46074</v>
      </c>
      <c r="G141" s="749">
        <v>46079</v>
      </c>
      <c r="H141" s="749">
        <v>46080</v>
      </c>
      <c r="I141" s="749">
        <v>46080</v>
      </c>
      <c r="J141" s="749">
        <v>46081</v>
      </c>
      <c r="K141" s="749">
        <v>46081</v>
      </c>
      <c r="L141" s="749">
        <v>46081</v>
      </c>
      <c r="M141" s="937" t="s">
        <v>631</v>
      </c>
      <c r="N141" s="999">
        <v>46084</v>
      </c>
      <c r="O141" s="747" t="s">
        <v>2875</v>
      </c>
      <c r="P141" s="747">
        <v>10</v>
      </c>
      <c r="Q141" s="854"/>
    </row>
    <row r="142" spans="1:17" s="1035" customFormat="1" ht="45" customHeight="1">
      <c r="A142" s="747">
        <f t="shared" si="3"/>
        <v>136</v>
      </c>
      <c r="B142" s="748" t="s">
        <v>3018</v>
      </c>
      <c r="C142" s="937" t="s">
        <v>1988</v>
      </c>
      <c r="D142" s="747" t="s">
        <v>2736</v>
      </c>
      <c r="E142" s="779"/>
      <c r="F142" s="749">
        <v>46074</v>
      </c>
      <c r="G142" s="749">
        <v>46087</v>
      </c>
      <c r="H142" s="749">
        <v>46088</v>
      </c>
      <c r="I142" s="749">
        <v>46089</v>
      </c>
      <c r="J142" s="749">
        <v>46090</v>
      </c>
      <c r="K142" s="749">
        <v>46091</v>
      </c>
      <c r="L142" s="749">
        <v>46091</v>
      </c>
      <c r="M142" s="937" t="s">
        <v>631</v>
      </c>
      <c r="N142" s="999">
        <v>46091</v>
      </c>
      <c r="O142" s="747" t="s">
        <v>3231</v>
      </c>
      <c r="P142" s="747">
        <v>13</v>
      </c>
      <c r="Q142" s="854"/>
    </row>
    <row r="143" spans="1:17" s="1035" customFormat="1" ht="45" customHeight="1">
      <c r="A143" s="747">
        <f t="shared" si="3"/>
        <v>137</v>
      </c>
      <c r="B143" s="748" t="s">
        <v>2994</v>
      </c>
      <c r="C143" s="937" t="s">
        <v>1269</v>
      </c>
      <c r="D143" s="747" t="s">
        <v>1765</v>
      </c>
      <c r="E143" s="779"/>
      <c r="F143" s="749">
        <v>46074</v>
      </c>
      <c r="G143" s="749">
        <v>46079</v>
      </c>
      <c r="H143" s="749">
        <v>46080</v>
      </c>
      <c r="I143" s="749">
        <v>46080</v>
      </c>
      <c r="J143" s="749">
        <v>46081</v>
      </c>
      <c r="K143" s="749">
        <v>46081</v>
      </c>
      <c r="L143" s="749">
        <v>46081</v>
      </c>
      <c r="M143" s="937" t="s">
        <v>631</v>
      </c>
      <c r="N143" s="999">
        <v>46087</v>
      </c>
      <c r="O143" s="747" t="s">
        <v>2837</v>
      </c>
      <c r="P143" s="747">
        <v>18</v>
      </c>
      <c r="Q143" s="854"/>
    </row>
    <row r="144" spans="1:17" s="1035" customFormat="1" ht="45" customHeight="1">
      <c r="A144" s="747">
        <f t="shared" si="3"/>
        <v>138</v>
      </c>
      <c r="B144" s="748" t="s">
        <v>538</v>
      </c>
      <c r="C144" s="937" t="s">
        <v>249</v>
      </c>
      <c r="D144" s="747" t="s">
        <v>3286</v>
      </c>
      <c r="E144" s="779"/>
      <c r="F144" s="749">
        <v>46075</v>
      </c>
      <c r="G144" s="749">
        <v>46078</v>
      </c>
      <c r="H144" s="749">
        <v>46079</v>
      </c>
      <c r="I144" s="749">
        <v>46079</v>
      </c>
      <c r="J144" s="749">
        <v>46079</v>
      </c>
      <c r="K144" s="749">
        <v>46079</v>
      </c>
      <c r="L144" s="749">
        <v>46079</v>
      </c>
      <c r="M144" s="937" t="s">
        <v>631</v>
      </c>
      <c r="N144" s="999">
        <v>46081</v>
      </c>
      <c r="O144" s="747" t="s">
        <v>2830</v>
      </c>
      <c r="P144" s="747">
        <v>16</v>
      </c>
      <c r="Q144" s="854"/>
    </row>
    <row r="145" spans="1:18" s="1035" customFormat="1" ht="45" customHeight="1">
      <c r="A145" s="1042">
        <f t="shared" ref="A145:A245" si="4">A144+1</f>
        <v>139</v>
      </c>
      <c r="B145" s="1043" t="s">
        <v>188</v>
      </c>
      <c r="C145" s="1045" t="s">
        <v>76</v>
      </c>
      <c r="D145" s="1042" t="s">
        <v>3286</v>
      </c>
      <c r="E145" s="943"/>
      <c r="F145" s="1044">
        <v>46079</v>
      </c>
      <c r="G145" s="1044">
        <v>46093</v>
      </c>
      <c r="H145" s="1044">
        <v>46093</v>
      </c>
      <c r="I145" s="1044">
        <v>46093</v>
      </c>
      <c r="J145" s="1044">
        <v>46093</v>
      </c>
      <c r="K145" s="1044">
        <v>46094</v>
      </c>
      <c r="L145" s="1044">
        <v>46094</v>
      </c>
      <c r="M145" s="1045" t="s">
        <v>631</v>
      </c>
      <c r="N145" s="999">
        <v>46105</v>
      </c>
      <c r="O145" s="1042" t="s">
        <v>3252</v>
      </c>
      <c r="P145" s="1042">
        <v>15</v>
      </c>
      <c r="Q145" s="1046"/>
    </row>
    <row r="146" spans="1:18" s="1035" customFormat="1" ht="45" customHeight="1">
      <c r="A146" s="747">
        <f t="shared" si="4"/>
        <v>140</v>
      </c>
      <c r="B146" s="748" t="s">
        <v>2918</v>
      </c>
      <c r="C146" s="937" t="s">
        <v>1953</v>
      </c>
      <c r="D146" s="747" t="s">
        <v>3286</v>
      </c>
      <c r="E146" s="779"/>
      <c r="F146" s="749">
        <v>46079</v>
      </c>
      <c r="G146" s="749">
        <v>46095</v>
      </c>
      <c r="H146" s="749">
        <v>46103</v>
      </c>
      <c r="I146" s="749">
        <v>46103</v>
      </c>
      <c r="J146" s="749">
        <v>46103</v>
      </c>
      <c r="K146" s="749">
        <v>46104</v>
      </c>
      <c r="L146" s="749">
        <v>46104</v>
      </c>
      <c r="M146" s="937" t="s">
        <v>631</v>
      </c>
      <c r="N146" s="999">
        <v>46104</v>
      </c>
      <c r="O146" s="747" t="s">
        <v>2830</v>
      </c>
      <c r="P146" s="747">
        <v>16</v>
      </c>
      <c r="Q146" s="854"/>
    </row>
    <row r="147" spans="1:18" s="1035" customFormat="1" ht="45" customHeight="1">
      <c r="A147" s="747">
        <f t="shared" si="4"/>
        <v>141</v>
      </c>
      <c r="B147" s="748" t="s">
        <v>735</v>
      </c>
      <c r="C147" s="937" t="s">
        <v>53</v>
      </c>
      <c r="D147" s="747" t="s">
        <v>3286</v>
      </c>
      <c r="E147" s="779"/>
      <c r="F147" s="749">
        <v>46086</v>
      </c>
      <c r="G147" s="749">
        <v>46110</v>
      </c>
      <c r="H147" s="749">
        <v>46111</v>
      </c>
      <c r="I147" s="749">
        <v>46111</v>
      </c>
      <c r="J147" s="749">
        <v>46111</v>
      </c>
      <c r="K147" s="749">
        <v>46112</v>
      </c>
      <c r="L147" s="749">
        <v>46112</v>
      </c>
      <c r="M147" s="937" t="s">
        <v>631</v>
      </c>
      <c r="N147" s="999">
        <v>46118</v>
      </c>
      <c r="O147" s="747" t="s">
        <v>3255</v>
      </c>
      <c r="P147" s="747">
        <v>10</v>
      </c>
      <c r="Q147" s="854"/>
    </row>
    <row r="148" spans="1:18" s="1035" customFormat="1" ht="45" customHeight="1">
      <c r="A148" s="747">
        <f t="shared" si="4"/>
        <v>142</v>
      </c>
      <c r="B148" s="748" t="s">
        <v>3021</v>
      </c>
      <c r="C148" s="937" t="s">
        <v>1319</v>
      </c>
      <c r="D148" s="747" t="s">
        <v>1765</v>
      </c>
      <c r="E148" s="779"/>
      <c r="F148" s="749">
        <v>46081</v>
      </c>
      <c r="G148" s="749">
        <v>46101</v>
      </c>
      <c r="H148" s="749">
        <v>46103</v>
      </c>
      <c r="I148" s="749">
        <v>46103</v>
      </c>
      <c r="J148" s="749">
        <v>46104</v>
      </c>
      <c r="K148" s="749">
        <v>46107</v>
      </c>
      <c r="L148" s="749">
        <v>46107</v>
      </c>
      <c r="M148" s="937" t="s">
        <v>631</v>
      </c>
      <c r="N148" s="999">
        <v>46113</v>
      </c>
      <c r="O148" s="747" t="s">
        <v>3139</v>
      </c>
      <c r="P148" s="747">
        <v>20</v>
      </c>
      <c r="Q148" s="854"/>
    </row>
    <row r="149" spans="1:18" s="1035" customFormat="1" ht="45" customHeight="1">
      <c r="A149" s="747">
        <f t="shared" si="4"/>
        <v>143</v>
      </c>
      <c r="B149" s="748" t="s">
        <v>2981</v>
      </c>
      <c r="C149" s="937" t="s">
        <v>1988</v>
      </c>
      <c r="D149" s="747" t="s">
        <v>2736</v>
      </c>
      <c r="E149" s="779"/>
      <c r="F149" s="749">
        <v>46082</v>
      </c>
      <c r="G149" s="749">
        <v>46103</v>
      </c>
      <c r="H149" s="749">
        <v>46104</v>
      </c>
      <c r="I149" s="749">
        <v>46104</v>
      </c>
      <c r="J149" s="749">
        <v>46105</v>
      </c>
      <c r="K149" s="749">
        <v>46109</v>
      </c>
      <c r="L149" s="749">
        <v>46109</v>
      </c>
      <c r="M149" s="937" t="s">
        <v>631</v>
      </c>
      <c r="N149" s="999">
        <v>46125</v>
      </c>
      <c r="O149" s="747" t="s">
        <v>2725</v>
      </c>
      <c r="P149" s="747">
        <v>15</v>
      </c>
      <c r="Q149" s="854"/>
    </row>
    <row r="150" spans="1:18" s="1035" customFormat="1" ht="45" customHeight="1">
      <c r="A150" s="747">
        <f t="shared" si="4"/>
        <v>144</v>
      </c>
      <c r="B150" s="748" t="s">
        <v>3122</v>
      </c>
      <c r="C150" s="937" t="s">
        <v>3313</v>
      </c>
      <c r="D150" s="747" t="s">
        <v>2736</v>
      </c>
      <c r="E150" s="779"/>
      <c r="F150" s="749">
        <v>46082</v>
      </c>
      <c r="G150" s="749">
        <v>46091</v>
      </c>
      <c r="H150" s="749">
        <v>46092</v>
      </c>
      <c r="I150" s="749">
        <v>46092</v>
      </c>
      <c r="J150" s="749">
        <v>46094</v>
      </c>
      <c r="K150" s="749">
        <v>46096</v>
      </c>
      <c r="L150" s="749">
        <v>46096</v>
      </c>
      <c r="M150" s="937" t="s">
        <v>631</v>
      </c>
      <c r="N150" s="999">
        <v>46095</v>
      </c>
      <c r="O150" s="747" t="s">
        <v>2843</v>
      </c>
      <c r="P150" s="747">
        <v>20</v>
      </c>
      <c r="Q150" s="854"/>
    </row>
    <row r="151" spans="1:18" s="1035" customFormat="1" ht="45" customHeight="1">
      <c r="A151" s="747">
        <f t="shared" si="4"/>
        <v>145</v>
      </c>
      <c r="B151" s="748" t="s">
        <v>3014</v>
      </c>
      <c r="C151" s="937" t="s">
        <v>1269</v>
      </c>
      <c r="D151" s="747" t="s">
        <v>3286</v>
      </c>
      <c r="E151" s="779"/>
      <c r="F151" s="749">
        <v>46082</v>
      </c>
      <c r="G151" s="749">
        <v>46104</v>
      </c>
      <c r="H151" s="749">
        <v>46104</v>
      </c>
      <c r="I151" s="749">
        <v>46104</v>
      </c>
      <c r="J151" s="749">
        <v>46105</v>
      </c>
      <c r="K151" s="749">
        <v>46106</v>
      </c>
      <c r="L151" s="749">
        <v>46106</v>
      </c>
      <c r="M151" s="937" t="s">
        <v>631</v>
      </c>
      <c r="N151" s="999">
        <v>46109</v>
      </c>
      <c r="O151" s="747" t="s">
        <v>2875</v>
      </c>
      <c r="P151" s="747">
        <v>10</v>
      </c>
      <c r="Q151" s="854"/>
    </row>
    <row r="152" spans="1:18" s="1035" customFormat="1" ht="45" customHeight="1">
      <c r="A152" s="747">
        <f t="shared" si="4"/>
        <v>146</v>
      </c>
      <c r="B152" s="748" t="s">
        <v>3009</v>
      </c>
      <c r="C152" s="937" t="s">
        <v>1361</v>
      </c>
      <c r="D152" s="747" t="s">
        <v>1765</v>
      </c>
      <c r="E152" s="779"/>
      <c r="F152" s="749">
        <v>46083</v>
      </c>
      <c r="G152" s="749">
        <v>46093</v>
      </c>
      <c r="H152" s="749">
        <v>46094</v>
      </c>
      <c r="I152" s="749">
        <v>46094</v>
      </c>
      <c r="J152" s="749">
        <v>46097</v>
      </c>
      <c r="K152" s="749">
        <v>46099</v>
      </c>
      <c r="L152" s="749">
        <v>46099</v>
      </c>
      <c r="M152" s="937" t="s">
        <v>631</v>
      </c>
      <c r="N152" s="999">
        <v>46099</v>
      </c>
      <c r="O152" s="747" t="s">
        <v>3139</v>
      </c>
      <c r="P152" s="747">
        <v>20</v>
      </c>
      <c r="Q152" s="854"/>
    </row>
    <row r="153" spans="1:18" s="1035" customFormat="1" ht="45" customHeight="1">
      <c r="A153" s="747">
        <f t="shared" si="4"/>
        <v>147</v>
      </c>
      <c r="B153" s="748" t="s">
        <v>2904</v>
      </c>
      <c r="C153" s="937" t="s">
        <v>1319</v>
      </c>
      <c r="D153" s="747" t="s">
        <v>3287</v>
      </c>
      <c r="E153" s="779"/>
      <c r="F153" s="749">
        <v>46106</v>
      </c>
      <c r="G153" s="749">
        <v>46110</v>
      </c>
      <c r="H153" s="749">
        <v>46111</v>
      </c>
      <c r="I153" s="749">
        <v>46111</v>
      </c>
      <c r="J153" s="749">
        <v>46111</v>
      </c>
      <c r="K153" s="749">
        <v>46111</v>
      </c>
      <c r="L153" s="749">
        <v>46111</v>
      </c>
      <c r="M153" s="937" t="s">
        <v>631</v>
      </c>
      <c r="N153" s="999">
        <v>46118</v>
      </c>
      <c r="O153" s="747" t="s">
        <v>3252</v>
      </c>
      <c r="P153" s="747">
        <v>10</v>
      </c>
      <c r="Q153" s="854"/>
    </row>
    <row r="154" spans="1:18" s="1035" customFormat="1" ht="45" customHeight="1">
      <c r="A154" s="747">
        <f t="shared" si="4"/>
        <v>148</v>
      </c>
      <c r="B154" s="748" t="s">
        <v>200</v>
      </c>
      <c r="C154" s="937" t="s">
        <v>76</v>
      </c>
      <c r="D154" s="747" t="s">
        <v>3287</v>
      </c>
      <c r="E154" s="779"/>
      <c r="F154" s="749">
        <v>46094</v>
      </c>
      <c r="G154" s="749">
        <v>46099</v>
      </c>
      <c r="H154" s="749">
        <v>46100</v>
      </c>
      <c r="I154" s="749">
        <v>46100</v>
      </c>
      <c r="J154" s="749">
        <v>46100</v>
      </c>
      <c r="K154" s="749">
        <v>46100</v>
      </c>
      <c r="L154" s="749">
        <v>46100</v>
      </c>
      <c r="M154" s="937" t="s">
        <v>631</v>
      </c>
      <c r="N154" s="999">
        <v>46100</v>
      </c>
      <c r="O154" s="747" t="s">
        <v>3252</v>
      </c>
      <c r="P154" s="747">
        <v>20</v>
      </c>
      <c r="Q154" s="854"/>
    </row>
    <row r="155" spans="1:18" s="1035" customFormat="1" ht="45" customHeight="1">
      <c r="A155" s="747">
        <f t="shared" si="4"/>
        <v>149</v>
      </c>
      <c r="B155" s="748" t="s">
        <v>2579</v>
      </c>
      <c r="C155" s="937" t="s">
        <v>3339</v>
      </c>
      <c r="D155" s="747" t="s">
        <v>2736</v>
      </c>
      <c r="E155" s="779"/>
      <c r="F155" s="749">
        <v>46097</v>
      </c>
      <c r="G155" s="749">
        <v>46110</v>
      </c>
      <c r="H155" s="749">
        <v>46111</v>
      </c>
      <c r="I155" s="749">
        <v>46111</v>
      </c>
      <c r="J155" s="749">
        <v>46111</v>
      </c>
      <c r="K155" s="749">
        <v>46112</v>
      </c>
      <c r="L155" s="749">
        <v>46112</v>
      </c>
      <c r="M155" s="937" t="s">
        <v>631</v>
      </c>
      <c r="N155" s="999">
        <v>46121</v>
      </c>
      <c r="O155" s="747" t="s">
        <v>3139</v>
      </c>
      <c r="P155" s="747">
        <v>14</v>
      </c>
      <c r="Q155" s="854"/>
    </row>
    <row r="156" spans="1:18" s="1035" customFormat="1" ht="45" customHeight="1">
      <c r="A156" s="747">
        <f t="shared" si="4"/>
        <v>150</v>
      </c>
      <c r="B156" s="748" t="s">
        <v>3120</v>
      </c>
      <c r="C156" s="937" t="s">
        <v>2197</v>
      </c>
      <c r="D156" s="747" t="s">
        <v>2736</v>
      </c>
      <c r="E156" s="779"/>
      <c r="F156" s="749">
        <v>46105</v>
      </c>
      <c r="G156" s="749">
        <v>46115</v>
      </c>
      <c r="H156" s="749">
        <v>46116</v>
      </c>
      <c r="I156" s="749">
        <v>46116</v>
      </c>
      <c r="J156" s="749">
        <v>46116</v>
      </c>
      <c r="K156" s="749">
        <v>46118</v>
      </c>
      <c r="L156" s="749">
        <v>46118</v>
      </c>
      <c r="M156" s="937" t="s">
        <v>631</v>
      </c>
      <c r="N156" s="999">
        <v>46115</v>
      </c>
      <c r="O156" s="747" t="s">
        <v>2843</v>
      </c>
      <c r="P156" s="747">
        <v>16</v>
      </c>
      <c r="Q156" s="854"/>
      <c r="R156" s="1179"/>
    </row>
    <row r="157" spans="1:18" s="1035" customFormat="1" ht="45" customHeight="1">
      <c r="A157" s="747">
        <f>A156+1</f>
        <v>151</v>
      </c>
      <c r="B157" s="748" t="s">
        <v>3119</v>
      </c>
      <c r="C157" s="937" t="s">
        <v>1977</v>
      </c>
      <c r="D157" s="747" t="s">
        <v>2736</v>
      </c>
      <c r="E157" s="779"/>
      <c r="F157" s="749">
        <v>46104</v>
      </c>
      <c r="G157" s="749">
        <v>46110</v>
      </c>
      <c r="H157" s="749">
        <v>46111</v>
      </c>
      <c r="I157" s="749">
        <v>46111</v>
      </c>
      <c r="J157" s="749">
        <v>46111</v>
      </c>
      <c r="K157" s="749">
        <v>46111</v>
      </c>
      <c r="L157" s="749">
        <v>46111</v>
      </c>
      <c r="M157" s="937" t="s">
        <v>631</v>
      </c>
      <c r="N157" s="999">
        <v>46152</v>
      </c>
      <c r="O157" s="747" t="s">
        <v>3139</v>
      </c>
      <c r="P157" s="747">
        <v>16</v>
      </c>
      <c r="Q157" s="854"/>
    </row>
    <row r="158" spans="1:18" s="1035" customFormat="1" ht="45" customHeight="1">
      <c r="A158" s="747">
        <f t="shared" si="4"/>
        <v>152</v>
      </c>
      <c r="B158" s="748" t="s">
        <v>2917</v>
      </c>
      <c r="C158" s="937" t="s">
        <v>3351</v>
      </c>
      <c r="D158" s="747" t="s">
        <v>3287</v>
      </c>
      <c r="E158" s="779"/>
      <c r="F158" s="749">
        <v>46143</v>
      </c>
      <c r="G158" s="749">
        <v>46155</v>
      </c>
      <c r="H158" s="749">
        <v>46157</v>
      </c>
      <c r="I158" s="749">
        <v>46157</v>
      </c>
      <c r="J158" s="749">
        <v>46157</v>
      </c>
      <c r="K158" s="749">
        <v>46161</v>
      </c>
      <c r="L158" s="749">
        <v>46161</v>
      </c>
      <c r="M158" s="937" t="s">
        <v>631</v>
      </c>
      <c r="N158" s="999">
        <v>46158</v>
      </c>
      <c r="O158" s="747" t="s">
        <v>2830</v>
      </c>
      <c r="P158" s="747">
        <v>16</v>
      </c>
      <c r="Q158" s="854"/>
      <c r="R158" s="1179"/>
    </row>
    <row r="159" spans="1:18" s="1035" customFormat="1" ht="45" customHeight="1">
      <c r="A159" s="747">
        <f t="shared" si="4"/>
        <v>153</v>
      </c>
      <c r="B159" s="748" t="s">
        <v>2984</v>
      </c>
      <c r="C159" s="937" t="s">
        <v>2023</v>
      </c>
      <c r="D159" s="747" t="s">
        <v>2736</v>
      </c>
      <c r="E159" s="779"/>
      <c r="F159" s="749">
        <v>46106</v>
      </c>
      <c r="G159" s="749">
        <v>46119</v>
      </c>
      <c r="H159" s="749">
        <v>46119</v>
      </c>
      <c r="I159" s="749">
        <v>46122</v>
      </c>
      <c r="J159" s="749">
        <v>46122</v>
      </c>
      <c r="K159" s="749">
        <v>46124</v>
      </c>
      <c r="L159" s="749">
        <v>46124</v>
      </c>
      <c r="M159" s="937" t="s">
        <v>631</v>
      </c>
      <c r="N159" s="999">
        <v>46125</v>
      </c>
      <c r="O159" s="747" t="s">
        <v>2725</v>
      </c>
      <c r="P159" s="747">
        <v>15</v>
      </c>
      <c r="Q159" s="854"/>
      <c r="R159" s="1179"/>
    </row>
    <row r="160" spans="1:18" s="1035" customFormat="1" ht="45" customHeight="1">
      <c r="A160" s="747">
        <f t="shared" si="4"/>
        <v>154</v>
      </c>
      <c r="B160" s="748" t="s">
        <v>3150</v>
      </c>
      <c r="C160" s="937" t="s">
        <v>76</v>
      </c>
      <c r="D160" s="747" t="s">
        <v>3287</v>
      </c>
      <c r="E160" s="779"/>
      <c r="F160" s="749">
        <v>46106</v>
      </c>
      <c r="G160" s="749">
        <v>46116</v>
      </c>
      <c r="H160" s="749">
        <v>46116</v>
      </c>
      <c r="I160" s="749">
        <v>46116</v>
      </c>
      <c r="J160" s="749">
        <v>46116</v>
      </c>
      <c r="K160" s="749">
        <v>46117</v>
      </c>
      <c r="L160" s="749">
        <v>46117</v>
      </c>
      <c r="M160" s="937" t="s">
        <v>631</v>
      </c>
      <c r="N160" s="999">
        <v>46150</v>
      </c>
      <c r="O160" s="747" t="s">
        <v>2875</v>
      </c>
      <c r="P160" s="747">
        <v>12</v>
      </c>
      <c r="Q160" s="854"/>
    </row>
    <row r="161" spans="1:18" s="1035" customFormat="1" ht="45" customHeight="1">
      <c r="A161" s="747">
        <f t="shared" si="4"/>
        <v>155</v>
      </c>
      <c r="B161" s="748" t="s">
        <v>3149</v>
      </c>
      <c r="C161" s="937" t="s">
        <v>53</v>
      </c>
      <c r="D161" s="747" t="s">
        <v>3287</v>
      </c>
      <c r="E161" s="779"/>
      <c r="F161" s="749">
        <v>46110</v>
      </c>
      <c r="G161" s="749">
        <v>46116</v>
      </c>
      <c r="H161" s="749">
        <v>46117</v>
      </c>
      <c r="I161" s="749">
        <v>46117</v>
      </c>
      <c r="J161" s="749">
        <v>46118</v>
      </c>
      <c r="K161" s="749">
        <v>46119</v>
      </c>
      <c r="L161" s="749">
        <v>46119</v>
      </c>
      <c r="M161" s="937" t="s">
        <v>631</v>
      </c>
      <c r="N161" s="999">
        <v>46119</v>
      </c>
      <c r="O161" s="747" t="s">
        <v>3107</v>
      </c>
      <c r="P161" s="747">
        <v>11</v>
      </c>
      <c r="Q161" s="854"/>
      <c r="R161" s="1179"/>
    </row>
    <row r="162" spans="1:18" s="1035" customFormat="1" ht="45" customHeight="1">
      <c r="A162" s="747">
        <f t="shared" si="4"/>
        <v>156</v>
      </c>
      <c r="B162" s="748" t="s">
        <v>118</v>
      </c>
      <c r="C162" s="937" t="s">
        <v>53</v>
      </c>
      <c r="D162" s="747" t="s">
        <v>3287</v>
      </c>
      <c r="E162" s="779"/>
      <c r="F162" s="749">
        <v>46111</v>
      </c>
      <c r="G162" s="749">
        <v>46116</v>
      </c>
      <c r="H162" s="749">
        <v>46118</v>
      </c>
      <c r="I162" s="749">
        <v>46118</v>
      </c>
      <c r="J162" s="749">
        <v>46118</v>
      </c>
      <c r="K162" s="749">
        <v>46119</v>
      </c>
      <c r="L162" s="749">
        <v>46119</v>
      </c>
      <c r="M162" s="937" t="s">
        <v>631</v>
      </c>
      <c r="N162" s="999">
        <v>46122</v>
      </c>
      <c r="O162" s="747" t="s">
        <v>3397</v>
      </c>
      <c r="P162" s="747">
        <v>10</v>
      </c>
      <c r="Q162" s="854"/>
    </row>
    <row r="163" spans="1:18" s="1035" customFormat="1" ht="45" customHeight="1">
      <c r="A163" s="747">
        <f t="shared" si="4"/>
        <v>157</v>
      </c>
      <c r="B163" s="748" t="s">
        <v>2890</v>
      </c>
      <c r="C163" s="937" t="s">
        <v>1935</v>
      </c>
      <c r="D163" s="747" t="s">
        <v>3287</v>
      </c>
      <c r="E163" s="779"/>
      <c r="F163" s="749">
        <v>46123</v>
      </c>
      <c r="G163" s="749">
        <v>46133</v>
      </c>
      <c r="H163" s="749">
        <v>46133</v>
      </c>
      <c r="I163" s="749">
        <v>46137</v>
      </c>
      <c r="J163" s="749">
        <v>46137</v>
      </c>
      <c r="K163" s="749">
        <v>46139</v>
      </c>
      <c r="L163" s="749">
        <v>46139</v>
      </c>
      <c r="M163" s="937" t="s">
        <v>631</v>
      </c>
      <c r="N163" s="937"/>
      <c r="O163" s="747" t="s">
        <v>3397</v>
      </c>
      <c r="P163" s="747">
        <v>13</v>
      </c>
      <c r="Q163" s="854"/>
    </row>
    <row r="164" spans="1:18" s="1035" customFormat="1" ht="45" customHeight="1">
      <c r="A164" s="747">
        <f t="shared" si="4"/>
        <v>158</v>
      </c>
      <c r="B164" s="748" t="s">
        <v>3193</v>
      </c>
      <c r="C164" s="937" t="s">
        <v>3412</v>
      </c>
      <c r="D164" s="747" t="s">
        <v>897</v>
      </c>
      <c r="E164" s="780"/>
      <c r="F164" s="749">
        <v>46116</v>
      </c>
      <c r="G164" s="749">
        <v>46129</v>
      </c>
      <c r="H164" s="749">
        <v>46130</v>
      </c>
      <c r="I164" s="749">
        <v>46130</v>
      </c>
      <c r="J164" s="749">
        <v>46131</v>
      </c>
      <c r="K164" s="749">
        <v>46134</v>
      </c>
      <c r="L164" s="749">
        <v>46134</v>
      </c>
      <c r="M164" s="937" t="s">
        <v>631</v>
      </c>
      <c r="N164" s="999">
        <v>46146</v>
      </c>
      <c r="O164" s="747" t="s">
        <v>3139</v>
      </c>
      <c r="P164" s="747">
        <v>15</v>
      </c>
      <c r="Q164" s="854"/>
    </row>
    <row r="165" spans="1:18" s="1035" customFormat="1" ht="45" customHeight="1">
      <c r="A165" s="747">
        <f t="shared" si="4"/>
        <v>159</v>
      </c>
      <c r="B165" s="748" t="s">
        <v>702</v>
      </c>
      <c r="C165" s="937" t="s">
        <v>53</v>
      </c>
      <c r="D165" s="747" t="s">
        <v>3287</v>
      </c>
      <c r="E165" s="779"/>
      <c r="F165" s="749">
        <v>46123</v>
      </c>
      <c r="G165" s="749">
        <v>46138</v>
      </c>
      <c r="H165" s="749">
        <v>46138</v>
      </c>
      <c r="I165" s="749">
        <v>46138</v>
      </c>
      <c r="J165" s="749">
        <v>46138</v>
      </c>
      <c r="K165" s="749">
        <v>46140</v>
      </c>
      <c r="L165" s="749">
        <v>46140</v>
      </c>
      <c r="M165" s="937" t="s">
        <v>631</v>
      </c>
      <c r="N165" s="999">
        <v>46143</v>
      </c>
      <c r="O165" s="747" t="s">
        <v>3255</v>
      </c>
      <c r="P165" s="747">
        <v>8</v>
      </c>
      <c r="Q165" s="854"/>
    </row>
    <row r="166" spans="1:18" s="1035" customFormat="1" ht="45" customHeight="1">
      <c r="A166" s="747">
        <f t="shared" si="4"/>
        <v>160</v>
      </c>
      <c r="B166" s="748" t="s">
        <v>2893</v>
      </c>
      <c r="C166" s="937" t="s">
        <v>1277</v>
      </c>
      <c r="D166" s="747" t="s">
        <v>3287</v>
      </c>
      <c r="E166" s="779"/>
      <c r="F166" s="749">
        <v>46120</v>
      </c>
      <c r="G166" s="749">
        <v>46127</v>
      </c>
      <c r="H166" s="749">
        <v>46130</v>
      </c>
      <c r="I166" s="749">
        <v>46130</v>
      </c>
      <c r="J166" s="749">
        <v>46130</v>
      </c>
      <c r="K166" s="749">
        <v>46133</v>
      </c>
      <c r="L166" s="749">
        <v>46133</v>
      </c>
      <c r="M166" s="937" t="s">
        <v>631</v>
      </c>
      <c r="N166" s="999">
        <v>46149</v>
      </c>
      <c r="O166" s="747" t="s">
        <v>3252</v>
      </c>
      <c r="P166" s="747">
        <v>12</v>
      </c>
      <c r="Q166" s="854"/>
    </row>
    <row r="167" spans="1:18" s="1035" customFormat="1" ht="45" customHeight="1">
      <c r="A167" s="747">
        <f t="shared" si="4"/>
        <v>161</v>
      </c>
      <c r="B167" s="748" t="s">
        <v>3121</v>
      </c>
      <c r="C167" s="937" t="s">
        <v>1269</v>
      </c>
      <c r="D167" s="747" t="s">
        <v>1765</v>
      </c>
      <c r="E167" s="779"/>
      <c r="F167" s="749">
        <v>46118</v>
      </c>
      <c r="G167" s="749">
        <v>46124</v>
      </c>
      <c r="H167" s="749">
        <v>46125</v>
      </c>
      <c r="I167" s="749">
        <v>46125</v>
      </c>
      <c r="J167" s="749">
        <v>46126</v>
      </c>
      <c r="K167" s="749">
        <v>46127</v>
      </c>
      <c r="L167" s="749">
        <v>46127</v>
      </c>
      <c r="M167" s="937" t="s">
        <v>631</v>
      </c>
      <c r="N167" s="999">
        <v>46127</v>
      </c>
      <c r="O167" s="747" t="s">
        <v>2843</v>
      </c>
      <c r="P167" s="747">
        <v>16</v>
      </c>
      <c r="Q167" s="854"/>
    </row>
    <row r="168" spans="1:18" s="1035" customFormat="1" ht="45" customHeight="1">
      <c r="A168" s="747">
        <f t="shared" si="4"/>
        <v>162</v>
      </c>
      <c r="B168" s="748" t="s">
        <v>3180</v>
      </c>
      <c r="C168" s="937" t="s">
        <v>1319</v>
      </c>
      <c r="D168" s="747" t="s">
        <v>3287</v>
      </c>
      <c r="E168" s="779"/>
      <c r="F168" s="749">
        <v>46123</v>
      </c>
      <c r="G168" s="749">
        <v>46136</v>
      </c>
      <c r="H168" s="749">
        <v>46137</v>
      </c>
      <c r="I168" s="749">
        <v>46137</v>
      </c>
      <c r="J168" s="749">
        <v>46139</v>
      </c>
      <c r="K168" s="749">
        <v>46141</v>
      </c>
      <c r="L168" s="749">
        <v>46141</v>
      </c>
      <c r="M168" s="937" t="s">
        <v>631</v>
      </c>
      <c r="N168" s="999">
        <v>46143</v>
      </c>
      <c r="O168" s="747" t="s">
        <v>3107</v>
      </c>
      <c r="P168" s="747">
        <v>12</v>
      </c>
      <c r="Q168" s="854"/>
    </row>
    <row r="169" spans="1:18" s="1035" customFormat="1" ht="45" customHeight="1">
      <c r="A169" s="747">
        <f t="shared" si="4"/>
        <v>163</v>
      </c>
      <c r="B169" s="748" t="s">
        <v>3194</v>
      </c>
      <c r="C169" s="937" t="s">
        <v>3484</v>
      </c>
      <c r="D169" s="747" t="s">
        <v>897</v>
      </c>
      <c r="E169" s="779"/>
      <c r="F169" s="749">
        <v>46130</v>
      </c>
      <c r="G169" s="749">
        <v>46137</v>
      </c>
      <c r="H169" s="749">
        <v>46138</v>
      </c>
      <c r="I169" s="749">
        <v>46138</v>
      </c>
      <c r="J169" s="749">
        <v>46141</v>
      </c>
      <c r="K169" s="749">
        <v>46142</v>
      </c>
      <c r="L169" s="749">
        <v>46142</v>
      </c>
      <c r="M169" s="937" t="s">
        <v>631</v>
      </c>
      <c r="N169" s="999">
        <v>46146</v>
      </c>
      <c r="O169" s="747" t="s">
        <v>3139</v>
      </c>
      <c r="P169" s="747">
        <v>12</v>
      </c>
      <c r="Q169" s="854"/>
    </row>
    <row r="170" spans="1:18" s="1035" customFormat="1" ht="45" customHeight="1">
      <c r="A170" s="747">
        <f t="shared" si="4"/>
        <v>164</v>
      </c>
      <c r="B170" s="748" t="s">
        <v>3003</v>
      </c>
      <c r="C170" s="937" t="s">
        <v>1277</v>
      </c>
      <c r="D170" s="747" t="s">
        <v>1765</v>
      </c>
      <c r="E170" s="779"/>
      <c r="F170" s="749">
        <v>46126</v>
      </c>
      <c r="G170" s="749">
        <v>46135</v>
      </c>
      <c r="H170" s="749">
        <v>46136</v>
      </c>
      <c r="I170" s="749">
        <v>46136</v>
      </c>
      <c r="J170" s="749">
        <v>46137</v>
      </c>
      <c r="K170" s="749">
        <v>46138</v>
      </c>
      <c r="L170" s="749">
        <v>46138</v>
      </c>
      <c r="M170" s="937" t="s">
        <v>631</v>
      </c>
      <c r="N170" s="999">
        <v>46138</v>
      </c>
      <c r="O170" s="747" t="s">
        <v>2843</v>
      </c>
      <c r="P170" s="747">
        <v>16</v>
      </c>
      <c r="Q170" s="854"/>
    </row>
    <row r="171" spans="1:18" s="1035" customFormat="1" ht="45" customHeight="1">
      <c r="A171" s="747">
        <f t="shared" si="4"/>
        <v>165</v>
      </c>
      <c r="B171" s="748" t="s">
        <v>761</v>
      </c>
      <c r="C171" s="937" t="s">
        <v>62</v>
      </c>
      <c r="D171" s="747" t="s">
        <v>3494</v>
      </c>
      <c r="E171" s="779"/>
      <c r="F171" s="749">
        <v>46130</v>
      </c>
      <c r="G171" s="749">
        <v>46136</v>
      </c>
      <c r="H171" s="749">
        <v>46137</v>
      </c>
      <c r="I171" s="749">
        <v>46137</v>
      </c>
      <c r="J171" s="749">
        <v>46137</v>
      </c>
      <c r="K171" s="749">
        <v>46137</v>
      </c>
      <c r="L171" s="749">
        <v>46137</v>
      </c>
      <c r="M171" s="937" t="s">
        <v>631</v>
      </c>
      <c r="N171" s="999">
        <v>46169</v>
      </c>
      <c r="O171" s="747" t="s">
        <v>3493</v>
      </c>
      <c r="P171" s="747">
        <v>10</v>
      </c>
      <c r="Q171" s="854"/>
    </row>
    <row r="172" spans="1:18" s="1035" customFormat="1" ht="45" customHeight="1">
      <c r="A172" s="747">
        <f t="shared" si="4"/>
        <v>166</v>
      </c>
      <c r="B172" s="748" t="s">
        <v>2944</v>
      </c>
      <c r="C172" s="937" t="s">
        <v>1277</v>
      </c>
      <c r="D172" s="747" t="s">
        <v>1765</v>
      </c>
      <c r="E172" s="779"/>
      <c r="F172" s="749">
        <v>46128</v>
      </c>
      <c r="G172" s="749">
        <v>46130</v>
      </c>
      <c r="H172" s="749">
        <v>46132</v>
      </c>
      <c r="I172" s="749">
        <v>46133</v>
      </c>
      <c r="J172" s="749">
        <v>46133</v>
      </c>
      <c r="K172" s="749">
        <v>46135</v>
      </c>
      <c r="L172" s="749">
        <v>46135</v>
      </c>
      <c r="M172" s="937" t="s">
        <v>631</v>
      </c>
      <c r="N172" s="999">
        <v>46164</v>
      </c>
      <c r="O172" s="747" t="s">
        <v>3252</v>
      </c>
      <c r="P172" s="747">
        <v>8</v>
      </c>
      <c r="Q172" s="854"/>
    </row>
    <row r="173" spans="1:18" s="1035" customFormat="1" ht="45" customHeight="1">
      <c r="A173" s="747">
        <f t="shared" si="4"/>
        <v>167</v>
      </c>
      <c r="B173" s="748" t="s">
        <v>3182</v>
      </c>
      <c r="C173" s="937" t="s">
        <v>1269</v>
      </c>
      <c r="D173" s="747" t="s">
        <v>3287</v>
      </c>
      <c r="E173" s="779"/>
      <c r="F173" s="749">
        <v>46140</v>
      </c>
      <c r="G173" s="749">
        <v>46146</v>
      </c>
      <c r="H173" s="749">
        <v>46147</v>
      </c>
      <c r="I173" s="749">
        <v>46147</v>
      </c>
      <c r="J173" s="749">
        <v>46147</v>
      </c>
      <c r="K173" s="749">
        <v>46149</v>
      </c>
      <c r="L173" s="749">
        <v>46149</v>
      </c>
      <c r="M173" s="937" t="s">
        <v>631</v>
      </c>
      <c r="N173" s="999">
        <v>46150</v>
      </c>
      <c r="O173" s="747" t="s">
        <v>2875</v>
      </c>
      <c r="P173" s="747">
        <v>10</v>
      </c>
      <c r="Q173" s="854"/>
    </row>
    <row r="174" spans="1:18" s="1035" customFormat="1" ht="45" customHeight="1">
      <c r="A174" s="747">
        <f t="shared" si="4"/>
        <v>168</v>
      </c>
      <c r="B174" s="748" t="s">
        <v>2898</v>
      </c>
      <c r="C174" s="937" t="s">
        <v>1953</v>
      </c>
      <c r="D174" s="747" t="s">
        <v>3287</v>
      </c>
      <c r="E174" s="779"/>
      <c r="F174" s="749">
        <v>46135</v>
      </c>
      <c r="G174" s="749">
        <v>46138</v>
      </c>
      <c r="H174" s="749">
        <v>46141</v>
      </c>
      <c r="I174" s="749">
        <v>46141</v>
      </c>
      <c r="J174" s="749">
        <v>46141</v>
      </c>
      <c r="K174" s="749">
        <v>46143</v>
      </c>
      <c r="L174" s="749">
        <v>46143</v>
      </c>
      <c r="M174" s="937" t="s">
        <v>631</v>
      </c>
      <c r="N174" s="999">
        <v>46149</v>
      </c>
      <c r="O174" s="747" t="s">
        <v>3252</v>
      </c>
      <c r="P174" s="747">
        <v>12</v>
      </c>
      <c r="Q174" s="854"/>
    </row>
    <row r="175" spans="1:18" s="1035" customFormat="1" ht="45" customHeight="1">
      <c r="A175" s="747">
        <f t="shared" si="4"/>
        <v>169</v>
      </c>
      <c r="B175" s="748" t="s">
        <v>3189</v>
      </c>
      <c r="C175" s="937" t="s">
        <v>2212</v>
      </c>
      <c r="D175" s="747" t="s">
        <v>1765</v>
      </c>
      <c r="E175" s="779"/>
      <c r="F175" s="749">
        <v>46136</v>
      </c>
      <c r="G175" s="749">
        <v>46145</v>
      </c>
      <c r="H175" s="749">
        <v>46147</v>
      </c>
      <c r="I175" s="749">
        <v>46147</v>
      </c>
      <c r="J175" s="749">
        <v>46150</v>
      </c>
      <c r="K175" s="749">
        <v>46151</v>
      </c>
      <c r="L175" s="749">
        <v>46151</v>
      </c>
      <c r="M175" s="937" t="s">
        <v>631</v>
      </c>
      <c r="N175" s="999">
        <v>46162</v>
      </c>
      <c r="O175" s="747" t="s">
        <v>3139</v>
      </c>
      <c r="P175" s="747">
        <v>15</v>
      </c>
      <c r="Q175" s="854"/>
    </row>
    <row r="176" spans="1:18" s="1035" customFormat="1" ht="45" customHeight="1">
      <c r="A176" s="1042">
        <f t="shared" si="4"/>
        <v>170</v>
      </c>
      <c r="B176" s="1043" t="s">
        <v>2938</v>
      </c>
      <c r="C176" s="1045" t="s">
        <v>1995</v>
      </c>
      <c r="D176" s="1042" t="s">
        <v>897</v>
      </c>
      <c r="E176" s="943"/>
      <c r="F176" s="1044">
        <v>46140</v>
      </c>
      <c r="G176" s="1044">
        <v>46143</v>
      </c>
      <c r="H176" s="1044">
        <v>46147</v>
      </c>
      <c r="I176" s="1044">
        <v>46148</v>
      </c>
      <c r="J176" s="1044">
        <v>46148</v>
      </c>
      <c r="K176" s="1044">
        <v>46150</v>
      </c>
      <c r="L176" s="1044">
        <v>46150</v>
      </c>
      <c r="M176" s="1045" t="s">
        <v>631</v>
      </c>
      <c r="N176" s="1058">
        <v>46151</v>
      </c>
      <c r="O176" s="1042" t="s">
        <v>3303</v>
      </c>
      <c r="P176" s="1042">
        <v>10</v>
      </c>
      <c r="Q176" s="1046"/>
    </row>
    <row r="177" spans="1:17" s="1035" customFormat="1" ht="45" customHeight="1">
      <c r="A177" s="747">
        <f t="shared" si="4"/>
        <v>171</v>
      </c>
      <c r="B177" s="748" t="s">
        <v>2885</v>
      </c>
      <c r="C177" s="937" t="s">
        <v>1361</v>
      </c>
      <c r="D177" s="747" t="s">
        <v>3287</v>
      </c>
      <c r="E177" s="779"/>
      <c r="F177" s="749">
        <v>46140</v>
      </c>
      <c r="G177" s="749">
        <v>46148</v>
      </c>
      <c r="H177" s="749">
        <v>46148</v>
      </c>
      <c r="I177" s="749">
        <v>46148</v>
      </c>
      <c r="J177" s="749">
        <v>46148</v>
      </c>
      <c r="K177" s="749">
        <v>46149</v>
      </c>
      <c r="L177" s="749">
        <v>46149</v>
      </c>
      <c r="M177" s="937" t="s">
        <v>631</v>
      </c>
      <c r="N177" s="999">
        <v>46169</v>
      </c>
      <c r="O177" s="747" t="s">
        <v>3493</v>
      </c>
      <c r="P177" s="747">
        <v>10</v>
      </c>
      <c r="Q177" s="854"/>
    </row>
    <row r="178" spans="1:17" s="1035" customFormat="1" ht="45" customHeight="1">
      <c r="A178" s="747">
        <f t="shared" si="4"/>
        <v>172</v>
      </c>
      <c r="B178" s="748" t="s">
        <v>2467</v>
      </c>
      <c r="C178" s="937" t="s">
        <v>62</v>
      </c>
      <c r="D178" s="747" t="s">
        <v>1765</v>
      </c>
      <c r="E178" s="779"/>
      <c r="F178" s="749">
        <v>46138</v>
      </c>
      <c r="G178" s="749">
        <v>46141</v>
      </c>
      <c r="H178" s="749">
        <v>46142</v>
      </c>
      <c r="I178" s="749">
        <v>46142</v>
      </c>
      <c r="J178" s="749">
        <v>46142</v>
      </c>
      <c r="K178" s="749">
        <v>46142</v>
      </c>
      <c r="L178" s="749">
        <v>46142</v>
      </c>
      <c r="M178" s="937" t="s">
        <v>631</v>
      </c>
      <c r="N178" s="999">
        <v>46144</v>
      </c>
      <c r="O178" s="747" t="s">
        <v>2843</v>
      </c>
      <c r="P178" s="747">
        <v>16</v>
      </c>
      <c r="Q178" s="854"/>
    </row>
    <row r="179" spans="1:17" s="1035" customFormat="1" ht="45" customHeight="1">
      <c r="A179" s="747">
        <f t="shared" si="4"/>
        <v>173</v>
      </c>
      <c r="B179" s="748" t="s">
        <v>144</v>
      </c>
      <c r="C179" s="937" t="s">
        <v>76</v>
      </c>
      <c r="D179" s="747" t="s">
        <v>3287</v>
      </c>
      <c r="E179" s="779"/>
      <c r="F179" s="749">
        <v>46143</v>
      </c>
      <c r="G179" s="749">
        <v>46147</v>
      </c>
      <c r="H179" s="749">
        <v>46148</v>
      </c>
      <c r="I179" s="749">
        <v>46148</v>
      </c>
      <c r="J179" s="749">
        <v>46148</v>
      </c>
      <c r="K179" s="749">
        <v>46149</v>
      </c>
      <c r="L179" s="749">
        <v>46149</v>
      </c>
      <c r="M179" s="937" t="s">
        <v>631</v>
      </c>
      <c r="N179" s="999">
        <v>46150</v>
      </c>
      <c r="O179" s="747" t="s">
        <v>3299</v>
      </c>
      <c r="P179" s="747">
        <v>12</v>
      </c>
      <c r="Q179" s="854"/>
    </row>
    <row r="180" spans="1:17" s="1035" customFormat="1" ht="45" customHeight="1">
      <c r="A180" s="1042">
        <f t="shared" si="4"/>
        <v>174</v>
      </c>
      <c r="B180" s="1043" t="s">
        <v>3143</v>
      </c>
      <c r="C180" s="1045" t="s">
        <v>76</v>
      </c>
      <c r="D180" s="1042" t="s">
        <v>3287</v>
      </c>
      <c r="E180" s="943"/>
      <c r="F180" s="1044">
        <v>46142</v>
      </c>
      <c r="G180" s="1044">
        <v>46148</v>
      </c>
      <c r="H180" s="1044">
        <v>46149</v>
      </c>
      <c r="I180" s="1044">
        <v>46149</v>
      </c>
      <c r="J180" s="1044">
        <v>46149</v>
      </c>
      <c r="K180" s="1044">
        <v>46150</v>
      </c>
      <c r="L180" s="1044">
        <v>46150</v>
      </c>
      <c r="M180" s="1045" t="s">
        <v>631</v>
      </c>
      <c r="N180" s="1058">
        <v>46152</v>
      </c>
      <c r="O180" s="1042" t="s">
        <v>3107</v>
      </c>
      <c r="P180" s="1042">
        <v>12</v>
      </c>
      <c r="Q180" s="1046"/>
    </row>
    <row r="181" spans="1:17" s="1035" customFormat="1" ht="45" customHeight="1">
      <c r="A181" s="747">
        <f t="shared" si="4"/>
        <v>175</v>
      </c>
      <c r="B181" s="748" t="s">
        <v>163</v>
      </c>
      <c r="C181" s="937" t="s">
        <v>62</v>
      </c>
      <c r="D181" s="747" t="s">
        <v>3287</v>
      </c>
      <c r="E181" s="779"/>
      <c r="F181" s="749">
        <v>46142</v>
      </c>
      <c r="G181" s="749">
        <v>46151</v>
      </c>
      <c r="H181" s="749">
        <v>46156</v>
      </c>
      <c r="I181" s="749">
        <v>46156</v>
      </c>
      <c r="J181" s="749">
        <v>46157</v>
      </c>
      <c r="K181" s="749">
        <v>46158</v>
      </c>
      <c r="L181" s="749">
        <v>46158</v>
      </c>
      <c r="M181" s="937" t="s">
        <v>631</v>
      </c>
      <c r="N181" s="999">
        <v>46168</v>
      </c>
      <c r="O181" s="747" t="s">
        <v>3497</v>
      </c>
      <c r="P181" s="747">
        <v>10</v>
      </c>
      <c r="Q181" s="854"/>
    </row>
    <row r="182" spans="1:17" s="1035" customFormat="1" ht="45" customHeight="1">
      <c r="A182" s="1042">
        <f t="shared" si="4"/>
        <v>176</v>
      </c>
      <c r="B182" s="1043" t="s">
        <v>170</v>
      </c>
      <c r="C182" s="1045" t="s">
        <v>76</v>
      </c>
      <c r="D182" s="1042" t="s">
        <v>3287</v>
      </c>
      <c r="E182" s="943"/>
      <c r="F182" s="1044">
        <v>46145</v>
      </c>
      <c r="G182" s="1044">
        <v>46148</v>
      </c>
      <c r="H182" s="1044">
        <v>46149</v>
      </c>
      <c r="I182" s="1044">
        <v>46149</v>
      </c>
      <c r="J182" s="1044">
        <v>46149</v>
      </c>
      <c r="K182" s="1044">
        <v>46150</v>
      </c>
      <c r="L182" s="1044">
        <v>46150</v>
      </c>
      <c r="M182" s="1045" t="s">
        <v>631</v>
      </c>
      <c r="N182" s="1058">
        <v>46150</v>
      </c>
      <c r="O182" s="1042" t="s">
        <v>3499</v>
      </c>
      <c r="P182" s="1042">
        <v>10</v>
      </c>
      <c r="Q182" s="1046"/>
    </row>
    <row r="183" spans="1:17" s="1035" customFormat="1" ht="45" customHeight="1">
      <c r="A183" s="747">
        <f t="shared" si="4"/>
        <v>177</v>
      </c>
      <c r="B183" s="748" t="s">
        <v>554</v>
      </c>
      <c r="C183" s="937" t="s">
        <v>76</v>
      </c>
      <c r="D183" s="747" t="s">
        <v>3287</v>
      </c>
      <c r="E183" s="779"/>
      <c r="F183" s="749">
        <v>46145</v>
      </c>
      <c r="G183" s="749">
        <v>46148</v>
      </c>
      <c r="H183" s="749">
        <v>46149</v>
      </c>
      <c r="I183" s="749">
        <v>46149</v>
      </c>
      <c r="J183" s="749">
        <v>46150</v>
      </c>
      <c r="K183" s="749">
        <v>46151</v>
      </c>
      <c r="L183" s="749">
        <v>46151</v>
      </c>
      <c r="M183" s="937" t="s">
        <v>631</v>
      </c>
      <c r="N183" s="937"/>
      <c r="O183" s="747" t="s">
        <v>3300</v>
      </c>
      <c r="P183" s="747">
        <v>11</v>
      </c>
      <c r="Q183" s="854"/>
    </row>
    <row r="184" spans="1:17" s="1035" customFormat="1" ht="45" customHeight="1">
      <c r="A184" s="747">
        <f t="shared" si="4"/>
        <v>178</v>
      </c>
      <c r="B184" s="748" t="s">
        <v>3123</v>
      </c>
      <c r="C184" s="937" t="s">
        <v>3313</v>
      </c>
      <c r="D184" s="747" t="s">
        <v>2736</v>
      </c>
      <c r="E184" s="780"/>
      <c r="F184" s="749">
        <v>46145</v>
      </c>
      <c r="G184" s="749">
        <v>46154</v>
      </c>
      <c r="H184" s="749">
        <v>46155</v>
      </c>
      <c r="I184" s="749">
        <v>46155</v>
      </c>
      <c r="J184" s="749">
        <v>46156</v>
      </c>
      <c r="K184" s="749">
        <v>46160</v>
      </c>
      <c r="L184" s="749">
        <v>46160</v>
      </c>
      <c r="M184" s="937" t="s">
        <v>631</v>
      </c>
      <c r="N184" s="999">
        <v>46157</v>
      </c>
      <c r="O184" s="747" t="s">
        <v>2843</v>
      </c>
      <c r="P184" s="747">
        <v>16</v>
      </c>
      <c r="Q184" s="854"/>
    </row>
    <row r="185" spans="1:17" s="1035" customFormat="1" ht="45" customHeight="1">
      <c r="A185" s="747">
        <f t="shared" si="4"/>
        <v>179</v>
      </c>
      <c r="B185" s="748" t="s">
        <v>3191</v>
      </c>
      <c r="C185" s="937" t="s">
        <v>1934</v>
      </c>
      <c r="D185" s="747" t="s">
        <v>1765</v>
      </c>
      <c r="E185" s="779"/>
      <c r="F185" s="749">
        <v>46142</v>
      </c>
      <c r="G185" s="749">
        <v>46149</v>
      </c>
      <c r="H185" s="749">
        <v>46151</v>
      </c>
      <c r="I185" s="749">
        <v>46151</v>
      </c>
      <c r="J185" s="749">
        <v>46152</v>
      </c>
      <c r="K185" s="749">
        <v>46153</v>
      </c>
      <c r="L185" s="749">
        <v>46153</v>
      </c>
      <c r="M185" s="937" t="s">
        <v>631</v>
      </c>
      <c r="N185" s="999">
        <v>46191</v>
      </c>
      <c r="O185" s="747" t="s">
        <v>3139</v>
      </c>
      <c r="P185" s="747">
        <v>12</v>
      </c>
      <c r="Q185" s="854"/>
    </row>
    <row r="186" spans="1:17" s="1035" customFormat="1" ht="45" customHeight="1">
      <c r="A186" s="747">
        <f t="shared" si="4"/>
        <v>180</v>
      </c>
      <c r="B186" s="748" t="s">
        <v>3263</v>
      </c>
      <c r="C186" s="937" t="s">
        <v>76</v>
      </c>
      <c r="D186" s="747" t="s">
        <v>1765</v>
      </c>
      <c r="E186" s="779"/>
      <c r="F186" s="749">
        <v>46145</v>
      </c>
      <c r="G186" s="749">
        <v>46149</v>
      </c>
      <c r="H186" s="749">
        <v>46156</v>
      </c>
      <c r="I186" s="749">
        <v>46156</v>
      </c>
      <c r="J186" s="749">
        <v>46157</v>
      </c>
      <c r="K186" s="749">
        <v>46158</v>
      </c>
      <c r="L186" s="749">
        <v>46158</v>
      </c>
      <c r="M186" s="937" t="s">
        <v>631</v>
      </c>
      <c r="N186" s="999">
        <v>46162</v>
      </c>
      <c r="O186" s="747" t="s">
        <v>3139</v>
      </c>
      <c r="P186" s="747">
        <v>10</v>
      </c>
      <c r="Q186" s="854"/>
    </row>
    <row r="187" spans="1:17" s="1035" customFormat="1" ht="45" customHeight="1">
      <c r="A187" s="747">
        <f t="shared" si="4"/>
        <v>181</v>
      </c>
      <c r="B187" s="748" t="s">
        <v>2223</v>
      </c>
      <c r="C187" s="937" t="s">
        <v>3545</v>
      </c>
      <c r="D187" s="747" t="s">
        <v>2736</v>
      </c>
      <c r="E187" s="779"/>
      <c r="F187" s="749">
        <v>46145</v>
      </c>
      <c r="G187" s="749">
        <v>46147</v>
      </c>
      <c r="H187" s="749">
        <v>46155</v>
      </c>
      <c r="I187" s="749">
        <v>46155</v>
      </c>
      <c r="J187" s="749">
        <v>46156</v>
      </c>
      <c r="K187" s="749">
        <v>46162</v>
      </c>
      <c r="L187" s="749">
        <v>46162</v>
      </c>
      <c r="M187" s="937" t="s">
        <v>631</v>
      </c>
      <c r="N187" s="999">
        <v>46164</v>
      </c>
      <c r="O187" s="747" t="s">
        <v>3546</v>
      </c>
      <c r="P187" s="747">
        <v>10</v>
      </c>
      <c r="Q187" s="854"/>
    </row>
    <row r="188" spans="1:17" s="1035" customFormat="1" ht="45" customHeight="1">
      <c r="A188" s="747">
        <f t="shared" si="4"/>
        <v>182</v>
      </c>
      <c r="B188" s="748" t="s">
        <v>3187</v>
      </c>
      <c r="C188" s="937" t="s">
        <v>2197</v>
      </c>
      <c r="D188" s="747" t="s">
        <v>2736</v>
      </c>
      <c r="E188" s="779"/>
      <c r="F188" s="749">
        <v>46149</v>
      </c>
      <c r="G188" s="749">
        <v>46159</v>
      </c>
      <c r="H188" s="749">
        <v>46160</v>
      </c>
      <c r="I188" s="749">
        <v>46160</v>
      </c>
      <c r="J188" s="749">
        <v>46162</v>
      </c>
      <c r="K188" s="749">
        <v>46165</v>
      </c>
      <c r="L188" s="749">
        <v>46165</v>
      </c>
      <c r="M188" s="937" t="s">
        <v>631</v>
      </c>
      <c r="N188" s="999">
        <v>46166</v>
      </c>
      <c r="O188" s="747" t="s">
        <v>2875</v>
      </c>
      <c r="P188" s="747">
        <v>11</v>
      </c>
      <c r="Q188" s="854"/>
    </row>
    <row r="189" spans="1:17" s="1035" customFormat="1" ht="45" customHeight="1">
      <c r="A189" s="747">
        <f t="shared" si="4"/>
        <v>183</v>
      </c>
      <c r="B189" s="748" t="s">
        <v>3190</v>
      </c>
      <c r="C189" s="937" t="s">
        <v>2197</v>
      </c>
      <c r="D189" s="747" t="s">
        <v>2736</v>
      </c>
      <c r="E189" s="779"/>
      <c r="F189" s="749">
        <v>46149</v>
      </c>
      <c r="G189" s="749">
        <v>46157</v>
      </c>
      <c r="H189" s="749">
        <v>46158</v>
      </c>
      <c r="I189" s="749">
        <v>46158</v>
      </c>
      <c r="J189" s="749">
        <v>46158</v>
      </c>
      <c r="K189" s="749">
        <v>46159</v>
      </c>
      <c r="L189" s="749">
        <v>46159</v>
      </c>
      <c r="M189" s="937" t="s">
        <v>631</v>
      </c>
      <c r="N189" s="999">
        <v>46160</v>
      </c>
      <c r="O189" s="747" t="s">
        <v>3139</v>
      </c>
      <c r="P189" s="747">
        <v>12</v>
      </c>
      <c r="Q189" s="854"/>
    </row>
    <row r="190" spans="1:17" s="1035" customFormat="1" ht="45" customHeight="1">
      <c r="A190" s="747">
        <f t="shared" si="4"/>
        <v>184</v>
      </c>
      <c r="B190" s="748" t="s">
        <v>2986</v>
      </c>
      <c r="C190" s="937" t="s">
        <v>1319</v>
      </c>
      <c r="D190" s="747" t="s">
        <v>1765</v>
      </c>
      <c r="E190" s="779"/>
      <c r="F190" s="749">
        <v>46149</v>
      </c>
      <c r="G190" s="749">
        <v>46153</v>
      </c>
      <c r="H190" s="749">
        <v>46154</v>
      </c>
      <c r="I190" s="749">
        <v>46154</v>
      </c>
      <c r="J190" s="749">
        <v>46154</v>
      </c>
      <c r="K190" s="749">
        <v>46156</v>
      </c>
      <c r="L190" s="749">
        <v>46156</v>
      </c>
      <c r="M190" s="937" t="s">
        <v>631</v>
      </c>
      <c r="N190" s="999">
        <v>46158</v>
      </c>
      <c r="O190" s="747" t="s">
        <v>3551</v>
      </c>
      <c r="P190" s="747">
        <v>10</v>
      </c>
      <c r="Q190" s="854"/>
    </row>
    <row r="191" spans="1:17" s="1035" customFormat="1" ht="45" customHeight="1">
      <c r="A191" s="747">
        <f t="shared" si="4"/>
        <v>185</v>
      </c>
      <c r="B191" s="748" t="s">
        <v>497</v>
      </c>
      <c r="C191" s="937" t="s">
        <v>62</v>
      </c>
      <c r="D191" s="747" t="s">
        <v>3287</v>
      </c>
      <c r="E191" s="779"/>
      <c r="F191" s="749">
        <v>46150</v>
      </c>
      <c r="G191" s="749">
        <v>46152</v>
      </c>
      <c r="H191" s="749">
        <v>46153</v>
      </c>
      <c r="I191" s="749">
        <v>46153</v>
      </c>
      <c r="J191" s="749">
        <v>46154</v>
      </c>
      <c r="K191" s="749">
        <v>46156</v>
      </c>
      <c r="L191" s="749">
        <v>46156</v>
      </c>
      <c r="M191" s="937" t="s">
        <v>631</v>
      </c>
      <c r="N191" s="999">
        <v>46159</v>
      </c>
      <c r="O191" s="747" t="s">
        <v>2830</v>
      </c>
      <c r="P191" s="747">
        <v>14</v>
      </c>
      <c r="Q191" s="854"/>
    </row>
    <row r="192" spans="1:17" s="1035" customFormat="1" ht="45" customHeight="1">
      <c r="A192" s="747">
        <f t="shared" si="4"/>
        <v>186</v>
      </c>
      <c r="B192" s="748" t="s">
        <v>2887</v>
      </c>
      <c r="C192" s="937" t="s">
        <v>1995</v>
      </c>
      <c r="D192" s="747" t="s">
        <v>3287</v>
      </c>
      <c r="E192" s="779"/>
      <c r="F192" s="749">
        <v>46150</v>
      </c>
      <c r="G192" s="749">
        <v>46152</v>
      </c>
      <c r="H192" s="749">
        <v>46155</v>
      </c>
      <c r="I192" s="749">
        <v>46155</v>
      </c>
      <c r="J192" s="749">
        <v>46156</v>
      </c>
      <c r="K192" s="749">
        <v>46157</v>
      </c>
      <c r="L192" s="749">
        <v>46157</v>
      </c>
      <c r="M192" s="937" t="s">
        <v>631</v>
      </c>
      <c r="N192" s="999">
        <v>46173</v>
      </c>
      <c r="O192" s="747" t="s">
        <v>3303</v>
      </c>
      <c r="P192" s="747">
        <v>16</v>
      </c>
      <c r="Q192" s="854"/>
    </row>
    <row r="193" spans="1:17" s="1035" customFormat="1" ht="45" customHeight="1">
      <c r="A193" s="747">
        <f t="shared" si="4"/>
        <v>187</v>
      </c>
      <c r="B193" s="748" t="s">
        <v>106</v>
      </c>
      <c r="C193" s="937" t="s">
        <v>76</v>
      </c>
      <c r="D193" s="747" t="s">
        <v>3287</v>
      </c>
      <c r="E193" s="779"/>
      <c r="F193" s="749">
        <v>46150</v>
      </c>
      <c r="G193" s="749">
        <v>46154</v>
      </c>
      <c r="H193" s="749">
        <v>46155</v>
      </c>
      <c r="I193" s="749">
        <v>46155</v>
      </c>
      <c r="J193" s="749">
        <v>46156</v>
      </c>
      <c r="K193" s="749">
        <v>46156</v>
      </c>
      <c r="L193" s="749">
        <v>46156</v>
      </c>
      <c r="M193" s="937" t="s">
        <v>631</v>
      </c>
      <c r="N193" s="999">
        <v>46160</v>
      </c>
      <c r="O193" s="747" t="s">
        <v>3299</v>
      </c>
      <c r="P193" s="747">
        <v>11</v>
      </c>
      <c r="Q193" s="854"/>
    </row>
    <row r="194" spans="1:17" s="1035" customFormat="1" ht="45" customHeight="1">
      <c r="A194" s="747">
        <f t="shared" si="4"/>
        <v>188</v>
      </c>
      <c r="B194" s="748" t="s">
        <v>3181</v>
      </c>
      <c r="C194" s="937" t="s">
        <v>1269</v>
      </c>
      <c r="D194" s="747" t="s">
        <v>3287</v>
      </c>
      <c r="E194" s="780"/>
      <c r="F194" s="749">
        <v>46150</v>
      </c>
      <c r="G194" s="749">
        <v>46157</v>
      </c>
      <c r="H194" s="749">
        <v>46158</v>
      </c>
      <c r="I194" s="749">
        <v>46158</v>
      </c>
      <c r="J194" s="749">
        <v>46159</v>
      </c>
      <c r="K194" s="749">
        <v>46160</v>
      </c>
      <c r="L194" s="749">
        <v>46160</v>
      </c>
      <c r="M194" s="937" t="s">
        <v>631</v>
      </c>
      <c r="N194" s="999">
        <v>46160</v>
      </c>
      <c r="O194" s="747" t="s">
        <v>3107</v>
      </c>
      <c r="P194" s="747">
        <v>12</v>
      </c>
      <c r="Q194" s="854"/>
    </row>
    <row r="195" spans="1:17" s="1035" customFormat="1" ht="45" customHeight="1">
      <c r="A195" s="747">
        <f t="shared" si="4"/>
        <v>189</v>
      </c>
      <c r="B195" s="748" t="s">
        <v>746</v>
      </c>
      <c r="C195" s="937" t="s">
        <v>53</v>
      </c>
      <c r="D195" s="747" t="s">
        <v>3287</v>
      </c>
      <c r="E195" s="779"/>
      <c r="F195" s="749">
        <v>46150</v>
      </c>
      <c r="G195" s="749">
        <v>46154</v>
      </c>
      <c r="H195" s="749">
        <v>46155</v>
      </c>
      <c r="I195" s="749">
        <v>46155</v>
      </c>
      <c r="J195" s="749">
        <v>46155</v>
      </c>
      <c r="K195" s="749">
        <v>46155</v>
      </c>
      <c r="L195" s="749">
        <v>46155</v>
      </c>
      <c r="M195" s="937" t="s">
        <v>631</v>
      </c>
      <c r="N195" s="999">
        <v>46155</v>
      </c>
      <c r="O195" s="747" t="s">
        <v>3493</v>
      </c>
      <c r="P195" s="747">
        <v>10</v>
      </c>
      <c r="Q195" s="854"/>
    </row>
    <row r="196" spans="1:17" s="1035" customFormat="1" ht="45" customHeight="1">
      <c r="A196" s="747">
        <f t="shared" si="4"/>
        <v>190</v>
      </c>
      <c r="B196" s="748" t="s">
        <v>2892</v>
      </c>
      <c r="C196" s="937" t="s">
        <v>1934</v>
      </c>
      <c r="D196" s="747" t="s">
        <v>3287</v>
      </c>
      <c r="E196" s="779"/>
      <c r="F196" s="749">
        <v>46152</v>
      </c>
      <c r="G196" s="749">
        <v>46157</v>
      </c>
      <c r="H196" s="749">
        <v>46157</v>
      </c>
      <c r="I196" s="749">
        <v>46157</v>
      </c>
      <c r="J196" s="749">
        <v>46159</v>
      </c>
      <c r="K196" s="749">
        <v>46159</v>
      </c>
      <c r="L196" s="749">
        <v>46159</v>
      </c>
      <c r="M196" s="937" t="s">
        <v>631</v>
      </c>
      <c r="N196" s="999">
        <v>46165</v>
      </c>
      <c r="O196" s="747" t="s">
        <v>3499</v>
      </c>
      <c r="P196" s="747">
        <v>10</v>
      </c>
      <c r="Q196" s="854"/>
    </row>
    <row r="197" spans="1:17" s="1035" customFormat="1" ht="45" customHeight="1">
      <c r="A197" s="747">
        <f t="shared" si="4"/>
        <v>191</v>
      </c>
      <c r="B197" s="748" t="s">
        <v>2897</v>
      </c>
      <c r="C197" s="937" t="s">
        <v>1977</v>
      </c>
      <c r="D197" s="747" t="s">
        <v>3287</v>
      </c>
      <c r="E197" s="780"/>
      <c r="F197" s="749">
        <v>46153</v>
      </c>
      <c r="G197" s="749">
        <v>46157</v>
      </c>
      <c r="H197" s="749">
        <v>46157</v>
      </c>
      <c r="I197" s="749">
        <v>46157</v>
      </c>
      <c r="J197" s="749">
        <v>46158</v>
      </c>
      <c r="K197" s="749">
        <v>46160</v>
      </c>
      <c r="L197" s="749">
        <v>46160</v>
      </c>
      <c r="M197" s="937" t="s">
        <v>631</v>
      </c>
      <c r="N197" s="999">
        <v>46160</v>
      </c>
      <c r="O197" s="747" t="s">
        <v>3299</v>
      </c>
      <c r="P197" s="747">
        <v>12</v>
      </c>
      <c r="Q197" s="854"/>
    </row>
    <row r="198" spans="1:17" s="1035" customFormat="1" ht="45" customHeight="1">
      <c r="A198" s="747">
        <f t="shared" si="4"/>
        <v>192</v>
      </c>
      <c r="B198" s="748" t="s">
        <v>401</v>
      </c>
      <c r="C198" s="937" t="s">
        <v>62</v>
      </c>
      <c r="D198" s="747" t="s">
        <v>3494</v>
      </c>
      <c r="E198" s="779"/>
      <c r="F198" s="749">
        <v>46154</v>
      </c>
      <c r="G198" s="749">
        <v>46167</v>
      </c>
      <c r="H198" s="749">
        <v>46167</v>
      </c>
      <c r="I198" s="749">
        <v>46167</v>
      </c>
      <c r="J198" s="749">
        <v>46167</v>
      </c>
      <c r="K198" s="749">
        <v>46168</v>
      </c>
      <c r="L198" s="749">
        <v>46168</v>
      </c>
      <c r="M198" s="937" t="s">
        <v>631</v>
      </c>
      <c r="N198" s="999">
        <v>46170</v>
      </c>
      <c r="O198" s="747" t="s">
        <v>3300</v>
      </c>
      <c r="P198" s="747">
        <v>10</v>
      </c>
      <c r="Q198" s="854"/>
    </row>
    <row r="199" spans="1:17" s="1035" customFormat="1" ht="45" customHeight="1">
      <c r="A199" s="747">
        <f t="shared" si="4"/>
        <v>193</v>
      </c>
      <c r="B199" s="748" t="s">
        <v>229</v>
      </c>
      <c r="C199" s="937" t="s">
        <v>76</v>
      </c>
      <c r="D199" s="747" t="s">
        <v>3287</v>
      </c>
      <c r="E199" s="780"/>
      <c r="F199" s="749">
        <v>46155</v>
      </c>
      <c r="G199" s="749">
        <v>46157</v>
      </c>
      <c r="H199" s="749">
        <v>46158</v>
      </c>
      <c r="I199" s="749">
        <v>46158</v>
      </c>
      <c r="J199" s="749">
        <v>46159</v>
      </c>
      <c r="K199" s="749">
        <v>46160</v>
      </c>
      <c r="L199" s="749">
        <v>46160</v>
      </c>
      <c r="M199" s="937" t="s">
        <v>631</v>
      </c>
      <c r="N199" s="999">
        <v>46173</v>
      </c>
      <c r="O199" s="747" t="s">
        <v>3554</v>
      </c>
      <c r="P199" s="747">
        <v>11</v>
      </c>
      <c r="Q199" s="854"/>
    </row>
    <row r="200" spans="1:17" s="1035" customFormat="1" ht="45" customHeight="1">
      <c r="A200" s="747">
        <f t="shared" si="4"/>
        <v>194</v>
      </c>
      <c r="B200" s="748" t="s">
        <v>2941</v>
      </c>
      <c r="C200" s="937" t="s">
        <v>3553</v>
      </c>
      <c r="D200" s="747" t="s">
        <v>2736</v>
      </c>
      <c r="E200" s="779"/>
      <c r="F200" s="749">
        <v>46154</v>
      </c>
      <c r="G200" s="749">
        <v>46156</v>
      </c>
      <c r="H200" s="749">
        <v>46161</v>
      </c>
      <c r="I200" s="749">
        <v>46161</v>
      </c>
      <c r="J200" s="749">
        <v>46162</v>
      </c>
      <c r="K200" s="749">
        <v>46166</v>
      </c>
      <c r="L200" s="749">
        <v>46166</v>
      </c>
      <c r="M200" s="937" t="s">
        <v>631</v>
      </c>
      <c r="N200" s="999">
        <v>46168</v>
      </c>
      <c r="O200" s="747" t="s">
        <v>3555</v>
      </c>
      <c r="P200" s="747">
        <v>10</v>
      </c>
      <c r="Q200" s="854"/>
    </row>
    <row r="201" spans="1:17" s="1035" customFormat="1" ht="45" customHeight="1">
      <c r="A201" s="747">
        <f t="shared" si="4"/>
        <v>195</v>
      </c>
      <c r="B201" s="748" t="s">
        <v>2928</v>
      </c>
      <c r="C201" s="937" t="s">
        <v>2197</v>
      </c>
      <c r="D201" s="747" t="s">
        <v>2736</v>
      </c>
      <c r="E201" s="779"/>
      <c r="F201" s="749">
        <v>46156</v>
      </c>
      <c r="G201" s="749">
        <v>46177</v>
      </c>
      <c r="H201" s="749">
        <v>46178</v>
      </c>
      <c r="I201" s="749">
        <v>46178</v>
      </c>
      <c r="J201" s="749">
        <v>46178</v>
      </c>
      <c r="K201" s="749">
        <v>46183</v>
      </c>
      <c r="L201" s="749">
        <v>46183</v>
      </c>
      <c r="M201" s="937" t="s">
        <v>631</v>
      </c>
      <c r="N201" s="999">
        <v>46180</v>
      </c>
      <c r="O201" s="747" t="s">
        <v>3577</v>
      </c>
      <c r="P201" s="747">
        <v>10</v>
      </c>
      <c r="Q201" s="854"/>
    </row>
    <row r="202" spans="1:17" s="1035" customFormat="1" ht="45" customHeight="1">
      <c r="A202" s="747">
        <f t="shared" si="4"/>
        <v>196</v>
      </c>
      <c r="B202" s="748" t="s">
        <v>2990</v>
      </c>
      <c r="C202" s="937" t="s">
        <v>2023</v>
      </c>
      <c r="D202" s="747" t="s">
        <v>2736</v>
      </c>
      <c r="E202" s="779"/>
      <c r="F202" s="749">
        <v>46156</v>
      </c>
      <c r="G202" s="749">
        <v>46158</v>
      </c>
      <c r="H202" s="749">
        <v>46159</v>
      </c>
      <c r="I202" s="749">
        <v>46159</v>
      </c>
      <c r="J202" s="749">
        <v>46160</v>
      </c>
      <c r="K202" s="749">
        <v>46161</v>
      </c>
      <c r="L202" s="749">
        <v>46161</v>
      </c>
      <c r="M202" s="937" t="s">
        <v>631</v>
      </c>
      <c r="N202" s="999">
        <v>46165</v>
      </c>
      <c r="O202" s="747" t="s">
        <v>3551</v>
      </c>
      <c r="P202" s="747">
        <v>10</v>
      </c>
      <c r="Q202" s="854"/>
    </row>
    <row r="203" spans="1:17" s="1035" customFormat="1" ht="45" customHeight="1">
      <c r="A203" s="747">
        <f t="shared" si="4"/>
        <v>197</v>
      </c>
      <c r="B203" s="748" t="s">
        <v>3262</v>
      </c>
      <c r="C203" s="937" t="s">
        <v>76</v>
      </c>
      <c r="D203" s="747" t="s">
        <v>1765</v>
      </c>
      <c r="E203" s="779"/>
      <c r="F203" s="749">
        <v>46156</v>
      </c>
      <c r="G203" s="749">
        <v>46158</v>
      </c>
      <c r="H203" s="749">
        <v>46159</v>
      </c>
      <c r="I203" s="749">
        <v>46159</v>
      </c>
      <c r="J203" s="749">
        <v>46159</v>
      </c>
      <c r="K203" s="749">
        <v>46161</v>
      </c>
      <c r="L203" s="749">
        <v>46161</v>
      </c>
      <c r="M203" s="937" t="s">
        <v>631</v>
      </c>
      <c r="N203" s="999">
        <v>46162</v>
      </c>
      <c r="O203" s="747" t="s">
        <v>3139</v>
      </c>
      <c r="P203" s="747">
        <v>15</v>
      </c>
      <c r="Q203" s="854"/>
    </row>
    <row r="204" spans="1:17" s="1035" customFormat="1" ht="45" customHeight="1">
      <c r="A204" s="747">
        <f t="shared" si="4"/>
        <v>198</v>
      </c>
      <c r="B204" s="748" t="s">
        <v>2884</v>
      </c>
      <c r="C204" s="937" t="s">
        <v>1995</v>
      </c>
      <c r="D204" s="747" t="s">
        <v>2736</v>
      </c>
      <c r="E204" s="779"/>
      <c r="F204" s="749">
        <v>46158</v>
      </c>
      <c r="G204" s="749">
        <v>46163</v>
      </c>
      <c r="H204" s="749">
        <v>46165</v>
      </c>
      <c r="I204" s="749">
        <v>46165</v>
      </c>
      <c r="J204" s="749">
        <v>46165</v>
      </c>
      <c r="K204" s="749">
        <v>46167</v>
      </c>
      <c r="L204" s="749">
        <v>46167</v>
      </c>
      <c r="M204" s="937" t="s">
        <v>631</v>
      </c>
      <c r="N204" s="999">
        <v>46168</v>
      </c>
      <c r="O204" s="747" t="s">
        <v>3493</v>
      </c>
      <c r="P204" s="747">
        <v>10</v>
      </c>
      <c r="Q204" s="854"/>
    </row>
    <row r="205" spans="1:17" s="1035" customFormat="1" ht="45" customHeight="1">
      <c r="A205" s="747">
        <f t="shared" si="4"/>
        <v>199</v>
      </c>
      <c r="B205" s="748" t="s">
        <v>125</v>
      </c>
      <c r="C205" s="937" t="s">
        <v>76</v>
      </c>
      <c r="D205" s="747" t="s">
        <v>3287</v>
      </c>
      <c r="E205" s="779"/>
      <c r="F205" s="749">
        <v>46158</v>
      </c>
      <c r="G205" s="749">
        <v>46158</v>
      </c>
      <c r="H205" s="749">
        <v>46160</v>
      </c>
      <c r="I205" s="749">
        <v>46160</v>
      </c>
      <c r="J205" s="749">
        <v>46160</v>
      </c>
      <c r="K205" s="749">
        <v>46161</v>
      </c>
      <c r="L205" s="749">
        <v>46161</v>
      </c>
      <c r="M205" s="937" t="s">
        <v>631</v>
      </c>
      <c r="N205" s="999">
        <v>46173</v>
      </c>
      <c r="O205" s="747" t="s">
        <v>3252</v>
      </c>
      <c r="P205" s="747">
        <v>10</v>
      </c>
      <c r="Q205" s="854"/>
    </row>
    <row r="206" spans="1:17" s="1035" customFormat="1" ht="45" customHeight="1">
      <c r="A206" s="747">
        <f t="shared" si="4"/>
        <v>200</v>
      </c>
      <c r="B206" s="748" t="s">
        <v>219</v>
      </c>
      <c r="C206" s="937" t="s">
        <v>76</v>
      </c>
      <c r="D206" s="747" t="s">
        <v>3287</v>
      </c>
      <c r="E206" s="779"/>
      <c r="F206" s="749">
        <v>46159</v>
      </c>
      <c r="G206" s="749">
        <v>46162</v>
      </c>
      <c r="H206" s="749">
        <v>46162</v>
      </c>
      <c r="I206" s="749">
        <v>46162</v>
      </c>
      <c r="J206" s="749">
        <v>46163</v>
      </c>
      <c r="K206" s="749">
        <v>46164</v>
      </c>
      <c r="L206" s="749">
        <v>46164</v>
      </c>
      <c r="M206" s="937" t="s">
        <v>631</v>
      </c>
      <c r="N206" s="999">
        <v>46165</v>
      </c>
      <c r="O206" s="747" t="s">
        <v>3499</v>
      </c>
      <c r="P206" s="747">
        <v>10</v>
      </c>
      <c r="Q206" s="854"/>
    </row>
    <row r="207" spans="1:17" s="1035" customFormat="1" ht="45" customHeight="1">
      <c r="A207" s="747">
        <f t="shared" si="4"/>
        <v>201</v>
      </c>
      <c r="B207" s="748" t="s">
        <v>151</v>
      </c>
      <c r="C207" s="937" t="s">
        <v>62</v>
      </c>
      <c r="D207" s="747" t="s">
        <v>3287</v>
      </c>
      <c r="E207" s="780"/>
      <c r="F207" s="749">
        <v>46159</v>
      </c>
      <c r="G207" s="749">
        <v>46171</v>
      </c>
      <c r="H207" s="749">
        <v>46171</v>
      </c>
      <c r="I207" s="749">
        <v>46171</v>
      </c>
      <c r="J207" s="749">
        <v>46172</v>
      </c>
      <c r="K207" s="749">
        <v>46172</v>
      </c>
      <c r="L207" s="749">
        <v>46172</v>
      </c>
      <c r="M207" s="937" t="s">
        <v>631</v>
      </c>
      <c r="N207" s="999">
        <v>46171</v>
      </c>
      <c r="O207" s="747" t="s">
        <v>3497</v>
      </c>
      <c r="P207" s="747">
        <v>10</v>
      </c>
      <c r="Q207" s="854"/>
    </row>
    <row r="208" spans="1:17" s="1035" customFormat="1" ht="45" customHeight="1">
      <c r="A208" s="747">
        <f t="shared" si="4"/>
        <v>202</v>
      </c>
      <c r="B208" s="748" t="s">
        <v>2935</v>
      </c>
      <c r="C208" s="937" t="s">
        <v>2212</v>
      </c>
      <c r="D208" s="747" t="s">
        <v>897</v>
      </c>
      <c r="E208" s="779"/>
      <c r="F208" s="749">
        <v>46159</v>
      </c>
      <c r="G208" s="749">
        <v>46170</v>
      </c>
      <c r="H208" s="749">
        <v>46170</v>
      </c>
      <c r="I208" s="749">
        <v>46170</v>
      </c>
      <c r="J208" s="749">
        <v>46171</v>
      </c>
      <c r="K208" s="749">
        <v>46173</v>
      </c>
      <c r="L208" s="749">
        <v>46173</v>
      </c>
      <c r="M208" s="937" t="s">
        <v>631</v>
      </c>
      <c r="N208" s="999">
        <v>46150</v>
      </c>
      <c r="O208" s="747" t="s">
        <v>3252</v>
      </c>
      <c r="P208" s="747">
        <v>10</v>
      </c>
      <c r="Q208" s="854"/>
    </row>
    <row r="209" spans="1:17" s="1035" customFormat="1" ht="45" customHeight="1">
      <c r="A209" s="747">
        <f t="shared" si="4"/>
        <v>203</v>
      </c>
      <c r="B209" s="748" t="s">
        <v>251</v>
      </c>
      <c r="C209" s="937" t="s">
        <v>76</v>
      </c>
      <c r="D209" s="747" t="s">
        <v>3287</v>
      </c>
      <c r="E209" s="779"/>
      <c r="F209" s="749">
        <v>46160</v>
      </c>
      <c r="G209" s="749">
        <v>46166</v>
      </c>
      <c r="H209" s="749">
        <v>46168</v>
      </c>
      <c r="I209" s="749">
        <v>46168</v>
      </c>
      <c r="J209" s="749">
        <v>46169</v>
      </c>
      <c r="K209" s="749">
        <v>46170</v>
      </c>
      <c r="L209" s="749">
        <v>46170</v>
      </c>
      <c r="M209" s="937" t="s">
        <v>631</v>
      </c>
      <c r="N209" s="999">
        <v>46173</v>
      </c>
      <c r="O209" s="747" t="s">
        <v>3252</v>
      </c>
      <c r="P209" s="747">
        <v>10</v>
      </c>
      <c r="Q209" s="854"/>
    </row>
    <row r="210" spans="1:17" s="1035" customFormat="1" ht="45" customHeight="1">
      <c r="A210" s="747">
        <f>A209+1</f>
        <v>204</v>
      </c>
      <c r="B210" s="748" t="s">
        <v>2992</v>
      </c>
      <c r="C210" s="937" t="s">
        <v>1988</v>
      </c>
      <c r="D210" s="747" t="s">
        <v>2736</v>
      </c>
      <c r="E210" s="779"/>
      <c r="F210" s="749">
        <v>46160</v>
      </c>
      <c r="G210" s="749">
        <v>46163</v>
      </c>
      <c r="H210" s="749">
        <v>46164</v>
      </c>
      <c r="I210" s="749">
        <v>46164</v>
      </c>
      <c r="J210" s="749">
        <v>46164</v>
      </c>
      <c r="K210" s="749">
        <v>46165</v>
      </c>
      <c r="L210" s="749">
        <v>46165</v>
      </c>
      <c r="M210" s="937" t="s">
        <v>631</v>
      </c>
      <c r="N210" s="999">
        <v>46166</v>
      </c>
      <c r="O210" s="747" t="s">
        <v>3551</v>
      </c>
      <c r="P210" s="747">
        <v>10</v>
      </c>
      <c r="Q210" s="854"/>
    </row>
    <row r="211" spans="1:17" s="1035" customFormat="1" ht="45" customHeight="1">
      <c r="A211" s="747">
        <f t="shared" si="4"/>
        <v>205</v>
      </c>
      <c r="B211" s="748" t="s">
        <v>3144</v>
      </c>
      <c r="C211" s="937" t="s">
        <v>76</v>
      </c>
      <c r="D211" s="747" t="s">
        <v>3287</v>
      </c>
      <c r="E211" s="779"/>
      <c r="F211" s="749">
        <v>46160</v>
      </c>
      <c r="G211" s="749">
        <v>46163</v>
      </c>
      <c r="H211" s="749">
        <v>46164</v>
      </c>
      <c r="I211" s="749">
        <v>46164</v>
      </c>
      <c r="J211" s="749">
        <v>46164</v>
      </c>
      <c r="K211" s="749">
        <v>46165</v>
      </c>
      <c r="L211" s="749">
        <v>46165</v>
      </c>
      <c r="M211" s="937" t="s">
        <v>631</v>
      </c>
      <c r="N211" s="999">
        <v>46166</v>
      </c>
      <c r="O211" s="747" t="s">
        <v>3107</v>
      </c>
      <c r="P211" s="747">
        <v>13</v>
      </c>
      <c r="Q211" s="854"/>
    </row>
    <row r="212" spans="1:17" s="1035" customFormat="1" ht="45" customHeight="1">
      <c r="A212" s="747">
        <f t="shared" si="4"/>
        <v>206</v>
      </c>
      <c r="B212" s="748" t="s">
        <v>3196</v>
      </c>
      <c r="C212" s="937" t="s">
        <v>2212</v>
      </c>
      <c r="D212" s="747" t="s">
        <v>897</v>
      </c>
      <c r="E212" s="780"/>
      <c r="F212" s="749">
        <v>46160</v>
      </c>
      <c r="G212" s="749">
        <v>46165</v>
      </c>
      <c r="H212" s="749">
        <v>46168</v>
      </c>
      <c r="I212" s="749">
        <v>46168</v>
      </c>
      <c r="J212" s="749">
        <v>46168</v>
      </c>
      <c r="K212" s="749">
        <v>46172</v>
      </c>
      <c r="L212" s="749">
        <v>46172</v>
      </c>
      <c r="M212" s="937" t="s">
        <v>631</v>
      </c>
      <c r="N212" s="999">
        <v>46181</v>
      </c>
      <c r="O212" s="747" t="s">
        <v>3558</v>
      </c>
      <c r="P212" s="747">
        <v>10</v>
      </c>
      <c r="Q212" s="854"/>
    </row>
    <row r="213" spans="1:17" s="1035" customFormat="1" ht="45" customHeight="1">
      <c r="A213" s="747">
        <f t="shared" si="4"/>
        <v>207</v>
      </c>
      <c r="B213" s="748" t="s">
        <v>3261</v>
      </c>
      <c r="C213" s="937" t="s">
        <v>76</v>
      </c>
      <c r="D213" s="747" t="s">
        <v>1765</v>
      </c>
      <c r="E213" s="779"/>
      <c r="F213" s="749">
        <v>46161</v>
      </c>
      <c r="G213" s="749">
        <v>46163</v>
      </c>
      <c r="H213" s="749">
        <v>46164</v>
      </c>
      <c r="I213" s="749">
        <v>46164</v>
      </c>
      <c r="J213" s="749">
        <v>46164</v>
      </c>
      <c r="K213" s="749">
        <v>46164</v>
      </c>
      <c r="L213" s="749">
        <v>46164</v>
      </c>
      <c r="M213" s="937" t="s">
        <v>631</v>
      </c>
      <c r="N213" s="999">
        <v>46165</v>
      </c>
      <c r="O213" s="747" t="s">
        <v>3139</v>
      </c>
      <c r="P213" s="747">
        <v>12</v>
      </c>
      <c r="Q213" s="854"/>
    </row>
    <row r="214" spans="1:17" s="1035" customFormat="1" ht="45" customHeight="1">
      <c r="A214" s="747">
        <f t="shared" si="4"/>
        <v>208</v>
      </c>
      <c r="B214" s="748" t="s">
        <v>2902</v>
      </c>
      <c r="C214" s="937" t="s">
        <v>1277</v>
      </c>
      <c r="D214" s="747" t="s">
        <v>1765</v>
      </c>
      <c r="E214" s="779"/>
      <c r="F214" s="749">
        <v>46163</v>
      </c>
      <c r="G214" s="749">
        <v>46166</v>
      </c>
      <c r="H214" s="749">
        <v>46166</v>
      </c>
      <c r="I214" s="749">
        <v>46166</v>
      </c>
      <c r="J214" s="749">
        <v>46166</v>
      </c>
      <c r="K214" s="749">
        <v>46168</v>
      </c>
      <c r="L214" s="749">
        <v>46168</v>
      </c>
      <c r="M214" s="937" t="s">
        <v>631</v>
      </c>
      <c r="N214" s="999">
        <v>46168</v>
      </c>
      <c r="O214" s="747" t="s">
        <v>2830</v>
      </c>
      <c r="P214" s="747">
        <v>16</v>
      </c>
      <c r="Q214" s="854"/>
    </row>
    <row r="215" spans="1:17" s="1035" customFormat="1" ht="45" customHeight="1">
      <c r="A215" s="747">
        <f t="shared" si="4"/>
        <v>209</v>
      </c>
      <c r="B215" s="748" t="s">
        <v>3568</v>
      </c>
      <c r="C215" s="937" t="s">
        <v>1319</v>
      </c>
      <c r="D215" s="747" t="s">
        <v>1765</v>
      </c>
      <c r="E215" s="779"/>
      <c r="F215" s="749">
        <v>46164</v>
      </c>
      <c r="G215" s="749">
        <v>46169</v>
      </c>
      <c r="H215" s="749">
        <v>46169</v>
      </c>
      <c r="I215" s="749">
        <v>46171</v>
      </c>
      <c r="J215" s="749">
        <v>46171</v>
      </c>
      <c r="K215" s="749">
        <v>46172</v>
      </c>
      <c r="L215" s="749">
        <v>46172</v>
      </c>
      <c r="M215" s="937" t="s">
        <v>631</v>
      </c>
      <c r="N215" s="999">
        <v>46174</v>
      </c>
      <c r="O215" s="747" t="s">
        <v>3139</v>
      </c>
      <c r="P215" s="747">
        <v>12</v>
      </c>
      <c r="Q215" s="854"/>
    </row>
    <row r="216" spans="1:17" s="1035" customFormat="1" ht="45" customHeight="1">
      <c r="A216" s="747">
        <f t="shared" si="4"/>
        <v>210</v>
      </c>
      <c r="B216" s="748" t="s">
        <v>2978</v>
      </c>
      <c r="C216" s="937" t="s">
        <v>3569</v>
      </c>
      <c r="D216" s="747" t="s">
        <v>1765</v>
      </c>
      <c r="E216" s="780"/>
      <c r="F216" s="749">
        <v>46165</v>
      </c>
      <c r="G216" s="749">
        <v>46170</v>
      </c>
      <c r="H216" s="749">
        <v>46171</v>
      </c>
      <c r="I216" s="749">
        <v>46171</v>
      </c>
      <c r="J216" s="749">
        <v>46171</v>
      </c>
      <c r="K216" s="749">
        <v>46172</v>
      </c>
      <c r="L216" s="749">
        <v>46172</v>
      </c>
      <c r="M216" s="937" t="s">
        <v>631</v>
      </c>
      <c r="N216" s="999">
        <v>46172</v>
      </c>
      <c r="O216" s="747" t="s">
        <v>3551</v>
      </c>
      <c r="P216" s="747">
        <v>10</v>
      </c>
      <c r="Q216" s="854"/>
    </row>
    <row r="217" spans="1:17" s="1035" customFormat="1" ht="45" customHeight="1">
      <c r="A217" s="747">
        <f t="shared" si="4"/>
        <v>211</v>
      </c>
      <c r="B217" s="748" t="s">
        <v>2900</v>
      </c>
      <c r="C217" s="937" t="s">
        <v>1269</v>
      </c>
      <c r="D217" s="747" t="s">
        <v>3287</v>
      </c>
      <c r="E217" s="779"/>
      <c r="F217" s="749">
        <v>46165</v>
      </c>
      <c r="G217" s="749">
        <v>46167</v>
      </c>
      <c r="H217" s="749">
        <v>46168</v>
      </c>
      <c r="I217" s="749">
        <v>46168</v>
      </c>
      <c r="J217" s="749">
        <v>46168</v>
      </c>
      <c r="K217" s="749">
        <v>46170</v>
      </c>
      <c r="L217" s="749">
        <v>46170</v>
      </c>
      <c r="M217" s="937" t="s">
        <v>631</v>
      </c>
      <c r="N217" s="999">
        <v>46174</v>
      </c>
      <c r="O217" s="747" t="s">
        <v>3252</v>
      </c>
      <c r="P217" s="747">
        <v>10</v>
      </c>
      <c r="Q217" s="854"/>
    </row>
    <row r="218" spans="1:17" s="1035" customFormat="1" ht="45" customHeight="1">
      <c r="A218" s="747">
        <f t="shared" si="4"/>
        <v>212</v>
      </c>
      <c r="B218" s="748" t="s">
        <v>3195</v>
      </c>
      <c r="C218" s="937" t="s">
        <v>2212</v>
      </c>
      <c r="D218" s="747" t="s">
        <v>897</v>
      </c>
      <c r="E218" s="779"/>
      <c r="F218" s="749">
        <v>46167</v>
      </c>
      <c r="G218" s="749">
        <v>46170</v>
      </c>
      <c r="H218" s="749">
        <v>46172</v>
      </c>
      <c r="I218" s="749">
        <v>46172</v>
      </c>
      <c r="J218" s="749">
        <v>46173</v>
      </c>
      <c r="K218" s="749">
        <v>46173</v>
      </c>
      <c r="L218" s="749">
        <v>46173</v>
      </c>
      <c r="M218" s="937" t="s">
        <v>631</v>
      </c>
      <c r="N218" s="999">
        <v>46181</v>
      </c>
      <c r="O218" s="747" t="s">
        <v>3558</v>
      </c>
      <c r="P218" s="747">
        <v>10</v>
      </c>
      <c r="Q218" s="854"/>
    </row>
    <row r="219" spans="1:17" s="1035" customFormat="1" ht="45" customHeight="1">
      <c r="A219" s="747">
        <f t="shared" si="4"/>
        <v>213</v>
      </c>
      <c r="B219" s="748" t="s">
        <v>2882</v>
      </c>
      <c r="C219" s="937" t="s">
        <v>1935</v>
      </c>
      <c r="D219" s="747" t="s">
        <v>3287</v>
      </c>
      <c r="E219" s="779"/>
      <c r="F219" s="749">
        <v>46167</v>
      </c>
      <c r="G219" s="749">
        <v>46173</v>
      </c>
      <c r="H219" s="749">
        <v>46174</v>
      </c>
      <c r="I219" s="749">
        <v>46174</v>
      </c>
      <c r="J219" s="749">
        <v>46177</v>
      </c>
      <c r="K219" s="749">
        <v>46178</v>
      </c>
      <c r="L219" s="749">
        <v>46178</v>
      </c>
      <c r="M219" s="937" t="s">
        <v>631</v>
      </c>
      <c r="N219" s="999">
        <v>46178</v>
      </c>
      <c r="O219" s="747" t="s">
        <v>3493</v>
      </c>
      <c r="P219" s="747">
        <v>10</v>
      </c>
      <c r="Q219" s="854"/>
    </row>
    <row r="220" spans="1:17" s="1035" customFormat="1" ht="45" customHeight="1">
      <c r="A220" s="747">
        <f t="shared" si="4"/>
        <v>214</v>
      </c>
      <c r="B220" s="748" t="s">
        <v>2889</v>
      </c>
      <c r="C220" s="937" t="s">
        <v>1277</v>
      </c>
      <c r="D220" s="747" t="s">
        <v>1765</v>
      </c>
      <c r="E220" s="779"/>
      <c r="F220" s="749">
        <v>46167</v>
      </c>
      <c r="G220" s="749">
        <v>46174</v>
      </c>
      <c r="H220" s="749">
        <v>46176</v>
      </c>
      <c r="I220" s="749">
        <v>46176</v>
      </c>
      <c r="J220" s="749">
        <v>46177</v>
      </c>
      <c r="K220" s="749">
        <v>46179</v>
      </c>
      <c r="L220" s="749">
        <v>46179</v>
      </c>
      <c r="M220" s="937" t="s">
        <v>631</v>
      </c>
      <c r="N220" s="999">
        <v>46184</v>
      </c>
      <c r="O220" s="747" t="s">
        <v>3252</v>
      </c>
      <c r="P220" s="747">
        <v>10</v>
      </c>
      <c r="Q220" s="854"/>
    </row>
    <row r="221" spans="1:17" s="1035" customFormat="1" ht="45" customHeight="1">
      <c r="A221" s="747">
        <f t="shared" si="4"/>
        <v>215</v>
      </c>
      <c r="B221" s="748" t="s">
        <v>2926</v>
      </c>
      <c r="C221" s="937" t="s">
        <v>1953</v>
      </c>
      <c r="D221" s="747" t="s">
        <v>2736</v>
      </c>
      <c r="E221" s="779"/>
      <c r="F221" s="749">
        <v>46168</v>
      </c>
      <c r="G221" s="749">
        <v>46175</v>
      </c>
      <c r="H221" s="749">
        <v>46176</v>
      </c>
      <c r="I221" s="749">
        <v>46176</v>
      </c>
      <c r="J221" s="749">
        <v>46177</v>
      </c>
      <c r="K221" s="749">
        <v>46178</v>
      </c>
      <c r="L221" s="749">
        <v>46178</v>
      </c>
      <c r="M221" s="937" t="s">
        <v>631</v>
      </c>
      <c r="N221" s="999">
        <v>46179</v>
      </c>
      <c r="O221" s="747" t="s">
        <v>2830</v>
      </c>
      <c r="P221" s="747">
        <v>16</v>
      </c>
      <c r="Q221" s="854"/>
    </row>
    <row r="222" spans="1:17" s="1035" customFormat="1" ht="45" customHeight="1">
      <c r="A222" s="747">
        <f t="shared" si="4"/>
        <v>216</v>
      </c>
      <c r="B222" s="748" t="s">
        <v>3147</v>
      </c>
      <c r="C222" s="937" t="s">
        <v>62</v>
      </c>
      <c r="D222" s="747" t="s">
        <v>3287</v>
      </c>
      <c r="E222" s="779"/>
      <c r="F222" s="749">
        <v>46168</v>
      </c>
      <c r="G222" s="749">
        <v>46175</v>
      </c>
      <c r="H222" s="749">
        <v>46176</v>
      </c>
      <c r="I222" s="749">
        <v>46176</v>
      </c>
      <c r="J222" s="749">
        <v>46176</v>
      </c>
      <c r="K222" s="749">
        <v>46177</v>
      </c>
      <c r="L222" s="749">
        <v>46177</v>
      </c>
      <c r="M222" s="937" t="s">
        <v>631</v>
      </c>
      <c r="N222" s="999">
        <v>46179</v>
      </c>
      <c r="O222" s="747" t="s">
        <v>3421</v>
      </c>
      <c r="P222" s="747">
        <v>11</v>
      </c>
      <c r="Q222" s="854"/>
    </row>
    <row r="223" spans="1:17" s="1035" customFormat="1" ht="45" customHeight="1">
      <c r="A223" s="747">
        <f t="shared" si="4"/>
        <v>217</v>
      </c>
      <c r="B223" s="748" t="s">
        <v>3573</v>
      </c>
      <c r="C223" s="937" t="s">
        <v>1995</v>
      </c>
      <c r="D223" s="747" t="s">
        <v>1765</v>
      </c>
      <c r="E223" s="779"/>
      <c r="F223" s="749">
        <v>46169</v>
      </c>
      <c r="G223" s="749">
        <v>46177</v>
      </c>
      <c r="H223" s="749">
        <v>46178</v>
      </c>
      <c r="I223" s="749">
        <v>46178</v>
      </c>
      <c r="J223" s="749">
        <v>46178</v>
      </c>
      <c r="K223" s="749">
        <v>46179</v>
      </c>
      <c r="L223" s="749">
        <v>46179</v>
      </c>
      <c r="M223" s="937" t="s">
        <v>631</v>
      </c>
      <c r="N223" s="999">
        <v>46182</v>
      </c>
      <c r="O223" s="747" t="s">
        <v>3304</v>
      </c>
      <c r="P223" s="747">
        <v>13</v>
      </c>
      <c r="Q223" s="854"/>
    </row>
    <row r="224" spans="1:17" s="1035" customFormat="1" ht="45" customHeight="1">
      <c r="A224" s="747">
        <f t="shared" si="4"/>
        <v>218</v>
      </c>
      <c r="B224" s="748" t="s">
        <v>3574</v>
      </c>
      <c r="C224" s="937" t="s">
        <v>1269</v>
      </c>
      <c r="D224" s="747" t="s">
        <v>1765</v>
      </c>
      <c r="E224" s="779"/>
      <c r="F224" s="749">
        <v>46169</v>
      </c>
      <c r="G224" s="749">
        <v>46171</v>
      </c>
      <c r="H224" s="749">
        <v>46179</v>
      </c>
      <c r="I224" s="749">
        <v>46179</v>
      </c>
      <c r="J224" s="749">
        <v>46181</v>
      </c>
      <c r="K224" s="749">
        <v>46183</v>
      </c>
      <c r="L224" s="749">
        <v>46183</v>
      </c>
      <c r="M224" s="937" t="s">
        <v>631</v>
      </c>
      <c r="N224" s="999">
        <v>46184</v>
      </c>
      <c r="O224" s="747" t="s">
        <v>3305</v>
      </c>
      <c r="P224" s="747">
        <v>8</v>
      </c>
      <c r="Q224" s="854"/>
    </row>
    <row r="225" spans="1:17" s="1035" customFormat="1" ht="45" customHeight="1">
      <c r="A225" s="747">
        <f t="shared" si="4"/>
        <v>219</v>
      </c>
      <c r="B225" s="748" t="s">
        <v>2208</v>
      </c>
      <c r="C225" s="937" t="s">
        <v>3575</v>
      </c>
      <c r="D225" s="747" t="s">
        <v>1765</v>
      </c>
      <c r="E225" s="779"/>
      <c r="F225" s="749">
        <v>46169</v>
      </c>
      <c r="G225" s="749">
        <v>46173</v>
      </c>
      <c r="H225" s="749">
        <v>46174</v>
      </c>
      <c r="I225" s="749">
        <v>46174</v>
      </c>
      <c r="J225" s="749">
        <v>46178</v>
      </c>
      <c r="K225" s="749">
        <v>46185</v>
      </c>
      <c r="L225" s="749">
        <v>46185</v>
      </c>
      <c r="M225" s="937" t="s">
        <v>631</v>
      </c>
      <c r="N225" s="937"/>
      <c r="O225" s="747" t="s">
        <v>3497</v>
      </c>
      <c r="P225" s="747">
        <v>8</v>
      </c>
      <c r="Q225" s="854" t="s">
        <v>3606</v>
      </c>
    </row>
    <row r="226" spans="1:17" s="1035" customFormat="1" ht="45" customHeight="1">
      <c r="A226" s="747">
        <f t="shared" si="4"/>
        <v>220</v>
      </c>
      <c r="B226" s="748" t="s">
        <v>134</v>
      </c>
      <c r="C226" s="937" t="s">
        <v>76</v>
      </c>
      <c r="D226" s="747" t="s">
        <v>3287</v>
      </c>
      <c r="E226" s="780"/>
      <c r="F226" s="749">
        <v>46171</v>
      </c>
      <c r="G226" s="749">
        <v>46173</v>
      </c>
      <c r="H226" s="749">
        <v>46174</v>
      </c>
      <c r="I226" s="749">
        <v>46174</v>
      </c>
      <c r="J226" s="749">
        <v>46175</v>
      </c>
      <c r="K226" s="749">
        <v>46176</v>
      </c>
      <c r="L226" s="749">
        <v>46176</v>
      </c>
      <c r="M226" s="937" t="s">
        <v>631</v>
      </c>
      <c r="N226" s="999">
        <v>46177</v>
      </c>
      <c r="O226" s="747" t="s">
        <v>3252</v>
      </c>
      <c r="P226" s="747">
        <v>10</v>
      </c>
      <c r="Q226" s="854"/>
    </row>
    <row r="227" spans="1:17" s="1035" customFormat="1" ht="45" customHeight="1">
      <c r="A227" s="747">
        <f t="shared" si="4"/>
        <v>221</v>
      </c>
      <c r="B227" s="748" t="s">
        <v>2951</v>
      </c>
      <c r="C227" s="937" t="s">
        <v>1988</v>
      </c>
      <c r="D227" s="747" t="s">
        <v>2736</v>
      </c>
      <c r="E227" s="779"/>
      <c r="F227" s="749">
        <v>46173</v>
      </c>
      <c r="G227" s="749">
        <v>46176</v>
      </c>
      <c r="H227" s="749">
        <v>46177</v>
      </c>
      <c r="I227" s="749">
        <v>46177</v>
      </c>
      <c r="J227" s="749">
        <v>46177</v>
      </c>
      <c r="K227" s="749">
        <v>46178</v>
      </c>
      <c r="L227" s="749">
        <v>46178</v>
      </c>
      <c r="M227" s="937" t="s">
        <v>631</v>
      </c>
      <c r="N227" s="999">
        <v>46174</v>
      </c>
      <c r="O227" s="747" t="s">
        <v>3551</v>
      </c>
      <c r="P227" s="747">
        <v>16</v>
      </c>
      <c r="Q227" s="854"/>
    </row>
    <row r="228" spans="1:17" s="1035" customFormat="1" ht="45" customHeight="1">
      <c r="A228" s="747">
        <f t="shared" si="4"/>
        <v>222</v>
      </c>
      <c r="B228" s="748" t="s">
        <v>3145</v>
      </c>
      <c r="C228" s="937" t="s">
        <v>76</v>
      </c>
      <c r="D228" s="747" t="s">
        <v>3287</v>
      </c>
      <c r="E228" s="779"/>
      <c r="F228" s="749">
        <v>46176</v>
      </c>
      <c r="G228" s="749">
        <v>46181</v>
      </c>
      <c r="H228" s="749">
        <v>46181</v>
      </c>
      <c r="I228" s="749">
        <v>46181</v>
      </c>
      <c r="J228" s="749">
        <v>46181</v>
      </c>
      <c r="K228" s="749">
        <v>46182</v>
      </c>
      <c r="L228" s="749">
        <v>46182</v>
      </c>
      <c r="M228" s="937" t="s">
        <v>631</v>
      </c>
      <c r="N228" s="999">
        <v>46183</v>
      </c>
      <c r="O228" s="747" t="s">
        <v>3593</v>
      </c>
      <c r="P228" s="747">
        <v>11</v>
      </c>
      <c r="Q228" s="854" t="s">
        <v>3598</v>
      </c>
    </row>
    <row r="229" spans="1:17" s="1035" customFormat="1" ht="45" customHeight="1">
      <c r="A229" s="747">
        <f t="shared" si="4"/>
        <v>223</v>
      </c>
      <c r="B229" s="748" t="s">
        <v>2948</v>
      </c>
      <c r="C229" s="937" t="s">
        <v>2197</v>
      </c>
      <c r="D229" s="747" t="s">
        <v>2736</v>
      </c>
      <c r="E229" s="779"/>
      <c r="F229" s="749">
        <v>46176</v>
      </c>
      <c r="G229" s="749">
        <v>46179</v>
      </c>
      <c r="H229" s="749">
        <v>46180</v>
      </c>
      <c r="I229" s="749">
        <v>46180</v>
      </c>
      <c r="J229" s="749">
        <v>46181</v>
      </c>
      <c r="K229" s="749">
        <v>46182</v>
      </c>
      <c r="L229" s="749">
        <v>46182</v>
      </c>
      <c r="M229" s="937" t="s">
        <v>631</v>
      </c>
      <c r="N229" s="937"/>
      <c r="O229" s="747" t="s">
        <v>3551</v>
      </c>
      <c r="P229" s="747">
        <v>16</v>
      </c>
      <c r="Q229" s="854"/>
    </row>
    <row r="230" spans="1:17" s="1035" customFormat="1" ht="45" customHeight="1">
      <c r="A230" s="747">
        <f t="shared" si="4"/>
        <v>224</v>
      </c>
      <c r="B230" s="748" t="s">
        <v>3148</v>
      </c>
      <c r="C230" s="937" t="s">
        <v>76</v>
      </c>
      <c r="D230" s="747" t="s">
        <v>3287</v>
      </c>
      <c r="E230" s="779"/>
      <c r="F230" s="749">
        <v>46178</v>
      </c>
      <c r="G230" s="749">
        <v>46183</v>
      </c>
      <c r="H230" s="749">
        <v>46184</v>
      </c>
      <c r="I230" s="749">
        <v>46184</v>
      </c>
      <c r="J230" s="749">
        <v>46184</v>
      </c>
      <c r="K230" s="749">
        <v>46185</v>
      </c>
      <c r="L230" s="749">
        <v>46185</v>
      </c>
      <c r="M230" s="937" t="s">
        <v>631</v>
      </c>
      <c r="N230" s="999">
        <v>46186</v>
      </c>
      <c r="O230" s="747" t="s">
        <v>3595</v>
      </c>
      <c r="P230" s="747">
        <v>10</v>
      </c>
      <c r="Q230" s="854"/>
    </row>
    <row r="231" spans="1:17" s="1035" customFormat="1" ht="45" customHeight="1">
      <c r="A231" s="747">
        <f t="shared" si="4"/>
        <v>225</v>
      </c>
      <c r="B231" s="748" t="s">
        <v>2880</v>
      </c>
      <c r="C231" s="937" t="s">
        <v>915</v>
      </c>
      <c r="D231" s="747" t="s">
        <v>3287</v>
      </c>
      <c r="E231" s="779"/>
      <c r="F231" s="749">
        <v>46183</v>
      </c>
      <c r="G231" s="749">
        <v>46186</v>
      </c>
      <c r="H231" s="749">
        <v>46189</v>
      </c>
      <c r="I231" s="749">
        <v>46189</v>
      </c>
      <c r="J231" s="749">
        <v>46189</v>
      </c>
      <c r="K231" s="749">
        <v>46190</v>
      </c>
      <c r="L231" s="749">
        <v>46190</v>
      </c>
      <c r="M231" s="937" t="s">
        <v>631</v>
      </c>
      <c r="N231" s="999">
        <v>46190</v>
      </c>
      <c r="O231" s="747" t="s">
        <v>3551</v>
      </c>
      <c r="P231" s="747">
        <v>16</v>
      </c>
      <c r="Q231" s="854"/>
    </row>
    <row r="232" spans="1:17" s="1035" customFormat="1" ht="45" customHeight="1">
      <c r="A232" s="747">
        <f t="shared" si="4"/>
        <v>226</v>
      </c>
      <c r="B232" s="748" t="s">
        <v>2895</v>
      </c>
      <c r="C232" s="937" t="s">
        <v>1269</v>
      </c>
      <c r="D232" s="747" t="s">
        <v>3287</v>
      </c>
      <c r="E232" s="779"/>
      <c r="F232" s="749">
        <v>46182</v>
      </c>
      <c r="G232" s="749">
        <v>46186</v>
      </c>
      <c r="H232" s="749">
        <v>46193</v>
      </c>
      <c r="I232" s="749">
        <v>46193</v>
      </c>
      <c r="J232" s="749">
        <v>46193</v>
      </c>
      <c r="K232" s="749">
        <v>46195</v>
      </c>
      <c r="L232" s="749">
        <v>46195</v>
      </c>
      <c r="M232" s="937" t="s">
        <v>631</v>
      </c>
      <c r="N232" s="999">
        <v>46196</v>
      </c>
      <c r="O232" s="747" t="s">
        <v>3497</v>
      </c>
      <c r="P232" s="747">
        <v>10</v>
      </c>
      <c r="Q232" s="854"/>
    </row>
    <row r="233" spans="1:17" s="1035" customFormat="1" ht="45" customHeight="1">
      <c r="A233" s="747">
        <f t="shared" si="4"/>
        <v>227</v>
      </c>
      <c r="B233" s="748" t="s">
        <v>3599</v>
      </c>
      <c r="C233" s="937" t="s">
        <v>53</v>
      </c>
      <c r="D233" s="747" t="s">
        <v>1765</v>
      </c>
      <c r="E233" s="779"/>
      <c r="F233" s="749">
        <v>46182</v>
      </c>
      <c r="G233" s="749">
        <v>46186</v>
      </c>
      <c r="H233" s="749">
        <v>46187</v>
      </c>
      <c r="I233" s="749">
        <v>46187</v>
      </c>
      <c r="J233" s="749">
        <v>46197</v>
      </c>
      <c r="K233" s="749">
        <v>46198</v>
      </c>
      <c r="L233" s="749">
        <v>46198</v>
      </c>
      <c r="M233" s="937" t="s">
        <v>631</v>
      </c>
      <c r="N233" s="999">
        <v>46200</v>
      </c>
      <c r="O233" s="747" t="s">
        <v>3558</v>
      </c>
      <c r="P233" s="1041">
        <v>10</v>
      </c>
      <c r="Q233" s="854"/>
    </row>
    <row r="234" spans="1:17" s="1035" customFormat="1" ht="45" customHeight="1">
      <c r="A234" s="747">
        <f t="shared" si="4"/>
        <v>228</v>
      </c>
      <c r="B234" s="748" t="s">
        <v>3601</v>
      </c>
      <c r="C234" s="937" t="s">
        <v>1995</v>
      </c>
      <c r="D234" s="747" t="s">
        <v>1765</v>
      </c>
      <c r="E234" s="779"/>
      <c r="F234" s="749">
        <v>46184</v>
      </c>
      <c r="G234" s="749">
        <v>46186</v>
      </c>
      <c r="H234" s="749">
        <v>46192</v>
      </c>
      <c r="I234" s="749">
        <v>46192</v>
      </c>
      <c r="J234" s="749">
        <v>46193</v>
      </c>
      <c r="K234" s="749">
        <v>46195</v>
      </c>
      <c r="L234" s="749">
        <v>46195</v>
      </c>
      <c r="M234" s="937" t="s">
        <v>631</v>
      </c>
      <c r="N234" s="999">
        <v>46178</v>
      </c>
      <c r="O234" s="747" t="s">
        <v>3558</v>
      </c>
      <c r="P234" s="1309">
        <v>10</v>
      </c>
      <c r="Q234" s="854"/>
    </row>
    <row r="235" spans="1:17" s="1035" customFormat="1" ht="45" customHeight="1">
      <c r="A235" s="747">
        <f t="shared" si="4"/>
        <v>229</v>
      </c>
      <c r="B235" s="748" t="s">
        <v>3602</v>
      </c>
      <c r="C235" s="937" t="s">
        <v>76</v>
      </c>
      <c r="D235" s="747" t="s">
        <v>1765</v>
      </c>
      <c r="E235" s="779"/>
      <c r="F235" s="749">
        <v>46185</v>
      </c>
      <c r="G235" s="749">
        <v>46188</v>
      </c>
      <c r="H235" s="749">
        <v>46189</v>
      </c>
      <c r="I235" s="749">
        <v>46189</v>
      </c>
      <c r="J235" s="749">
        <v>46190</v>
      </c>
      <c r="K235" s="749">
        <v>46192</v>
      </c>
      <c r="L235" s="749">
        <v>46192</v>
      </c>
      <c r="M235" s="937" t="s">
        <v>631</v>
      </c>
      <c r="N235" s="999">
        <v>46196</v>
      </c>
      <c r="O235" s="747" t="s">
        <v>3139</v>
      </c>
      <c r="P235" s="747">
        <v>10</v>
      </c>
      <c r="Q235" s="854"/>
    </row>
    <row r="236" spans="1:17" s="1035" customFormat="1" ht="45" customHeight="1">
      <c r="A236" s="747">
        <f t="shared" si="4"/>
        <v>230</v>
      </c>
      <c r="B236" s="748" t="s">
        <v>3013</v>
      </c>
      <c r="C236" s="937" t="s">
        <v>2023</v>
      </c>
      <c r="D236" s="747" t="s">
        <v>897</v>
      </c>
      <c r="E236" s="779"/>
      <c r="F236" s="749">
        <v>46185</v>
      </c>
      <c r="G236" s="749">
        <v>46193</v>
      </c>
      <c r="H236" s="749">
        <v>46193</v>
      </c>
      <c r="I236" s="749">
        <v>46194</v>
      </c>
      <c r="J236" s="749">
        <v>46194</v>
      </c>
      <c r="K236" s="749">
        <v>46197</v>
      </c>
      <c r="L236" s="749">
        <v>46197</v>
      </c>
      <c r="M236" s="937" t="s">
        <v>631</v>
      </c>
      <c r="N236" s="999">
        <v>46199</v>
      </c>
      <c r="O236" s="747" t="s">
        <v>3593</v>
      </c>
      <c r="P236" s="747">
        <v>13</v>
      </c>
      <c r="Q236" s="854"/>
    </row>
    <row r="237" spans="1:17" s="1035" customFormat="1" ht="45" customHeight="1">
      <c r="A237" s="747">
        <f t="shared" si="4"/>
        <v>231</v>
      </c>
      <c r="B237" s="748" t="s">
        <v>468</v>
      </c>
      <c r="C237" s="937" t="s">
        <v>249</v>
      </c>
      <c r="D237" s="747" t="s">
        <v>3287</v>
      </c>
      <c r="E237" s="779"/>
      <c r="F237" s="749">
        <v>46189</v>
      </c>
      <c r="G237" s="749">
        <v>46191</v>
      </c>
      <c r="H237" s="749">
        <v>46192</v>
      </c>
      <c r="I237" s="749">
        <v>46192</v>
      </c>
      <c r="J237" s="749">
        <v>46192</v>
      </c>
      <c r="K237" s="749">
        <v>46193</v>
      </c>
      <c r="L237" s="749">
        <v>46193</v>
      </c>
      <c r="M237" s="937" t="s">
        <v>631</v>
      </c>
      <c r="N237" s="999">
        <v>46195</v>
      </c>
      <c r="O237" s="747" t="s">
        <v>3551</v>
      </c>
      <c r="P237" s="747">
        <v>16</v>
      </c>
      <c r="Q237" s="854"/>
    </row>
    <row r="238" spans="1:17" s="1035" customFormat="1" ht="45" customHeight="1">
      <c r="A238" s="747">
        <f t="shared" si="4"/>
        <v>232</v>
      </c>
      <c r="B238" s="748" t="s">
        <v>3617</v>
      </c>
      <c r="C238" s="937" t="s">
        <v>1977</v>
      </c>
      <c r="D238" s="747" t="s">
        <v>1765</v>
      </c>
      <c r="E238" s="779"/>
      <c r="F238" s="749">
        <v>46189</v>
      </c>
      <c r="G238" s="749">
        <v>46194</v>
      </c>
      <c r="H238" s="749">
        <v>46197</v>
      </c>
      <c r="I238" s="749">
        <v>46197</v>
      </c>
      <c r="J238" s="749">
        <v>46198</v>
      </c>
      <c r="K238" s="749">
        <v>46200</v>
      </c>
      <c r="L238" s="749">
        <v>46200</v>
      </c>
      <c r="M238" s="937" t="s">
        <v>631</v>
      </c>
      <c r="N238" s="999">
        <v>46200</v>
      </c>
      <c r="O238" s="747" t="s">
        <v>3139</v>
      </c>
      <c r="P238" s="747">
        <v>8</v>
      </c>
      <c r="Q238" s="854"/>
    </row>
    <row r="239" spans="1:17" s="1035" customFormat="1" ht="45" customHeight="1">
      <c r="A239" s="747">
        <f t="shared" si="4"/>
        <v>233</v>
      </c>
      <c r="B239" s="748" t="s">
        <v>3020</v>
      </c>
      <c r="C239" s="937" t="s">
        <v>1277</v>
      </c>
      <c r="D239" s="747" t="s">
        <v>1765</v>
      </c>
      <c r="E239" s="779"/>
      <c r="F239" s="749">
        <v>46190</v>
      </c>
      <c r="G239" s="749">
        <v>46196</v>
      </c>
      <c r="H239" s="749">
        <v>46197</v>
      </c>
      <c r="I239" s="749">
        <v>46197</v>
      </c>
      <c r="J239" s="749">
        <v>46197</v>
      </c>
      <c r="K239" s="749">
        <v>46198</v>
      </c>
      <c r="L239" s="749">
        <v>46198</v>
      </c>
      <c r="M239" s="937" t="s">
        <v>631</v>
      </c>
      <c r="N239" s="999">
        <v>46204</v>
      </c>
      <c r="O239" s="747" t="s">
        <v>3139</v>
      </c>
      <c r="P239" s="747">
        <v>10</v>
      </c>
      <c r="Q239" s="854"/>
    </row>
    <row r="240" spans="1:17" s="1035" customFormat="1" ht="45" customHeight="1">
      <c r="A240" s="747">
        <f t="shared" si="4"/>
        <v>234</v>
      </c>
      <c r="B240" s="748" t="s">
        <v>3239</v>
      </c>
      <c r="C240" s="937" t="s">
        <v>3623</v>
      </c>
      <c r="D240" s="747" t="s">
        <v>897</v>
      </c>
      <c r="E240" s="779"/>
      <c r="F240" s="749">
        <v>46194</v>
      </c>
      <c r="G240" s="749">
        <v>46201</v>
      </c>
      <c r="H240" s="749">
        <v>46202</v>
      </c>
      <c r="I240" s="749">
        <v>46202</v>
      </c>
      <c r="J240" s="749">
        <v>46202</v>
      </c>
      <c r="K240" s="749">
        <v>46206</v>
      </c>
      <c r="L240" s="749">
        <v>46206</v>
      </c>
      <c r="M240" s="937" t="s">
        <v>631</v>
      </c>
      <c r="N240" s="999">
        <v>46208</v>
      </c>
      <c r="O240" s="747" t="s">
        <v>3551</v>
      </c>
      <c r="P240" s="747">
        <v>16</v>
      </c>
      <c r="Q240" s="854"/>
    </row>
    <row r="241" spans="1:17" s="1035" customFormat="1" ht="45" customHeight="1">
      <c r="A241" s="747">
        <f t="shared" si="4"/>
        <v>235</v>
      </c>
      <c r="B241" s="748" t="s">
        <v>753</v>
      </c>
      <c r="C241" s="937" t="s">
        <v>53</v>
      </c>
      <c r="D241" s="747" t="s">
        <v>3287</v>
      </c>
      <c r="E241" s="779"/>
      <c r="F241" s="749">
        <v>46196</v>
      </c>
      <c r="G241" s="749">
        <v>46198</v>
      </c>
      <c r="H241" s="749">
        <v>46198</v>
      </c>
      <c r="I241" s="749">
        <v>46198</v>
      </c>
      <c r="J241" s="749">
        <v>46198</v>
      </c>
      <c r="K241" s="749">
        <v>46199</v>
      </c>
      <c r="L241" s="749">
        <v>46199</v>
      </c>
      <c r="M241" s="937" t="s">
        <v>631</v>
      </c>
      <c r="N241" s="999">
        <v>46201</v>
      </c>
      <c r="O241" s="747" t="s">
        <v>3551</v>
      </c>
      <c r="P241" s="747">
        <v>16</v>
      </c>
      <c r="Q241" s="854"/>
    </row>
    <row r="242" spans="1:17" s="1035" customFormat="1" ht="45" customHeight="1">
      <c r="A242" s="747">
        <f t="shared" si="4"/>
        <v>236</v>
      </c>
      <c r="B242" s="748" t="s">
        <v>3632</v>
      </c>
      <c r="C242" s="937" t="s">
        <v>3313</v>
      </c>
      <c r="D242" s="747" t="s">
        <v>2736</v>
      </c>
      <c r="E242" s="779"/>
      <c r="F242" s="749">
        <v>46198</v>
      </c>
      <c r="G242" s="749">
        <v>46203</v>
      </c>
      <c r="H242" s="749">
        <v>46204</v>
      </c>
      <c r="I242" s="749">
        <v>46204</v>
      </c>
      <c r="J242" s="749">
        <v>46205</v>
      </c>
      <c r="K242" s="749">
        <v>46209</v>
      </c>
      <c r="L242" s="749">
        <v>46209</v>
      </c>
      <c r="M242" s="937" t="s">
        <v>631</v>
      </c>
      <c r="N242" s="999">
        <v>46209</v>
      </c>
      <c r="O242" s="747" t="s">
        <v>3139</v>
      </c>
      <c r="P242" s="747">
        <v>10</v>
      </c>
      <c r="Q242" s="854"/>
    </row>
    <row r="243" spans="1:17" s="1035" customFormat="1" ht="39" customHeight="1">
      <c r="A243" s="923">
        <f t="shared" si="4"/>
        <v>237</v>
      </c>
      <c r="B243" s="1323" t="s">
        <v>3635</v>
      </c>
      <c r="C243" s="925" t="s">
        <v>2197</v>
      </c>
      <c r="D243" s="923" t="s">
        <v>2736</v>
      </c>
      <c r="E243" s="1324"/>
      <c r="F243" s="924">
        <v>46200</v>
      </c>
      <c r="G243" s="924"/>
      <c r="H243" s="924"/>
      <c r="I243" s="924"/>
      <c r="J243" s="924"/>
      <c r="K243" s="924"/>
      <c r="L243" s="924"/>
      <c r="M243" s="925"/>
      <c r="N243" s="1080">
        <v>46212</v>
      </c>
      <c r="O243" s="923" t="s">
        <v>3139</v>
      </c>
      <c r="P243" s="923">
        <v>18</v>
      </c>
      <c r="Q243" s="1325" t="s">
        <v>3653</v>
      </c>
    </row>
    <row r="244" spans="1:17" s="1035" customFormat="1" ht="51">
      <c r="A244" s="1008">
        <f t="shared" si="4"/>
        <v>238</v>
      </c>
      <c r="B244" s="1009" t="s">
        <v>2969</v>
      </c>
      <c r="C244" s="807" t="s">
        <v>1402</v>
      </c>
      <c r="D244" s="1008" t="s">
        <v>1765</v>
      </c>
      <c r="E244" s="1010"/>
      <c r="F244" s="1011">
        <v>46225</v>
      </c>
      <c r="G244" s="1011"/>
      <c r="H244" s="1011"/>
      <c r="I244" s="1011"/>
      <c r="J244" s="1011"/>
      <c r="K244" s="1011"/>
      <c r="L244" s="1011"/>
      <c r="M244" s="807"/>
      <c r="N244" s="1334"/>
      <c r="O244" s="1008" t="s">
        <v>3497</v>
      </c>
      <c r="P244" s="1008">
        <v>8</v>
      </c>
      <c r="Q244" s="1440" t="s">
        <v>3820</v>
      </c>
    </row>
    <row r="245" spans="1:17" s="1035" customFormat="1" ht="39" customHeight="1">
      <c r="A245" s="747">
        <f t="shared" si="4"/>
        <v>239</v>
      </c>
      <c r="B245" s="748" t="s">
        <v>3673</v>
      </c>
      <c r="C245" s="937" t="s">
        <v>2023</v>
      </c>
      <c r="D245" s="747" t="s">
        <v>2736</v>
      </c>
      <c r="E245" s="779"/>
      <c r="F245" s="749">
        <v>46220</v>
      </c>
      <c r="G245" s="749">
        <v>46231</v>
      </c>
      <c r="H245" s="749">
        <v>46231</v>
      </c>
      <c r="I245" s="749">
        <v>46232</v>
      </c>
      <c r="J245" s="749">
        <v>46233</v>
      </c>
      <c r="K245" s="749">
        <v>46234</v>
      </c>
      <c r="L245" s="749">
        <v>46234</v>
      </c>
      <c r="M245" s="937" t="s">
        <v>631</v>
      </c>
      <c r="N245" s="999">
        <v>46234</v>
      </c>
      <c r="O245" s="747" t="s">
        <v>3139</v>
      </c>
      <c r="P245" s="747">
        <v>8</v>
      </c>
      <c r="Q245" s="854"/>
    </row>
  </sheetData>
  <autoFilter ref="A5:Q245"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1"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theme="4" tint="0.39997558519241921"/>
  </sheetPr>
  <dimension ref="A1:L27"/>
  <sheetViews>
    <sheetView zoomScaleNormal="100" workbookViewId="0">
      <pane ySplit="6" topLeftCell="A7" activePane="bottomLeft" state="frozen"/>
      <selection activeCell="K121" sqref="K121"/>
      <selection pane="bottomLeft" activeCell="L26" sqref="L26"/>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4.28515625" style="648" bestFit="1" customWidth="1"/>
    <col min="6" max="6" width="19.140625" style="650" bestFit="1" customWidth="1"/>
    <col min="7" max="7" width="17" style="650" bestFit="1" customWidth="1"/>
    <col min="8" max="8" width="12.140625" style="648" bestFit="1" customWidth="1"/>
    <col min="9" max="9" width="7.42578125" style="648" customWidth="1"/>
    <col min="10" max="10" width="9.42578125" style="1059" customWidth="1"/>
    <col min="11" max="11" width="10.42578125" style="1059" customWidth="1"/>
    <col min="12" max="12" width="13.7109375" style="1059" bestFit="1" customWidth="1"/>
    <col min="13" max="16384" width="7.85546875" style="1059"/>
  </cols>
  <sheetData>
    <row r="1" spans="1:12" ht="12.75">
      <c r="A1" s="1669" t="s">
        <v>3310</v>
      </c>
      <c r="B1" s="1669"/>
      <c r="C1" s="1669"/>
      <c r="D1" s="1669"/>
      <c r="E1" s="1669"/>
      <c r="F1" s="695" t="s">
        <v>38</v>
      </c>
      <c r="G1" s="696">
        <f>'TB-605'!E1</f>
        <v>46246</v>
      </c>
    </row>
    <row r="2" spans="1:12" ht="12.75">
      <c r="A2" s="651" t="s">
        <v>2740</v>
      </c>
      <c r="B2" s="652"/>
      <c r="C2" s="653"/>
      <c r="D2" s="653"/>
      <c r="E2" s="653"/>
    </row>
    <row r="3" spans="1:12" ht="12.75">
      <c r="A3" s="651" t="s">
        <v>3578</v>
      </c>
      <c r="B3" s="651"/>
      <c r="C3" s="654"/>
      <c r="D3" s="654"/>
      <c r="E3" s="654"/>
    </row>
    <row r="5" spans="1:12" s="1060" customFormat="1" ht="17.45" customHeight="1">
      <c r="A5" s="1674" t="s">
        <v>1782</v>
      </c>
      <c r="B5" s="1674" t="s">
        <v>998</v>
      </c>
      <c r="C5" s="1674" t="s">
        <v>44</v>
      </c>
      <c r="D5" s="1674" t="s">
        <v>2698</v>
      </c>
      <c r="E5" s="1674" t="s">
        <v>1441</v>
      </c>
      <c r="F5" s="656" t="s">
        <v>1762</v>
      </c>
      <c r="G5" s="657" t="s">
        <v>1763</v>
      </c>
      <c r="H5" s="1678" t="s">
        <v>1764</v>
      </c>
      <c r="I5" s="1678"/>
      <c r="J5" s="1678"/>
      <c r="K5" s="1678"/>
      <c r="L5" s="1678"/>
    </row>
    <row r="6" spans="1:12" s="1060" customFormat="1" ht="17.45" customHeight="1">
      <c r="A6" s="1674"/>
      <c r="B6" s="1674"/>
      <c r="C6" s="1674"/>
      <c r="D6" s="1674"/>
      <c r="E6" s="1674"/>
      <c r="F6" s="656"/>
      <c r="G6" s="657"/>
      <c r="H6" s="1678"/>
      <c r="I6" s="1678"/>
      <c r="J6" s="1678"/>
      <c r="K6" s="1678"/>
      <c r="L6" s="656"/>
    </row>
    <row r="7" spans="1:12" s="1035" customFormat="1" ht="38.25">
      <c r="A7" s="1677">
        <f t="shared" ref="A7" si="0">A6+1</f>
        <v>1</v>
      </c>
      <c r="B7" s="1676" t="s">
        <v>3579</v>
      </c>
      <c r="C7" s="1675" t="s">
        <v>3580</v>
      </c>
      <c r="D7" s="1680" t="s">
        <v>3581</v>
      </c>
      <c r="E7" s="1680">
        <v>46187</v>
      </c>
      <c r="F7" s="1675" t="s">
        <v>3582</v>
      </c>
      <c r="G7" s="1677">
        <v>20</v>
      </c>
      <c r="H7" s="1330" t="s">
        <v>3666</v>
      </c>
      <c r="I7" s="1331" t="s">
        <v>3581</v>
      </c>
      <c r="J7" s="1332" t="s">
        <v>3665</v>
      </c>
      <c r="K7" s="1332" t="s">
        <v>3664</v>
      </c>
      <c r="L7" s="1332" t="s">
        <v>3669</v>
      </c>
    </row>
    <row r="8" spans="1:12" ht="12.75">
      <c r="A8" s="1677"/>
      <c r="B8" s="1676"/>
      <c r="C8" s="1675"/>
      <c r="D8" s="1680"/>
      <c r="E8" s="1680"/>
      <c r="F8" s="1675"/>
      <c r="G8" s="1677"/>
      <c r="H8" s="1679" t="s">
        <v>3667</v>
      </c>
      <c r="I8" s="1329" t="s">
        <v>3654</v>
      </c>
      <c r="J8" s="1333">
        <v>39.700000000000003</v>
      </c>
      <c r="K8" s="1333">
        <v>20.56</v>
      </c>
      <c r="L8" s="1335">
        <v>46224</v>
      </c>
    </row>
    <row r="9" spans="1:12" ht="12.95" customHeight="1">
      <c r="A9" s="1677"/>
      <c r="B9" s="1676"/>
      <c r="C9" s="1675"/>
      <c r="D9" s="1680"/>
      <c r="E9" s="1680"/>
      <c r="F9" s="1675"/>
      <c r="G9" s="1677"/>
      <c r="H9" s="1679"/>
      <c r="I9" s="1329" t="s">
        <v>3655</v>
      </c>
      <c r="J9" s="1333">
        <v>39.700000000000003</v>
      </c>
      <c r="K9" s="1333">
        <v>38</v>
      </c>
      <c r="L9" s="1335">
        <v>46230</v>
      </c>
    </row>
    <row r="10" spans="1:12" ht="12.95" customHeight="1">
      <c r="A10" s="1677"/>
      <c r="B10" s="1676"/>
      <c r="C10" s="1675"/>
      <c r="D10" s="1680"/>
      <c r="E10" s="1680"/>
      <c r="F10" s="1675"/>
      <c r="G10" s="1677"/>
      <c r="H10" s="1679"/>
      <c r="I10" s="1329" t="s">
        <v>3656</v>
      </c>
      <c r="J10" s="1333">
        <v>39.729999999999997</v>
      </c>
      <c r="K10" s="1333">
        <v>30.1</v>
      </c>
      <c r="L10" s="1335">
        <v>46245</v>
      </c>
    </row>
    <row r="11" spans="1:12" ht="12.95" customHeight="1">
      <c r="A11" s="1677"/>
      <c r="B11" s="1676"/>
      <c r="C11" s="1675"/>
      <c r="D11" s="1680"/>
      <c r="E11" s="1680"/>
      <c r="F11" s="1675"/>
      <c r="G11" s="1677"/>
      <c r="H11" s="1679"/>
      <c r="I11" s="1329" t="s">
        <v>3657</v>
      </c>
      <c r="J11" s="1333">
        <v>39.700000000000003</v>
      </c>
      <c r="K11" s="1333">
        <v>20.76</v>
      </c>
      <c r="L11" s="1335">
        <v>46233</v>
      </c>
    </row>
    <row r="12" spans="1:12" ht="12.95" customHeight="1">
      <c r="A12" s="1677"/>
      <c r="B12" s="1676"/>
      <c r="C12" s="1675"/>
      <c r="D12" s="1680"/>
      <c r="E12" s="1680"/>
      <c r="F12" s="1675"/>
      <c r="G12" s="1677"/>
      <c r="H12" s="1679"/>
      <c r="I12" s="1329" t="s">
        <v>3658</v>
      </c>
      <c r="J12" s="1333">
        <v>39.700000000000003</v>
      </c>
      <c r="K12" s="1333">
        <v>20.56</v>
      </c>
      <c r="L12" s="1335">
        <v>46235</v>
      </c>
    </row>
    <row r="13" spans="1:12" ht="12.95" customHeight="1">
      <c r="A13" s="1677"/>
      <c r="B13" s="1676"/>
      <c r="C13" s="1675"/>
      <c r="D13" s="1680"/>
      <c r="E13" s="1680"/>
      <c r="F13" s="1675"/>
      <c r="G13" s="1677"/>
      <c r="H13" s="1679" t="s">
        <v>3668</v>
      </c>
      <c r="I13" s="1329" t="s">
        <v>3659</v>
      </c>
      <c r="J13" s="1333">
        <v>40.700000000000003</v>
      </c>
      <c r="K13" s="1333">
        <v>20.76</v>
      </c>
      <c r="L13" s="1335">
        <v>46231</v>
      </c>
    </row>
    <row r="14" spans="1:12" ht="12.95" customHeight="1">
      <c r="A14" s="1677"/>
      <c r="B14" s="1676"/>
      <c r="C14" s="1675"/>
      <c r="D14" s="1680"/>
      <c r="E14" s="1680"/>
      <c r="F14" s="1675"/>
      <c r="G14" s="1677"/>
      <c r="H14" s="1679"/>
      <c r="I14" s="1329" t="s">
        <v>3660</v>
      </c>
      <c r="J14" s="1333">
        <v>20.56</v>
      </c>
      <c r="K14" s="1333">
        <v>20.76</v>
      </c>
      <c r="L14" s="1335">
        <v>46236</v>
      </c>
    </row>
    <row r="15" spans="1:12" ht="12.95" customHeight="1">
      <c r="A15" s="1677"/>
      <c r="B15" s="1676"/>
      <c r="C15" s="1675"/>
      <c r="D15" s="1680"/>
      <c r="E15" s="1680"/>
      <c r="F15" s="1675"/>
      <c r="G15" s="1677"/>
      <c r="H15" s="1679"/>
      <c r="I15" s="1329" t="s">
        <v>3661</v>
      </c>
      <c r="J15" s="1333">
        <v>40</v>
      </c>
      <c r="K15" s="1333">
        <v>26.6</v>
      </c>
      <c r="L15" s="1335">
        <v>46218</v>
      </c>
    </row>
    <row r="16" spans="1:12" ht="12.95" customHeight="1">
      <c r="A16" s="1677"/>
      <c r="B16" s="1676"/>
      <c r="C16" s="1675"/>
      <c r="D16" s="1680"/>
      <c r="E16" s="1680"/>
      <c r="F16" s="1675"/>
      <c r="G16" s="1677"/>
      <c r="H16" s="1679"/>
      <c r="I16" s="1329" t="s">
        <v>3662</v>
      </c>
      <c r="J16" s="1333">
        <v>39.700000000000003</v>
      </c>
      <c r="K16" s="1333">
        <v>21.87</v>
      </c>
      <c r="L16" s="1335">
        <v>46234</v>
      </c>
    </row>
    <row r="17" spans="1:12" ht="12.95" customHeight="1">
      <c r="A17" s="1677"/>
      <c r="B17" s="1676"/>
      <c r="C17" s="1675"/>
      <c r="D17" s="1680"/>
      <c r="E17" s="1680"/>
      <c r="F17" s="1675"/>
      <c r="G17" s="1677"/>
      <c r="H17" s="1679"/>
      <c r="I17" s="1329" t="s">
        <v>3663</v>
      </c>
      <c r="J17" s="1333">
        <v>39.799999999999997</v>
      </c>
      <c r="K17" s="1333">
        <v>20.76</v>
      </c>
      <c r="L17" s="1335">
        <v>46245</v>
      </c>
    </row>
    <row r="18" spans="1:12" ht="12.95" customHeight="1">
      <c r="A18" s="1677"/>
      <c r="B18" s="1676"/>
      <c r="C18" s="1675"/>
      <c r="D18" s="1680"/>
      <c r="E18" s="1680"/>
      <c r="F18" s="1675"/>
      <c r="G18" s="1677"/>
      <c r="H18" s="1679" t="s">
        <v>3682</v>
      </c>
      <c r="I18" s="1329" t="s">
        <v>3677</v>
      </c>
      <c r="J18" s="1345">
        <v>19.5</v>
      </c>
      <c r="K18" s="1345">
        <v>19.5</v>
      </c>
      <c r="L18" s="1345"/>
    </row>
    <row r="19" spans="1:12" ht="12.95" customHeight="1">
      <c r="A19" s="1677"/>
      <c r="B19" s="1676"/>
      <c r="C19" s="1675"/>
      <c r="D19" s="1680"/>
      <c r="E19" s="1680"/>
      <c r="F19" s="1675"/>
      <c r="G19" s="1677"/>
      <c r="H19" s="1679"/>
      <c r="I19" s="1329" t="s">
        <v>3678</v>
      </c>
      <c r="J19" s="1333">
        <v>19.75</v>
      </c>
      <c r="K19" s="1333">
        <v>19.75</v>
      </c>
      <c r="L19" s="1345"/>
    </row>
    <row r="20" spans="1:12" ht="12.95" customHeight="1">
      <c r="A20" s="1677"/>
      <c r="B20" s="1676"/>
      <c r="C20" s="1675"/>
      <c r="D20" s="1680"/>
      <c r="E20" s="1680"/>
      <c r="F20" s="1675"/>
      <c r="G20" s="1677"/>
      <c r="H20" s="1679"/>
      <c r="I20" s="1329" t="s">
        <v>3679</v>
      </c>
      <c r="J20" s="1333">
        <v>19.75</v>
      </c>
      <c r="K20" s="1333">
        <v>19.75</v>
      </c>
      <c r="L20" s="1345"/>
    </row>
    <row r="21" spans="1:12" ht="12.95" customHeight="1">
      <c r="A21" s="1677"/>
      <c r="B21" s="1676"/>
      <c r="C21" s="1675"/>
      <c r="D21" s="1680"/>
      <c r="E21" s="1680"/>
      <c r="F21" s="1675"/>
      <c r="G21" s="1677"/>
      <c r="H21" s="1679"/>
      <c r="I21" s="1329" t="s">
        <v>3680</v>
      </c>
      <c r="J21" s="1333">
        <v>19.84</v>
      </c>
      <c r="K21" s="1333">
        <v>19.84</v>
      </c>
      <c r="L21" s="1345"/>
    </row>
    <row r="22" spans="1:12" ht="12.95" customHeight="1">
      <c r="A22" s="1677"/>
      <c r="B22" s="1676"/>
      <c r="C22" s="1675"/>
      <c r="D22" s="1680"/>
      <c r="E22" s="1680"/>
      <c r="F22" s="1675"/>
      <c r="G22" s="1677"/>
      <c r="H22" s="1679"/>
      <c r="I22" s="1329" t="s">
        <v>3681</v>
      </c>
      <c r="J22" s="1333">
        <v>19.84</v>
      </c>
      <c r="K22" s="1333">
        <v>19.84</v>
      </c>
      <c r="L22" s="1345"/>
    </row>
    <row r="23" spans="1:12" ht="12.95" customHeight="1">
      <c r="A23" s="1677"/>
      <c r="B23" s="1676"/>
      <c r="C23" s="1675"/>
      <c r="D23" s="1680"/>
      <c r="E23" s="1680"/>
      <c r="F23" s="1675"/>
      <c r="G23" s="1677"/>
      <c r="H23" s="1679" t="s">
        <v>3712</v>
      </c>
      <c r="I23" s="1329" t="s">
        <v>3707</v>
      </c>
      <c r="J23" s="1345">
        <v>20.100000000000001</v>
      </c>
      <c r="K23" s="1333">
        <v>19.760000000000002</v>
      </c>
      <c r="L23" s="1345"/>
    </row>
    <row r="24" spans="1:12" ht="12.95" customHeight="1">
      <c r="A24" s="1677"/>
      <c r="B24" s="1676"/>
      <c r="C24" s="1675"/>
      <c r="D24" s="1680"/>
      <c r="E24" s="1680"/>
      <c r="F24" s="1675"/>
      <c r="G24" s="1677"/>
      <c r="H24" s="1679"/>
      <c r="I24" s="1329" t="s">
        <v>3708</v>
      </c>
      <c r="J24" s="1333">
        <v>19.78</v>
      </c>
      <c r="K24" s="1333">
        <v>19.78</v>
      </c>
      <c r="L24" s="1345"/>
    </row>
    <row r="25" spans="1:12" ht="12.95" customHeight="1">
      <c r="A25" s="1677"/>
      <c r="B25" s="1676"/>
      <c r="C25" s="1675"/>
      <c r="D25" s="1680"/>
      <c r="E25" s="1680"/>
      <c r="F25" s="1675"/>
      <c r="G25" s="1677"/>
      <c r="H25" s="1679"/>
      <c r="I25" s="1329" t="s">
        <v>3709</v>
      </c>
      <c r="J25" s="1345">
        <v>19.600000000000001</v>
      </c>
      <c r="K25" s="1345">
        <v>19.600000000000001</v>
      </c>
      <c r="L25" s="1345"/>
    </row>
    <row r="26" spans="1:12" ht="12.95" customHeight="1">
      <c r="A26" s="1677"/>
      <c r="B26" s="1676"/>
      <c r="C26" s="1675"/>
      <c r="D26" s="1680"/>
      <c r="E26" s="1680"/>
      <c r="F26" s="1675"/>
      <c r="G26" s="1677"/>
      <c r="H26" s="1679"/>
      <c r="I26" s="1329" t="s">
        <v>3710</v>
      </c>
      <c r="J26" s="1333">
        <v>19.760000000000002</v>
      </c>
      <c r="K26" s="1333">
        <v>19.760000000000002</v>
      </c>
      <c r="L26" s="1345"/>
    </row>
    <row r="27" spans="1:12" ht="12.95" customHeight="1">
      <c r="A27" s="1677"/>
      <c r="B27" s="1676"/>
      <c r="C27" s="1675"/>
      <c r="D27" s="1680"/>
      <c r="E27" s="1680"/>
      <c r="F27" s="1675"/>
      <c r="G27" s="1677"/>
      <c r="H27" s="1679"/>
      <c r="I27" s="1329" t="s">
        <v>3711</v>
      </c>
      <c r="J27" s="1333">
        <v>19.760000000000002</v>
      </c>
      <c r="K27" s="1333">
        <v>19.760000000000002</v>
      </c>
      <c r="L27" s="1345"/>
    </row>
  </sheetData>
  <autoFilter ref="A5:H6" xr:uid="{25B1D0EB-708F-4A06-9C00-687ACFD68158}"/>
  <mergeCells count="19">
    <mergeCell ref="C7:C27"/>
    <mergeCell ref="B7:B27"/>
    <mergeCell ref="A7:A27"/>
    <mergeCell ref="H5:L5"/>
    <mergeCell ref="H6:K6"/>
    <mergeCell ref="H8:H12"/>
    <mergeCell ref="H13:H17"/>
    <mergeCell ref="H18:H22"/>
    <mergeCell ref="H23:H27"/>
    <mergeCell ref="G7:G27"/>
    <mergeCell ref="F7:F27"/>
    <mergeCell ref="E7:E27"/>
    <mergeCell ref="D7:D27"/>
    <mergeCell ref="A1:E1"/>
    <mergeCell ref="A5:A6"/>
    <mergeCell ref="B5:B6"/>
    <mergeCell ref="C5:C6"/>
    <mergeCell ref="D5:D6"/>
    <mergeCell ref="E5:E6"/>
  </mergeCells>
  <conditionalFormatting sqref="B1:B6 B28:B1048576">
    <cfRule type="duplicateValues" dxfId="3580" priority="2"/>
  </conditionalFormatting>
  <conditionalFormatting sqref="B7">
    <cfRule type="duplicateValues" dxfId="3579" priority="1"/>
  </conditionalFormatting>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theme="4" tint="0.39997558519241921"/>
  </sheetPr>
  <dimension ref="A1:K61"/>
  <sheetViews>
    <sheetView zoomScale="95" zoomScaleNormal="90" workbookViewId="0">
      <pane ySplit="2" topLeftCell="A56" activePane="bottomLeft" state="frozen"/>
      <selection activeCell="E25" sqref="E25"/>
      <selection pane="bottomLeft" activeCell="I60" sqref="A60:I60"/>
    </sheetView>
  </sheetViews>
  <sheetFormatPr defaultColWidth="8.7109375" defaultRowHeight="15"/>
  <cols>
    <col min="1" max="1" width="7.85546875" style="777" customWidth="1"/>
    <col min="2" max="2" width="28.42578125" style="777" customWidth="1"/>
    <col min="3" max="3" width="11" style="777" bestFit="1" customWidth="1"/>
    <col min="4" max="4" width="15.42578125" style="777" bestFit="1" customWidth="1"/>
    <col min="5" max="5" width="10.5703125" style="777" bestFit="1" customWidth="1"/>
    <col min="6" max="6" width="10.5703125" style="777" customWidth="1"/>
    <col min="7" max="7" width="60.5703125" style="777" bestFit="1" customWidth="1"/>
    <col min="8" max="8" width="38.140625" style="777" customWidth="1"/>
    <col min="9" max="16384" width="8.7109375" style="777"/>
  </cols>
  <sheetData>
    <row r="1" spans="1:11" s="775" customFormat="1" ht="15.75">
      <c r="A1" s="1681" t="s">
        <v>2178</v>
      </c>
      <c r="B1" s="1681"/>
      <c r="C1" s="1681"/>
      <c r="D1" s="1681"/>
      <c r="E1" s="1681"/>
      <c r="F1" s="1681"/>
      <c r="G1" s="1681"/>
      <c r="H1" s="1681"/>
      <c r="I1" s="1681"/>
    </row>
    <row r="2" spans="1:11" s="775" customFormat="1" ht="18.600000000000001" customHeight="1">
      <c r="A2" s="776" t="s">
        <v>1782</v>
      </c>
      <c r="B2" s="776" t="s">
        <v>2401</v>
      </c>
      <c r="C2" s="776" t="s">
        <v>2399</v>
      </c>
      <c r="D2" s="776" t="s">
        <v>1438</v>
      </c>
      <c r="E2" s="776" t="s">
        <v>2400</v>
      </c>
      <c r="F2" s="776" t="s">
        <v>627</v>
      </c>
      <c r="G2" s="776" t="s">
        <v>2408</v>
      </c>
      <c r="H2" s="776" t="s">
        <v>2406</v>
      </c>
      <c r="I2" s="808" t="s">
        <v>19</v>
      </c>
    </row>
    <row r="3" spans="1:11" s="775" customFormat="1" ht="45">
      <c r="A3" s="1063">
        <v>1</v>
      </c>
      <c r="B3" s="1063" t="s">
        <v>2402</v>
      </c>
      <c r="C3" s="1065">
        <v>45867</v>
      </c>
      <c r="D3" s="1065">
        <v>45868</v>
      </c>
      <c r="E3" s="1063">
        <v>2</v>
      </c>
      <c r="F3" s="1211" t="s">
        <v>3233</v>
      </c>
      <c r="G3" s="1063" t="s">
        <v>2413</v>
      </c>
      <c r="H3" s="1212" t="s">
        <v>2403</v>
      </c>
      <c r="I3" s="1069"/>
    </row>
    <row r="4" spans="1:11" s="775" customFormat="1" ht="30">
      <c r="A4" s="1063">
        <f>A3+1</f>
        <v>2</v>
      </c>
      <c r="B4" s="1063" t="s">
        <v>2402</v>
      </c>
      <c r="C4" s="1065">
        <v>45870</v>
      </c>
      <c r="D4" s="1065">
        <v>45870</v>
      </c>
      <c r="E4" s="1063">
        <v>1</v>
      </c>
      <c r="F4" s="1211" t="s">
        <v>3233</v>
      </c>
      <c r="G4" s="1063" t="s">
        <v>2413</v>
      </c>
      <c r="H4" s="1212" t="s">
        <v>2405</v>
      </c>
      <c r="I4" s="1069"/>
    </row>
    <row r="5" spans="1:11" s="775" customFormat="1" ht="30">
      <c r="A5" s="1063">
        <f t="shared" ref="A5:A29" si="0">A4+1</f>
        <v>3</v>
      </c>
      <c r="B5" s="1063" t="s">
        <v>2407</v>
      </c>
      <c r="C5" s="1065">
        <v>45875</v>
      </c>
      <c r="D5" s="1065">
        <v>45875</v>
      </c>
      <c r="E5" s="1063">
        <v>1</v>
      </c>
      <c r="F5" s="1211" t="s">
        <v>3233</v>
      </c>
      <c r="G5" s="1063" t="s">
        <v>2409</v>
      </c>
      <c r="H5" s="1212" t="s">
        <v>2410</v>
      </c>
      <c r="I5" s="1069"/>
    </row>
    <row r="6" spans="1:11" s="775" customFormat="1" ht="30">
      <c r="A6" s="1063">
        <f t="shared" si="0"/>
        <v>4</v>
      </c>
      <c r="B6" s="1063" t="s">
        <v>2402</v>
      </c>
      <c r="C6" s="1065">
        <v>45876</v>
      </c>
      <c r="D6" s="1065">
        <v>45876</v>
      </c>
      <c r="E6" s="1063">
        <v>1</v>
      </c>
      <c r="F6" s="1211" t="s">
        <v>3233</v>
      </c>
      <c r="G6" s="1063" t="s">
        <v>2413</v>
      </c>
      <c r="H6" s="1212" t="s">
        <v>2411</v>
      </c>
      <c r="I6" s="1069"/>
    </row>
    <row r="7" spans="1:11" s="775" customFormat="1" ht="30">
      <c r="A7" s="1063">
        <f t="shared" si="0"/>
        <v>5</v>
      </c>
      <c r="B7" s="1063" t="s">
        <v>2402</v>
      </c>
      <c r="C7" s="1065">
        <v>45878</v>
      </c>
      <c r="D7" s="1065">
        <v>45878</v>
      </c>
      <c r="E7" s="1063">
        <v>1</v>
      </c>
      <c r="F7" s="1211" t="s">
        <v>3233</v>
      </c>
      <c r="G7" s="1063" t="s">
        <v>2413</v>
      </c>
      <c r="H7" s="1212" t="s">
        <v>2412</v>
      </c>
      <c r="I7" s="1069"/>
    </row>
    <row r="8" spans="1:11" s="775" customFormat="1" ht="36.6" customHeight="1">
      <c r="A8" s="1063">
        <f t="shared" si="0"/>
        <v>6</v>
      </c>
      <c r="B8" s="1063" t="s">
        <v>2402</v>
      </c>
      <c r="C8" s="1065">
        <v>45881</v>
      </c>
      <c r="D8" s="1065">
        <v>45883</v>
      </c>
      <c r="E8" s="1063">
        <v>3</v>
      </c>
      <c r="F8" s="1211" t="s">
        <v>3233</v>
      </c>
      <c r="G8" s="1063" t="s">
        <v>2404</v>
      </c>
      <c r="H8" s="1212" t="s">
        <v>2414</v>
      </c>
      <c r="I8" s="1069"/>
    </row>
    <row r="9" spans="1:11" s="775" customFormat="1" ht="36.6" customHeight="1">
      <c r="A9" s="1063">
        <f t="shared" si="0"/>
        <v>7</v>
      </c>
      <c r="B9" s="1063" t="s">
        <v>2407</v>
      </c>
      <c r="C9" s="1065">
        <v>45881</v>
      </c>
      <c r="D9" s="1065">
        <v>45881</v>
      </c>
      <c r="E9" s="1063">
        <v>1</v>
      </c>
      <c r="F9" s="1211" t="s">
        <v>3233</v>
      </c>
      <c r="G9" s="1063" t="s">
        <v>2409</v>
      </c>
      <c r="H9" s="1212" t="s">
        <v>2415</v>
      </c>
      <c r="I9" s="1069"/>
    </row>
    <row r="10" spans="1:11" s="775" customFormat="1" ht="36.6" customHeight="1">
      <c r="A10" s="1063">
        <f t="shared" si="0"/>
        <v>8</v>
      </c>
      <c r="B10" s="1063" t="s">
        <v>2407</v>
      </c>
      <c r="C10" s="1065">
        <v>45885</v>
      </c>
      <c r="D10" s="1065">
        <v>45887</v>
      </c>
      <c r="E10" s="1063">
        <v>3</v>
      </c>
      <c r="F10" s="1211" t="s">
        <v>3233</v>
      </c>
      <c r="G10" s="1063" t="s">
        <v>2409</v>
      </c>
      <c r="H10" s="1212" t="s">
        <v>2417</v>
      </c>
      <c r="I10" s="1069"/>
    </row>
    <row r="11" spans="1:11" s="775" customFormat="1" ht="36.6" customHeight="1">
      <c r="A11" s="1063">
        <f t="shared" si="0"/>
        <v>9</v>
      </c>
      <c r="B11" s="1063" t="s">
        <v>2402</v>
      </c>
      <c r="C11" s="1065">
        <v>45886</v>
      </c>
      <c r="D11" s="1065">
        <v>45887</v>
      </c>
      <c r="E11" s="1063">
        <v>2</v>
      </c>
      <c r="F11" s="1211" t="s">
        <v>3233</v>
      </c>
      <c r="G11" s="1063" t="s">
        <v>2404</v>
      </c>
      <c r="H11" s="1212" t="s">
        <v>2416</v>
      </c>
      <c r="I11" s="1069"/>
    </row>
    <row r="12" spans="1:11" s="775" customFormat="1" ht="36.6" customHeight="1">
      <c r="A12" s="1063">
        <f t="shared" si="0"/>
        <v>10</v>
      </c>
      <c r="B12" s="1063" t="s">
        <v>2402</v>
      </c>
      <c r="C12" s="1065">
        <v>45889</v>
      </c>
      <c r="D12" s="1065" t="s">
        <v>3337</v>
      </c>
      <c r="E12" s="1063">
        <v>0.5</v>
      </c>
      <c r="F12" s="1211" t="s">
        <v>3233</v>
      </c>
      <c r="G12" s="1063">
        <v>38</v>
      </c>
      <c r="H12" s="1212" t="s">
        <v>2418</v>
      </c>
      <c r="I12" s="1069"/>
    </row>
    <row r="13" spans="1:11" s="775" customFormat="1" ht="36.6" customHeight="1">
      <c r="A13" s="1063">
        <f t="shared" si="0"/>
        <v>11</v>
      </c>
      <c r="B13" s="1063" t="s">
        <v>2402</v>
      </c>
      <c r="C13" s="1065">
        <v>45892</v>
      </c>
      <c r="D13" s="1065">
        <v>11</v>
      </c>
      <c r="E13" s="1063">
        <v>6</v>
      </c>
      <c r="F13" s="1211" t="s">
        <v>3233</v>
      </c>
      <c r="G13" s="1063" t="s">
        <v>2420</v>
      </c>
      <c r="H13" s="1212" t="s">
        <v>2418</v>
      </c>
      <c r="I13" s="1069"/>
      <c r="J13" s="775">
        <v>1</v>
      </c>
    </row>
    <row r="14" spans="1:11" s="775" customFormat="1" ht="36.6" customHeight="1">
      <c r="A14" s="1063">
        <f t="shared" si="0"/>
        <v>12</v>
      </c>
      <c r="B14" s="1063" t="s">
        <v>2407</v>
      </c>
      <c r="C14" s="1065">
        <v>45892</v>
      </c>
      <c r="D14" s="1065">
        <v>45897</v>
      </c>
      <c r="E14" s="1063">
        <v>6</v>
      </c>
      <c r="F14" s="1211" t="s">
        <v>3233</v>
      </c>
      <c r="G14" s="1063"/>
      <c r="H14" s="1213" t="s">
        <v>2419</v>
      </c>
      <c r="I14" s="1214"/>
    </row>
    <row r="15" spans="1:11" s="775" customFormat="1" ht="36.6" customHeight="1">
      <c r="A15" s="1063">
        <f t="shared" si="0"/>
        <v>13</v>
      </c>
      <c r="B15" s="1063" t="s">
        <v>2402</v>
      </c>
      <c r="C15" s="1065">
        <v>45899</v>
      </c>
      <c r="D15" s="1065">
        <v>45903</v>
      </c>
      <c r="E15" s="1063">
        <v>5</v>
      </c>
      <c r="F15" s="1211" t="s">
        <v>3233</v>
      </c>
      <c r="G15" s="1063" t="s">
        <v>2421</v>
      </c>
      <c r="H15" s="1212" t="s">
        <v>2422</v>
      </c>
      <c r="I15" s="1069"/>
      <c r="J15" s="1156"/>
      <c r="K15" s="1156"/>
    </row>
    <row r="16" spans="1:11" s="775" customFormat="1" ht="36.6" customHeight="1">
      <c r="A16" s="1063">
        <f t="shared" si="0"/>
        <v>14</v>
      </c>
      <c r="B16" s="1063" t="s">
        <v>2407</v>
      </c>
      <c r="C16" s="1065">
        <v>45898</v>
      </c>
      <c r="D16" s="1065">
        <v>45911</v>
      </c>
      <c r="E16" s="1063">
        <v>14</v>
      </c>
      <c r="F16" s="1211" t="s">
        <v>3233</v>
      </c>
      <c r="G16" s="1063" t="s">
        <v>2409</v>
      </c>
      <c r="H16" s="1215"/>
      <c r="I16" s="1215"/>
      <c r="J16" s="1156"/>
      <c r="K16" s="1156"/>
    </row>
    <row r="17" spans="1:10" s="775" customFormat="1" ht="36.6" customHeight="1">
      <c r="A17" s="1063">
        <f t="shared" si="0"/>
        <v>15</v>
      </c>
      <c r="B17" s="1063" t="s">
        <v>2701</v>
      </c>
      <c r="C17" s="1065">
        <v>45897</v>
      </c>
      <c r="D17" s="1065">
        <v>45917</v>
      </c>
      <c r="E17" s="1063">
        <f>D17-C17</f>
        <v>20</v>
      </c>
      <c r="F17" s="1211" t="s">
        <v>3233</v>
      </c>
      <c r="G17" s="1063" t="s">
        <v>2722</v>
      </c>
      <c r="H17" s="1216" t="s">
        <v>2721</v>
      </c>
      <c r="I17" s="1217"/>
    </row>
    <row r="18" spans="1:10" s="775" customFormat="1" ht="36.6" customHeight="1">
      <c r="A18" s="1063">
        <f t="shared" si="0"/>
        <v>16</v>
      </c>
      <c r="B18" s="1063" t="s">
        <v>2402</v>
      </c>
      <c r="C18" s="1065">
        <v>45928</v>
      </c>
      <c r="D18" s="1065">
        <v>45929</v>
      </c>
      <c r="E18" s="1063">
        <v>2</v>
      </c>
      <c r="F18" s="1211" t="s">
        <v>3233</v>
      </c>
      <c r="G18" s="1063" t="s">
        <v>2845</v>
      </c>
      <c r="H18" s="1212" t="s">
        <v>2846</v>
      </c>
      <c r="I18" s="1069"/>
    </row>
    <row r="19" spans="1:10" s="775" customFormat="1" ht="36.6" customHeight="1">
      <c r="A19" s="1063">
        <f t="shared" si="0"/>
        <v>17</v>
      </c>
      <c r="B19" s="1063" t="s">
        <v>2402</v>
      </c>
      <c r="C19" s="1065">
        <v>45935</v>
      </c>
      <c r="D19" s="1065">
        <v>45937</v>
      </c>
      <c r="E19" s="1063">
        <v>3</v>
      </c>
      <c r="F19" s="1211" t="s">
        <v>3233</v>
      </c>
      <c r="G19" s="1063" t="s">
        <v>2722</v>
      </c>
      <c r="H19" s="1212" t="s">
        <v>2827</v>
      </c>
      <c r="I19" s="1069"/>
      <c r="J19" s="775">
        <f>J13+1</f>
        <v>2</v>
      </c>
    </row>
    <row r="20" spans="1:10" s="775" customFormat="1" ht="36.6" customHeight="1">
      <c r="A20" s="1063">
        <f t="shared" si="0"/>
        <v>18</v>
      </c>
      <c r="B20" s="1063" t="s">
        <v>2407</v>
      </c>
      <c r="C20" s="1065">
        <v>45935</v>
      </c>
      <c r="D20" s="1065">
        <v>45939</v>
      </c>
      <c r="E20" s="1063">
        <f>D20-C20</f>
        <v>4</v>
      </c>
      <c r="F20" s="1211" t="s">
        <v>3233</v>
      </c>
      <c r="G20" s="1063" t="s">
        <v>2722</v>
      </c>
      <c r="H20" s="1212" t="s">
        <v>2829</v>
      </c>
      <c r="I20" s="1069"/>
    </row>
    <row r="21" spans="1:10" s="775" customFormat="1" ht="36.6" customHeight="1">
      <c r="A21" s="1063">
        <f t="shared" si="0"/>
        <v>19</v>
      </c>
      <c r="B21" s="1063" t="s">
        <v>2701</v>
      </c>
      <c r="C21" s="1065">
        <v>45935</v>
      </c>
      <c r="D21" s="1065" t="s">
        <v>3338</v>
      </c>
      <c r="E21" s="1063">
        <v>3</v>
      </c>
      <c r="F21" s="1211" t="s">
        <v>3233</v>
      </c>
      <c r="G21" s="1063" t="s">
        <v>2722</v>
      </c>
      <c r="H21" s="1212" t="s">
        <v>2827</v>
      </c>
      <c r="I21" s="1069"/>
    </row>
    <row r="22" spans="1:10" s="775" customFormat="1" ht="36.6" customHeight="1">
      <c r="A22" s="1063">
        <f t="shared" si="0"/>
        <v>20</v>
      </c>
      <c r="B22" s="1063" t="s">
        <v>2402</v>
      </c>
      <c r="C22" s="1065">
        <v>45943</v>
      </c>
      <c r="D22" s="1065">
        <v>21</v>
      </c>
      <c r="E22" s="1063">
        <v>3</v>
      </c>
      <c r="F22" s="1211" t="s">
        <v>3233</v>
      </c>
      <c r="G22" s="1063" t="s">
        <v>2845</v>
      </c>
      <c r="H22" s="1212" t="s">
        <v>2844</v>
      </c>
      <c r="I22" s="1069"/>
    </row>
    <row r="23" spans="1:10" s="775" customFormat="1" ht="36.6" customHeight="1">
      <c r="A23" s="1063">
        <f t="shared" si="0"/>
        <v>21</v>
      </c>
      <c r="B23" s="1063" t="s">
        <v>2402</v>
      </c>
      <c r="C23" s="1065">
        <v>45948</v>
      </c>
      <c r="D23" s="1065">
        <v>22</v>
      </c>
      <c r="E23" s="1063">
        <v>1</v>
      </c>
      <c r="F23" s="1211" t="s">
        <v>3233</v>
      </c>
      <c r="G23" s="1063" t="s">
        <v>2845</v>
      </c>
      <c r="H23" s="1212" t="s">
        <v>2846</v>
      </c>
      <c r="I23" s="1069"/>
    </row>
    <row r="24" spans="1:10" s="775" customFormat="1" ht="36.6" customHeight="1">
      <c r="A24" s="1063">
        <f t="shared" si="0"/>
        <v>22</v>
      </c>
      <c r="B24" s="1063" t="s">
        <v>2402</v>
      </c>
      <c r="C24" s="1065">
        <v>45954</v>
      </c>
      <c r="D24" s="1065">
        <v>45981</v>
      </c>
      <c r="E24" s="1063">
        <f>D24-C24</f>
        <v>27</v>
      </c>
      <c r="F24" s="1211" t="s">
        <v>3233</v>
      </c>
      <c r="G24" s="1218" t="s">
        <v>3090</v>
      </c>
      <c r="H24" s="1212" t="s">
        <v>2846</v>
      </c>
      <c r="I24" s="1069"/>
    </row>
    <row r="25" spans="1:10" s="775" customFormat="1" ht="36.6" customHeight="1">
      <c r="A25" s="1063">
        <f t="shared" si="0"/>
        <v>23</v>
      </c>
      <c r="B25" s="1063" t="s">
        <v>2402</v>
      </c>
      <c r="C25" s="1065">
        <v>45995</v>
      </c>
      <c r="D25" s="1065">
        <v>45997</v>
      </c>
      <c r="E25" s="1063">
        <v>3</v>
      </c>
      <c r="F25" s="1211" t="s">
        <v>3233</v>
      </c>
      <c r="G25" s="1219" t="s">
        <v>3142</v>
      </c>
      <c r="H25" s="1220" t="s">
        <v>3141</v>
      </c>
      <c r="I25" s="1069"/>
    </row>
    <row r="26" spans="1:10" s="775" customFormat="1" ht="36.6" customHeight="1">
      <c r="A26" s="1063">
        <f t="shared" si="0"/>
        <v>24</v>
      </c>
      <c r="B26" s="1063" t="s">
        <v>2402</v>
      </c>
      <c r="C26" s="1065">
        <v>46002</v>
      </c>
      <c r="D26" s="1065">
        <v>46005</v>
      </c>
      <c r="E26" s="1063">
        <f>D26-C26</f>
        <v>3</v>
      </c>
      <c r="F26" s="1211" t="s">
        <v>3233</v>
      </c>
      <c r="G26" s="1221" t="s">
        <v>3205</v>
      </c>
      <c r="H26" s="1220" t="s">
        <v>3141</v>
      </c>
      <c r="I26" s="1069"/>
    </row>
    <row r="27" spans="1:10" s="775" customFormat="1" ht="36.6" customHeight="1">
      <c r="A27" s="1063">
        <f t="shared" si="0"/>
        <v>25</v>
      </c>
      <c r="B27" s="1063" t="s">
        <v>2402</v>
      </c>
      <c r="C27" s="1065">
        <v>46005</v>
      </c>
      <c r="D27" s="1065">
        <v>46007</v>
      </c>
      <c r="E27" s="1063">
        <f>D27-C27</f>
        <v>2</v>
      </c>
      <c r="F27" s="1211" t="s">
        <v>3233</v>
      </c>
      <c r="G27" s="1222" t="s">
        <v>3207</v>
      </c>
      <c r="H27" s="1220" t="s">
        <v>3141</v>
      </c>
      <c r="I27" s="1069"/>
    </row>
    <row r="28" spans="1:10" s="775" customFormat="1" ht="36.6" customHeight="1">
      <c r="A28" s="1063">
        <f t="shared" si="0"/>
        <v>26</v>
      </c>
      <c r="B28" s="1063" t="s">
        <v>2407</v>
      </c>
      <c r="C28" s="1065">
        <v>46003</v>
      </c>
      <c r="D28" s="1065">
        <v>46005</v>
      </c>
      <c r="E28" s="1063">
        <v>2</v>
      </c>
      <c r="F28" s="1211" t="s">
        <v>3233</v>
      </c>
      <c r="G28" s="1222" t="s">
        <v>3208</v>
      </c>
      <c r="H28" s="1220" t="s">
        <v>3141</v>
      </c>
      <c r="I28" s="1069"/>
    </row>
    <row r="29" spans="1:10" s="775" customFormat="1" ht="36.6" customHeight="1">
      <c r="A29" s="1063">
        <f t="shared" si="0"/>
        <v>27</v>
      </c>
      <c r="B29" s="1063" t="s">
        <v>2402</v>
      </c>
      <c r="C29" s="1065">
        <v>46010</v>
      </c>
      <c r="D29" s="1065">
        <v>46011</v>
      </c>
      <c r="E29" s="1063">
        <v>2</v>
      </c>
      <c r="F29" s="1211" t="s">
        <v>3233</v>
      </c>
      <c r="G29" s="1223" t="s">
        <v>3232</v>
      </c>
      <c r="H29" s="1220" t="s">
        <v>3141</v>
      </c>
      <c r="I29" s="1069"/>
    </row>
    <row r="30" spans="1:10" s="1056" customFormat="1" ht="36.6" customHeight="1">
      <c r="A30" s="1063">
        <f t="shared" ref="A30:A38" si="1">A29+1</f>
        <v>28</v>
      </c>
      <c r="B30" s="1063" t="s">
        <v>2407</v>
      </c>
      <c r="C30" s="1065">
        <v>46013</v>
      </c>
      <c r="D30" s="1065">
        <v>46014</v>
      </c>
      <c r="E30" s="1063">
        <v>2</v>
      </c>
      <c r="F30" s="1211" t="s">
        <v>3233</v>
      </c>
      <c r="G30" s="1224" t="s">
        <v>3235</v>
      </c>
      <c r="H30" s="1220" t="s">
        <v>3141</v>
      </c>
      <c r="I30" s="1069"/>
    </row>
    <row r="31" spans="1:10" s="1056" customFormat="1" ht="45">
      <c r="A31" s="1063">
        <f t="shared" si="1"/>
        <v>29</v>
      </c>
      <c r="B31" s="1074" t="s">
        <v>2701</v>
      </c>
      <c r="C31" s="1065">
        <v>46021</v>
      </c>
      <c r="D31" s="1065">
        <v>46038</v>
      </c>
      <c r="E31" s="1063">
        <f>D31-C31</f>
        <v>17</v>
      </c>
      <c r="F31" s="1075" t="s">
        <v>3233</v>
      </c>
      <c r="G31" s="1076" t="s">
        <v>3249</v>
      </c>
      <c r="H31" s="1077" t="s">
        <v>3257</v>
      </c>
      <c r="I31" s="1069"/>
    </row>
    <row r="32" spans="1:10" s="1056" customFormat="1" ht="60">
      <c r="A32" s="1063">
        <f t="shared" si="1"/>
        <v>30</v>
      </c>
      <c r="B32" s="1064" t="s">
        <v>2402</v>
      </c>
      <c r="C32" s="1065">
        <v>46024</v>
      </c>
      <c r="D32" s="1065">
        <v>46026</v>
      </c>
      <c r="E32" s="1063">
        <f>D32-C32</f>
        <v>2</v>
      </c>
      <c r="F32" s="1066" t="s">
        <v>3233</v>
      </c>
      <c r="G32" s="1067" t="s">
        <v>3244</v>
      </c>
      <c r="H32" s="1068" t="s">
        <v>3245</v>
      </c>
      <c r="I32" s="1069"/>
    </row>
    <row r="33" spans="1:9" s="1056" customFormat="1" ht="42.95" customHeight="1">
      <c r="A33" s="1063">
        <f t="shared" si="1"/>
        <v>31</v>
      </c>
      <c r="B33" s="1101" t="s">
        <v>2402</v>
      </c>
      <c r="C33" s="1065">
        <v>46045</v>
      </c>
      <c r="D33" s="1065">
        <v>46054</v>
      </c>
      <c r="E33" s="1063">
        <f>D33-C33</f>
        <v>9</v>
      </c>
      <c r="F33" s="1102" t="s">
        <v>3233</v>
      </c>
      <c r="G33" s="1103" t="s">
        <v>2722</v>
      </c>
      <c r="H33" s="1104" t="s">
        <v>3260</v>
      </c>
      <c r="I33" s="1069"/>
    </row>
    <row r="34" spans="1:9" s="1056" customFormat="1" ht="42.95" customHeight="1">
      <c r="A34" s="1063">
        <f t="shared" si="1"/>
        <v>32</v>
      </c>
      <c r="B34" s="1105" t="s">
        <v>3281</v>
      </c>
      <c r="C34" s="1065">
        <v>46054</v>
      </c>
      <c r="D34" s="1065">
        <v>46057</v>
      </c>
      <c r="E34" s="1063">
        <f>D34-C34</f>
        <v>3</v>
      </c>
      <c r="F34" s="1106" t="s">
        <v>3233</v>
      </c>
      <c r="G34" s="1105" t="s">
        <v>3282</v>
      </c>
      <c r="H34" s="1107" t="s">
        <v>3283</v>
      </c>
      <c r="I34" s="1069"/>
    </row>
    <row r="35" spans="1:9" s="1056" customFormat="1" ht="42.95" customHeight="1">
      <c r="A35" s="1063">
        <f t="shared" si="1"/>
        <v>33</v>
      </c>
      <c r="B35" s="1109" t="s">
        <v>3289</v>
      </c>
      <c r="C35" s="1065">
        <v>46060</v>
      </c>
      <c r="D35" s="1065">
        <v>46061</v>
      </c>
      <c r="E35" s="1063">
        <v>2</v>
      </c>
      <c r="F35" s="1110" t="s">
        <v>3233</v>
      </c>
      <c r="G35" s="1109" t="s">
        <v>3290</v>
      </c>
      <c r="H35" s="1111" t="s">
        <v>3245</v>
      </c>
      <c r="I35" s="1069"/>
    </row>
    <row r="36" spans="1:9" s="1056" customFormat="1" ht="42.95" customHeight="1">
      <c r="A36" s="1063">
        <f t="shared" si="1"/>
        <v>34</v>
      </c>
      <c r="B36" s="1144" t="s">
        <v>3328</v>
      </c>
      <c r="C36" s="1065">
        <v>46087</v>
      </c>
      <c r="D36" s="1065">
        <v>46088</v>
      </c>
      <c r="E36" s="1063">
        <v>2</v>
      </c>
      <c r="F36" s="1145" t="s">
        <v>3233</v>
      </c>
      <c r="G36" s="1144" t="s">
        <v>3329</v>
      </c>
      <c r="H36" s="1111" t="s">
        <v>3245</v>
      </c>
      <c r="I36" s="1069"/>
    </row>
    <row r="37" spans="1:9" s="1056" customFormat="1" ht="42.95" customHeight="1">
      <c r="A37" s="1063">
        <f t="shared" si="1"/>
        <v>35</v>
      </c>
      <c r="B37" s="1146" t="s">
        <v>3331</v>
      </c>
      <c r="C37" s="1065">
        <v>46090</v>
      </c>
      <c r="D37" s="1065">
        <f>C37</f>
        <v>46090</v>
      </c>
      <c r="E37" s="1063">
        <v>1</v>
      </c>
      <c r="F37" s="1145" t="s">
        <v>3233</v>
      </c>
      <c r="G37" s="1146" t="s">
        <v>3332</v>
      </c>
      <c r="H37" s="1111" t="s">
        <v>3245</v>
      </c>
      <c r="I37" s="1069"/>
    </row>
    <row r="38" spans="1:9" s="1056" customFormat="1" ht="42.95" customHeight="1">
      <c r="A38" s="1063">
        <f t="shared" si="1"/>
        <v>36</v>
      </c>
      <c r="B38" s="1182" t="s">
        <v>3340</v>
      </c>
      <c r="C38" s="1065">
        <v>46096</v>
      </c>
      <c r="D38" s="1065">
        <v>46103</v>
      </c>
      <c r="E38" s="1063">
        <v>8</v>
      </c>
      <c r="F38" s="1183" t="s">
        <v>3233</v>
      </c>
      <c r="G38" s="1182" t="s">
        <v>3341</v>
      </c>
      <c r="H38" s="1184" t="s">
        <v>3342</v>
      </c>
      <c r="I38" s="1069"/>
    </row>
    <row r="39" spans="1:9" s="1056" customFormat="1" ht="42.95" customHeight="1">
      <c r="A39" s="1063">
        <f>A38+1</f>
        <v>37</v>
      </c>
      <c r="B39" s="1185" t="s">
        <v>3410</v>
      </c>
      <c r="C39" s="1065">
        <v>46103</v>
      </c>
      <c r="D39" s="1065">
        <v>46121</v>
      </c>
      <c r="E39" s="1063">
        <f>D39-C39</f>
        <v>18</v>
      </c>
      <c r="F39" s="1183" t="s">
        <v>3233</v>
      </c>
      <c r="G39" s="1185" t="s">
        <v>3411</v>
      </c>
      <c r="H39" s="1186" t="s">
        <v>1658</v>
      </c>
      <c r="I39" s="1069"/>
    </row>
    <row r="40" spans="1:9" s="1056" customFormat="1" ht="42.95" customHeight="1">
      <c r="A40" s="1063">
        <f>A39+1</f>
        <v>38</v>
      </c>
      <c r="B40" s="1225" t="s">
        <v>3418</v>
      </c>
      <c r="C40" s="1065">
        <v>46116</v>
      </c>
      <c r="D40" s="1065">
        <v>46119</v>
      </c>
      <c r="E40" s="1063">
        <v>3</v>
      </c>
      <c r="F40" s="1183" t="s">
        <v>3233</v>
      </c>
      <c r="G40" s="1187" t="s">
        <v>3427</v>
      </c>
      <c r="H40" s="1186" t="s">
        <v>1658</v>
      </c>
      <c r="I40" s="1069"/>
    </row>
    <row r="41" spans="1:9" s="1056" customFormat="1" ht="42.95" customHeight="1">
      <c r="A41" s="1063">
        <f t="shared" ref="A41" si="2">A40+1</f>
        <v>39</v>
      </c>
      <c r="B41" s="1182" t="s">
        <v>3340</v>
      </c>
      <c r="C41" s="1065">
        <v>46119</v>
      </c>
      <c r="D41" s="1065">
        <v>46121</v>
      </c>
      <c r="E41" s="1063">
        <v>3</v>
      </c>
      <c r="F41" s="1183" t="s">
        <v>3233</v>
      </c>
      <c r="G41" s="1182" t="s">
        <v>3341</v>
      </c>
      <c r="H41" s="1184" t="s">
        <v>3342</v>
      </c>
      <c r="I41" s="1069"/>
    </row>
    <row r="42" spans="1:9" s="1056" customFormat="1" ht="42.95" customHeight="1">
      <c r="A42" s="1063">
        <f t="shared" ref="A42:A61" si="3">A41+1</f>
        <v>40</v>
      </c>
      <c r="B42" s="1185" t="s">
        <v>3410</v>
      </c>
      <c r="C42" s="1065">
        <v>46118</v>
      </c>
      <c r="D42" s="1065">
        <v>46121</v>
      </c>
      <c r="E42" s="1063">
        <v>4</v>
      </c>
      <c r="F42" s="1183" t="s">
        <v>3233</v>
      </c>
      <c r="G42" s="1187" t="s">
        <v>3425</v>
      </c>
      <c r="H42" s="1186" t="s">
        <v>1658</v>
      </c>
      <c r="I42" s="1069"/>
    </row>
    <row r="43" spans="1:9" s="1056" customFormat="1" ht="42.95" customHeight="1">
      <c r="A43" s="1063">
        <f t="shared" si="3"/>
        <v>41</v>
      </c>
      <c r="B43" s="1208" t="s">
        <v>3428</v>
      </c>
      <c r="C43" s="1065">
        <v>46120</v>
      </c>
      <c r="D43" s="1065">
        <v>46122</v>
      </c>
      <c r="E43" s="1063">
        <v>3</v>
      </c>
      <c r="F43" s="1209" t="s">
        <v>3233</v>
      </c>
      <c r="G43" s="1208" t="s">
        <v>3429</v>
      </c>
      <c r="H43" s="1186" t="s">
        <v>1658</v>
      </c>
      <c r="I43" s="1069"/>
    </row>
    <row r="44" spans="1:9" s="1056" customFormat="1" ht="42.95" customHeight="1">
      <c r="A44" s="1063">
        <f t="shared" si="3"/>
        <v>42</v>
      </c>
      <c r="B44" s="1208" t="s">
        <v>3428</v>
      </c>
      <c r="C44" s="1065">
        <v>46114</v>
      </c>
      <c r="D44" s="1065">
        <v>46122</v>
      </c>
      <c r="E44" s="1063">
        <f>D44-C44</f>
        <v>8</v>
      </c>
      <c r="F44" s="1209" t="s">
        <v>3233</v>
      </c>
      <c r="G44" s="1210" t="s">
        <v>3485</v>
      </c>
      <c r="H44" s="1186" t="s">
        <v>1658</v>
      </c>
      <c r="I44" s="1069"/>
    </row>
    <row r="45" spans="1:9" s="1056" customFormat="1" ht="42.95" customHeight="1">
      <c r="A45" s="1063">
        <f t="shared" si="3"/>
        <v>43</v>
      </c>
      <c r="B45" s="1249" t="s">
        <v>3399</v>
      </c>
      <c r="C45" s="1065">
        <v>46141</v>
      </c>
      <c r="D45" s="1065">
        <v>46143</v>
      </c>
      <c r="E45" s="1063">
        <v>3</v>
      </c>
      <c r="F45" s="1250" t="s">
        <v>3233</v>
      </c>
      <c r="G45" s="1249" t="s">
        <v>3341</v>
      </c>
      <c r="H45" s="1251" t="s">
        <v>3342</v>
      </c>
      <c r="I45" s="1069"/>
    </row>
    <row r="46" spans="1:9" s="1056" customFormat="1" ht="42.95" customHeight="1">
      <c r="A46" s="1063">
        <f t="shared" si="3"/>
        <v>44</v>
      </c>
      <c r="B46" s="1249" t="s">
        <v>3399</v>
      </c>
      <c r="C46" s="1065">
        <v>46150</v>
      </c>
      <c r="D46" s="1065">
        <v>46151</v>
      </c>
      <c r="E46" s="1063">
        <v>2</v>
      </c>
      <c r="F46" s="1250" t="s">
        <v>3233</v>
      </c>
      <c r="G46" s="1254" t="s">
        <v>3552</v>
      </c>
      <c r="H46" s="1255" t="s">
        <v>1658</v>
      </c>
      <c r="I46" s="1069"/>
    </row>
    <row r="47" spans="1:9" s="1056" customFormat="1" ht="42.95" customHeight="1">
      <c r="A47" s="1063">
        <f t="shared" si="3"/>
        <v>45</v>
      </c>
      <c r="B47" s="1249" t="s">
        <v>3428</v>
      </c>
      <c r="C47" s="1065">
        <v>46162</v>
      </c>
      <c r="D47" s="1065">
        <v>46163</v>
      </c>
      <c r="E47" s="1063">
        <v>2</v>
      </c>
      <c r="F47" s="1263" t="s">
        <v>3233</v>
      </c>
      <c r="G47" s="1264" t="s">
        <v>3559</v>
      </c>
      <c r="H47" s="1255" t="s">
        <v>1658</v>
      </c>
      <c r="I47" s="1069"/>
    </row>
    <row r="48" spans="1:9" s="1056" customFormat="1" ht="42.95" customHeight="1">
      <c r="A48" s="1267">
        <f t="shared" si="3"/>
        <v>46</v>
      </c>
      <c r="B48" s="1268" t="s">
        <v>3428</v>
      </c>
      <c r="C48" s="1269">
        <v>46167</v>
      </c>
      <c r="D48" s="1269">
        <v>46170</v>
      </c>
      <c r="E48" s="1267">
        <v>4</v>
      </c>
      <c r="F48" s="1270" t="s">
        <v>3233</v>
      </c>
      <c r="G48" s="1271" t="s">
        <v>3576</v>
      </c>
      <c r="H48" s="1272" t="s">
        <v>1658</v>
      </c>
      <c r="I48" s="1273"/>
    </row>
    <row r="49" spans="1:9" s="1056" customFormat="1" ht="42.95" customHeight="1">
      <c r="A49" s="1267">
        <f t="shared" si="3"/>
        <v>47</v>
      </c>
      <c r="B49" s="1268" t="s">
        <v>3428</v>
      </c>
      <c r="C49" s="1269">
        <v>46193</v>
      </c>
      <c r="D49" s="1269">
        <v>46195</v>
      </c>
      <c r="E49" s="1267">
        <v>3</v>
      </c>
      <c r="F49" s="1307" t="s">
        <v>3233</v>
      </c>
      <c r="G49" s="1310" t="s">
        <v>3631</v>
      </c>
      <c r="H49" s="1272" t="s">
        <v>1658</v>
      </c>
      <c r="I49" s="1273"/>
    </row>
    <row r="50" spans="1:9" s="1056" customFormat="1" ht="42.95" customHeight="1">
      <c r="A50" s="1063">
        <f t="shared" si="3"/>
        <v>48</v>
      </c>
      <c r="B50" s="1249" t="s">
        <v>3428</v>
      </c>
      <c r="C50" s="1065">
        <v>46211</v>
      </c>
      <c r="D50" s="1065">
        <v>46212</v>
      </c>
      <c r="E50" s="1063">
        <v>2</v>
      </c>
      <c r="F50" s="1326" t="s">
        <v>3233</v>
      </c>
      <c r="G50" s="1327" t="s">
        <v>3652</v>
      </c>
      <c r="H50" s="1328" t="s">
        <v>1658</v>
      </c>
      <c r="I50" s="1069"/>
    </row>
    <row r="51" spans="1:9" s="1056" customFormat="1" ht="42.95" customHeight="1">
      <c r="A51" s="1063">
        <f t="shared" si="3"/>
        <v>49</v>
      </c>
      <c r="B51" s="1249" t="s">
        <v>3428</v>
      </c>
      <c r="C51" s="1065">
        <v>46212</v>
      </c>
      <c r="D51" s="1065">
        <v>46213</v>
      </c>
      <c r="E51" s="1063">
        <v>2</v>
      </c>
      <c r="F51" s="1326" t="s">
        <v>3233</v>
      </c>
      <c r="G51" s="1327" t="s">
        <v>3651</v>
      </c>
      <c r="H51" s="1255" t="s">
        <v>1658</v>
      </c>
      <c r="I51" s="1069"/>
    </row>
    <row r="52" spans="1:9" s="1056" customFormat="1" ht="42.95" customHeight="1">
      <c r="A52" s="1063">
        <f t="shared" si="3"/>
        <v>50</v>
      </c>
      <c r="B52" s="1249" t="s">
        <v>3340</v>
      </c>
      <c r="C52" s="1065">
        <v>46223</v>
      </c>
      <c r="D52" s="1065">
        <v>46228</v>
      </c>
      <c r="E52" s="1063">
        <v>6</v>
      </c>
      <c r="F52" s="1326" t="s">
        <v>3233</v>
      </c>
      <c r="G52" s="1346" t="s">
        <v>3341</v>
      </c>
      <c r="H52" s="1347" t="s">
        <v>3683</v>
      </c>
      <c r="I52" s="1069"/>
    </row>
    <row r="53" spans="1:9" s="1056" customFormat="1" ht="42.95" customHeight="1">
      <c r="A53" s="1063">
        <f t="shared" si="3"/>
        <v>51</v>
      </c>
      <c r="B53" s="1249" t="s">
        <v>3340</v>
      </c>
      <c r="C53" s="1065">
        <v>46231</v>
      </c>
      <c r="D53" s="1065">
        <v>46234</v>
      </c>
      <c r="E53" s="1063">
        <v>4</v>
      </c>
      <c r="F53" s="1326" t="s">
        <v>3233</v>
      </c>
      <c r="G53" s="1346" t="s">
        <v>3341</v>
      </c>
      <c r="H53" s="1347" t="s">
        <v>3683</v>
      </c>
      <c r="I53" s="1069"/>
    </row>
    <row r="54" spans="1:9" s="1056" customFormat="1" ht="42.95" customHeight="1">
      <c r="A54" s="1348">
        <f t="shared" si="3"/>
        <v>52</v>
      </c>
      <c r="B54" s="1353" t="s">
        <v>3686</v>
      </c>
      <c r="C54" s="1349">
        <v>46206</v>
      </c>
      <c r="D54" s="1349">
        <v>46246</v>
      </c>
      <c r="E54" s="1348">
        <f>D54-C54</f>
        <v>40</v>
      </c>
      <c r="F54" s="1351" t="s">
        <v>3684</v>
      </c>
      <c r="G54" s="1353" t="s">
        <v>3687</v>
      </c>
      <c r="H54" s="1354" t="s">
        <v>3688</v>
      </c>
      <c r="I54" s="1350"/>
    </row>
    <row r="55" spans="1:9" s="1056" customFormat="1" ht="42.95" customHeight="1">
      <c r="A55" s="1358">
        <f t="shared" si="3"/>
        <v>53</v>
      </c>
      <c r="B55" s="1359" t="s">
        <v>3697</v>
      </c>
      <c r="C55" s="1360">
        <v>46234</v>
      </c>
      <c r="D55" s="1360">
        <v>46235</v>
      </c>
      <c r="E55" s="1358">
        <v>2</v>
      </c>
      <c r="F55" s="1361" t="s">
        <v>3233</v>
      </c>
      <c r="G55" s="1359" t="s">
        <v>3698</v>
      </c>
      <c r="H55" s="1362" t="s">
        <v>1658</v>
      </c>
      <c r="I55" s="1363"/>
    </row>
    <row r="56" spans="1:9" s="1056" customFormat="1" ht="42.95" customHeight="1">
      <c r="A56" s="1063">
        <f t="shared" si="3"/>
        <v>54</v>
      </c>
      <c r="B56" s="1365" t="s">
        <v>3703</v>
      </c>
      <c r="C56" s="1065">
        <v>46236</v>
      </c>
      <c r="D56" s="1065">
        <v>46236</v>
      </c>
      <c r="E56" s="1063">
        <v>1</v>
      </c>
      <c r="F56" s="1366" t="s">
        <v>3233</v>
      </c>
      <c r="G56" s="1365" t="s">
        <v>3704</v>
      </c>
      <c r="H56" s="1367" t="s">
        <v>1658</v>
      </c>
      <c r="I56" s="1069"/>
    </row>
    <row r="57" spans="1:9" s="1056" customFormat="1" ht="42.95" customHeight="1">
      <c r="A57" s="1063">
        <f t="shared" si="3"/>
        <v>55</v>
      </c>
      <c r="B57" s="1384" t="s">
        <v>3713</v>
      </c>
      <c r="C57" s="1065">
        <v>46237</v>
      </c>
      <c r="D57" s="1065">
        <v>46239</v>
      </c>
      <c r="E57" s="1063">
        <v>3</v>
      </c>
      <c r="F57" s="1385" t="s">
        <v>3233</v>
      </c>
      <c r="G57" s="1384" t="s">
        <v>3714</v>
      </c>
      <c r="H57" s="1347" t="s">
        <v>3683</v>
      </c>
      <c r="I57" s="1069"/>
    </row>
    <row r="58" spans="1:9" s="1056" customFormat="1" ht="42.95" customHeight="1">
      <c r="A58" s="1063">
        <f t="shared" si="3"/>
        <v>56</v>
      </c>
      <c r="B58" s="1406" t="s">
        <v>3328</v>
      </c>
      <c r="C58" s="1065">
        <v>46239</v>
      </c>
      <c r="D58" s="1065">
        <v>46244</v>
      </c>
      <c r="E58" s="1063">
        <f>D58-C58</f>
        <v>5</v>
      </c>
      <c r="F58" s="1385" t="s">
        <v>3233</v>
      </c>
      <c r="G58" s="1406" t="s">
        <v>3757</v>
      </c>
      <c r="H58" s="1407"/>
      <c r="I58" s="1069"/>
    </row>
    <row r="59" spans="1:9" s="1056" customFormat="1" ht="42.95" customHeight="1">
      <c r="A59" s="1063">
        <f t="shared" si="3"/>
        <v>57</v>
      </c>
      <c r="B59" s="1408" t="s">
        <v>3764</v>
      </c>
      <c r="C59" s="1065">
        <v>46242</v>
      </c>
      <c r="D59" s="1065">
        <v>46243</v>
      </c>
      <c r="E59" s="1063">
        <v>2</v>
      </c>
      <c r="F59" s="1385" t="s">
        <v>3233</v>
      </c>
      <c r="G59" s="1409" t="s">
        <v>3771</v>
      </c>
      <c r="H59" s="1410" t="s">
        <v>3683</v>
      </c>
      <c r="I59" s="1069"/>
    </row>
    <row r="60" spans="1:9" s="1056" customFormat="1" ht="42.95" customHeight="1">
      <c r="A60" s="1063">
        <f>A59+1</f>
        <v>58</v>
      </c>
      <c r="B60" s="1384" t="s">
        <v>3713</v>
      </c>
      <c r="C60" s="1065">
        <v>46245</v>
      </c>
      <c r="D60" s="1065">
        <v>46245</v>
      </c>
      <c r="E60" s="1063">
        <v>1</v>
      </c>
      <c r="F60" s="1385" t="s">
        <v>3233</v>
      </c>
      <c r="G60" s="1452" t="s">
        <v>3784</v>
      </c>
      <c r="H60" s="1347" t="s">
        <v>3683</v>
      </c>
      <c r="I60" s="1069"/>
    </row>
    <row r="61" spans="1:9" ht="30">
      <c r="A61" s="1412">
        <f t="shared" si="3"/>
        <v>59</v>
      </c>
      <c r="B61" s="1413" t="s">
        <v>3697</v>
      </c>
      <c r="C61" s="1414">
        <v>46246</v>
      </c>
      <c r="D61" s="1414">
        <v>46246</v>
      </c>
      <c r="E61" s="1412">
        <v>1</v>
      </c>
      <c r="F61" s="1351" t="s">
        <v>3684</v>
      </c>
      <c r="G61" s="1444" t="s">
        <v>3811</v>
      </c>
      <c r="H61" s="1415" t="s">
        <v>1658</v>
      </c>
      <c r="I61" s="1416"/>
    </row>
  </sheetData>
  <autoFilter ref="A2:I56" xr:uid="{C0BDF18F-0F0B-4CD7-AF81-80578F87A294}"/>
  <mergeCells count="1">
    <mergeCell ref="A1:I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454C-45F8-41FB-95D4-D2D28882FB09}">
  <sheetPr>
    <tabColor theme="4" tint="0.39997558519241921"/>
  </sheetPr>
  <dimension ref="B2:O7"/>
  <sheetViews>
    <sheetView tabSelected="1" workbookViewId="0">
      <selection activeCell="K7" sqref="K7"/>
    </sheetView>
  </sheetViews>
  <sheetFormatPr defaultColWidth="8.7109375" defaultRowHeight="15"/>
  <cols>
    <col min="1" max="1" width="1.42578125" style="1371" customWidth="1"/>
    <col min="2" max="2" width="4.5703125" style="1376" bestFit="1" customWidth="1"/>
    <col min="3" max="3" width="22.140625" style="1376" bestFit="1" customWidth="1"/>
    <col min="4" max="4" width="10.5703125" style="1376" customWidth="1"/>
    <col min="5" max="6" width="11.5703125" style="1376" customWidth="1"/>
    <col min="7" max="7" width="9.42578125" style="1376" customWidth="1"/>
    <col min="8" max="8" width="8.7109375" style="1371"/>
    <col min="9" max="9" width="2.85546875" style="1371" customWidth="1"/>
    <col min="10" max="10" width="4.5703125" style="1376" bestFit="1" customWidth="1"/>
    <col min="11" max="11" width="17.140625" style="1376" bestFit="1" customWidth="1"/>
    <col min="12" max="12" width="12.140625" style="1376" customWidth="1"/>
    <col min="13" max="13" width="36" style="1376" bestFit="1" customWidth="1"/>
    <col min="14" max="14" width="14.7109375" style="1376" bestFit="1" customWidth="1"/>
    <col min="15" max="15" width="24.7109375" style="1376" bestFit="1" customWidth="1"/>
    <col min="16" max="16384" width="8.7109375" style="1371"/>
  </cols>
  <sheetData>
    <row r="2" spans="2:15" ht="45">
      <c r="B2" s="1370" t="s">
        <v>1782</v>
      </c>
      <c r="C2" s="1370" t="s">
        <v>2401</v>
      </c>
      <c r="D2" s="1370" t="s">
        <v>3719</v>
      </c>
      <c r="E2" s="1370" t="s">
        <v>3627</v>
      </c>
      <c r="F2" s="1370" t="s">
        <v>3720</v>
      </c>
      <c r="G2" s="1370" t="s">
        <v>593</v>
      </c>
      <c r="H2" s="1370" t="s">
        <v>2689</v>
      </c>
      <c r="J2" s="1370" t="s">
        <v>1782</v>
      </c>
      <c r="K2" s="1370" t="s">
        <v>1762</v>
      </c>
      <c r="L2" s="1370" t="s">
        <v>1412</v>
      </c>
      <c r="M2" s="1370" t="s">
        <v>3721</v>
      </c>
      <c r="N2" s="1370" t="s">
        <v>3769</v>
      </c>
      <c r="O2" s="1370" t="s">
        <v>3770</v>
      </c>
    </row>
    <row r="3" spans="2:15">
      <c r="B3" s="1372">
        <v>1</v>
      </c>
      <c r="C3" s="1372" t="s">
        <v>3722</v>
      </c>
      <c r="D3" s="1372">
        <v>104</v>
      </c>
      <c r="E3" s="1372">
        <v>44</v>
      </c>
      <c r="F3" s="1372">
        <v>5</v>
      </c>
      <c r="G3" s="1372">
        <f>D3-E3-F3</f>
        <v>55</v>
      </c>
      <c r="H3" s="1372">
        <v>6</v>
      </c>
      <c r="J3" s="1372">
        <v>1</v>
      </c>
      <c r="K3" s="1372" t="s">
        <v>3723</v>
      </c>
      <c r="L3" s="1372"/>
      <c r="M3" s="1372" t="s">
        <v>3724</v>
      </c>
      <c r="N3" s="1372"/>
      <c r="O3" s="1372" t="s">
        <v>3034</v>
      </c>
    </row>
    <row r="4" spans="2:15">
      <c r="B4" s="1372">
        <f>B3+1</f>
        <v>2</v>
      </c>
      <c r="C4" s="1372" t="s">
        <v>3725</v>
      </c>
      <c r="D4" s="1372">
        <v>155</v>
      </c>
      <c r="E4" s="1372">
        <v>44</v>
      </c>
      <c r="F4" s="1372"/>
      <c r="G4" s="1372">
        <f>D4-E4-F4</f>
        <v>111</v>
      </c>
      <c r="H4" s="1373"/>
      <c r="J4" s="1372">
        <f>J3+1</f>
        <v>2</v>
      </c>
      <c r="K4" s="1372" t="s">
        <v>3726</v>
      </c>
      <c r="L4" s="1372">
        <v>11</v>
      </c>
      <c r="M4" s="1394" t="s">
        <v>3727</v>
      </c>
      <c r="N4" s="1372"/>
      <c r="O4" s="1445" t="s">
        <v>3036</v>
      </c>
    </row>
    <row r="5" spans="2:15">
      <c r="B5" s="1372">
        <f>B4+1</f>
        <v>3</v>
      </c>
      <c r="C5" s="1372" t="s">
        <v>3728</v>
      </c>
      <c r="D5" s="1372">
        <v>23</v>
      </c>
      <c r="E5" s="1372"/>
      <c r="F5" s="1829"/>
      <c r="G5" s="1372">
        <f>D5-E5-F5</f>
        <v>23</v>
      </c>
      <c r="H5" s="1373"/>
      <c r="J5" s="1383" t="s">
        <v>3718</v>
      </c>
      <c r="K5" s="1372" t="s">
        <v>3729</v>
      </c>
      <c r="L5" s="1372">
        <v>18</v>
      </c>
      <c r="M5" s="1372"/>
      <c r="N5" s="1397" t="s">
        <v>502</v>
      </c>
      <c r="O5" s="1397" t="s">
        <v>503</v>
      </c>
    </row>
    <row r="6" spans="2:15">
      <c r="B6" s="1372">
        <f>B5+1</f>
        <v>4</v>
      </c>
      <c r="C6" s="1372" t="s">
        <v>2712</v>
      </c>
      <c r="D6" s="1372"/>
      <c r="E6" s="1372"/>
      <c r="F6" s="1372"/>
      <c r="G6" s="1372"/>
      <c r="H6" s="1373"/>
      <c r="J6" s="1383" t="s">
        <v>3756</v>
      </c>
      <c r="K6" s="1372" t="s">
        <v>3730</v>
      </c>
      <c r="L6" s="1372">
        <v>17</v>
      </c>
      <c r="M6" s="1372" t="s">
        <v>3731</v>
      </c>
      <c r="N6" s="1446" t="s">
        <v>3813</v>
      </c>
      <c r="O6" s="1446" t="s">
        <v>3814</v>
      </c>
    </row>
    <row r="7" spans="2:15">
      <c r="B7" s="1682" t="s">
        <v>994</v>
      </c>
      <c r="C7" s="1683"/>
      <c r="D7" s="1374">
        <f>SUM(D3:D6)</f>
        <v>282</v>
      </c>
      <c r="E7" s="1374">
        <f t="shared" ref="E7:G7" si="0">SUM(E3:E6)</f>
        <v>88</v>
      </c>
      <c r="F7" s="1374">
        <f t="shared" si="0"/>
        <v>5</v>
      </c>
      <c r="G7" s="1374">
        <f t="shared" si="0"/>
        <v>189</v>
      </c>
      <c r="H7" s="1375"/>
      <c r="J7" s="1372">
        <v>7</v>
      </c>
      <c r="K7" s="1372" t="s">
        <v>3723</v>
      </c>
      <c r="L7" s="1372">
        <v>8</v>
      </c>
      <c r="M7" s="1372"/>
      <c r="N7" s="1372"/>
      <c r="O7" s="1446" t="s">
        <v>3812</v>
      </c>
    </row>
  </sheetData>
  <mergeCells count="1">
    <mergeCell ref="B7:C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theme="4" tint="0.39997558519241921"/>
  </sheetPr>
  <dimension ref="B1:J30"/>
  <sheetViews>
    <sheetView zoomScaleNormal="100" workbookViewId="0">
      <selection activeCell="G18" sqref="G18"/>
    </sheetView>
  </sheetViews>
  <sheetFormatPr defaultColWidth="8.7109375" defaultRowHeight="15"/>
  <cols>
    <col min="1" max="1" width="8.7109375" style="770"/>
    <col min="2" max="2" width="11" style="773" bestFit="1" customWidth="1"/>
    <col min="3" max="3" width="21.5703125" style="770" bestFit="1" customWidth="1"/>
    <col min="4" max="4" width="11.5703125" style="773" bestFit="1" customWidth="1"/>
    <col min="5" max="5" width="6.28515625" style="770" customWidth="1"/>
    <col min="6" max="6" width="5.42578125" style="770" bestFit="1" customWidth="1"/>
    <col min="7" max="7" width="20" style="770" bestFit="1" customWidth="1"/>
    <col min="8" max="8" width="11.5703125" style="773" bestFit="1" customWidth="1"/>
    <col min="9" max="9" width="6.28515625" style="773" customWidth="1"/>
    <col min="10" max="10" width="9.85546875" style="770" bestFit="1" customWidth="1"/>
    <col min="11" max="11" width="8.7109375" style="770" customWidth="1"/>
    <col min="12" max="16384" width="8.7109375" style="770"/>
  </cols>
  <sheetData>
    <row r="1" spans="2:10">
      <c r="I1" s="774" t="s">
        <v>570</v>
      </c>
      <c r="J1" s="1312">
        <f>'Foundation JS-Line -Jammu'!P1</f>
        <v>46246</v>
      </c>
    </row>
    <row r="2" spans="2:10">
      <c r="B2" s="1684"/>
      <c r="C2" s="1684"/>
      <c r="D2" s="1684"/>
      <c r="E2" s="1684"/>
      <c r="F2" s="1684"/>
      <c r="G2" s="1684"/>
      <c r="H2" s="1684"/>
      <c r="I2" s="1684"/>
      <c r="J2" s="1684"/>
    </row>
    <row r="3" spans="2:10" s="771" customFormat="1">
      <c r="B3" s="1685" t="s">
        <v>2182</v>
      </c>
      <c r="C3" s="1685"/>
      <c r="D3" s="1112" t="s">
        <v>2401</v>
      </c>
      <c r="E3" s="1112" t="s">
        <v>2183</v>
      </c>
      <c r="F3" s="1685" t="s">
        <v>2182</v>
      </c>
      <c r="G3" s="1685"/>
      <c r="H3" s="1112" t="s">
        <v>2401</v>
      </c>
      <c r="I3" s="1112" t="s">
        <v>2183</v>
      </c>
      <c r="J3" s="950"/>
    </row>
    <row r="4" spans="2:10">
      <c r="B4" s="1112" t="s">
        <v>3099</v>
      </c>
      <c r="C4" s="1113" t="s">
        <v>28</v>
      </c>
      <c r="D4" s="1113"/>
      <c r="E4" s="1113"/>
      <c r="F4" s="1112" t="s">
        <v>3099</v>
      </c>
      <c r="G4" s="1113" t="s">
        <v>610</v>
      </c>
      <c r="H4" s="1113"/>
      <c r="I4" s="1113"/>
      <c r="J4" s="773"/>
    </row>
    <row r="5" spans="2:10">
      <c r="B5" s="1286">
        <v>1</v>
      </c>
      <c r="C5" s="1257" t="s">
        <v>3106</v>
      </c>
      <c r="D5" s="1258" t="s">
        <v>2872</v>
      </c>
      <c r="E5" s="1259">
        <v>7</v>
      </c>
      <c r="F5" s="1175">
        <v>1</v>
      </c>
      <c r="G5" s="1284" t="s">
        <v>3292</v>
      </c>
      <c r="H5" s="1389" t="s">
        <v>2874</v>
      </c>
      <c r="I5" s="1175">
        <v>28</v>
      </c>
      <c r="J5" s="773"/>
    </row>
    <row r="6" spans="2:10">
      <c r="B6" s="1260">
        <v>2</v>
      </c>
      <c r="C6" s="1278" t="s">
        <v>3583</v>
      </c>
      <c r="D6" s="1260" t="s">
        <v>2873</v>
      </c>
      <c r="E6" s="1261">
        <v>20</v>
      </c>
      <c r="F6" s="1175">
        <v>2</v>
      </c>
      <c r="G6" s="1177" t="s">
        <v>3284</v>
      </c>
      <c r="H6" s="1389" t="s">
        <v>2874</v>
      </c>
      <c r="I6" s="1175">
        <v>25</v>
      </c>
      <c r="J6" s="773"/>
    </row>
    <row r="7" spans="2:10">
      <c r="B7" s="1256">
        <v>3</v>
      </c>
      <c r="C7" s="1257" t="s">
        <v>3092</v>
      </c>
      <c r="D7" s="1258" t="s">
        <v>2874</v>
      </c>
      <c r="E7" s="1259">
        <v>13</v>
      </c>
      <c r="F7" s="1175">
        <v>3</v>
      </c>
      <c r="G7" s="1279" t="s">
        <v>3349</v>
      </c>
      <c r="H7" s="1390" t="s">
        <v>2872</v>
      </c>
      <c r="I7" s="1176">
        <v>24</v>
      </c>
      <c r="J7" s="773"/>
    </row>
    <row r="8" spans="2:10">
      <c r="B8" s="1256">
        <v>4</v>
      </c>
      <c r="C8" s="1257" t="s">
        <v>2840</v>
      </c>
      <c r="D8" s="1258" t="s">
        <v>2874</v>
      </c>
      <c r="E8" s="1259">
        <v>13</v>
      </c>
      <c r="F8" s="1175">
        <v>4</v>
      </c>
      <c r="G8" s="1252" t="s">
        <v>3572</v>
      </c>
      <c r="H8" s="1391" t="s">
        <v>2872</v>
      </c>
      <c r="I8" s="1175">
        <v>25</v>
      </c>
      <c r="J8" s="773"/>
    </row>
    <row r="9" spans="2:10">
      <c r="B9" s="1256">
        <v>5</v>
      </c>
      <c r="C9" s="1257" t="s">
        <v>86</v>
      </c>
      <c r="D9" s="1258" t="s">
        <v>2874</v>
      </c>
      <c r="E9" s="1256">
        <v>10</v>
      </c>
      <c r="F9" s="1175">
        <v>5</v>
      </c>
      <c r="G9" s="1176" t="s">
        <v>1360</v>
      </c>
      <c r="H9" s="1390" t="s">
        <v>2874</v>
      </c>
      <c r="I9" s="1176">
        <v>26</v>
      </c>
      <c r="J9" s="773"/>
    </row>
    <row r="10" spans="2:10">
      <c r="B10" s="1256">
        <v>6</v>
      </c>
      <c r="C10" s="1317" t="s">
        <v>3492</v>
      </c>
      <c r="D10" s="1258" t="s">
        <v>2874</v>
      </c>
      <c r="E10" s="1256">
        <v>12</v>
      </c>
      <c r="F10" s="1175">
        <v>6</v>
      </c>
      <c r="G10" s="1178" t="s">
        <v>3584</v>
      </c>
      <c r="H10" s="1387" t="s">
        <v>2873</v>
      </c>
      <c r="I10" s="1176">
        <v>24</v>
      </c>
      <c r="J10" s="773"/>
    </row>
    <row r="11" spans="2:10">
      <c r="B11" s="1258">
        <v>7</v>
      </c>
      <c r="C11" s="1262" t="s">
        <v>3253</v>
      </c>
      <c r="D11" s="1258" t="s">
        <v>2874</v>
      </c>
      <c r="E11" s="1259">
        <v>13</v>
      </c>
      <c r="F11" s="1175">
        <v>7</v>
      </c>
      <c r="G11" s="1280" t="s">
        <v>3585</v>
      </c>
      <c r="H11" s="1392" t="s">
        <v>2874</v>
      </c>
      <c r="I11" s="1175">
        <v>25</v>
      </c>
      <c r="J11" s="773"/>
    </row>
    <row r="12" spans="2:10">
      <c r="B12" s="1258">
        <v>8</v>
      </c>
      <c r="C12" s="1262" t="s">
        <v>3495</v>
      </c>
      <c r="D12" s="1258" t="s">
        <v>2874</v>
      </c>
      <c r="E12" s="1256">
        <v>12</v>
      </c>
      <c r="F12" s="1175">
        <v>8</v>
      </c>
      <c r="G12" s="1280" t="s">
        <v>3639</v>
      </c>
      <c r="H12" s="1391" t="s">
        <v>2874</v>
      </c>
      <c r="I12" s="1175">
        <v>30</v>
      </c>
      <c r="J12" s="773"/>
    </row>
    <row r="13" spans="2:10">
      <c r="B13" s="1258">
        <v>9</v>
      </c>
      <c r="C13" s="1262" t="s">
        <v>3557</v>
      </c>
      <c r="D13" s="1258" t="s">
        <v>2874</v>
      </c>
      <c r="E13" s="1256">
        <v>14</v>
      </c>
      <c r="F13" s="1175">
        <v>9</v>
      </c>
      <c r="G13" s="1315" t="s">
        <v>3643</v>
      </c>
      <c r="H13" s="1391" t="s">
        <v>2874</v>
      </c>
      <c r="I13" s="1175">
        <v>20</v>
      </c>
      <c r="J13" s="773"/>
    </row>
    <row r="14" spans="2:10">
      <c r="B14" s="1258">
        <v>10</v>
      </c>
      <c r="C14" s="1297" t="s">
        <v>3133</v>
      </c>
      <c r="D14" s="1298" t="s">
        <v>2874</v>
      </c>
      <c r="E14" s="1256">
        <v>10</v>
      </c>
      <c r="F14" s="1175">
        <f t="shared" ref="F14:F19" si="0">F13+1</f>
        <v>10</v>
      </c>
      <c r="G14" s="1319" t="s">
        <v>3648</v>
      </c>
      <c r="H14" s="1391" t="s">
        <v>2874</v>
      </c>
      <c r="I14" s="1175">
        <v>30</v>
      </c>
      <c r="J14" s="773"/>
    </row>
    <row r="15" spans="2:10">
      <c r="B15" s="1258">
        <v>11</v>
      </c>
      <c r="C15" s="1313" t="s">
        <v>3637</v>
      </c>
      <c r="D15" s="1314" t="s">
        <v>2874</v>
      </c>
      <c r="E15" s="1256">
        <v>15</v>
      </c>
      <c r="F15" s="1175">
        <f t="shared" si="0"/>
        <v>11</v>
      </c>
      <c r="G15" s="1320" t="s">
        <v>3649</v>
      </c>
      <c r="H15" s="1391" t="s">
        <v>2874</v>
      </c>
      <c r="I15" s="1175">
        <v>30</v>
      </c>
      <c r="J15" s="773"/>
    </row>
    <row r="16" spans="2:10">
      <c r="B16" s="1258">
        <v>12</v>
      </c>
      <c r="C16" s="1318" t="s">
        <v>3497</v>
      </c>
      <c r="D16" s="1314" t="s">
        <v>2874</v>
      </c>
      <c r="E16" s="1256">
        <v>8</v>
      </c>
      <c r="F16" s="1175">
        <f t="shared" si="0"/>
        <v>12</v>
      </c>
      <c r="G16" s="1320" t="s">
        <v>3671</v>
      </c>
      <c r="H16" s="1391" t="s">
        <v>2874</v>
      </c>
      <c r="I16" s="1175">
        <v>18</v>
      </c>
      <c r="J16" s="773"/>
    </row>
    <row r="17" spans="2:10">
      <c r="B17" s="1258">
        <v>13</v>
      </c>
      <c r="C17" s="1318" t="s">
        <v>3640</v>
      </c>
      <c r="D17" s="1321" t="s">
        <v>2874</v>
      </c>
      <c r="E17" s="1256">
        <v>18</v>
      </c>
      <c r="F17" s="1175">
        <f t="shared" si="0"/>
        <v>13</v>
      </c>
      <c r="G17" s="1352" t="s">
        <v>3758</v>
      </c>
      <c r="H17" s="1391" t="s">
        <v>2874</v>
      </c>
      <c r="I17" s="1175">
        <v>15</v>
      </c>
      <c r="J17" s="773"/>
    </row>
    <row r="18" spans="2:10">
      <c r="B18" s="1258">
        <v>14</v>
      </c>
      <c r="C18" s="1262" t="s">
        <v>3409</v>
      </c>
      <c r="D18" s="1258" t="s">
        <v>2712</v>
      </c>
      <c r="E18" s="1256">
        <v>13</v>
      </c>
      <c r="F18" s="1175">
        <f t="shared" si="0"/>
        <v>14</v>
      </c>
      <c r="G18" s="1340"/>
      <c r="H18" s="1391"/>
      <c r="I18" s="1175"/>
      <c r="J18" s="773"/>
    </row>
    <row r="19" spans="2:10">
      <c r="B19" s="1258">
        <v>15</v>
      </c>
      <c r="C19" s="1262" t="s">
        <v>3204</v>
      </c>
      <c r="D19" s="1258" t="s">
        <v>2712</v>
      </c>
      <c r="E19" s="1256">
        <v>12</v>
      </c>
      <c r="F19" s="1175">
        <f t="shared" si="0"/>
        <v>15</v>
      </c>
      <c r="G19" s="1388"/>
      <c r="H19" s="1391"/>
      <c r="I19" s="1175"/>
      <c r="J19" s="773"/>
    </row>
    <row r="20" spans="2:10">
      <c r="B20" s="1258">
        <v>16</v>
      </c>
      <c r="C20" s="1262" t="s">
        <v>3491</v>
      </c>
      <c r="D20" s="1258" t="s">
        <v>2712</v>
      </c>
      <c r="E20" s="1256">
        <v>12</v>
      </c>
      <c r="F20" s="1689" t="s">
        <v>2182</v>
      </c>
      <c r="G20" s="1690"/>
      <c r="H20" s="1112" t="s">
        <v>2401</v>
      </c>
      <c r="I20" s="1112" t="s">
        <v>2183</v>
      </c>
      <c r="J20" s="773"/>
    </row>
    <row r="21" spans="2:10">
      <c r="B21" s="1258">
        <v>17</v>
      </c>
      <c r="C21" s="1288" t="s">
        <v>3600</v>
      </c>
      <c r="D21" s="1289" t="s">
        <v>2712</v>
      </c>
      <c r="E21" s="1256">
        <v>16</v>
      </c>
      <c r="F21" s="1112" t="s">
        <v>3099</v>
      </c>
      <c r="G21" s="1113" t="s">
        <v>614</v>
      </c>
      <c r="H21" s="1113"/>
      <c r="I21" s="1113"/>
      <c r="J21" s="773"/>
    </row>
    <row r="22" spans="2:10">
      <c r="B22" s="1258">
        <v>18</v>
      </c>
      <c r="C22" s="1292" t="s">
        <v>3213</v>
      </c>
      <c r="D22" s="1289" t="s">
        <v>2712</v>
      </c>
      <c r="E22" s="1256">
        <v>14</v>
      </c>
      <c r="F22" s="1176">
        <v>1</v>
      </c>
      <c r="G22" s="1176" t="s">
        <v>3560</v>
      </c>
      <c r="H22" s="1368" t="s">
        <v>2872</v>
      </c>
      <c r="I22" s="1176">
        <v>35</v>
      </c>
      <c r="J22" s="773"/>
    </row>
    <row r="23" spans="2:10">
      <c r="B23" s="1336">
        <v>19</v>
      </c>
      <c r="C23" s="1337" t="s">
        <v>3670</v>
      </c>
      <c r="D23" s="1338" t="s">
        <v>2873</v>
      </c>
      <c r="E23" s="1339">
        <v>8</v>
      </c>
      <c r="F23" s="1175">
        <f>F22+1</f>
        <v>2</v>
      </c>
      <c r="G23" s="1293" t="s">
        <v>3615</v>
      </c>
      <c r="H23" s="1368" t="s">
        <v>2872</v>
      </c>
      <c r="I23" s="1175">
        <v>25</v>
      </c>
      <c r="J23" s="773"/>
    </row>
    <row r="24" spans="2:10">
      <c r="B24" s="1258">
        <v>20</v>
      </c>
      <c r="C24" s="1344" t="s">
        <v>3675</v>
      </c>
      <c r="D24" s="1314" t="s">
        <v>2874</v>
      </c>
      <c r="E24" s="1256">
        <v>5</v>
      </c>
      <c r="F24" s="1369" t="s">
        <v>3718</v>
      </c>
      <c r="G24" s="1308" t="s">
        <v>3630</v>
      </c>
      <c r="H24" s="1368" t="s">
        <v>2872</v>
      </c>
      <c r="I24" s="1175">
        <v>80</v>
      </c>
      <c r="J24" s="773"/>
    </row>
    <row r="25" spans="2:10">
      <c r="B25" s="1258">
        <v>21</v>
      </c>
      <c r="C25" s="1344" t="s">
        <v>3674</v>
      </c>
      <c r="D25" s="1314" t="s">
        <v>2874</v>
      </c>
      <c r="E25" s="1256">
        <v>8</v>
      </c>
      <c r="F25" s="1175">
        <v>5</v>
      </c>
      <c r="G25" s="1369" t="s">
        <v>3716</v>
      </c>
      <c r="H25" s="1387" t="s">
        <v>2874</v>
      </c>
      <c r="I25" s="1175">
        <v>25</v>
      </c>
      <c r="J25" s="773"/>
    </row>
    <row r="26" spans="2:10">
      <c r="B26" s="1258">
        <v>22</v>
      </c>
      <c r="C26" s="1386" t="s">
        <v>3503</v>
      </c>
      <c r="D26" s="1314" t="s">
        <v>2872</v>
      </c>
      <c r="E26" s="1256">
        <v>8</v>
      </c>
      <c r="F26" s="1175">
        <f>F25+1</f>
        <v>6</v>
      </c>
      <c r="G26" s="1369" t="s">
        <v>3717</v>
      </c>
      <c r="H26" s="1368" t="s">
        <v>2872</v>
      </c>
      <c r="I26" s="1175">
        <v>15</v>
      </c>
      <c r="J26" s="773"/>
    </row>
    <row r="27" spans="2:10">
      <c r="B27" s="1686" t="s">
        <v>2185</v>
      </c>
      <c r="C27" s="1687"/>
      <c r="D27" s="1688"/>
      <c r="E27" s="772">
        <f>SUM(E5:E26)</f>
        <v>261</v>
      </c>
      <c r="F27" s="772"/>
      <c r="G27" s="772" t="s">
        <v>2185</v>
      </c>
      <c r="H27" s="772"/>
      <c r="I27" s="772">
        <f>SUM(I5:I19)+SUM(I22:I26)</f>
        <v>500</v>
      </c>
      <c r="J27" s="773"/>
    </row>
    <row r="28" spans="2:10">
      <c r="B28" s="770"/>
      <c r="D28" s="770"/>
    </row>
    <row r="30" spans="2:10">
      <c r="B30" s="1161"/>
    </row>
  </sheetData>
  <mergeCells count="5">
    <mergeCell ref="B2:J2"/>
    <mergeCell ref="B3:C3"/>
    <mergeCell ref="F3:G3"/>
    <mergeCell ref="B27:D27"/>
    <mergeCell ref="F20:G20"/>
  </mergeCells>
  <pageMargins left="0.7" right="0.7" top="0.75" bottom="0.75" header="0.3" footer="0.3"/>
  <pageSetup paperSize="9" scale="7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2414-0237-48C4-A930-1C18FB97F27A}">
  <sheetPr>
    <tabColor theme="4" tint="0.39997558519241921"/>
  </sheetPr>
  <dimension ref="B1:I50"/>
  <sheetViews>
    <sheetView topLeftCell="A35" workbookViewId="0">
      <selection activeCell="A2" sqref="A2"/>
    </sheetView>
  </sheetViews>
  <sheetFormatPr defaultRowHeight="15"/>
  <cols>
    <col min="3" max="3" width="10.42578125" bestFit="1" customWidth="1"/>
    <col min="4" max="5" width="9.7109375" bestFit="1" customWidth="1"/>
    <col min="7" max="7" width="5.140625" style="2" bestFit="1" customWidth="1"/>
    <col min="8" max="8" width="5.85546875" style="2" bestFit="1" customWidth="1"/>
    <col min="9" max="9" width="9.7109375" style="2" bestFit="1" customWidth="1"/>
  </cols>
  <sheetData>
    <row r="1" spans="2:9">
      <c r="B1" s="1625" t="s">
        <v>3696</v>
      </c>
      <c r="C1" s="1625"/>
      <c r="D1" s="1625"/>
      <c r="E1" s="1625"/>
      <c r="G1" s="1622" t="s">
        <v>3747</v>
      </c>
      <c r="H1" s="1691"/>
      <c r="I1" s="1623"/>
    </row>
    <row r="2" spans="2:9">
      <c r="B2" s="13" t="s">
        <v>3689</v>
      </c>
      <c r="C2" s="13" t="s">
        <v>3690</v>
      </c>
      <c r="D2" s="13" t="s">
        <v>3691</v>
      </c>
      <c r="E2" s="13" t="s">
        <v>3692</v>
      </c>
      <c r="G2" s="13" t="s">
        <v>1782</v>
      </c>
      <c r="H2" s="13" t="s">
        <v>3214</v>
      </c>
      <c r="I2" s="13" t="s">
        <v>3746</v>
      </c>
    </row>
    <row r="3" spans="2:9">
      <c r="B3" s="13">
        <v>1</v>
      </c>
      <c r="C3" s="13" t="s">
        <v>1122</v>
      </c>
      <c r="D3" s="1356">
        <v>46128</v>
      </c>
      <c r="E3" s="1356">
        <v>46132</v>
      </c>
      <c r="G3" s="13">
        <v>1</v>
      </c>
      <c r="H3" s="13" t="s">
        <v>495</v>
      </c>
      <c r="I3" s="1379">
        <v>46128</v>
      </c>
    </row>
    <row r="4" spans="2:9">
      <c r="B4" s="13">
        <v>2</v>
      </c>
      <c r="C4" s="13" t="s">
        <v>1124</v>
      </c>
      <c r="D4" s="1356">
        <v>46130</v>
      </c>
      <c r="E4" s="1356">
        <v>46132</v>
      </c>
      <c r="G4" s="13">
        <f>G3+1</f>
        <v>2</v>
      </c>
      <c r="H4" s="9" t="s">
        <v>3732</v>
      </c>
      <c r="I4" s="1379">
        <v>46128</v>
      </c>
    </row>
    <row r="5" spans="2:9">
      <c r="B5" s="13">
        <v>3</v>
      </c>
      <c r="C5" s="1357" t="s">
        <v>1648</v>
      </c>
      <c r="D5" s="1356">
        <v>46131</v>
      </c>
      <c r="E5" s="1356">
        <v>46133</v>
      </c>
      <c r="G5" s="13">
        <f t="shared" ref="G5:G42" si="0">G4+1</f>
        <v>3</v>
      </c>
      <c r="H5" s="13" t="s">
        <v>2201</v>
      </c>
      <c r="I5" s="1379">
        <v>46128</v>
      </c>
    </row>
    <row r="6" spans="2:9">
      <c r="B6" s="13">
        <v>4</v>
      </c>
      <c r="C6" s="1357" t="s">
        <v>1125</v>
      </c>
      <c r="D6" s="1356">
        <v>46129</v>
      </c>
      <c r="E6" s="1356">
        <v>46133</v>
      </c>
      <c r="G6" s="13">
        <f t="shared" si="0"/>
        <v>4</v>
      </c>
      <c r="H6" s="13" t="s">
        <v>2202</v>
      </c>
      <c r="I6" s="1379">
        <v>46128</v>
      </c>
    </row>
    <row r="7" spans="2:9">
      <c r="B7" s="13">
        <v>5</v>
      </c>
      <c r="C7" s="13" t="s">
        <v>1649</v>
      </c>
      <c r="D7" s="1356">
        <v>46134</v>
      </c>
      <c r="E7" s="1356">
        <v>46136</v>
      </c>
      <c r="G7" s="13">
        <f t="shared" si="0"/>
        <v>5</v>
      </c>
      <c r="H7" s="13" t="s">
        <v>2203</v>
      </c>
      <c r="I7" s="1379">
        <v>46128</v>
      </c>
    </row>
    <row r="8" spans="2:9">
      <c r="B8" s="13">
        <v>6</v>
      </c>
      <c r="C8" s="13" t="s">
        <v>1138</v>
      </c>
      <c r="D8" s="1356">
        <v>46132</v>
      </c>
      <c r="E8" s="1356">
        <v>46136</v>
      </c>
      <c r="G8" s="13">
        <f t="shared" si="0"/>
        <v>6</v>
      </c>
      <c r="H8" s="13" t="s">
        <v>3733</v>
      </c>
      <c r="I8" s="1379">
        <v>46128</v>
      </c>
    </row>
    <row r="9" spans="2:9">
      <c r="B9" s="13">
        <v>7</v>
      </c>
      <c r="C9" s="13" t="s">
        <v>1634</v>
      </c>
      <c r="D9" s="1356">
        <v>46156</v>
      </c>
      <c r="E9" s="1356">
        <v>46160</v>
      </c>
      <c r="G9" s="13">
        <f t="shared" si="0"/>
        <v>7</v>
      </c>
      <c r="H9" s="13" t="s">
        <v>2206</v>
      </c>
      <c r="I9" s="1379">
        <v>46128</v>
      </c>
    </row>
    <row r="10" spans="2:9">
      <c r="B10" s="13">
        <v>8</v>
      </c>
      <c r="C10" s="1357" t="s">
        <v>1635</v>
      </c>
      <c r="D10" s="1356">
        <v>46156</v>
      </c>
      <c r="E10" s="1356">
        <v>46160</v>
      </c>
      <c r="G10" s="13">
        <f t="shared" si="0"/>
        <v>8</v>
      </c>
      <c r="H10" s="13" t="s">
        <v>2207</v>
      </c>
      <c r="I10" s="1379">
        <v>46128</v>
      </c>
    </row>
    <row r="11" spans="2:9">
      <c r="B11" s="13">
        <v>9</v>
      </c>
      <c r="C11" s="1357" t="s">
        <v>1636</v>
      </c>
      <c r="D11" s="1356">
        <v>46160</v>
      </c>
      <c r="E11" s="1356">
        <v>46162</v>
      </c>
      <c r="G11" s="13">
        <f t="shared" si="0"/>
        <v>9</v>
      </c>
      <c r="H11" s="13" t="s">
        <v>2453</v>
      </c>
      <c r="I11" s="1379">
        <v>46070</v>
      </c>
    </row>
    <row r="12" spans="2:9">
      <c r="B12" s="13">
        <v>10</v>
      </c>
      <c r="C12" s="13" t="s">
        <v>3693</v>
      </c>
      <c r="D12" s="1356">
        <v>46157</v>
      </c>
      <c r="E12" s="1356">
        <v>46162</v>
      </c>
      <c r="G12" s="13">
        <f t="shared" si="0"/>
        <v>10</v>
      </c>
      <c r="H12" s="13" t="s">
        <v>2379</v>
      </c>
      <c r="I12" s="1379">
        <v>46070</v>
      </c>
    </row>
    <row r="13" spans="2:9">
      <c r="B13" s="13">
        <v>11</v>
      </c>
      <c r="C13" s="1357" t="s">
        <v>1637</v>
      </c>
      <c r="D13" s="1356">
        <v>46160</v>
      </c>
      <c r="E13" s="1356">
        <v>46164</v>
      </c>
      <c r="G13" s="13">
        <f t="shared" si="0"/>
        <v>11</v>
      </c>
      <c r="H13" s="13" t="s">
        <v>3734</v>
      </c>
      <c r="I13" s="1378">
        <v>46127</v>
      </c>
    </row>
    <row r="14" spans="2:9">
      <c r="B14" s="13">
        <v>12</v>
      </c>
      <c r="C14" s="1357" t="s">
        <v>1638</v>
      </c>
      <c r="D14" s="1356">
        <v>46161</v>
      </c>
      <c r="E14" s="1356">
        <v>46164</v>
      </c>
      <c r="G14" s="13">
        <f t="shared" si="0"/>
        <v>12</v>
      </c>
      <c r="H14" s="13" t="s">
        <v>2378</v>
      </c>
      <c r="I14" s="1378">
        <v>46127</v>
      </c>
    </row>
    <row r="15" spans="2:9">
      <c r="B15" s="13">
        <v>13</v>
      </c>
      <c r="C15" s="1357" t="s">
        <v>1655</v>
      </c>
      <c r="D15" s="1356">
        <v>46162</v>
      </c>
      <c r="E15" s="1356">
        <v>46166</v>
      </c>
      <c r="G15" s="13">
        <f t="shared" si="0"/>
        <v>13</v>
      </c>
      <c r="H15" s="13" t="s">
        <v>3735</v>
      </c>
      <c r="I15" s="1378">
        <v>46139</v>
      </c>
    </row>
    <row r="16" spans="2:9">
      <c r="B16" s="13">
        <v>14</v>
      </c>
      <c r="C16" s="1357" t="s">
        <v>1656</v>
      </c>
      <c r="D16" s="1356">
        <v>46162</v>
      </c>
      <c r="E16" s="1356">
        <v>46166</v>
      </c>
      <c r="G16" s="13">
        <f t="shared" si="0"/>
        <v>14</v>
      </c>
      <c r="H16" s="13" t="s">
        <v>3736</v>
      </c>
      <c r="I16" s="1378">
        <v>46139</v>
      </c>
    </row>
    <row r="17" spans="2:9">
      <c r="B17" s="13">
        <v>15</v>
      </c>
      <c r="C17" s="1357" t="s">
        <v>1657</v>
      </c>
      <c r="D17" s="1356">
        <v>46163</v>
      </c>
      <c r="E17" s="1356">
        <v>46166</v>
      </c>
      <c r="G17" s="13">
        <f t="shared" si="0"/>
        <v>15</v>
      </c>
      <c r="H17" s="13" t="s">
        <v>3094</v>
      </c>
      <c r="I17" s="1378">
        <v>46139</v>
      </c>
    </row>
    <row r="18" spans="2:9">
      <c r="B18" s="13">
        <v>16</v>
      </c>
      <c r="C18" s="13" t="s">
        <v>3694</v>
      </c>
      <c r="D18" s="1356">
        <v>46174</v>
      </c>
      <c r="E18" s="1356">
        <v>46178</v>
      </c>
      <c r="G18" s="13">
        <f t="shared" si="0"/>
        <v>16</v>
      </c>
      <c r="H18" s="13" t="s">
        <v>2869</v>
      </c>
      <c r="I18" s="1378">
        <v>46139</v>
      </c>
    </row>
    <row r="19" spans="2:9">
      <c r="B19" s="13">
        <v>17</v>
      </c>
      <c r="C19" s="1357" t="s">
        <v>1661</v>
      </c>
      <c r="D19" s="1356">
        <v>46176</v>
      </c>
      <c r="E19" s="1356">
        <v>46178</v>
      </c>
      <c r="G19" s="13">
        <f t="shared" si="0"/>
        <v>17</v>
      </c>
      <c r="H19" s="13" t="s">
        <v>2858</v>
      </c>
      <c r="I19" s="1378">
        <v>46139</v>
      </c>
    </row>
    <row r="20" spans="2:9">
      <c r="B20" s="13">
        <v>18</v>
      </c>
      <c r="C20" s="13" t="s">
        <v>1662</v>
      </c>
      <c r="D20" s="1356">
        <v>46178</v>
      </c>
      <c r="E20" s="1356">
        <v>46181</v>
      </c>
      <c r="G20" s="13">
        <f t="shared" si="0"/>
        <v>18</v>
      </c>
      <c r="H20" s="13" t="s">
        <v>3737</v>
      </c>
      <c r="I20" s="1378">
        <v>46139</v>
      </c>
    </row>
    <row r="21" spans="2:9">
      <c r="B21" s="13">
        <v>19</v>
      </c>
      <c r="C21" s="1357" t="s">
        <v>668</v>
      </c>
      <c r="D21" s="1356">
        <v>46178</v>
      </c>
      <c r="E21" s="1356">
        <v>46181</v>
      </c>
      <c r="G21" s="13">
        <f t="shared" si="0"/>
        <v>19</v>
      </c>
      <c r="H21" s="13" t="s">
        <v>3091</v>
      </c>
      <c r="I21" s="1378">
        <v>46139</v>
      </c>
    </row>
    <row r="22" spans="2:9">
      <c r="B22" s="13">
        <v>20</v>
      </c>
      <c r="C22" s="13" t="s">
        <v>1663</v>
      </c>
      <c r="D22" s="1356">
        <v>46181</v>
      </c>
      <c r="E22" s="1356">
        <v>46183</v>
      </c>
      <c r="G22" s="13">
        <f t="shared" si="0"/>
        <v>20</v>
      </c>
      <c r="H22" s="13" t="s">
        <v>2857</v>
      </c>
      <c r="I22" s="1378">
        <v>46086</v>
      </c>
    </row>
    <row r="23" spans="2:9">
      <c r="B23" s="13">
        <v>21</v>
      </c>
      <c r="C23" s="1357" t="s">
        <v>1963</v>
      </c>
      <c r="D23" s="1356">
        <v>46181</v>
      </c>
      <c r="E23" s="1356">
        <v>46183</v>
      </c>
      <c r="G23" s="13">
        <f t="shared" si="0"/>
        <v>21</v>
      </c>
      <c r="H23" s="13" t="s">
        <v>2871</v>
      </c>
      <c r="I23" s="1377">
        <v>46270</v>
      </c>
    </row>
    <row r="24" spans="2:9">
      <c r="B24" s="13">
        <v>22</v>
      </c>
      <c r="C24" s="13" t="s">
        <v>662</v>
      </c>
      <c r="D24" s="1356">
        <v>46180</v>
      </c>
      <c r="E24" s="1356">
        <v>46183</v>
      </c>
      <c r="G24" s="13">
        <f t="shared" si="0"/>
        <v>22</v>
      </c>
      <c r="H24" s="13" t="s">
        <v>2847</v>
      </c>
      <c r="I24" s="1377">
        <v>46270</v>
      </c>
    </row>
    <row r="25" spans="2:9">
      <c r="B25" s="13">
        <v>23</v>
      </c>
      <c r="C25" s="1357" t="s">
        <v>1645</v>
      </c>
      <c r="D25" s="1356">
        <v>46183</v>
      </c>
      <c r="E25" s="1356">
        <v>46188</v>
      </c>
      <c r="G25" s="13">
        <f t="shared" si="0"/>
        <v>23</v>
      </c>
      <c r="H25" s="13" t="s">
        <v>3738</v>
      </c>
      <c r="I25" s="1377">
        <v>46270</v>
      </c>
    </row>
    <row r="26" spans="2:9">
      <c r="B26" s="13">
        <v>24</v>
      </c>
      <c r="C26" s="1357" t="s">
        <v>1646</v>
      </c>
      <c r="D26" s="1356">
        <v>46183</v>
      </c>
      <c r="E26" s="1356">
        <v>46188</v>
      </c>
      <c r="G26" s="13">
        <f t="shared" si="0"/>
        <v>24</v>
      </c>
      <c r="H26" s="13" t="s">
        <v>3739</v>
      </c>
      <c r="I26" s="1377">
        <v>46208</v>
      </c>
    </row>
    <row r="27" spans="2:9">
      <c r="B27" s="13">
        <v>25</v>
      </c>
      <c r="C27" s="1357" t="s">
        <v>1647</v>
      </c>
      <c r="D27" s="1356">
        <v>46193</v>
      </c>
      <c r="E27" s="1356">
        <v>46196</v>
      </c>
      <c r="G27" s="13">
        <f t="shared" si="0"/>
        <v>25</v>
      </c>
      <c r="H27" s="13" t="s">
        <v>3740</v>
      </c>
      <c r="I27" s="1377">
        <v>46208</v>
      </c>
    </row>
    <row r="28" spans="2:9">
      <c r="B28" s="13">
        <v>26</v>
      </c>
      <c r="C28" s="13" t="s">
        <v>3695</v>
      </c>
      <c r="D28" s="1356">
        <v>46193</v>
      </c>
      <c r="E28" s="1356">
        <v>46196</v>
      </c>
      <c r="G28" s="13">
        <f t="shared" si="0"/>
        <v>26</v>
      </c>
      <c r="H28" s="13" t="s">
        <v>3109</v>
      </c>
      <c r="I28" s="1377">
        <v>46208</v>
      </c>
    </row>
    <row r="29" spans="2:9">
      <c r="B29" s="13">
        <v>27</v>
      </c>
      <c r="C29" s="13" t="s">
        <v>1639</v>
      </c>
      <c r="D29" s="1356">
        <v>46205</v>
      </c>
      <c r="E29" s="1356">
        <v>46210</v>
      </c>
      <c r="G29" s="13">
        <f t="shared" si="0"/>
        <v>27</v>
      </c>
      <c r="H29" s="13" t="s">
        <v>3741</v>
      </c>
      <c r="I29" s="1377">
        <v>46208</v>
      </c>
    </row>
    <row r="30" spans="2:9">
      <c r="B30" s="13">
        <v>28</v>
      </c>
      <c r="C30" s="1357" t="s">
        <v>1140</v>
      </c>
      <c r="D30" s="1356">
        <v>46207</v>
      </c>
      <c r="E30" s="1356">
        <v>46210</v>
      </c>
      <c r="G30" s="13">
        <f t="shared" si="0"/>
        <v>28</v>
      </c>
      <c r="H30" s="13" t="s">
        <v>3134</v>
      </c>
      <c r="I30" s="1377">
        <v>46239</v>
      </c>
    </row>
    <row r="31" spans="2:9">
      <c r="B31" s="13">
        <v>29</v>
      </c>
      <c r="C31" s="13" t="s">
        <v>1027</v>
      </c>
      <c r="D31" s="1356">
        <v>46191</v>
      </c>
      <c r="E31" s="1356">
        <v>46193</v>
      </c>
      <c r="G31" s="13">
        <f t="shared" si="0"/>
        <v>29</v>
      </c>
      <c r="H31" s="13" t="s">
        <v>2839</v>
      </c>
      <c r="I31" s="1377">
        <v>46239</v>
      </c>
    </row>
    <row r="32" spans="2:9">
      <c r="B32" s="13">
        <v>30</v>
      </c>
      <c r="C32" s="13" t="s">
        <v>985</v>
      </c>
      <c r="D32" s="1356">
        <v>46191</v>
      </c>
      <c r="E32" s="1356">
        <v>46193</v>
      </c>
      <c r="G32" s="13">
        <f t="shared" si="0"/>
        <v>30</v>
      </c>
      <c r="H32" s="13" t="s">
        <v>3150</v>
      </c>
      <c r="I32" s="1377">
        <v>46361</v>
      </c>
    </row>
    <row r="33" spans="2:9">
      <c r="B33" s="13">
        <v>31</v>
      </c>
      <c r="C33" s="13" t="s">
        <v>777</v>
      </c>
      <c r="D33" s="1356">
        <v>46193</v>
      </c>
      <c r="E33" s="1356">
        <v>46195</v>
      </c>
      <c r="G33" s="13">
        <f t="shared" si="0"/>
        <v>31</v>
      </c>
      <c r="H33" s="13" t="s">
        <v>2558</v>
      </c>
      <c r="I33" s="1377">
        <v>46360</v>
      </c>
    </row>
    <row r="34" spans="2:9">
      <c r="B34" s="13">
        <v>32</v>
      </c>
      <c r="C34" s="13" t="s">
        <v>786</v>
      </c>
      <c r="D34" s="1356">
        <v>46193</v>
      </c>
      <c r="E34" s="1356">
        <v>46195</v>
      </c>
      <c r="G34" s="13">
        <f t="shared" si="0"/>
        <v>32</v>
      </c>
      <c r="H34" s="13" t="s">
        <v>2559</v>
      </c>
      <c r="I34" s="1377">
        <v>46361</v>
      </c>
    </row>
    <row r="35" spans="2:9">
      <c r="B35" s="13">
        <v>33</v>
      </c>
      <c r="C35" s="13" t="s">
        <v>800</v>
      </c>
      <c r="D35" s="1356">
        <v>46198</v>
      </c>
      <c r="E35" s="1356">
        <v>46201</v>
      </c>
      <c r="G35" s="13">
        <f t="shared" si="0"/>
        <v>33</v>
      </c>
      <c r="H35" s="13" t="s">
        <v>2870</v>
      </c>
      <c r="I35" s="1380">
        <v>46299</v>
      </c>
    </row>
    <row r="36" spans="2:9">
      <c r="B36" s="13">
        <v>34</v>
      </c>
      <c r="C36" s="13" t="s">
        <v>2009</v>
      </c>
      <c r="D36" s="1356">
        <v>46207</v>
      </c>
      <c r="E36" s="1356">
        <v>46210</v>
      </c>
      <c r="G36" s="13">
        <f t="shared" si="0"/>
        <v>34</v>
      </c>
      <c r="H36" s="13" t="s">
        <v>2860</v>
      </c>
      <c r="I36" s="1380">
        <v>46129</v>
      </c>
    </row>
    <row r="37" spans="2:9">
      <c r="B37" s="13">
        <v>35</v>
      </c>
      <c r="C37" s="13" t="s">
        <v>773</v>
      </c>
      <c r="D37" s="1356">
        <v>46210</v>
      </c>
      <c r="E37" s="1356">
        <v>46213</v>
      </c>
      <c r="G37" s="13">
        <f t="shared" si="0"/>
        <v>35</v>
      </c>
      <c r="H37" s="13" t="s">
        <v>3093</v>
      </c>
      <c r="I37" s="1380">
        <v>46129</v>
      </c>
    </row>
    <row r="38" spans="2:9">
      <c r="B38" s="13">
        <v>36</v>
      </c>
      <c r="C38" s="13" t="s">
        <v>1640</v>
      </c>
      <c r="D38" s="1356">
        <v>46213</v>
      </c>
      <c r="E38" s="1356">
        <v>46216</v>
      </c>
      <c r="G38" s="13">
        <f t="shared" si="0"/>
        <v>36</v>
      </c>
      <c r="H38" s="13" t="s">
        <v>3742</v>
      </c>
      <c r="I38" s="1380">
        <v>46299</v>
      </c>
    </row>
    <row r="39" spans="2:9">
      <c r="B39" s="13">
        <v>37</v>
      </c>
      <c r="C39" s="13" t="s">
        <v>1650</v>
      </c>
      <c r="D39" s="1356">
        <v>46213</v>
      </c>
      <c r="E39" s="1356">
        <v>46216</v>
      </c>
      <c r="G39" s="13">
        <f t="shared" si="0"/>
        <v>37</v>
      </c>
      <c r="H39" s="13" t="s">
        <v>3743</v>
      </c>
      <c r="I39" s="1380">
        <v>46299</v>
      </c>
    </row>
    <row r="40" spans="2:9">
      <c r="B40" s="13">
        <v>38</v>
      </c>
      <c r="C40" s="1357" t="s">
        <v>1654</v>
      </c>
      <c r="D40" s="1356">
        <v>46217</v>
      </c>
      <c r="E40" s="1356">
        <v>46222</v>
      </c>
      <c r="G40" s="13">
        <f t="shared" si="0"/>
        <v>38</v>
      </c>
      <c r="H40" s="13" t="s">
        <v>3108</v>
      </c>
      <c r="I40" s="1380">
        <v>46299</v>
      </c>
    </row>
    <row r="41" spans="2:9">
      <c r="B41" s="13">
        <v>39</v>
      </c>
      <c r="C41" s="1357" t="s">
        <v>1652</v>
      </c>
      <c r="D41" s="1356">
        <v>46219</v>
      </c>
      <c r="E41" s="1356">
        <v>46222</v>
      </c>
      <c r="G41" s="13">
        <f t="shared" si="0"/>
        <v>39</v>
      </c>
      <c r="H41" s="13" t="s">
        <v>3744</v>
      </c>
      <c r="I41" s="1380">
        <v>46330</v>
      </c>
    </row>
    <row r="42" spans="2:9">
      <c r="B42" s="13">
        <v>40</v>
      </c>
      <c r="C42" s="13" t="s">
        <v>1651</v>
      </c>
      <c r="D42" s="1356">
        <v>46218</v>
      </c>
      <c r="E42" s="1356">
        <v>46222</v>
      </c>
      <c r="G42" s="13">
        <f t="shared" si="0"/>
        <v>40</v>
      </c>
      <c r="H42" s="13" t="s">
        <v>3745</v>
      </c>
      <c r="I42" s="1356">
        <v>46165</v>
      </c>
    </row>
    <row r="43" spans="2:9">
      <c r="B43" s="13">
        <v>41</v>
      </c>
      <c r="C43" s="13" t="s">
        <v>502</v>
      </c>
      <c r="D43" s="800">
        <v>46237</v>
      </c>
      <c r="E43" s="800">
        <v>46243</v>
      </c>
      <c r="G43" s="13">
        <f>G42+1</f>
        <v>41</v>
      </c>
      <c r="H43" s="13" t="s">
        <v>3117</v>
      </c>
      <c r="I43" s="1356">
        <v>46165</v>
      </c>
    </row>
    <row r="44" spans="2:9">
      <c r="B44" s="13">
        <v>42</v>
      </c>
      <c r="C44" s="13" t="s">
        <v>564</v>
      </c>
      <c r="D44" s="800">
        <v>46239</v>
      </c>
      <c r="E44" s="800">
        <v>46243</v>
      </c>
      <c r="G44" s="13">
        <f>G43+1</f>
        <v>42</v>
      </c>
      <c r="H44" s="13" t="s">
        <v>3118</v>
      </c>
      <c r="I44" s="1356">
        <v>46165</v>
      </c>
    </row>
    <row r="45" spans="2:9">
      <c r="B45" s="13">
        <v>43</v>
      </c>
      <c r="C45" s="13" t="s">
        <v>2004</v>
      </c>
      <c r="D45" s="800">
        <v>46239</v>
      </c>
      <c r="E45" s="800">
        <v>46243</v>
      </c>
      <c r="G45" s="13">
        <f>G44+1</f>
        <v>43</v>
      </c>
      <c r="H45" s="13" t="s">
        <v>2501</v>
      </c>
      <c r="I45" s="1356">
        <v>46165</v>
      </c>
    </row>
    <row r="46" spans="2:9">
      <c r="B46" s="13">
        <v>43</v>
      </c>
      <c r="C46" s="13" t="s">
        <v>555</v>
      </c>
      <c r="D46" s="800">
        <v>46241</v>
      </c>
      <c r="E46" s="1453">
        <v>46246</v>
      </c>
      <c r="G46" s="13">
        <f>G45+1</f>
        <v>44</v>
      </c>
      <c r="H46" s="13" t="s">
        <v>2502</v>
      </c>
      <c r="I46" s="1356">
        <v>46165</v>
      </c>
    </row>
    <row r="47" spans="2:9">
      <c r="I47" s="1381"/>
    </row>
    <row r="48" spans="2:9">
      <c r="I48" s="1381"/>
    </row>
    <row r="49" spans="9:9">
      <c r="I49" s="1381"/>
    </row>
    <row r="50" spans="9:9">
      <c r="I50" s="1381"/>
    </row>
  </sheetData>
  <mergeCells count="2">
    <mergeCell ref="B1:E1"/>
    <mergeCell ref="G1:I1"/>
  </mergeCells>
  <conditionalFormatting sqref="H52:H1048576 H2:H50 I2">
    <cfRule type="duplicateValues" dxfId="3578" priority="1"/>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75"/>
  <cols>
    <col min="1" max="1" width="6.140625" style="1189" bestFit="1" customWidth="1"/>
    <col min="2" max="2" width="19.5703125" style="1189" bestFit="1" customWidth="1"/>
    <col min="3" max="3" width="5.140625" style="1199" bestFit="1" customWidth="1"/>
    <col min="4" max="5" width="12.5703125" style="1189" bestFit="1" customWidth="1"/>
    <col min="6" max="6" width="13.42578125" style="1189" customWidth="1"/>
    <col min="7" max="8" width="16.140625" style="1189" bestFit="1" customWidth="1"/>
    <col min="9" max="9" width="8.5703125" style="1189" bestFit="1" customWidth="1"/>
    <col min="10" max="10" width="7.5703125" style="1189" bestFit="1" customWidth="1"/>
    <col min="11" max="11" width="70.42578125" style="1189" bestFit="1" customWidth="1"/>
    <col min="12" max="256" width="8.7109375" style="1189"/>
    <col min="257" max="257" width="6.140625" style="1189" bestFit="1" customWidth="1"/>
    <col min="258" max="258" width="19.5703125" style="1189" bestFit="1" customWidth="1"/>
    <col min="259" max="259" width="5.140625" style="1189" bestFit="1" customWidth="1"/>
    <col min="260" max="261" width="12.5703125" style="1189" bestFit="1" customWidth="1"/>
    <col min="262" max="262" width="13.42578125" style="1189" customWidth="1"/>
    <col min="263" max="264" width="16.140625" style="1189" bestFit="1" customWidth="1"/>
    <col min="265" max="265" width="8.5703125" style="1189" bestFit="1" customWidth="1"/>
    <col min="266" max="266" width="7.5703125" style="1189" bestFit="1" customWidth="1"/>
    <col min="267" max="267" width="70.42578125" style="1189" bestFit="1" customWidth="1"/>
    <col min="268" max="512" width="8.7109375" style="1189"/>
    <col min="513" max="513" width="6.140625" style="1189" bestFit="1" customWidth="1"/>
    <col min="514" max="514" width="19.5703125" style="1189" bestFit="1" customWidth="1"/>
    <col min="515" max="515" width="5.140625" style="1189" bestFit="1" customWidth="1"/>
    <col min="516" max="517" width="12.5703125" style="1189" bestFit="1" customWidth="1"/>
    <col min="518" max="518" width="13.42578125" style="1189" customWidth="1"/>
    <col min="519" max="520" width="16.140625" style="1189" bestFit="1" customWidth="1"/>
    <col min="521" max="521" width="8.5703125" style="1189" bestFit="1" customWidth="1"/>
    <col min="522" max="522" width="7.5703125" style="1189" bestFit="1" customWidth="1"/>
    <col min="523" max="523" width="70.42578125" style="1189" bestFit="1" customWidth="1"/>
    <col min="524" max="768" width="8.7109375" style="1189"/>
    <col min="769" max="769" width="6.140625" style="1189" bestFit="1" customWidth="1"/>
    <col min="770" max="770" width="19.5703125" style="1189" bestFit="1" customWidth="1"/>
    <col min="771" max="771" width="5.140625" style="1189" bestFit="1" customWidth="1"/>
    <col min="772" max="773" width="12.5703125" style="1189" bestFit="1" customWidth="1"/>
    <col min="774" max="774" width="13.42578125" style="1189" customWidth="1"/>
    <col min="775" max="776" width="16.140625" style="1189" bestFit="1" customWidth="1"/>
    <col min="777" max="777" width="8.5703125" style="1189" bestFit="1" customWidth="1"/>
    <col min="778" max="778" width="7.5703125" style="1189" bestFit="1" customWidth="1"/>
    <col min="779" max="779" width="70.42578125" style="1189" bestFit="1" customWidth="1"/>
    <col min="780" max="1024" width="8.7109375" style="1189"/>
    <col min="1025" max="1025" width="6.140625" style="1189" bestFit="1" customWidth="1"/>
    <col min="1026" max="1026" width="19.5703125" style="1189" bestFit="1" customWidth="1"/>
    <col min="1027" max="1027" width="5.140625" style="1189" bestFit="1" customWidth="1"/>
    <col min="1028" max="1029" width="12.5703125" style="1189" bestFit="1" customWidth="1"/>
    <col min="1030" max="1030" width="13.42578125" style="1189" customWidth="1"/>
    <col min="1031" max="1032" width="16.140625" style="1189" bestFit="1" customWidth="1"/>
    <col min="1033" max="1033" width="8.5703125" style="1189" bestFit="1" customWidth="1"/>
    <col min="1034" max="1034" width="7.5703125" style="1189" bestFit="1" customWidth="1"/>
    <col min="1035" max="1035" width="70.42578125" style="1189" bestFit="1" customWidth="1"/>
    <col min="1036" max="1280" width="8.7109375" style="1189"/>
    <col min="1281" max="1281" width="6.140625" style="1189" bestFit="1" customWidth="1"/>
    <col min="1282" max="1282" width="19.5703125" style="1189" bestFit="1" customWidth="1"/>
    <col min="1283" max="1283" width="5.140625" style="1189" bestFit="1" customWidth="1"/>
    <col min="1284" max="1285" width="12.5703125" style="1189" bestFit="1" customWidth="1"/>
    <col min="1286" max="1286" width="13.42578125" style="1189" customWidth="1"/>
    <col min="1287" max="1288" width="16.140625" style="1189" bestFit="1" customWidth="1"/>
    <col min="1289" max="1289" width="8.5703125" style="1189" bestFit="1" customWidth="1"/>
    <col min="1290" max="1290" width="7.5703125" style="1189" bestFit="1" customWidth="1"/>
    <col min="1291" max="1291" width="70.42578125" style="1189" bestFit="1" customWidth="1"/>
    <col min="1292" max="1536" width="8.7109375" style="1189"/>
    <col min="1537" max="1537" width="6.140625" style="1189" bestFit="1" customWidth="1"/>
    <col min="1538" max="1538" width="19.5703125" style="1189" bestFit="1" customWidth="1"/>
    <col min="1539" max="1539" width="5.140625" style="1189" bestFit="1" customWidth="1"/>
    <col min="1540" max="1541" width="12.5703125" style="1189" bestFit="1" customWidth="1"/>
    <col min="1542" max="1542" width="13.42578125" style="1189" customWidth="1"/>
    <col min="1543" max="1544" width="16.140625" style="1189" bestFit="1" customWidth="1"/>
    <col min="1545" max="1545" width="8.5703125" style="1189" bestFit="1" customWidth="1"/>
    <col min="1546" max="1546" width="7.5703125" style="1189" bestFit="1" customWidth="1"/>
    <col min="1547" max="1547" width="70.42578125" style="1189" bestFit="1" customWidth="1"/>
    <col min="1548" max="1792" width="8.7109375" style="1189"/>
    <col min="1793" max="1793" width="6.140625" style="1189" bestFit="1" customWidth="1"/>
    <col min="1794" max="1794" width="19.5703125" style="1189" bestFit="1" customWidth="1"/>
    <col min="1795" max="1795" width="5.140625" style="1189" bestFit="1" customWidth="1"/>
    <col min="1796" max="1797" width="12.5703125" style="1189" bestFit="1" customWidth="1"/>
    <col min="1798" max="1798" width="13.42578125" style="1189" customWidth="1"/>
    <col min="1799" max="1800" width="16.140625" style="1189" bestFit="1" customWidth="1"/>
    <col min="1801" max="1801" width="8.5703125" style="1189" bestFit="1" customWidth="1"/>
    <col min="1802" max="1802" width="7.5703125" style="1189" bestFit="1" customWidth="1"/>
    <col min="1803" max="1803" width="70.42578125" style="1189" bestFit="1" customWidth="1"/>
    <col min="1804" max="2048" width="8.7109375" style="1189"/>
    <col min="2049" max="2049" width="6.140625" style="1189" bestFit="1" customWidth="1"/>
    <col min="2050" max="2050" width="19.5703125" style="1189" bestFit="1" customWidth="1"/>
    <col min="2051" max="2051" width="5.140625" style="1189" bestFit="1" customWidth="1"/>
    <col min="2052" max="2053" width="12.5703125" style="1189" bestFit="1" customWidth="1"/>
    <col min="2054" max="2054" width="13.42578125" style="1189" customWidth="1"/>
    <col min="2055" max="2056" width="16.140625" style="1189" bestFit="1" customWidth="1"/>
    <col min="2057" max="2057" width="8.5703125" style="1189" bestFit="1" customWidth="1"/>
    <col min="2058" max="2058" width="7.5703125" style="1189" bestFit="1" customWidth="1"/>
    <col min="2059" max="2059" width="70.42578125" style="1189" bestFit="1" customWidth="1"/>
    <col min="2060" max="2304" width="8.7109375" style="1189"/>
    <col min="2305" max="2305" width="6.140625" style="1189" bestFit="1" customWidth="1"/>
    <col min="2306" max="2306" width="19.5703125" style="1189" bestFit="1" customWidth="1"/>
    <col min="2307" max="2307" width="5.140625" style="1189" bestFit="1" customWidth="1"/>
    <col min="2308" max="2309" width="12.5703125" style="1189" bestFit="1" customWidth="1"/>
    <col min="2310" max="2310" width="13.42578125" style="1189" customWidth="1"/>
    <col min="2311" max="2312" width="16.140625" style="1189" bestFit="1" customWidth="1"/>
    <col min="2313" max="2313" width="8.5703125" style="1189" bestFit="1" customWidth="1"/>
    <col min="2314" max="2314" width="7.5703125" style="1189" bestFit="1" customWidth="1"/>
    <col min="2315" max="2315" width="70.42578125" style="1189" bestFit="1" customWidth="1"/>
    <col min="2316" max="2560" width="8.7109375" style="1189"/>
    <col min="2561" max="2561" width="6.140625" style="1189" bestFit="1" customWidth="1"/>
    <col min="2562" max="2562" width="19.5703125" style="1189" bestFit="1" customWidth="1"/>
    <col min="2563" max="2563" width="5.140625" style="1189" bestFit="1" customWidth="1"/>
    <col min="2564" max="2565" width="12.5703125" style="1189" bestFit="1" customWidth="1"/>
    <col min="2566" max="2566" width="13.42578125" style="1189" customWidth="1"/>
    <col min="2567" max="2568" width="16.140625" style="1189" bestFit="1" customWidth="1"/>
    <col min="2569" max="2569" width="8.5703125" style="1189" bestFit="1" customWidth="1"/>
    <col min="2570" max="2570" width="7.5703125" style="1189" bestFit="1" customWidth="1"/>
    <col min="2571" max="2571" width="70.42578125" style="1189" bestFit="1" customWidth="1"/>
    <col min="2572" max="2816" width="8.7109375" style="1189"/>
    <col min="2817" max="2817" width="6.140625" style="1189" bestFit="1" customWidth="1"/>
    <col min="2818" max="2818" width="19.5703125" style="1189" bestFit="1" customWidth="1"/>
    <col min="2819" max="2819" width="5.140625" style="1189" bestFit="1" customWidth="1"/>
    <col min="2820" max="2821" width="12.5703125" style="1189" bestFit="1" customWidth="1"/>
    <col min="2822" max="2822" width="13.42578125" style="1189" customWidth="1"/>
    <col min="2823" max="2824" width="16.140625" style="1189" bestFit="1" customWidth="1"/>
    <col min="2825" max="2825" width="8.5703125" style="1189" bestFit="1" customWidth="1"/>
    <col min="2826" max="2826" width="7.5703125" style="1189" bestFit="1" customWidth="1"/>
    <col min="2827" max="2827" width="70.42578125" style="1189" bestFit="1" customWidth="1"/>
    <col min="2828" max="3072" width="8.7109375" style="1189"/>
    <col min="3073" max="3073" width="6.140625" style="1189" bestFit="1" customWidth="1"/>
    <col min="3074" max="3074" width="19.5703125" style="1189" bestFit="1" customWidth="1"/>
    <col min="3075" max="3075" width="5.140625" style="1189" bestFit="1" customWidth="1"/>
    <col min="3076" max="3077" width="12.5703125" style="1189" bestFit="1" customWidth="1"/>
    <col min="3078" max="3078" width="13.42578125" style="1189" customWidth="1"/>
    <col min="3079" max="3080" width="16.140625" style="1189" bestFit="1" customWidth="1"/>
    <col min="3081" max="3081" width="8.5703125" style="1189" bestFit="1" customWidth="1"/>
    <col min="3082" max="3082" width="7.5703125" style="1189" bestFit="1" customWidth="1"/>
    <col min="3083" max="3083" width="70.42578125" style="1189" bestFit="1" customWidth="1"/>
    <col min="3084" max="3328" width="8.7109375" style="1189"/>
    <col min="3329" max="3329" width="6.140625" style="1189" bestFit="1" customWidth="1"/>
    <col min="3330" max="3330" width="19.5703125" style="1189" bestFit="1" customWidth="1"/>
    <col min="3331" max="3331" width="5.140625" style="1189" bestFit="1" customWidth="1"/>
    <col min="3332" max="3333" width="12.5703125" style="1189" bestFit="1" customWidth="1"/>
    <col min="3334" max="3334" width="13.42578125" style="1189" customWidth="1"/>
    <col min="3335" max="3336" width="16.140625" style="1189" bestFit="1" customWidth="1"/>
    <col min="3337" max="3337" width="8.5703125" style="1189" bestFit="1" customWidth="1"/>
    <col min="3338" max="3338" width="7.5703125" style="1189" bestFit="1" customWidth="1"/>
    <col min="3339" max="3339" width="70.42578125" style="1189" bestFit="1" customWidth="1"/>
    <col min="3340" max="3584" width="8.7109375" style="1189"/>
    <col min="3585" max="3585" width="6.140625" style="1189" bestFit="1" customWidth="1"/>
    <col min="3586" max="3586" width="19.5703125" style="1189" bestFit="1" customWidth="1"/>
    <col min="3587" max="3587" width="5.140625" style="1189" bestFit="1" customWidth="1"/>
    <col min="3588" max="3589" width="12.5703125" style="1189" bestFit="1" customWidth="1"/>
    <col min="3590" max="3590" width="13.42578125" style="1189" customWidth="1"/>
    <col min="3591" max="3592" width="16.140625" style="1189" bestFit="1" customWidth="1"/>
    <col min="3593" max="3593" width="8.5703125" style="1189" bestFit="1" customWidth="1"/>
    <col min="3594" max="3594" width="7.5703125" style="1189" bestFit="1" customWidth="1"/>
    <col min="3595" max="3595" width="70.42578125" style="1189" bestFit="1" customWidth="1"/>
    <col min="3596" max="3840" width="8.7109375" style="1189"/>
    <col min="3841" max="3841" width="6.140625" style="1189" bestFit="1" customWidth="1"/>
    <col min="3842" max="3842" width="19.5703125" style="1189" bestFit="1" customWidth="1"/>
    <col min="3843" max="3843" width="5.140625" style="1189" bestFit="1" customWidth="1"/>
    <col min="3844" max="3845" width="12.5703125" style="1189" bestFit="1" customWidth="1"/>
    <col min="3846" max="3846" width="13.42578125" style="1189" customWidth="1"/>
    <col min="3847" max="3848" width="16.140625" style="1189" bestFit="1" customWidth="1"/>
    <col min="3849" max="3849" width="8.5703125" style="1189" bestFit="1" customWidth="1"/>
    <col min="3850" max="3850" width="7.5703125" style="1189" bestFit="1" customWidth="1"/>
    <col min="3851" max="3851" width="70.42578125" style="1189" bestFit="1" customWidth="1"/>
    <col min="3852" max="4096" width="8.7109375" style="1189"/>
    <col min="4097" max="4097" width="6.140625" style="1189" bestFit="1" customWidth="1"/>
    <col min="4098" max="4098" width="19.5703125" style="1189" bestFit="1" customWidth="1"/>
    <col min="4099" max="4099" width="5.140625" style="1189" bestFit="1" customWidth="1"/>
    <col min="4100" max="4101" width="12.5703125" style="1189" bestFit="1" customWidth="1"/>
    <col min="4102" max="4102" width="13.42578125" style="1189" customWidth="1"/>
    <col min="4103" max="4104" width="16.140625" style="1189" bestFit="1" customWidth="1"/>
    <col min="4105" max="4105" width="8.5703125" style="1189" bestFit="1" customWidth="1"/>
    <col min="4106" max="4106" width="7.5703125" style="1189" bestFit="1" customWidth="1"/>
    <col min="4107" max="4107" width="70.42578125" style="1189" bestFit="1" customWidth="1"/>
    <col min="4108" max="4352" width="8.7109375" style="1189"/>
    <col min="4353" max="4353" width="6.140625" style="1189" bestFit="1" customWidth="1"/>
    <col min="4354" max="4354" width="19.5703125" style="1189" bestFit="1" customWidth="1"/>
    <col min="4355" max="4355" width="5.140625" style="1189" bestFit="1" customWidth="1"/>
    <col min="4356" max="4357" width="12.5703125" style="1189" bestFit="1" customWidth="1"/>
    <col min="4358" max="4358" width="13.42578125" style="1189" customWidth="1"/>
    <col min="4359" max="4360" width="16.140625" style="1189" bestFit="1" customWidth="1"/>
    <col min="4361" max="4361" width="8.5703125" style="1189" bestFit="1" customWidth="1"/>
    <col min="4362" max="4362" width="7.5703125" style="1189" bestFit="1" customWidth="1"/>
    <col min="4363" max="4363" width="70.42578125" style="1189" bestFit="1" customWidth="1"/>
    <col min="4364" max="4608" width="8.7109375" style="1189"/>
    <col min="4609" max="4609" width="6.140625" style="1189" bestFit="1" customWidth="1"/>
    <col min="4610" max="4610" width="19.5703125" style="1189" bestFit="1" customWidth="1"/>
    <col min="4611" max="4611" width="5.140625" style="1189" bestFit="1" customWidth="1"/>
    <col min="4612" max="4613" width="12.5703125" style="1189" bestFit="1" customWidth="1"/>
    <col min="4614" max="4614" width="13.42578125" style="1189" customWidth="1"/>
    <col min="4615" max="4616" width="16.140625" style="1189" bestFit="1" customWidth="1"/>
    <col min="4617" max="4617" width="8.5703125" style="1189" bestFit="1" customWidth="1"/>
    <col min="4618" max="4618" width="7.5703125" style="1189" bestFit="1" customWidth="1"/>
    <col min="4619" max="4619" width="70.42578125" style="1189" bestFit="1" customWidth="1"/>
    <col min="4620" max="4864" width="8.7109375" style="1189"/>
    <col min="4865" max="4865" width="6.140625" style="1189" bestFit="1" customWidth="1"/>
    <col min="4866" max="4866" width="19.5703125" style="1189" bestFit="1" customWidth="1"/>
    <col min="4867" max="4867" width="5.140625" style="1189" bestFit="1" customWidth="1"/>
    <col min="4868" max="4869" width="12.5703125" style="1189" bestFit="1" customWidth="1"/>
    <col min="4870" max="4870" width="13.42578125" style="1189" customWidth="1"/>
    <col min="4871" max="4872" width="16.140625" style="1189" bestFit="1" customWidth="1"/>
    <col min="4873" max="4873" width="8.5703125" style="1189" bestFit="1" customWidth="1"/>
    <col min="4874" max="4874" width="7.5703125" style="1189" bestFit="1" customWidth="1"/>
    <col min="4875" max="4875" width="70.42578125" style="1189" bestFit="1" customWidth="1"/>
    <col min="4876" max="5120" width="8.7109375" style="1189"/>
    <col min="5121" max="5121" width="6.140625" style="1189" bestFit="1" customWidth="1"/>
    <col min="5122" max="5122" width="19.5703125" style="1189" bestFit="1" customWidth="1"/>
    <col min="5123" max="5123" width="5.140625" style="1189" bestFit="1" customWidth="1"/>
    <col min="5124" max="5125" width="12.5703125" style="1189" bestFit="1" customWidth="1"/>
    <col min="5126" max="5126" width="13.42578125" style="1189" customWidth="1"/>
    <col min="5127" max="5128" width="16.140625" style="1189" bestFit="1" customWidth="1"/>
    <col min="5129" max="5129" width="8.5703125" style="1189" bestFit="1" customWidth="1"/>
    <col min="5130" max="5130" width="7.5703125" style="1189" bestFit="1" customWidth="1"/>
    <col min="5131" max="5131" width="70.42578125" style="1189" bestFit="1" customWidth="1"/>
    <col min="5132" max="5376" width="8.7109375" style="1189"/>
    <col min="5377" max="5377" width="6.140625" style="1189" bestFit="1" customWidth="1"/>
    <col min="5378" max="5378" width="19.5703125" style="1189" bestFit="1" customWidth="1"/>
    <col min="5379" max="5379" width="5.140625" style="1189" bestFit="1" customWidth="1"/>
    <col min="5380" max="5381" width="12.5703125" style="1189" bestFit="1" customWidth="1"/>
    <col min="5382" max="5382" width="13.42578125" style="1189" customWidth="1"/>
    <col min="5383" max="5384" width="16.140625" style="1189" bestFit="1" customWidth="1"/>
    <col min="5385" max="5385" width="8.5703125" style="1189" bestFit="1" customWidth="1"/>
    <col min="5386" max="5386" width="7.5703125" style="1189" bestFit="1" customWidth="1"/>
    <col min="5387" max="5387" width="70.42578125" style="1189" bestFit="1" customWidth="1"/>
    <col min="5388" max="5632" width="8.7109375" style="1189"/>
    <col min="5633" max="5633" width="6.140625" style="1189" bestFit="1" customWidth="1"/>
    <col min="5634" max="5634" width="19.5703125" style="1189" bestFit="1" customWidth="1"/>
    <col min="5635" max="5635" width="5.140625" style="1189" bestFit="1" customWidth="1"/>
    <col min="5636" max="5637" width="12.5703125" style="1189" bestFit="1" customWidth="1"/>
    <col min="5638" max="5638" width="13.42578125" style="1189" customWidth="1"/>
    <col min="5639" max="5640" width="16.140625" style="1189" bestFit="1" customWidth="1"/>
    <col min="5641" max="5641" width="8.5703125" style="1189" bestFit="1" customWidth="1"/>
    <col min="5642" max="5642" width="7.5703125" style="1189" bestFit="1" customWidth="1"/>
    <col min="5643" max="5643" width="70.42578125" style="1189" bestFit="1" customWidth="1"/>
    <col min="5644" max="5888" width="8.7109375" style="1189"/>
    <col min="5889" max="5889" width="6.140625" style="1189" bestFit="1" customWidth="1"/>
    <col min="5890" max="5890" width="19.5703125" style="1189" bestFit="1" customWidth="1"/>
    <col min="5891" max="5891" width="5.140625" style="1189" bestFit="1" customWidth="1"/>
    <col min="5892" max="5893" width="12.5703125" style="1189" bestFit="1" customWidth="1"/>
    <col min="5894" max="5894" width="13.42578125" style="1189" customWidth="1"/>
    <col min="5895" max="5896" width="16.140625" style="1189" bestFit="1" customWidth="1"/>
    <col min="5897" max="5897" width="8.5703125" style="1189" bestFit="1" customWidth="1"/>
    <col min="5898" max="5898" width="7.5703125" style="1189" bestFit="1" customWidth="1"/>
    <col min="5899" max="5899" width="70.42578125" style="1189" bestFit="1" customWidth="1"/>
    <col min="5900" max="6144" width="8.7109375" style="1189"/>
    <col min="6145" max="6145" width="6.140625" style="1189" bestFit="1" customWidth="1"/>
    <col min="6146" max="6146" width="19.5703125" style="1189" bestFit="1" customWidth="1"/>
    <col min="6147" max="6147" width="5.140625" style="1189" bestFit="1" customWidth="1"/>
    <col min="6148" max="6149" width="12.5703125" style="1189" bestFit="1" customWidth="1"/>
    <col min="6150" max="6150" width="13.42578125" style="1189" customWidth="1"/>
    <col min="6151" max="6152" width="16.140625" style="1189" bestFit="1" customWidth="1"/>
    <col min="6153" max="6153" width="8.5703125" style="1189" bestFit="1" customWidth="1"/>
    <col min="6154" max="6154" width="7.5703125" style="1189" bestFit="1" customWidth="1"/>
    <col min="6155" max="6155" width="70.42578125" style="1189" bestFit="1" customWidth="1"/>
    <col min="6156" max="6400" width="8.7109375" style="1189"/>
    <col min="6401" max="6401" width="6.140625" style="1189" bestFit="1" customWidth="1"/>
    <col min="6402" max="6402" width="19.5703125" style="1189" bestFit="1" customWidth="1"/>
    <col min="6403" max="6403" width="5.140625" style="1189" bestFit="1" customWidth="1"/>
    <col min="6404" max="6405" width="12.5703125" style="1189" bestFit="1" customWidth="1"/>
    <col min="6406" max="6406" width="13.42578125" style="1189" customWidth="1"/>
    <col min="6407" max="6408" width="16.140625" style="1189" bestFit="1" customWidth="1"/>
    <col min="6409" max="6409" width="8.5703125" style="1189" bestFit="1" customWidth="1"/>
    <col min="6410" max="6410" width="7.5703125" style="1189" bestFit="1" customWidth="1"/>
    <col min="6411" max="6411" width="70.42578125" style="1189" bestFit="1" customWidth="1"/>
    <col min="6412" max="6656" width="8.7109375" style="1189"/>
    <col min="6657" max="6657" width="6.140625" style="1189" bestFit="1" customWidth="1"/>
    <col min="6658" max="6658" width="19.5703125" style="1189" bestFit="1" customWidth="1"/>
    <col min="6659" max="6659" width="5.140625" style="1189" bestFit="1" customWidth="1"/>
    <col min="6660" max="6661" width="12.5703125" style="1189" bestFit="1" customWidth="1"/>
    <col min="6662" max="6662" width="13.42578125" style="1189" customWidth="1"/>
    <col min="6663" max="6664" width="16.140625" style="1189" bestFit="1" customWidth="1"/>
    <col min="6665" max="6665" width="8.5703125" style="1189" bestFit="1" customWidth="1"/>
    <col min="6666" max="6666" width="7.5703125" style="1189" bestFit="1" customWidth="1"/>
    <col min="6667" max="6667" width="70.42578125" style="1189" bestFit="1" customWidth="1"/>
    <col min="6668" max="6912" width="8.7109375" style="1189"/>
    <col min="6913" max="6913" width="6.140625" style="1189" bestFit="1" customWidth="1"/>
    <col min="6914" max="6914" width="19.5703125" style="1189" bestFit="1" customWidth="1"/>
    <col min="6915" max="6915" width="5.140625" style="1189" bestFit="1" customWidth="1"/>
    <col min="6916" max="6917" width="12.5703125" style="1189" bestFit="1" customWidth="1"/>
    <col min="6918" max="6918" width="13.42578125" style="1189" customWidth="1"/>
    <col min="6919" max="6920" width="16.140625" style="1189" bestFit="1" customWidth="1"/>
    <col min="6921" max="6921" width="8.5703125" style="1189" bestFit="1" customWidth="1"/>
    <col min="6922" max="6922" width="7.5703125" style="1189" bestFit="1" customWidth="1"/>
    <col min="6923" max="6923" width="70.42578125" style="1189" bestFit="1" customWidth="1"/>
    <col min="6924" max="7168" width="8.7109375" style="1189"/>
    <col min="7169" max="7169" width="6.140625" style="1189" bestFit="1" customWidth="1"/>
    <col min="7170" max="7170" width="19.5703125" style="1189" bestFit="1" customWidth="1"/>
    <col min="7171" max="7171" width="5.140625" style="1189" bestFit="1" customWidth="1"/>
    <col min="7172" max="7173" width="12.5703125" style="1189" bestFit="1" customWidth="1"/>
    <col min="7174" max="7174" width="13.42578125" style="1189" customWidth="1"/>
    <col min="7175" max="7176" width="16.140625" style="1189" bestFit="1" customWidth="1"/>
    <col min="7177" max="7177" width="8.5703125" style="1189" bestFit="1" customWidth="1"/>
    <col min="7178" max="7178" width="7.5703125" style="1189" bestFit="1" customWidth="1"/>
    <col min="7179" max="7179" width="70.42578125" style="1189" bestFit="1" customWidth="1"/>
    <col min="7180" max="7424" width="8.7109375" style="1189"/>
    <col min="7425" max="7425" width="6.140625" style="1189" bestFit="1" customWidth="1"/>
    <col min="7426" max="7426" width="19.5703125" style="1189" bestFit="1" customWidth="1"/>
    <col min="7427" max="7427" width="5.140625" style="1189" bestFit="1" customWidth="1"/>
    <col min="7428" max="7429" width="12.5703125" style="1189" bestFit="1" customWidth="1"/>
    <col min="7430" max="7430" width="13.42578125" style="1189" customWidth="1"/>
    <col min="7431" max="7432" width="16.140625" style="1189" bestFit="1" customWidth="1"/>
    <col min="7433" max="7433" width="8.5703125" style="1189" bestFit="1" customWidth="1"/>
    <col min="7434" max="7434" width="7.5703125" style="1189" bestFit="1" customWidth="1"/>
    <col min="7435" max="7435" width="70.42578125" style="1189" bestFit="1" customWidth="1"/>
    <col min="7436" max="7680" width="8.7109375" style="1189"/>
    <col min="7681" max="7681" width="6.140625" style="1189" bestFit="1" customWidth="1"/>
    <col min="7682" max="7682" width="19.5703125" style="1189" bestFit="1" customWidth="1"/>
    <col min="7683" max="7683" width="5.140625" style="1189" bestFit="1" customWidth="1"/>
    <col min="7684" max="7685" width="12.5703125" style="1189" bestFit="1" customWidth="1"/>
    <col min="7686" max="7686" width="13.42578125" style="1189" customWidth="1"/>
    <col min="7687" max="7688" width="16.140625" style="1189" bestFit="1" customWidth="1"/>
    <col min="7689" max="7689" width="8.5703125" style="1189" bestFit="1" customWidth="1"/>
    <col min="7690" max="7690" width="7.5703125" style="1189" bestFit="1" customWidth="1"/>
    <col min="7691" max="7691" width="70.42578125" style="1189" bestFit="1" customWidth="1"/>
    <col min="7692" max="7936" width="8.7109375" style="1189"/>
    <col min="7937" max="7937" width="6.140625" style="1189" bestFit="1" customWidth="1"/>
    <col min="7938" max="7938" width="19.5703125" style="1189" bestFit="1" customWidth="1"/>
    <col min="7939" max="7939" width="5.140625" style="1189" bestFit="1" customWidth="1"/>
    <col min="7940" max="7941" width="12.5703125" style="1189" bestFit="1" customWidth="1"/>
    <col min="7942" max="7942" width="13.42578125" style="1189" customWidth="1"/>
    <col min="7943" max="7944" width="16.140625" style="1189" bestFit="1" customWidth="1"/>
    <col min="7945" max="7945" width="8.5703125" style="1189" bestFit="1" customWidth="1"/>
    <col min="7946" max="7946" width="7.5703125" style="1189" bestFit="1" customWidth="1"/>
    <col min="7947" max="7947" width="70.42578125" style="1189" bestFit="1" customWidth="1"/>
    <col min="7948" max="8192" width="8.7109375" style="1189"/>
    <col min="8193" max="8193" width="6.140625" style="1189" bestFit="1" customWidth="1"/>
    <col min="8194" max="8194" width="19.5703125" style="1189" bestFit="1" customWidth="1"/>
    <col min="8195" max="8195" width="5.140625" style="1189" bestFit="1" customWidth="1"/>
    <col min="8196" max="8197" width="12.5703125" style="1189" bestFit="1" customWidth="1"/>
    <col min="8198" max="8198" width="13.42578125" style="1189" customWidth="1"/>
    <col min="8199" max="8200" width="16.140625" style="1189" bestFit="1" customWidth="1"/>
    <col min="8201" max="8201" width="8.5703125" style="1189" bestFit="1" customWidth="1"/>
    <col min="8202" max="8202" width="7.5703125" style="1189" bestFit="1" customWidth="1"/>
    <col min="8203" max="8203" width="70.42578125" style="1189" bestFit="1" customWidth="1"/>
    <col min="8204" max="8448" width="8.7109375" style="1189"/>
    <col min="8449" max="8449" width="6.140625" style="1189" bestFit="1" customWidth="1"/>
    <col min="8450" max="8450" width="19.5703125" style="1189" bestFit="1" customWidth="1"/>
    <col min="8451" max="8451" width="5.140625" style="1189" bestFit="1" customWidth="1"/>
    <col min="8452" max="8453" width="12.5703125" style="1189" bestFit="1" customWidth="1"/>
    <col min="8454" max="8454" width="13.42578125" style="1189" customWidth="1"/>
    <col min="8455" max="8456" width="16.140625" style="1189" bestFit="1" customWidth="1"/>
    <col min="8457" max="8457" width="8.5703125" style="1189" bestFit="1" customWidth="1"/>
    <col min="8458" max="8458" width="7.5703125" style="1189" bestFit="1" customWidth="1"/>
    <col min="8459" max="8459" width="70.42578125" style="1189" bestFit="1" customWidth="1"/>
    <col min="8460" max="8704" width="8.7109375" style="1189"/>
    <col min="8705" max="8705" width="6.140625" style="1189" bestFit="1" customWidth="1"/>
    <col min="8706" max="8706" width="19.5703125" style="1189" bestFit="1" customWidth="1"/>
    <col min="8707" max="8707" width="5.140625" style="1189" bestFit="1" customWidth="1"/>
    <col min="8708" max="8709" width="12.5703125" style="1189" bestFit="1" customWidth="1"/>
    <col min="8710" max="8710" width="13.42578125" style="1189" customWidth="1"/>
    <col min="8711" max="8712" width="16.140625" style="1189" bestFit="1" customWidth="1"/>
    <col min="8713" max="8713" width="8.5703125" style="1189" bestFit="1" customWidth="1"/>
    <col min="8714" max="8714" width="7.5703125" style="1189" bestFit="1" customWidth="1"/>
    <col min="8715" max="8715" width="70.42578125" style="1189" bestFit="1" customWidth="1"/>
    <col min="8716" max="8960" width="8.7109375" style="1189"/>
    <col min="8961" max="8961" width="6.140625" style="1189" bestFit="1" customWidth="1"/>
    <col min="8962" max="8962" width="19.5703125" style="1189" bestFit="1" customWidth="1"/>
    <col min="8963" max="8963" width="5.140625" style="1189" bestFit="1" customWidth="1"/>
    <col min="8964" max="8965" width="12.5703125" style="1189" bestFit="1" customWidth="1"/>
    <col min="8966" max="8966" width="13.42578125" style="1189" customWidth="1"/>
    <col min="8967" max="8968" width="16.140625" style="1189" bestFit="1" customWidth="1"/>
    <col min="8969" max="8969" width="8.5703125" style="1189" bestFit="1" customWidth="1"/>
    <col min="8970" max="8970" width="7.5703125" style="1189" bestFit="1" customWidth="1"/>
    <col min="8971" max="8971" width="70.42578125" style="1189" bestFit="1" customWidth="1"/>
    <col min="8972" max="9216" width="8.7109375" style="1189"/>
    <col min="9217" max="9217" width="6.140625" style="1189" bestFit="1" customWidth="1"/>
    <col min="9218" max="9218" width="19.5703125" style="1189" bestFit="1" customWidth="1"/>
    <col min="9219" max="9219" width="5.140625" style="1189" bestFit="1" customWidth="1"/>
    <col min="9220" max="9221" width="12.5703125" style="1189" bestFit="1" customWidth="1"/>
    <col min="9222" max="9222" width="13.42578125" style="1189" customWidth="1"/>
    <col min="9223" max="9224" width="16.140625" style="1189" bestFit="1" customWidth="1"/>
    <col min="9225" max="9225" width="8.5703125" style="1189" bestFit="1" customWidth="1"/>
    <col min="9226" max="9226" width="7.5703125" style="1189" bestFit="1" customWidth="1"/>
    <col min="9227" max="9227" width="70.42578125" style="1189" bestFit="1" customWidth="1"/>
    <col min="9228" max="9472" width="8.7109375" style="1189"/>
    <col min="9473" max="9473" width="6.140625" style="1189" bestFit="1" customWidth="1"/>
    <col min="9474" max="9474" width="19.5703125" style="1189" bestFit="1" customWidth="1"/>
    <col min="9475" max="9475" width="5.140625" style="1189" bestFit="1" customWidth="1"/>
    <col min="9476" max="9477" width="12.5703125" style="1189" bestFit="1" customWidth="1"/>
    <col min="9478" max="9478" width="13.42578125" style="1189" customWidth="1"/>
    <col min="9479" max="9480" width="16.140625" style="1189" bestFit="1" customWidth="1"/>
    <col min="9481" max="9481" width="8.5703125" style="1189" bestFit="1" customWidth="1"/>
    <col min="9482" max="9482" width="7.5703125" style="1189" bestFit="1" customWidth="1"/>
    <col min="9483" max="9483" width="70.42578125" style="1189" bestFit="1" customWidth="1"/>
    <col min="9484" max="9728" width="8.7109375" style="1189"/>
    <col min="9729" max="9729" width="6.140625" style="1189" bestFit="1" customWidth="1"/>
    <col min="9730" max="9730" width="19.5703125" style="1189" bestFit="1" customWidth="1"/>
    <col min="9731" max="9731" width="5.140625" style="1189" bestFit="1" customWidth="1"/>
    <col min="9732" max="9733" width="12.5703125" style="1189" bestFit="1" customWidth="1"/>
    <col min="9734" max="9734" width="13.42578125" style="1189" customWidth="1"/>
    <col min="9735" max="9736" width="16.140625" style="1189" bestFit="1" customWidth="1"/>
    <col min="9737" max="9737" width="8.5703125" style="1189" bestFit="1" customWidth="1"/>
    <col min="9738" max="9738" width="7.5703125" style="1189" bestFit="1" customWidth="1"/>
    <col min="9739" max="9739" width="70.42578125" style="1189" bestFit="1" customWidth="1"/>
    <col min="9740" max="9984" width="8.7109375" style="1189"/>
    <col min="9985" max="9985" width="6.140625" style="1189" bestFit="1" customWidth="1"/>
    <col min="9986" max="9986" width="19.5703125" style="1189" bestFit="1" customWidth="1"/>
    <col min="9987" max="9987" width="5.140625" style="1189" bestFit="1" customWidth="1"/>
    <col min="9988" max="9989" width="12.5703125" style="1189" bestFit="1" customWidth="1"/>
    <col min="9990" max="9990" width="13.42578125" style="1189" customWidth="1"/>
    <col min="9991" max="9992" width="16.140625" style="1189" bestFit="1" customWidth="1"/>
    <col min="9993" max="9993" width="8.5703125" style="1189" bestFit="1" customWidth="1"/>
    <col min="9994" max="9994" width="7.5703125" style="1189" bestFit="1" customWidth="1"/>
    <col min="9995" max="9995" width="70.42578125" style="1189" bestFit="1" customWidth="1"/>
    <col min="9996" max="10240" width="8.7109375" style="1189"/>
    <col min="10241" max="10241" width="6.140625" style="1189" bestFit="1" customWidth="1"/>
    <col min="10242" max="10242" width="19.5703125" style="1189" bestFit="1" customWidth="1"/>
    <col min="10243" max="10243" width="5.140625" style="1189" bestFit="1" customWidth="1"/>
    <col min="10244" max="10245" width="12.5703125" style="1189" bestFit="1" customWidth="1"/>
    <col min="10246" max="10246" width="13.42578125" style="1189" customWidth="1"/>
    <col min="10247" max="10248" width="16.140625" style="1189" bestFit="1" customWidth="1"/>
    <col min="10249" max="10249" width="8.5703125" style="1189" bestFit="1" customWidth="1"/>
    <col min="10250" max="10250" width="7.5703125" style="1189" bestFit="1" customWidth="1"/>
    <col min="10251" max="10251" width="70.42578125" style="1189" bestFit="1" customWidth="1"/>
    <col min="10252" max="10496" width="8.7109375" style="1189"/>
    <col min="10497" max="10497" width="6.140625" style="1189" bestFit="1" customWidth="1"/>
    <col min="10498" max="10498" width="19.5703125" style="1189" bestFit="1" customWidth="1"/>
    <col min="10499" max="10499" width="5.140625" style="1189" bestFit="1" customWidth="1"/>
    <col min="10500" max="10501" width="12.5703125" style="1189" bestFit="1" customWidth="1"/>
    <col min="10502" max="10502" width="13.42578125" style="1189" customWidth="1"/>
    <col min="10503" max="10504" width="16.140625" style="1189" bestFit="1" customWidth="1"/>
    <col min="10505" max="10505" width="8.5703125" style="1189" bestFit="1" customWidth="1"/>
    <col min="10506" max="10506" width="7.5703125" style="1189" bestFit="1" customWidth="1"/>
    <col min="10507" max="10507" width="70.42578125" style="1189" bestFit="1" customWidth="1"/>
    <col min="10508" max="10752" width="8.7109375" style="1189"/>
    <col min="10753" max="10753" width="6.140625" style="1189" bestFit="1" customWidth="1"/>
    <col min="10754" max="10754" width="19.5703125" style="1189" bestFit="1" customWidth="1"/>
    <col min="10755" max="10755" width="5.140625" style="1189" bestFit="1" customWidth="1"/>
    <col min="10756" max="10757" width="12.5703125" style="1189" bestFit="1" customWidth="1"/>
    <col min="10758" max="10758" width="13.42578125" style="1189" customWidth="1"/>
    <col min="10759" max="10760" width="16.140625" style="1189" bestFit="1" customWidth="1"/>
    <col min="10761" max="10761" width="8.5703125" style="1189" bestFit="1" customWidth="1"/>
    <col min="10762" max="10762" width="7.5703125" style="1189" bestFit="1" customWidth="1"/>
    <col min="10763" max="10763" width="70.42578125" style="1189" bestFit="1" customWidth="1"/>
    <col min="10764" max="11008" width="8.7109375" style="1189"/>
    <col min="11009" max="11009" width="6.140625" style="1189" bestFit="1" customWidth="1"/>
    <col min="11010" max="11010" width="19.5703125" style="1189" bestFit="1" customWidth="1"/>
    <col min="11011" max="11011" width="5.140625" style="1189" bestFit="1" customWidth="1"/>
    <col min="11012" max="11013" width="12.5703125" style="1189" bestFit="1" customWidth="1"/>
    <col min="11014" max="11014" width="13.42578125" style="1189" customWidth="1"/>
    <col min="11015" max="11016" width="16.140625" style="1189" bestFit="1" customWidth="1"/>
    <col min="11017" max="11017" width="8.5703125" style="1189" bestFit="1" customWidth="1"/>
    <col min="11018" max="11018" width="7.5703125" style="1189" bestFit="1" customWidth="1"/>
    <col min="11019" max="11019" width="70.42578125" style="1189" bestFit="1" customWidth="1"/>
    <col min="11020" max="11264" width="8.7109375" style="1189"/>
    <col min="11265" max="11265" width="6.140625" style="1189" bestFit="1" customWidth="1"/>
    <col min="11266" max="11266" width="19.5703125" style="1189" bestFit="1" customWidth="1"/>
    <col min="11267" max="11267" width="5.140625" style="1189" bestFit="1" customWidth="1"/>
    <col min="11268" max="11269" width="12.5703125" style="1189" bestFit="1" customWidth="1"/>
    <col min="11270" max="11270" width="13.42578125" style="1189" customWidth="1"/>
    <col min="11271" max="11272" width="16.140625" style="1189" bestFit="1" customWidth="1"/>
    <col min="11273" max="11273" width="8.5703125" style="1189" bestFit="1" customWidth="1"/>
    <col min="11274" max="11274" width="7.5703125" style="1189" bestFit="1" customWidth="1"/>
    <col min="11275" max="11275" width="70.42578125" style="1189" bestFit="1" customWidth="1"/>
    <col min="11276" max="11520" width="8.7109375" style="1189"/>
    <col min="11521" max="11521" width="6.140625" style="1189" bestFit="1" customWidth="1"/>
    <col min="11522" max="11522" width="19.5703125" style="1189" bestFit="1" customWidth="1"/>
    <col min="11523" max="11523" width="5.140625" style="1189" bestFit="1" customWidth="1"/>
    <col min="11524" max="11525" width="12.5703125" style="1189" bestFit="1" customWidth="1"/>
    <col min="11526" max="11526" width="13.42578125" style="1189" customWidth="1"/>
    <col min="11527" max="11528" width="16.140625" style="1189" bestFit="1" customWidth="1"/>
    <col min="11529" max="11529" width="8.5703125" style="1189" bestFit="1" customWidth="1"/>
    <col min="11530" max="11530" width="7.5703125" style="1189" bestFit="1" customWidth="1"/>
    <col min="11531" max="11531" width="70.42578125" style="1189" bestFit="1" customWidth="1"/>
    <col min="11532" max="11776" width="8.7109375" style="1189"/>
    <col min="11777" max="11777" width="6.140625" style="1189" bestFit="1" customWidth="1"/>
    <col min="11778" max="11778" width="19.5703125" style="1189" bestFit="1" customWidth="1"/>
    <col min="11779" max="11779" width="5.140625" style="1189" bestFit="1" customWidth="1"/>
    <col min="11780" max="11781" width="12.5703125" style="1189" bestFit="1" customWidth="1"/>
    <col min="11782" max="11782" width="13.42578125" style="1189" customWidth="1"/>
    <col min="11783" max="11784" width="16.140625" style="1189" bestFit="1" customWidth="1"/>
    <col min="11785" max="11785" width="8.5703125" style="1189" bestFit="1" customWidth="1"/>
    <col min="11786" max="11786" width="7.5703125" style="1189" bestFit="1" customWidth="1"/>
    <col min="11787" max="11787" width="70.42578125" style="1189" bestFit="1" customWidth="1"/>
    <col min="11788" max="12032" width="8.7109375" style="1189"/>
    <col min="12033" max="12033" width="6.140625" style="1189" bestFit="1" customWidth="1"/>
    <col min="12034" max="12034" width="19.5703125" style="1189" bestFit="1" customWidth="1"/>
    <col min="12035" max="12035" width="5.140625" style="1189" bestFit="1" customWidth="1"/>
    <col min="12036" max="12037" width="12.5703125" style="1189" bestFit="1" customWidth="1"/>
    <col min="12038" max="12038" width="13.42578125" style="1189" customWidth="1"/>
    <col min="12039" max="12040" width="16.140625" style="1189" bestFit="1" customWidth="1"/>
    <col min="12041" max="12041" width="8.5703125" style="1189" bestFit="1" customWidth="1"/>
    <col min="12042" max="12042" width="7.5703125" style="1189" bestFit="1" customWidth="1"/>
    <col min="12043" max="12043" width="70.42578125" style="1189" bestFit="1" customWidth="1"/>
    <col min="12044" max="12288" width="8.7109375" style="1189"/>
    <col min="12289" max="12289" width="6.140625" style="1189" bestFit="1" customWidth="1"/>
    <col min="12290" max="12290" width="19.5703125" style="1189" bestFit="1" customWidth="1"/>
    <col min="12291" max="12291" width="5.140625" style="1189" bestFit="1" customWidth="1"/>
    <col min="12292" max="12293" width="12.5703125" style="1189" bestFit="1" customWidth="1"/>
    <col min="12294" max="12294" width="13.42578125" style="1189" customWidth="1"/>
    <col min="12295" max="12296" width="16.140625" style="1189" bestFit="1" customWidth="1"/>
    <col min="12297" max="12297" width="8.5703125" style="1189" bestFit="1" customWidth="1"/>
    <col min="12298" max="12298" width="7.5703125" style="1189" bestFit="1" customWidth="1"/>
    <col min="12299" max="12299" width="70.42578125" style="1189" bestFit="1" customWidth="1"/>
    <col min="12300" max="12544" width="8.7109375" style="1189"/>
    <col min="12545" max="12545" width="6.140625" style="1189" bestFit="1" customWidth="1"/>
    <col min="12546" max="12546" width="19.5703125" style="1189" bestFit="1" customWidth="1"/>
    <col min="12547" max="12547" width="5.140625" style="1189" bestFit="1" customWidth="1"/>
    <col min="12548" max="12549" width="12.5703125" style="1189" bestFit="1" customWidth="1"/>
    <col min="12550" max="12550" width="13.42578125" style="1189" customWidth="1"/>
    <col min="12551" max="12552" width="16.140625" style="1189" bestFit="1" customWidth="1"/>
    <col min="12553" max="12553" width="8.5703125" style="1189" bestFit="1" customWidth="1"/>
    <col min="12554" max="12554" width="7.5703125" style="1189" bestFit="1" customWidth="1"/>
    <col min="12555" max="12555" width="70.42578125" style="1189" bestFit="1" customWidth="1"/>
    <col min="12556" max="12800" width="8.7109375" style="1189"/>
    <col min="12801" max="12801" width="6.140625" style="1189" bestFit="1" customWidth="1"/>
    <col min="12802" max="12802" width="19.5703125" style="1189" bestFit="1" customWidth="1"/>
    <col min="12803" max="12803" width="5.140625" style="1189" bestFit="1" customWidth="1"/>
    <col min="12804" max="12805" width="12.5703125" style="1189" bestFit="1" customWidth="1"/>
    <col min="12806" max="12806" width="13.42578125" style="1189" customWidth="1"/>
    <col min="12807" max="12808" width="16.140625" style="1189" bestFit="1" customWidth="1"/>
    <col min="12809" max="12809" width="8.5703125" style="1189" bestFit="1" customWidth="1"/>
    <col min="12810" max="12810" width="7.5703125" style="1189" bestFit="1" customWidth="1"/>
    <col min="12811" max="12811" width="70.42578125" style="1189" bestFit="1" customWidth="1"/>
    <col min="12812" max="13056" width="8.7109375" style="1189"/>
    <col min="13057" max="13057" width="6.140625" style="1189" bestFit="1" customWidth="1"/>
    <col min="13058" max="13058" width="19.5703125" style="1189" bestFit="1" customWidth="1"/>
    <col min="13059" max="13059" width="5.140625" style="1189" bestFit="1" customWidth="1"/>
    <col min="13060" max="13061" width="12.5703125" style="1189" bestFit="1" customWidth="1"/>
    <col min="13062" max="13062" width="13.42578125" style="1189" customWidth="1"/>
    <col min="13063" max="13064" width="16.140625" style="1189" bestFit="1" customWidth="1"/>
    <col min="13065" max="13065" width="8.5703125" style="1189" bestFit="1" customWidth="1"/>
    <col min="13066" max="13066" width="7.5703125" style="1189" bestFit="1" customWidth="1"/>
    <col min="13067" max="13067" width="70.42578125" style="1189" bestFit="1" customWidth="1"/>
    <col min="13068" max="13312" width="8.7109375" style="1189"/>
    <col min="13313" max="13313" width="6.140625" style="1189" bestFit="1" customWidth="1"/>
    <col min="13314" max="13314" width="19.5703125" style="1189" bestFit="1" customWidth="1"/>
    <col min="13315" max="13315" width="5.140625" style="1189" bestFit="1" customWidth="1"/>
    <col min="13316" max="13317" width="12.5703125" style="1189" bestFit="1" customWidth="1"/>
    <col min="13318" max="13318" width="13.42578125" style="1189" customWidth="1"/>
    <col min="13319" max="13320" width="16.140625" style="1189" bestFit="1" customWidth="1"/>
    <col min="13321" max="13321" width="8.5703125" style="1189" bestFit="1" customWidth="1"/>
    <col min="13322" max="13322" width="7.5703125" style="1189" bestFit="1" customWidth="1"/>
    <col min="13323" max="13323" width="70.42578125" style="1189" bestFit="1" customWidth="1"/>
    <col min="13324" max="13568" width="8.7109375" style="1189"/>
    <col min="13569" max="13569" width="6.140625" style="1189" bestFit="1" customWidth="1"/>
    <col min="13570" max="13570" width="19.5703125" style="1189" bestFit="1" customWidth="1"/>
    <col min="13571" max="13571" width="5.140625" style="1189" bestFit="1" customWidth="1"/>
    <col min="13572" max="13573" width="12.5703125" style="1189" bestFit="1" customWidth="1"/>
    <col min="13574" max="13574" width="13.42578125" style="1189" customWidth="1"/>
    <col min="13575" max="13576" width="16.140625" style="1189" bestFit="1" customWidth="1"/>
    <col min="13577" max="13577" width="8.5703125" style="1189" bestFit="1" customWidth="1"/>
    <col min="13578" max="13578" width="7.5703125" style="1189" bestFit="1" customWidth="1"/>
    <col min="13579" max="13579" width="70.42578125" style="1189" bestFit="1" customWidth="1"/>
    <col min="13580" max="13824" width="8.7109375" style="1189"/>
    <col min="13825" max="13825" width="6.140625" style="1189" bestFit="1" customWidth="1"/>
    <col min="13826" max="13826" width="19.5703125" style="1189" bestFit="1" customWidth="1"/>
    <col min="13827" max="13827" width="5.140625" style="1189" bestFit="1" customWidth="1"/>
    <col min="13828" max="13829" width="12.5703125" style="1189" bestFit="1" customWidth="1"/>
    <col min="13830" max="13830" width="13.42578125" style="1189" customWidth="1"/>
    <col min="13831" max="13832" width="16.140625" style="1189" bestFit="1" customWidth="1"/>
    <col min="13833" max="13833" width="8.5703125" style="1189" bestFit="1" customWidth="1"/>
    <col min="13834" max="13834" width="7.5703125" style="1189" bestFit="1" customWidth="1"/>
    <col min="13835" max="13835" width="70.42578125" style="1189" bestFit="1" customWidth="1"/>
    <col min="13836" max="14080" width="8.7109375" style="1189"/>
    <col min="14081" max="14081" width="6.140625" style="1189" bestFit="1" customWidth="1"/>
    <col min="14082" max="14082" width="19.5703125" style="1189" bestFit="1" customWidth="1"/>
    <col min="14083" max="14083" width="5.140625" style="1189" bestFit="1" customWidth="1"/>
    <col min="14084" max="14085" width="12.5703125" style="1189" bestFit="1" customWidth="1"/>
    <col min="14086" max="14086" width="13.42578125" style="1189" customWidth="1"/>
    <col min="14087" max="14088" width="16.140625" style="1189" bestFit="1" customWidth="1"/>
    <col min="14089" max="14089" width="8.5703125" style="1189" bestFit="1" customWidth="1"/>
    <col min="14090" max="14090" width="7.5703125" style="1189" bestFit="1" customWidth="1"/>
    <col min="14091" max="14091" width="70.42578125" style="1189" bestFit="1" customWidth="1"/>
    <col min="14092" max="14336" width="8.7109375" style="1189"/>
    <col min="14337" max="14337" width="6.140625" style="1189" bestFit="1" customWidth="1"/>
    <col min="14338" max="14338" width="19.5703125" style="1189" bestFit="1" customWidth="1"/>
    <col min="14339" max="14339" width="5.140625" style="1189" bestFit="1" customWidth="1"/>
    <col min="14340" max="14341" width="12.5703125" style="1189" bestFit="1" customWidth="1"/>
    <col min="14342" max="14342" width="13.42578125" style="1189" customWidth="1"/>
    <col min="14343" max="14344" width="16.140625" style="1189" bestFit="1" customWidth="1"/>
    <col min="14345" max="14345" width="8.5703125" style="1189" bestFit="1" customWidth="1"/>
    <col min="14346" max="14346" width="7.5703125" style="1189" bestFit="1" customWidth="1"/>
    <col min="14347" max="14347" width="70.42578125" style="1189" bestFit="1" customWidth="1"/>
    <col min="14348" max="14592" width="8.7109375" style="1189"/>
    <col min="14593" max="14593" width="6.140625" style="1189" bestFit="1" customWidth="1"/>
    <col min="14594" max="14594" width="19.5703125" style="1189" bestFit="1" customWidth="1"/>
    <col min="14595" max="14595" width="5.140625" style="1189" bestFit="1" customWidth="1"/>
    <col min="14596" max="14597" width="12.5703125" style="1189" bestFit="1" customWidth="1"/>
    <col min="14598" max="14598" width="13.42578125" style="1189" customWidth="1"/>
    <col min="14599" max="14600" width="16.140625" style="1189" bestFit="1" customWidth="1"/>
    <col min="14601" max="14601" width="8.5703125" style="1189" bestFit="1" customWidth="1"/>
    <col min="14602" max="14602" width="7.5703125" style="1189" bestFit="1" customWidth="1"/>
    <col min="14603" max="14603" width="70.42578125" style="1189" bestFit="1" customWidth="1"/>
    <col min="14604" max="14848" width="8.7109375" style="1189"/>
    <col min="14849" max="14849" width="6.140625" style="1189" bestFit="1" customWidth="1"/>
    <col min="14850" max="14850" width="19.5703125" style="1189" bestFit="1" customWidth="1"/>
    <col min="14851" max="14851" width="5.140625" style="1189" bestFit="1" customWidth="1"/>
    <col min="14852" max="14853" width="12.5703125" style="1189" bestFit="1" customWidth="1"/>
    <col min="14854" max="14854" width="13.42578125" style="1189" customWidth="1"/>
    <col min="14855" max="14856" width="16.140625" style="1189" bestFit="1" customWidth="1"/>
    <col min="14857" max="14857" width="8.5703125" style="1189" bestFit="1" customWidth="1"/>
    <col min="14858" max="14858" width="7.5703125" style="1189" bestFit="1" customWidth="1"/>
    <col min="14859" max="14859" width="70.42578125" style="1189" bestFit="1" customWidth="1"/>
    <col min="14860" max="15104" width="8.7109375" style="1189"/>
    <col min="15105" max="15105" width="6.140625" style="1189" bestFit="1" customWidth="1"/>
    <col min="15106" max="15106" width="19.5703125" style="1189" bestFit="1" customWidth="1"/>
    <col min="15107" max="15107" width="5.140625" style="1189" bestFit="1" customWidth="1"/>
    <col min="15108" max="15109" width="12.5703125" style="1189" bestFit="1" customWidth="1"/>
    <col min="15110" max="15110" width="13.42578125" style="1189" customWidth="1"/>
    <col min="15111" max="15112" width="16.140625" style="1189" bestFit="1" customWidth="1"/>
    <col min="15113" max="15113" width="8.5703125" style="1189" bestFit="1" customWidth="1"/>
    <col min="15114" max="15114" width="7.5703125" style="1189" bestFit="1" customWidth="1"/>
    <col min="15115" max="15115" width="70.42578125" style="1189" bestFit="1" customWidth="1"/>
    <col min="15116" max="15360" width="8.7109375" style="1189"/>
    <col min="15361" max="15361" width="6.140625" style="1189" bestFit="1" customWidth="1"/>
    <col min="15362" max="15362" width="19.5703125" style="1189" bestFit="1" customWidth="1"/>
    <col min="15363" max="15363" width="5.140625" style="1189" bestFit="1" customWidth="1"/>
    <col min="15364" max="15365" width="12.5703125" style="1189" bestFit="1" customWidth="1"/>
    <col min="15366" max="15366" width="13.42578125" style="1189" customWidth="1"/>
    <col min="15367" max="15368" width="16.140625" style="1189" bestFit="1" customWidth="1"/>
    <col min="15369" max="15369" width="8.5703125" style="1189" bestFit="1" customWidth="1"/>
    <col min="15370" max="15370" width="7.5703125" style="1189" bestFit="1" customWidth="1"/>
    <col min="15371" max="15371" width="70.42578125" style="1189" bestFit="1" customWidth="1"/>
    <col min="15372" max="15616" width="8.7109375" style="1189"/>
    <col min="15617" max="15617" width="6.140625" style="1189" bestFit="1" customWidth="1"/>
    <col min="15618" max="15618" width="19.5703125" style="1189" bestFit="1" customWidth="1"/>
    <col min="15619" max="15619" width="5.140625" style="1189" bestFit="1" customWidth="1"/>
    <col min="15620" max="15621" width="12.5703125" style="1189" bestFit="1" customWidth="1"/>
    <col min="15622" max="15622" width="13.42578125" style="1189" customWidth="1"/>
    <col min="15623" max="15624" width="16.140625" style="1189" bestFit="1" customWidth="1"/>
    <col min="15625" max="15625" width="8.5703125" style="1189" bestFit="1" customWidth="1"/>
    <col min="15626" max="15626" width="7.5703125" style="1189" bestFit="1" customWidth="1"/>
    <col min="15627" max="15627" width="70.42578125" style="1189" bestFit="1" customWidth="1"/>
    <col min="15628" max="15872" width="8.7109375" style="1189"/>
    <col min="15873" max="15873" width="6.140625" style="1189" bestFit="1" customWidth="1"/>
    <col min="15874" max="15874" width="19.5703125" style="1189" bestFit="1" customWidth="1"/>
    <col min="15875" max="15875" width="5.140625" style="1189" bestFit="1" customWidth="1"/>
    <col min="15876" max="15877" width="12.5703125" style="1189" bestFit="1" customWidth="1"/>
    <col min="15878" max="15878" width="13.42578125" style="1189" customWidth="1"/>
    <col min="15879" max="15880" width="16.140625" style="1189" bestFit="1" customWidth="1"/>
    <col min="15881" max="15881" width="8.5703125" style="1189" bestFit="1" customWidth="1"/>
    <col min="15882" max="15882" width="7.5703125" style="1189" bestFit="1" customWidth="1"/>
    <col min="15883" max="15883" width="70.42578125" style="1189" bestFit="1" customWidth="1"/>
    <col min="15884" max="16128" width="8.7109375" style="1189"/>
    <col min="16129" max="16129" width="6.140625" style="1189" bestFit="1" customWidth="1"/>
    <col min="16130" max="16130" width="19.5703125" style="1189" bestFit="1" customWidth="1"/>
    <col min="16131" max="16131" width="5.140625" style="1189" bestFit="1" customWidth="1"/>
    <col min="16132" max="16133" width="12.5703125" style="1189" bestFit="1" customWidth="1"/>
    <col min="16134" max="16134" width="13.42578125" style="1189" customWidth="1"/>
    <col min="16135" max="16136" width="16.140625" style="1189" bestFit="1" customWidth="1"/>
    <col min="16137" max="16137" width="8.5703125" style="1189" bestFit="1" customWidth="1"/>
    <col min="16138" max="16138" width="7.5703125" style="1189" bestFit="1" customWidth="1"/>
    <col min="16139" max="16139" width="70.42578125" style="1189" bestFit="1" customWidth="1"/>
    <col min="16140" max="16384" width="8.7109375" style="1189"/>
  </cols>
  <sheetData>
    <row r="1" spans="1:11">
      <c r="A1" s="1693" t="s">
        <v>3431</v>
      </c>
      <c r="B1" s="1693"/>
      <c r="C1" s="1693"/>
      <c r="D1" s="1693"/>
      <c r="E1" s="1693"/>
      <c r="F1" s="1693"/>
      <c r="G1" s="1693"/>
      <c r="H1" s="1693"/>
      <c r="I1" s="1693"/>
      <c r="J1" s="1693"/>
      <c r="K1" s="1693"/>
    </row>
    <row r="2" spans="1:11" ht="51">
      <c r="A2" s="1190" t="s">
        <v>2877</v>
      </c>
      <c r="B2" s="1190" t="s">
        <v>3267</v>
      </c>
      <c r="C2" s="1190" t="s">
        <v>2683</v>
      </c>
      <c r="D2" s="1191" t="s">
        <v>3432</v>
      </c>
      <c r="E2" s="1191" t="s">
        <v>3433</v>
      </c>
      <c r="F2" s="1191" t="s">
        <v>3434</v>
      </c>
      <c r="G2" s="1191" t="s">
        <v>3435</v>
      </c>
      <c r="H2" s="1191" t="s">
        <v>3436</v>
      </c>
      <c r="I2" s="1191" t="s">
        <v>3437</v>
      </c>
      <c r="J2" s="1191" t="s">
        <v>593</v>
      </c>
      <c r="K2" s="1190" t="s">
        <v>19</v>
      </c>
    </row>
    <row r="3" spans="1:11">
      <c r="A3" s="1694" t="s">
        <v>1675</v>
      </c>
      <c r="B3" s="1192" t="s">
        <v>3438</v>
      </c>
      <c r="C3" s="1193" t="s">
        <v>1857</v>
      </c>
      <c r="D3" s="1194">
        <v>73</v>
      </c>
      <c r="E3" s="1194">
        <v>127</v>
      </c>
      <c r="F3" s="1195">
        <f>D3+E3</f>
        <v>200</v>
      </c>
      <c r="G3" s="1194">
        <v>80</v>
      </c>
      <c r="H3" s="1194">
        <v>116</v>
      </c>
      <c r="I3" s="1195">
        <f>G3+H3</f>
        <v>196</v>
      </c>
      <c r="J3" s="1194">
        <f>F3-I3</f>
        <v>4</v>
      </c>
      <c r="K3" s="1196"/>
    </row>
    <row r="4" spans="1:11">
      <c r="A4" s="1694"/>
      <c r="B4" s="1192" t="s">
        <v>3439</v>
      </c>
      <c r="C4" s="1193" t="s">
        <v>3440</v>
      </c>
      <c r="D4" s="1194">
        <v>8</v>
      </c>
      <c r="E4" s="1194">
        <v>4</v>
      </c>
      <c r="F4" s="1195">
        <f t="shared" ref="F4:F29" si="0">D4+E4</f>
        <v>12</v>
      </c>
      <c r="G4" s="1194">
        <v>8</v>
      </c>
      <c r="H4" s="1194">
        <v>4</v>
      </c>
      <c r="I4" s="1195">
        <f t="shared" ref="I4:I29" si="1">G4+H4</f>
        <v>12</v>
      </c>
      <c r="J4" s="1194">
        <f t="shared" ref="J4:J29" si="2">F4-I4</f>
        <v>0</v>
      </c>
      <c r="K4" s="1196"/>
    </row>
    <row r="5" spans="1:11">
      <c r="A5" s="1694"/>
      <c r="B5" s="1192" t="s">
        <v>3441</v>
      </c>
      <c r="C5" s="1193" t="s">
        <v>3440</v>
      </c>
      <c r="D5" s="1194">
        <v>5</v>
      </c>
      <c r="E5" s="1194">
        <v>12</v>
      </c>
      <c r="F5" s="1195">
        <f t="shared" si="0"/>
        <v>17</v>
      </c>
      <c r="G5" s="1194">
        <v>5</v>
      </c>
      <c r="H5" s="1194">
        <v>10</v>
      </c>
      <c r="I5" s="1195">
        <f t="shared" si="1"/>
        <v>15</v>
      </c>
      <c r="J5" s="1194">
        <f t="shared" si="2"/>
        <v>2</v>
      </c>
      <c r="K5" s="1196"/>
    </row>
    <row r="6" spans="1:11">
      <c r="A6" s="1694"/>
      <c r="B6" s="1192" t="s">
        <v>3442</v>
      </c>
      <c r="C6" s="1193" t="s">
        <v>3440</v>
      </c>
      <c r="D6" s="1194"/>
      <c r="E6" s="1194"/>
      <c r="F6" s="1195">
        <f t="shared" si="0"/>
        <v>0</v>
      </c>
      <c r="G6" s="1194">
        <v>0</v>
      </c>
      <c r="H6" s="1194">
        <v>0</v>
      </c>
      <c r="I6" s="1195">
        <f t="shared" si="1"/>
        <v>0</v>
      </c>
      <c r="J6" s="1194">
        <f t="shared" si="2"/>
        <v>0</v>
      </c>
      <c r="K6" s="1196"/>
    </row>
    <row r="7" spans="1:11">
      <c r="A7" s="1694"/>
      <c r="B7" s="1192" t="s">
        <v>3442</v>
      </c>
      <c r="C7" s="1193" t="s">
        <v>3440</v>
      </c>
      <c r="D7" s="1194"/>
      <c r="E7" s="1194"/>
      <c r="F7" s="1195">
        <f t="shared" si="0"/>
        <v>0</v>
      </c>
      <c r="G7" s="1194">
        <v>0</v>
      </c>
      <c r="H7" s="1194">
        <v>0</v>
      </c>
      <c r="I7" s="1195">
        <f t="shared" si="1"/>
        <v>0</v>
      </c>
      <c r="J7" s="1194">
        <f t="shared" si="2"/>
        <v>0</v>
      </c>
      <c r="K7" s="1196"/>
    </row>
    <row r="8" spans="1:11">
      <c r="A8" s="1694"/>
      <c r="B8" s="1192" t="s">
        <v>3443</v>
      </c>
      <c r="C8" s="1193" t="s">
        <v>3440</v>
      </c>
      <c r="D8" s="1194">
        <v>1</v>
      </c>
      <c r="E8" s="1194"/>
      <c r="F8" s="1195">
        <f t="shared" si="0"/>
        <v>1</v>
      </c>
      <c r="G8" s="1194">
        <v>1</v>
      </c>
      <c r="H8" s="1194">
        <v>0</v>
      </c>
      <c r="I8" s="1195">
        <f t="shared" si="1"/>
        <v>1</v>
      </c>
      <c r="J8" s="1194">
        <f t="shared" si="2"/>
        <v>0</v>
      </c>
      <c r="K8" s="1197"/>
    </row>
    <row r="9" spans="1:11">
      <c r="A9" s="1694" t="s">
        <v>2397</v>
      </c>
      <c r="B9" s="1192" t="s">
        <v>3438</v>
      </c>
      <c r="C9" s="1193" t="s">
        <v>1857</v>
      </c>
      <c r="D9" s="1194">
        <v>18</v>
      </c>
      <c r="E9" s="1194">
        <v>41</v>
      </c>
      <c r="F9" s="1195">
        <f t="shared" si="0"/>
        <v>59</v>
      </c>
      <c r="G9" s="1194">
        <v>20</v>
      </c>
      <c r="H9" s="1194">
        <v>33</v>
      </c>
      <c r="I9" s="1195">
        <f t="shared" si="1"/>
        <v>53</v>
      </c>
      <c r="J9" s="1194">
        <f t="shared" si="2"/>
        <v>6</v>
      </c>
      <c r="K9" s="1196"/>
    </row>
    <row r="10" spans="1:11">
      <c r="A10" s="1694"/>
      <c r="B10" s="1192" t="s">
        <v>3439</v>
      </c>
      <c r="C10" s="1193" t="s">
        <v>3440</v>
      </c>
      <c r="D10" s="1194"/>
      <c r="E10" s="1194">
        <v>4</v>
      </c>
      <c r="F10" s="1195">
        <f t="shared" si="0"/>
        <v>4</v>
      </c>
      <c r="G10" s="1194">
        <v>0</v>
      </c>
      <c r="H10" s="1194">
        <v>4</v>
      </c>
      <c r="I10" s="1195">
        <f t="shared" si="1"/>
        <v>4</v>
      </c>
      <c r="J10" s="1194">
        <f t="shared" si="2"/>
        <v>0</v>
      </c>
      <c r="K10" s="1196"/>
    </row>
    <row r="11" spans="1:11">
      <c r="A11" s="1694"/>
      <c r="B11" s="1192" t="s">
        <v>3441</v>
      </c>
      <c r="C11" s="1193" t="s">
        <v>3440</v>
      </c>
      <c r="D11" s="1194">
        <v>4</v>
      </c>
      <c r="E11" s="1194">
        <v>4</v>
      </c>
      <c r="F11" s="1195">
        <f t="shared" si="0"/>
        <v>8</v>
      </c>
      <c r="G11" s="1194">
        <v>4</v>
      </c>
      <c r="H11" s="1194">
        <v>4</v>
      </c>
      <c r="I11" s="1195">
        <f t="shared" si="1"/>
        <v>8</v>
      </c>
      <c r="J11" s="1194">
        <f t="shared" si="2"/>
        <v>0</v>
      </c>
      <c r="K11" s="1196"/>
    </row>
    <row r="12" spans="1:11">
      <c r="A12" s="1694"/>
      <c r="B12" s="1192" t="s">
        <v>3442</v>
      </c>
      <c r="C12" s="1193" t="s">
        <v>3440</v>
      </c>
      <c r="D12" s="1194">
        <v>1</v>
      </c>
      <c r="E12" s="1194">
        <v>4</v>
      </c>
      <c r="F12" s="1195">
        <f t="shared" si="0"/>
        <v>5</v>
      </c>
      <c r="G12" s="1194">
        <v>1</v>
      </c>
      <c r="H12" s="1194">
        <v>4</v>
      </c>
      <c r="I12" s="1195">
        <f t="shared" si="1"/>
        <v>5</v>
      </c>
      <c r="J12" s="1194">
        <f t="shared" si="2"/>
        <v>0</v>
      </c>
      <c r="K12" s="1196"/>
    </row>
    <row r="13" spans="1:11">
      <c r="A13" s="1694" t="s">
        <v>2398</v>
      </c>
      <c r="B13" s="1192" t="s">
        <v>3438</v>
      </c>
      <c r="C13" s="1193" t="s">
        <v>1857</v>
      </c>
      <c r="D13" s="1194">
        <v>12</v>
      </c>
      <c r="E13" s="1194">
        <v>33</v>
      </c>
      <c r="F13" s="1195">
        <f t="shared" si="0"/>
        <v>45</v>
      </c>
      <c r="G13" s="1194">
        <v>20</v>
      </c>
      <c r="H13" s="1194">
        <v>24</v>
      </c>
      <c r="I13" s="1195">
        <f t="shared" si="1"/>
        <v>44</v>
      </c>
      <c r="J13" s="1194">
        <f t="shared" si="2"/>
        <v>1</v>
      </c>
      <c r="K13" s="1196"/>
    </row>
    <row r="14" spans="1:11">
      <c r="A14" s="1694"/>
      <c r="B14" s="1192" t="s">
        <v>3439</v>
      </c>
      <c r="C14" s="1193" t="s">
        <v>3440</v>
      </c>
      <c r="D14" s="1194"/>
      <c r="E14" s="1194"/>
      <c r="F14" s="1195">
        <f t="shared" si="0"/>
        <v>0</v>
      </c>
      <c r="G14" s="1194">
        <v>0</v>
      </c>
      <c r="H14" s="1194">
        <v>0</v>
      </c>
      <c r="I14" s="1195">
        <f t="shared" si="1"/>
        <v>0</v>
      </c>
      <c r="J14" s="1194">
        <f t="shared" si="2"/>
        <v>0</v>
      </c>
      <c r="K14" s="1196"/>
    </row>
    <row r="15" spans="1:11">
      <c r="A15" s="1694"/>
      <c r="B15" s="1192" t="s">
        <v>3441</v>
      </c>
      <c r="C15" s="1193" t="s">
        <v>3440</v>
      </c>
      <c r="D15" s="1194">
        <v>5</v>
      </c>
      <c r="E15" s="1194">
        <v>4</v>
      </c>
      <c r="F15" s="1195">
        <f t="shared" si="0"/>
        <v>9</v>
      </c>
      <c r="G15" s="1194">
        <v>5</v>
      </c>
      <c r="H15" s="1194">
        <v>4</v>
      </c>
      <c r="I15" s="1195">
        <f t="shared" si="1"/>
        <v>9</v>
      </c>
      <c r="J15" s="1194">
        <f t="shared" si="2"/>
        <v>0</v>
      </c>
      <c r="K15" s="1196"/>
    </row>
    <row r="16" spans="1:11">
      <c r="A16" s="1694"/>
      <c r="B16" s="1192" t="s">
        <v>3442</v>
      </c>
      <c r="C16" s="1193" t="s">
        <v>3440</v>
      </c>
      <c r="D16" s="1194"/>
      <c r="E16" s="1194"/>
      <c r="F16" s="1195">
        <f t="shared" si="0"/>
        <v>0</v>
      </c>
      <c r="G16" s="1194">
        <v>0</v>
      </c>
      <c r="H16" s="1194">
        <v>0</v>
      </c>
      <c r="I16" s="1195">
        <f t="shared" si="1"/>
        <v>0</v>
      </c>
      <c r="J16" s="1194">
        <f t="shared" si="2"/>
        <v>0</v>
      </c>
      <c r="K16" s="1196"/>
    </row>
    <row r="17" spans="1:11">
      <c r="A17" s="1694"/>
      <c r="B17" s="1192" t="s">
        <v>3443</v>
      </c>
      <c r="C17" s="1193" t="s">
        <v>3440</v>
      </c>
      <c r="D17" s="1194">
        <v>1</v>
      </c>
      <c r="E17" s="1194"/>
      <c r="F17" s="1195">
        <f t="shared" si="0"/>
        <v>1</v>
      </c>
      <c r="G17" s="1194">
        <v>1</v>
      </c>
      <c r="H17" s="1194">
        <v>0</v>
      </c>
      <c r="I17" s="1195">
        <f t="shared" si="1"/>
        <v>1</v>
      </c>
      <c r="J17" s="1194">
        <f t="shared" si="2"/>
        <v>0</v>
      </c>
      <c r="K17" s="1197"/>
    </row>
    <row r="18" spans="1:11">
      <c r="A18" s="1694"/>
      <c r="B18" s="1192" t="s">
        <v>3445</v>
      </c>
      <c r="C18" s="1193" t="s">
        <v>3440</v>
      </c>
      <c r="D18" s="1194">
        <v>2</v>
      </c>
      <c r="E18" s="1194"/>
      <c r="F18" s="1195">
        <f t="shared" si="0"/>
        <v>2</v>
      </c>
      <c r="G18" s="1194">
        <v>2</v>
      </c>
      <c r="H18" s="1194">
        <v>0</v>
      </c>
      <c r="I18" s="1195">
        <f t="shared" si="1"/>
        <v>2</v>
      </c>
      <c r="J18" s="1194">
        <f t="shared" si="2"/>
        <v>0</v>
      </c>
      <c r="K18" s="1197"/>
    </row>
    <row r="19" spans="1:11">
      <c r="A19" s="1695" t="s">
        <v>2425</v>
      </c>
      <c r="B19" s="1192" t="s">
        <v>3438</v>
      </c>
      <c r="C19" s="1193" t="s">
        <v>1857</v>
      </c>
      <c r="D19" s="1194">
        <v>9</v>
      </c>
      <c r="E19" s="1194">
        <v>26</v>
      </c>
      <c r="F19" s="1195">
        <f t="shared" si="0"/>
        <v>35</v>
      </c>
      <c r="G19" s="1194">
        <v>10</v>
      </c>
      <c r="H19" s="1194">
        <v>20</v>
      </c>
      <c r="I19" s="1195">
        <f t="shared" si="1"/>
        <v>30</v>
      </c>
      <c r="J19" s="1194">
        <f t="shared" si="2"/>
        <v>5</v>
      </c>
      <c r="K19" s="1196"/>
    </row>
    <row r="20" spans="1:11">
      <c r="A20" s="1696"/>
      <c r="B20" s="1192" t="s">
        <v>3439</v>
      </c>
      <c r="C20" s="1193" t="s">
        <v>3440</v>
      </c>
      <c r="D20" s="1194"/>
      <c r="E20" s="1194">
        <v>4</v>
      </c>
      <c r="F20" s="1195">
        <f t="shared" si="0"/>
        <v>4</v>
      </c>
      <c r="G20" s="1194">
        <v>0</v>
      </c>
      <c r="H20" s="1194">
        <v>4</v>
      </c>
      <c r="I20" s="1195">
        <f t="shared" si="1"/>
        <v>4</v>
      </c>
      <c r="J20" s="1194">
        <f t="shared" si="2"/>
        <v>0</v>
      </c>
      <c r="K20" s="1196"/>
    </row>
    <row r="21" spans="1:11">
      <c r="A21" s="1696"/>
      <c r="B21" s="1192" t="s">
        <v>3441</v>
      </c>
      <c r="C21" s="1193" t="s">
        <v>3440</v>
      </c>
      <c r="D21" s="1194">
        <v>4</v>
      </c>
      <c r="E21" s="1194">
        <v>4</v>
      </c>
      <c r="F21" s="1195">
        <f t="shared" si="0"/>
        <v>8</v>
      </c>
      <c r="G21" s="1194">
        <v>4</v>
      </c>
      <c r="H21" s="1194">
        <v>4</v>
      </c>
      <c r="I21" s="1195">
        <f t="shared" si="1"/>
        <v>8</v>
      </c>
      <c r="J21" s="1194">
        <f t="shared" si="2"/>
        <v>0</v>
      </c>
      <c r="K21" s="1196"/>
    </row>
    <row r="22" spans="1:11">
      <c r="A22" s="1696"/>
      <c r="B22" s="1192" t="s">
        <v>3442</v>
      </c>
      <c r="C22" s="1193" t="s">
        <v>3440</v>
      </c>
      <c r="D22" s="1194">
        <v>4</v>
      </c>
      <c r="E22" s="1194"/>
      <c r="F22" s="1195">
        <f t="shared" si="0"/>
        <v>4</v>
      </c>
      <c r="G22" s="1194">
        <v>4</v>
      </c>
      <c r="H22" s="1194">
        <v>4</v>
      </c>
      <c r="I22" s="1195">
        <f t="shared" si="1"/>
        <v>8</v>
      </c>
      <c r="J22" s="1194">
        <f t="shared" si="2"/>
        <v>-4</v>
      </c>
      <c r="K22" s="1196" t="s">
        <v>3444</v>
      </c>
    </row>
    <row r="23" spans="1:11">
      <c r="A23" s="1696"/>
      <c r="B23" s="1192" t="s">
        <v>3445</v>
      </c>
      <c r="C23" s="1193" t="s">
        <v>3440</v>
      </c>
      <c r="D23" s="1194"/>
      <c r="E23" s="1194"/>
      <c r="F23" s="1195">
        <f t="shared" si="0"/>
        <v>0</v>
      </c>
      <c r="G23" s="1194">
        <v>0</v>
      </c>
      <c r="H23" s="1194">
        <v>0</v>
      </c>
      <c r="I23" s="1195">
        <f t="shared" si="1"/>
        <v>0</v>
      </c>
      <c r="J23" s="1194">
        <f t="shared" si="2"/>
        <v>0</v>
      </c>
      <c r="K23" s="1196"/>
    </row>
    <row r="24" spans="1:11">
      <c r="A24" s="1696"/>
      <c r="B24" s="1192" t="s">
        <v>3446</v>
      </c>
      <c r="C24" s="1193" t="s">
        <v>1857</v>
      </c>
      <c r="D24" s="1194">
        <v>10.25</v>
      </c>
      <c r="E24" s="1194">
        <v>32</v>
      </c>
      <c r="F24" s="1195">
        <f t="shared" si="0"/>
        <v>42.25</v>
      </c>
      <c r="G24" s="1194">
        <v>5</v>
      </c>
      <c r="H24" s="1194">
        <v>25</v>
      </c>
      <c r="I24" s="1195">
        <f t="shared" si="1"/>
        <v>30</v>
      </c>
      <c r="J24" s="1194">
        <f t="shared" si="2"/>
        <v>12.25</v>
      </c>
      <c r="K24" s="1197"/>
    </row>
    <row r="25" spans="1:11">
      <c r="A25" s="1696"/>
      <c r="B25" s="1192" t="s">
        <v>3441</v>
      </c>
      <c r="C25" s="1193" t="s">
        <v>3440</v>
      </c>
      <c r="D25" s="1194">
        <v>3</v>
      </c>
      <c r="E25" s="1194"/>
      <c r="F25" s="1195">
        <f t="shared" si="0"/>
        <v>3</v>
      </c>
      <c r="G25" s="1194">
        <v>3</v>
      </c>
      <c r="H25" s="1194">
        <v>0</v>
      </c>
      <c r="I25" s="1195">
        <f t="shared" si="1"/>
        <v>3</v>
      </c>
      <c r="J25" s="1194">
        <f t="shared" si="2"/>
        <v>0</v>
      </c>
      <c r="K25" s="1197"/>
    </row>
    <row r="26" spans="1:11">
      <c r="A26" s="1696"/>
      <c r="B26" s="1192" t="s">
        <v>3442</v>
      </c>
      <c r="C26" s="1193" t="s">
        <v>3440</v>
      </c>
      <c r="D26" s="1206">
        <f>8+2</f>
        <v>10</v>
      </c>
      <c r="E26" s="1194">
        <v>28</v>
      </c>
      <c r="F26" s="1195">
        <f t="shared" si="0"/>
        <v>38</v>
      </c>
      <c r="G26" s="1194">
        <v>4</v>
      </c>
      <c r="H26" s="1194">
        <v>28</v>
      </c>
      <c r="I26" s="1195">
        <f t="shared" si="1"/>
        <v>32</v>
      </c>
      <c r="J26" s="1194">
        <f t="shared" si="2"/>
        <v>6</v>
      </c>
      <c r="K26" s="1197"/>
    </row>
    <row r="27" spans="1:11">
      <c r="A27" s="1696"/>
      <c r="B27" s="1192" t="s">
        <v>3447</v>
      </c>
      <c r="C27" s="1193" t="s">
        <v>3440</v>
      </c>
      <c r="D27" s="1194">
        <v>4</v>
      </c>
      <c r="E27" s="1194"/>
      <c r="F27" s="1195">
        <f t="shared" si="0"/>
        <v>4</v>
      </c>
      <c r="G27" s="1194">
        <v>4</v>
      </c>
      <c r="H27" s="1194">
        <v>0</v>
      </c>
      <c r="I27" s="1195">
        <f t="shared" si="1"/>
        <v>4</v>
      </c>
      <c r="J27" s="1194">
        <f t="shared" si="2"/>
        <v>0</v>
      </c>
      <c r="K27" s="1197"/>
    </row>
    <row r="28" spans="1:11">
      <c r="A28" s="1696"/>
      <c r="B28" s="1192" t="s">
        <v>3445</v>
      </c>
      <c r="C28" s="1193" t="s">
        <v>3440</v>
      </c>
      <c r="D28" s="1194">
        <v>6</v>
      </c>
      <c r="E28" s="1194">
        <v>4</v>
      </c>
      <c r="F28" s="1195">
        <f t="shared" si="0"/>
        <v>10</v>
      </c>
      <c r="G28" s="1194">
        <v>2</v>
      </c>
      <c r="H28" s="1194">
        <v>0</v>
      </c>
      <c r="I28" s="1195">
        <f t="shared" si="1"/>
        <v>2</v>
      </c>
      <c r="J28" s="1194">
        <f t="shared" si="2"/>
        <v>8</v>
      </c>
      <c r="K28" s="1197"/>
    </row>
    <row r="29" spans="1:11">
      <c r="A29" s="1697"/>
      <c r="B29" s="1192" t="s">
        <v>3448</v>
      </c>
      <c r="C29" s="1193" t="s">
        <v>3440</v>
      </c>
      <c r="D29" s="1194">
        <v>2</v>
      </c>
      <c r="E29" s="1194">
        <v>4</v>
      </c>
      <c r="F29" s="1195">
        <f t="shared" si="0"/>
        <v>6</v>
      </c>
      <c r="G29" s="1194">
        <v>2</v>
      </c>
      <c r="H29" s="1194">
        <v>0</v>
      </c>
      <c r="I29" s="1195">
        <f t="shared" si="1"/>
        <v>2</v>
      </c>
      <c r="J29" s="1194">
        <f t="shared" si="2"/>
        <v>4</v>
      </c>
      <c r="K29" s="1197"/>
    </row>
    <row r="30" spans="1:11">
      <c r="A30" s="1692" t="s">
        <v>994</v>
      </c>
      <c r="B30" s="1692"/>
      <c r="C30" s="1204"/>
      <c r="D30" s="1204">
        <f t="shared" ref="D30:J30" si="3">D3+D9+D13+D19+D24+((D4)/4)+(D21/4)+(D25/4)+(D20/4)+(D10/4)</f>
        <v>126</v>
      </c>
      <c r="E30" s="1204">
        <f>E3+E9+E13+E19+E24+((E4)/4)+(E21/4)+(E25/4)+(E20/4)+(E10/4)</f>
        <v>263</v>
      </c>
      <c r="F30" s="1204">
        <f t="shared" si="3"/>
        <v>389</v>
      </c>
      <c r="G30" s="1204">
        <f t="shared" si="3"/>
        <v>138.75</v>
      </c>
      <c r="H30" s="1204">
        <f t="shared" si="3"/>
        <v>222</v>
      </c>
      <c r="I30" s="1204">
        <f t="shared" si="3"/>
        <v>360.75</v>
      </c>
      <c r="J30" s="1204">
        <f t="shared" si="3"/>
        <v>28.25</v>
      </c>
      <c r="K30" s="120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89" bestFit="1" customWidth="1"/>
    <col min="2" max="2" width="19.7109375" style="1189" bestFit="1" customWidth="1"/>
    <col min="3" max="3" width="10.140625" style="1199" bestFit="1" customWidth="1"/>
    <col min="4" max="4" width="14" style="1189" customWidth="1"/>
    <col min="5" max="5" width="14.42578125" style="1189" bestFit="1" customWidth="1"/>
    <col min="6" max="6" width="13" style="1189" bestFit="1" customWidth="1"/>
    <col min="7" max="7" width="22" style="1189" customWidth="1"/>
    <col min="8" max="8" width="70.7109375" style="1189" bestFit="1" customWidth="1"/>
    <col min="9" max="256" width="8.7109375" style="1189"/>
    <col min="257" max="257" width="6.140625" style="1189" bestFit="1" customWidth="1"/>
    <col min="258" max="258" width="19.7109375" style="1189" bestFit="1" customWidth="1"/>
    <col min="259" max="259" width="10.140625" style="1189" bestFit="1" customWidth="1"/>
    <col min="260" max="260" width="14" style="1189" customWidth="1"/>
    <col min="261" max="261" width="14.42578125" style="1189" bestFit="1" customWidth="1"/>
    <col min="262" max="262" width="13" style="1189" bestFit="1" customWidth="1"/>
    <col min="263" max="263" width="22" style="1189" customWidth="1"/>
    <col min="264" max="264" width="70.7109375" style="1189" bestFit="1" customWidth="1"/>
    <col min="265" max="512" width="8.7109375" style="1189"/>
    <col min="513" max="513" width="6.140625" style="1189" bestFit="1" customWidth="1"/>
    <col min="514" max="514" width="19.7109375" style="1189" bestFit="1" customWidth="1"/>
    <col min="515" max="515" width="10.140625" style="1189" bestFit="1" customWidth="1"/>
    <col min="516" max="516" width="14" style="1189" customWidth="1"/>
    <col min="517" max="517" width="14.42578125" style="1189" bestFit="1" customWidth="1"/>
    <col min="518" max="518" width="13" style="1189" bestFit="1" customWidth="1"/>
    <col min="519" max="519" width="22" style="1189" customWidth="1"/>
    <col min="520" max="520" width="70.7109375" style="1189" bestFit="1" customWidth="1"/>
    <col min="521" max="768" width="8.7109375" style="1189"/>
    <col min="769" max="769" width="6.140625" style="1189" bestFit="1" customWidth="1"/>
    <col min="770" max="770" width="19.7109375" style="1189" bestFit="1" customWidth="1"/>
    <col min="771" max="771" width="10.140625" style="1189" bestFit="1" customWidth="1"/>
    <col min="772" max="772" width="14" style="1189" customWidth="1"/>
    <col min="773" max="773" width="14.42578125" style="1189" bestFit="1" customWidth="1"/>
    <col min="774" max="774" width="13" style="1189" bestFit="1" customWidth="1"/>
    <col min="775" max="775" width="22" style="1189" customWidth="1"/>
    <col min="776" max="776" width="70.7109375" style="1189" bestFit="1" customWidth="1"/>
    <col min="777" max="1024" width="8.7109375" style="1189"/>
    <col min="1025" max="1025" width="6.140625" style="1189" bestFit="1" customWidth="1"/>
    <col min="1026" max="1026" width="19.7109375" style="1189" bestFit="1" customWidth="1"/>
    <col min="1027" max="1027" width="10.140625" style="1189" bestFit="1" customWidth="1"/>
    <col min="1028" max="1028" width="14" style="1189" customWidth="1"/>
    <col min="1029" max="1029" width="14.42578125" style="1189" bestFit="1" customWidth="1"/>
    <col min="1030" max="1030" width="13" style="1189" bestFit="1" customWidth="1"/>
    <col min="1031" max="1031" width="22" style="1189" customWidth="1"/>
    <col min="1032" max="1032" width="70.7109375" style="1189" bestFit="1" customWidth="1"/>
    <col min="1033" max="1280" width="8.7109375" style="1189"/>
    <col min="1281" max="1281" width="6.140625" style="1189" bestFit="1" customWidth="1"/>
    <col min="1282" max="1282" width="19.7109375" style="1189" bestFit="1" customWidth="1"/>
    <col min="1283" max="1283" width="10.140625" style="1189" bestFit="1" customWidth="1"/>
    <col min="1284" max="1284" width="14" style="1189" customWidth="1"/>
    <col min="1285" max="1285" width="14.42578125" style="1189" bestFit="1" customWidth="1"/>
    <col min="1286" max="1286" width="13" style="1189" bestFit="1" customWidth="1"/>
    <col min="1287" max="1287" width="22" style="1189" customWidth="1"/>
    <col min="1288" max="1288" width="70.7109375" style="1189" bestFit="1" customWidth="1"/>
    <col min="1289" max="1536" width="8.7109375" style="1189"/>
    <col min="1537" max="1537" width="6.140625" style="1189" bestFit="1" customWidth="1"/>
    <col min="1538" max="1538" width="19.7109375" style="1189" bestFit="1" customWidth="1"/>
    <col min="1539" max="1539" width="10.140625" style="1189" bestFit="1" customWidth="1"/>
    <col min="1540" max="1540" width="14" style="1189" customWidth="1"/>
    <col min="1541" max="1541" width="14.42578125" style="1189" bestFit="1" customWidth="1"/>
    <col min="1542" max="1542" width="13" style="1189" bestFit="1" customWidth="1"/>
    <col min="1543" max="1543" width="22" style="1189" customWidth="1"/>
    <col min="1544" max="1544" width="70.7109375" style="1189" bestFit="1" customWidth="1"/>
    <col min="1545" max="1792" width="8.7109375" style="1189"/>
    <col min="1793" max="1793" width="6.140625" style="1189" bestFit="1" customWidth="1"/>
    <col min="1794" max="1794" width="19.7109375" style="1189" bestFit="1" customWidth="1"/>
    <col min="1795" max="1795" width="10.140625" style="1189" bestFit="1" customWidth="1"/>
    <col min="1796" max="1796" width="14" style="1189" customWidth="1"/>
    <col min="1797" max="1797" width="14.42578125" style="1189" bestFit="1" customWidth="1"/>
    <col min="1798" max="1798" width="13" style="1189" bestFit="1" customWidth="1"/>
    <col min="1799" max="1799" width="22" style="1189" customWidth="1"/>
    <col min="1800" max="1800" width="70.7109375" style="1189" bestFit="1" customWidth="1"/>
    <col min="1801" max="2048" width="8.7109375" style="1189"/>
    <col min="2049" max="2049" width="6.140625" style="1189" bestFit="1" customWidth="1"/>
    <col min="2050" max="2050" width="19.7109375" style="1189" bestFit="1" customWidth="1"/>
    <col min="2051" max="2051" width="10.140625" style="1189" bestFit="1" customWidth="1"/>
    <col min="2052" max="2052" width="14" style="1189" customWidth="1"/>
    <col min="2053" max="2053" width="14.42578125" style="1189" bestFit="1" customWidth="1"/>
    <col min="2054" max="2054" width="13" style="1189" bestFit="1" customWidth="1"/>
    <col min="2055" max="2055" width="22" style="1189" customWidth="1"/>
    <col min="2056" max="2056" width="70.7109375" style="1189" bestFit="1" customWidth="1"/>
    <col min="2057" max="2304" width="8.7109375" style="1189"/>
    <col min="2305" max="2305" width="6.140625" style="1189" bestFit="1" customWidth="1"/>
    <col min="2306" max="2306" width="19.7109375" style="1189" bestFit="1" customWidth="1"/>
    <col min="2307" max="2307" width="10.140625" style="1189" bestFit="1" customWidth="1"/>
    <col min="2308" max="2308" width="14" style="1189" customWidth="1"/>
    <col min="2309" max="2309" width="14.42578125" style="1189" bestFit="1" customWidth="1"/>
    <col min="2310" max="2310" width="13" style="1189" bestFit="1" customWidth="1"/>
    <col min="2311" max="2311" width="22" style="1189" customWidth="1"/>
    <col min="2312" max="2312" width="70.7109375" style="1189" bestFit="1" customWidth="1"/>
    <col min="2313" max="2560" width="8.7109375" style="1189"/>
    <col min="2561" max="2561" width="6.140625" style="1189" bestFit="1" customWidth="1"/>
    <col min="2562" max="2562" width="19.7109375" style="1189" bestFit="1" customWidth="1"/>
    <col min="2563" max="2563" width="10.140625" style="1189" bestFit="1" customWidth="1"/>
    <col min="2564" max="2564" width="14" style="1189" customWidth="1"/>
    <col min="2565" max="2565" width="14.42578125" style="1189" bestFit="1" customWidth="1"/>
    <col min="2566" max="2566" width="13" style="1189" bestFit="1" customWidth="1"/>
    <col min="2567" max="2567" width="22" style="1189" customWidth="1"/>
    <col min="2568" max="2568" width="70.7109375" style="1189" bestFit="1" customWidth="1"/>
    <col min="2569" max="2816" width="8.7109375" style="1189"/>
    <col min="2817" max="2817" width="6.140625" style="1189" bestFit="1" customWidth="1"/>
    <col min="2818" max="2818" width="19.7109375" style="1189" bestFit="1" customWidth="1"/>
    <col min="2819" max="2819" width="10.140625" style="1189" bestFit="1" customWidth="1"/>
    <col min="2820" max="2820" width="14" style="1189" customWidth="1"/>
    <col min="2821" max="2821" width="14.42578125" style="1189" bestFit="1" customWidth="1"/>
    <col min="2822" max="2822" width="13" style="1189" bestFit="1" customWidth="1"/>
    <col min="2823" max="2823" width="22" style="1189" customWidth="1"/>
    <col min="2824" max="2824" width="70.7109375" style="1189" bestFit="1" customWidth="1"/>
    <col min="2825" max="3072" width="8.7109375" style="1189"/>
    <col min="3073" max="3073" width="6.140625" style="1189" bestFit="1" customWidth="1"/>
    <col min="3074" max="3074" width="19.7109375" style="1189" bestFit="1" customWidth="1"/>
    <col min="3075" max="3075" width="10.140625" style="1189" bestFit="1" customWidth="1"/>
    <col min="3076" max="3076" width="14" style="1189" customWidth="1"/>
    <col min="3077" max="3077" width="14.42578125" style="1189" bestFit="1" customWidth="1"/>
    <col min="3078" max="3078" width="13" style="1189" bestFit="1" customWidth="1"/>
    <col min="3079" max="3079" width="22" style="1189" customWidth="1"/>
    <col min="3080" max="3080" width="70.7109375" style="1189" bestFit="1" customWidth="1"/>
    <col min="3081" max="3328" width="8.7109375" style="1189"/>
    <col min="3329" max="3329" width="6.140625" style="1189" bestFit="1" customWidth="1"/>
    <col min="3330" max="3330" width="19.7109375" style="1189" bestFit="1" customWidth="1"/>
    <col min="3331" max="3331" width="10.140625" style="1189" bestFit="1" customWidth="1"/>
    <col min="3332" max="3332" width="14" style="1189" customWidth="1"/>
    <col min="3333" max="3333" width="14.42578125" style="1189" bestFit="1" customWidth="1"/>
    <col min="3334" max="3334" width="13" style="1189" bestFit="1" customWidth="1"/>
    <col min="3335" max="3335" width="22" style="1189" customWidth="1"/>
    <col min="3336" max="3336" width="70.7109375" style="1189" bestFit="1" customWidth="1"/>
    <col min="3337" max="3584" width="8.7109375" style="1189"/>
    <col min="3585" max="3585" width="6.140625" style="1189" bestFit="1" customWidth="1"/>
    <col min="3586" max="3586" width="19.7109375" style="1189" bestFit="1" customWidth="1"/>
    <col min="3587" max="3587" width="10.140625" style="1189" bestFit="1" customWidth="1"/>
    <col min="3588" max="3588" width="14" style="1189" customWidth="1"/>
    <col min="3589" max="3589" width="14.42578125" style="1189" bestFit="1" customWidth="1"/>
    <col min="3590" max="3590" width="13" style="1189" bestFit="1" customWidth="1"/>
    <col min="3591" max="3591" width="22" style="1189" customWidth="1"/>
    <col min="3592" max="3592" width="70.7109375" style="1189" bestFit="1" customWidth="1"/>
    <col min="3593" max="3840" width="8.7109375" style="1189"/>
    <col min="3841" max="3841" width="6.140625" style="1189" bestFit="1" customWidth="1"/>
    <col min="3842" max="3842" width="19.7109375" style="1189" bestFit="1" customWidth="1"/>
    <col min="3843" max="3843" width="10.140625" style="1189" bestFit="1" customWidth="1"/>
    <col min="3844" max="3844" width="14" style="1189" customWidth="1"/>
    <col min="3845" max="3845" width="14.42578125" style="1189" bestFit="1" customWidth="1"/>
    <col min="3846" max="3846" width="13" style="1189" bestFit="1" customWidth="1"/>
    <col min="3847" max="3847" width="22" style="1189" customWidth="1"/>
    <col min="3848" max="3848" width="70.7109375" style="1189" bestFit="1" customWidth="1"/>
    <col min="3849" max="4096" width="8.7109375" style="1189"/>
    <col min="4097" max="4097" width="6.140625" style="1189" bestFit="1" customWidth="1"/>
    <col min="4098" max="4098" width="19.7109375" style="1189" bestFit="1" customWidth="1"/>
    <col min="4099" max="4099" width="10.140625" style="1189" bestFit="1" customWidth="1"/>
    <col min="4100" max="4100" width="14" style="1189" customWidth="1"/>
    <col min="4101" max="4101" width="14.42578125" style="1189" bestFit="1" customWidth="1"/>
    <col min="4102" max="4102" width="13" style="1189" bestFit="1" customWidth="1"/>
    <col min="4103" max="4103" width="22" style="1189" customWidth="1"/>
    <col min="4104" max="4104" width="70.7109375" style="1189" bestFit="1" customWidth="1"/>
    <col min="4105" max="4352" width="8.7109375" style="1189"/>
    <col min="4353" max="4353" width="6.140625" style="1189" bestFit="1" customWidth="1"/>
    <col min="4354" max="4354" width="19.7109375" style="1189" bestFit="1" customWidth="1"/>
    <col min="4355" max="4355" width="10.140625" style="1189" bestFit="1" customWidth="1"/>
    <col min="4356" max="4356" width="14" style="1189" customWidth="1"/>
    <col min="4357" max="4357" width="14.42578125" style="1189" bestFit="1" customWidth="1"/>
    <col min="4358" max="4358" width="13" style="1189" bestFit="1" customWidth="1"/>
    <col min="4359" max="4359" width="22" style="1189" customWidth="1"/>
    <col min="4360" max="4360" width="70.7109375" style="1189" bestFit="1" customWidth="1"/>
    <col min="4361" max="4608" width="8.7109375" style="1189"/>
    <col min="4609" max="4609" width="6.140625" style="1189" bestFit="1" customWidth="1"/>
    <col min="4610" max="4610" width="19.7109375" style="1189" bestFit="1" customWidth="1"/>
    <col min="4611" max="4611" width="10.140625" style="1189" bestFit="1" customWidth="1"/>
    <col min="4612" max="4612" width="14" style="1189" customWidth="1"/>
    <col min="4613" max="4613" width="14.42578125" style="1189" bestFit="1" customWidth="1"/>
    <col min="4614" max="4614" width="13" style="1189" bestFit="1" customWidth="1"/>
    <col min="4615" max="4615" width="22" style="1189" customWidth="1"/>
    <col min="4616" max="4616" width="70.7109375" style="1189" bestFit="1" customWidth="1"/>
    <col min="4617" max="4864" width="8.7109375" style="1189"/>
    <col min="4865" max="4865" width="6.140625" style="1189" bestFit="1" customWidth="1"/>
    <col min="4866" max="4866" width="19.7109375" style="1189" bestFit="1" customWidth="1"/>
    <col min="4867" max="4867" width="10.140625" style="1189" bestFit="1" customWidth="1"/>
    <col min="4868" max="4868" width="14" style="1189" customWidth="1"/>
    <col min="4869" max="4869" width="14.42578125" style="1189" bestFit="1" customWidth="1"/>
    <col min="4870" max="4870" width="13" style="1189" bestFit="1" customWidth="1"/>
    <col min="4871" max="4871" width="22" style="1189" customWidth="1"/>
    <col min="4872" max="4872" width="70.7109375" style="1189" bestFit="1" customWidth="1"/>
    <col min="4873" max="5120" width="8.7109375" style="1189"/>
    <col min="5121" max="5121" width="6.140625" style="1189" bestFit="1" customWidth="1"/>
    <col min="5122" max="5122" width="19.7109375" style="1189" bestFit="1" customWidth="1"/>
    <col min="5123" max="5123" width="10.140625" style="1189" bestFit="1" customWidth="1"/>
    <col min="5124" max="5124" width="14" style="1189" customWidth="1"/>
    <col min="5125" max="5125" width="14.42578125" style="1189" bestFit="1" customWidth="1"/>
    <col min="5126" max="5126" width="13" style="1189" bestFit="1" customWidth="1"/>
    <col min="5127" max="5127" width="22" style="1189" customWidth="1"/>
    <col min="5128" max="5128" width="70.7109375" style="1189" bestFit="1" customWidth="1"/>
    <col min="5129" max="5376" width="8.7109375" style="1189"/>
    <col min="5377" max="5377" width="6.140625" style="1189" bestFit="1" customWidth="1"/>
    <col min="5378" max="5378" width="19.7109375" style="1189" bestFit="1" customWidth="1"/>
    <col min="5379" max="5379" width="10.140625" style="1189" bestFit="1" customWidth="1"/>
    <col min="5380" max="5380" width="14" style="1189" customWidth="1"/>
    <col min="5381" max="5381" width="14.42578125" style="1189" bestFit="1" customWidth="1"/>
    <col min="5382" max="5382" width="13" style="1189" bestFit="1" customWidth="1"/>
    <col min="5383" max="5383" width="22" style="1189" customWidth="1"/>
    <col min="5384" max="5384" width="70.7109375" style="1189" bestFit="1" customWidth="1"/>
    <col min="5385" max="5632" width="8.7109375" style="1189"/>
    <col min="5633" max="5633" width="6.140625" style="1189" bestFit="1" customWidth="1"/>
    <col min="5634" max="5634" width="19.7109375" style="1189" bestFit="1" customWidth="1"/>
    <col min="5635" max="5635" width="10.140625" style="1189" bestFit="1" customWidth="1"/>
    <col min="5636" max="5636" width="14" style="1189" customWidth="1"/>
    <col min="5637" max="5637" width="14.42578125" style="1189" bestFit="1" customWidth="1"/>
    <col min="5638" max="5638" width="13" style="1189" bestFit="1" customWidth="1"/>
    <col min="5639" max="5639" width="22" style="1189" customWidth="1"/>
    <col min="5640" max="5640" width="70.7109375" style="1189" bestFit="1" customWidth="1"/>
    <col min="5641" max="5888" width="8.7109375" style="1189"/>
    <col min="5889" max="5889" width="6.140625" style="1189" bestFit="1" customWidth="1"/>
    <col min="5890" max="5890" width="19.7109375" style="1189" bestFit="1" customWidth="1"/>
    <col min="5891" max="5891" width="10.140625" style="1189" bestFit="1" customWidth="1"/>
    <col min="5892" max="5892" width="14" style="1189" customWidth="1"/>
    <col min="5893" max="5893" width="14.42578125" style="1189" bestFit="1" customWidth="1"/>
    <col min="5894" max="5894" width="13" style="1189" bestFit="1" customWidth="1"/>
    <col min="5895" max="5895" width="22" style="1189" customWidth="1"/>
    <col min="5896" max="5896" width="70.7109375" style="1189" bestFit="1" customWidth="1"/>
    <col min="5897" max="6144" width="8.7109375" style="1189"/>
    <col min="6145" max="6145" width="6.140625" style="1189" bestFit="1" customWidth="1"/>
    <col min="6146" max="6146" width="19.7109375" style="1189" bestFit="1" customWidth="1"/>
    <col min="6147" max="6147" width="10.140625" style="1189" bestFit="1" customWidth="1"/>
    <col min="6148" max="6148" width="14" style="1189" customWidth="1"/>
    <col min="6149" max="6149" width="14.42578125" style="1189" bestFit="1" customWidth="1"/>
    <col min="6150" max="6150" width="13" style="1189" bestFit="1" customWidth="1"/>
    <col min="6151" max="6151" width="22" style="1189" customWidth="1"/>
    <col min="6152" max="6152" width="70.7109375" style="1189" bestFit="1" customWidth="1"/>
    <col min="6153" max="6400" width="8.7109375" style="1189"/>
    <col min="6401" max="6401" width="6.140625" style="1189" bestFit="1" customWidth="1"/>
    <col min="6402" max="6402" width="19.7109375" style="1189" bestFit="1" customWidth="1"/>
    <col min="6403" max="6403" width="10.140625" style="1189" bestFit="1" customWidth="1"/>
    <col min="6404" max="6404" width="14" style="1189" customWidth="1"/>
    <col min="6405" max="6405" width="14.42578125" style="1189" bestFit="1" customWidth="1"/>
    <col min="6406" max="6406" width="13" style="1189" bestFit="1" customWidth="1"/>
    <col min="6407" max="6407" width="22" style="1189" customWidth="1"/>
    <col min="6408" max="6408" width="70.7109375" style="1189" bestFit="1" customWidth="1"/>
    <col min="6409" max="6656" width="8.7109375" style="1189"/>
    <col min="6657" max="6657" width="6.140625" style="1189" bestFit="1" customWidth="1"/>
    <col min="6658" max="6658" width="19.7109375" style="1189" bestFit="1" customWidth="1"/>
    <col min="6659" max="6659" width="10.140625" style="1189" bestFit="1" customWidth="1"/>
    <col min="6660" max="6660" width="14" style="1189" customWidth="1"/>
    <col min="6661" max="6661" width="14.42578125" style="1189" bestFit="1" customWidth="1"/>
    <col min="6662" max="6662" width="13" style="1189" bestFit="1" customWidth="1"/>
    <col min="6663" max="6663" width="22" style="1189" customWidth="1"/>
    <col min="6664" max="6664" width="70.7109375" style="1189" bestFit="1" customWidth="1"/>
    <col min="6665" max="6912" width="8.7109375" style="1189"/>
    <col min="6913" max="6913" width="6.140625" style="1189" bestFit="1" customWidth="1"/>
    <col min="6914" max="6914" width="19.7109375" style="1189" bestFit="1" customWidth="1"/>
    <col min="6915" max="6915" width="10.140625" style="1189" bestFit="1" customWidth="1"/>
    <col min="6916" max="6916" width="14" style="1189" customWidth="1"/>
    <col min="6917" max="6917" width="14.42578125" style="1189" bestFit="1" customWidth="1"/>
    <col min="6918" max="6918" width="13" style="1189" bestFit="1" customWidth="1"/>
    <col min="6919" max="6919" width="22" style="1189" customWidth="1"/>
    <col min="6920" max="6920" width="70.7109375" style="1189" bestFit="1" customWidth="1"/>
    <col min="6921" max="7168" width="8.7109375" style="1189"/>
    <col min="7169" max="7169" width="6.140625" style="1189" bestFit="1" customWidth="1"/>
    <col min="7170" max="7170" width="19.7109375" style="1189" bestFit="1" customWidth="1"/>
    <col min="7171" max="7171" width="10.140625" style="1189" bestFit="1" customWidth="1"/>
    <col min="7172" max="7172" width="14" style="1189" customWidth="1"/>
    <col min="7173" max="7173" width="14.42578125" style="1189" bestFit="1" customWidth="1"/>
    <col min="7174" max="7174" width="13" style="1189" bestFit="1" customWidth="1"/>
    <col min="7175" max="7175" width="22" style="1189" customWidth="1"/>
    <col min="7176" max="7176" width="70.7109375" style="1189" bestFit="1" customWidth="1"/>
    <col min="7177" max="7424" width="8.7109375" style="1189"/>
    <col min="7425" max="7425" width="6.140625" style="1189" bestFit="1" customWidth="1"/>
    <col min="7426" max="7426" width="19.7109375" style="1189" bestFit="1" customWidth="1"/>
    <col min="7427" max="7427" width="10.140625" style="1189" bestFit="1" customWidth="1"/>
    <col min="7428" max="7428" width="14" style="1189" customWidth="1"/>
    <col min="7429" max="7429" width="14.42578125" style="1189" bestFit="1" customWidth="1"/>
    <col min="7430" max="7430" width="13" style="1189" bestFit="1" customWidth="1"/>
    <col min="7431" max="7431" width="22" style="1189" customWidth="1"/>
    <col min="7432" max="7432" width="70.7109375" style="1189" bestFit="1" customWidth="1"/>
    <col min="7433" max="7680" width="8.7109375" style="1189"/>
    <col min="7681" max="7681" width="6.140625" style="1189" bestFit="1" customWidth="1"/>
    <col min="7682" max="7682" width="19.7109375" style="1189" bestFit="1" customWidth="1"/>
    <col min="7683" max="7683" width="10.140625" style="1189" bestFit="1" customWidth="1"/>
    <col min="7684" max="7684" width="14" style="1189" customWidth="1"/>
    <col min="7685" max="7685" width="14.42578125" style="1189" bestFit="1" customWidth="1"/>
    <col min="7686" max="7686" width="13" style="1189" bestFit="1" customWidth="1"/>
    <col min="7687" max="7687" width="22" style="1189" customWidth="1"/>
    <col min="7688" max="7688" width="70.7109375" style="1189" bestFit="1" customWidth="1"/>
    <col min="7689" max="7936" width="8.7109375" style="1189"/>
    <col min="7937" max="7937" width="6.140625" style="1189" bestFit="1" customWidth="1"/>
    <col min="7938" max="7938" width="19.7109375" style="1189" bestFit="1" customWidth="1"/>
    <col min="7939" max="7939" width="10.140625" style="1189" bestFit="1" customWidth="1"/>
    <col min="7940" max="7940" width="14" style="1189" customWidth="1"/>
    <col min="7941" max="7941" width="14.42578125" style="1189" bestFit="1" customWidth="1"/>
    <col min="7942" max="7942" width="13" style="1189" bestFit="1" customWidth="1"/>
    <col min="7943" max="7943" width="22" style="1189" customWidth="1"/>
    <col min="7944" max="7944" width="70.7109375" style="1189" bestFit="1" customWidth="1"/>
    <col min="7945" max="8192" width="8.7109375" style="1189"/>
    <col min="8193" max="8193" width="6.140625" style="1189" bestFit="1" customWidth="1"/>
    <col min="8194" max="8194" width="19.7109375" style="1189" bestFit="1" customWidth="1"/>
    <col min="8195" max="8195" width="10.140625" style="1189" bestFit="1" customWidth="1"/>
    <col min="8196" max="8196" width="14" style="1189" customWidth="1"/>
    <col min="8197" max="8197" width="14.42578125" style="1189" bestFit="1" customWidth="1"/>
    <col min="8198" max="8198" width="13" style="1189" bestFit="1" customWidth="1"/>
    <col min="8199" max="8199" width="22" style="1189" customWidth="1"/>
    <col min="8200" max="8200" width="70.7109375" style="1189" bestFit="1" customWidth="1"/>
    <col min="8201" max="8448" width="8.7109375" style="1189"/>
    <col min="8449" max="8449" width="6.140625" style="1189" bestFit="1" customWidth="1"/>
    <col min="8450" max="8450" width="19.7109375" style="1189" bestFit="1" customWidth="1"/>
    <col min="8451" max="8451" width="10.140625" style="1189" bestFit="1" customWidth="1"/>
    <col min="8452" max="8452" width="14" style="1189" customWidth="1"/>
    <col min="8453" max="8453" width="14.42578125" style="1189" bestFit="1" customWidth="1"/>
    <col min="8454" max="8454" width="13" style="1189" bestFit="1" customWidth="1"/>
    <col min="8455" max="8455" width="22" style="1189" customWidth="1"/>
    <col min="8456" max="8456" width="70.7109375" style="1189" bestFit="1" customWidth="1"/>
    <col min="8457" max="8704" width="8.7109375" style="1189"/>
    <col min="8705" max="8705" width="6.140625" style="1189" bestFit="1" customWidth="1"/>
    <col min="8706" max="8706" width="19.7109375" style="1189" bestFit="1" customWidth="1"/>
    <col min="8707" max="8707" width="10.140625" style="1189" bestFit="1" customWidth="1"/>
    <col min="8708" max="8708" width="14" style="1189" customWidth="1"/>
    <col min="8709" max="8709" width="14.42578125" style="1189" bestFit="1" customWidth="1"/>
    <col min="8710" max="8710" width="13" style="1189" bestFit="1" customWidth="1"/>
    <col min="8711" max="8711" width="22" style="1189" customWidth="1"/>
    <col min="8712" max="8712" width="70.7109375" style="1189" bestFit="1" customWidth="1"/>
    <col min="8713" max="8960" width="8.7109375" style="1189"/>
    <col min="8961" max="8961" width="6.140625" style="1189" bestFit="1" customWidth="1"/>
    <col min="8962" max="8962" width="19.7109375" style="1189" bestFit="1" customWidth="1"/>
    <col min="8963" max="8963" width="10.140625" style="1189" bestFit="1" customWidth="1"/>
    <col min="8964" max="8964" width="14" style="1189" customWidth="1"/>
    <col min="8965" max="8965" width="14.42578125" style="1189" bestFit="1" customWidth="1"/>
    <col min="8966" max="8966" width="13" style="1189" bestFit="1" customWidth="1"/>
    <col min="8967" max="8967" width="22" style="1189" customWidth="1"/>
    <col min="8968" max="8968" width="70.7109375" style="1189" bestFit="1" customWidth="1"/>
    <col min="8969" max="9216" width="8.7109375" style="1189"/>
    <col min="9217" max="9217" width="6.140625" style="1189" bestFit="1" customWidth="1"/>
    <col min="9218" max="9218" width="19.7109375" style="1189" bestFit="1" customWidth="1"/>
    <col min="9219" max="9219" width="10.140625" style="1189" bestFit="1" customWidth="1"/>
    <col min="9220" max="9220" width="14" style="1189" customWidth="1"/>
    <col min="9221" max="9221" width="14.42578125" style="1189" bestFit="1" customWidth="1"/>
    <col min="9222" max="9222" width="13" style="1189" bestFit="1" customWidth="1"/>
    <col min="9223" max="9223" width="22" style="1189" customWidth="1"/>
    <col min="9224" max="9224" width="70.7109375" style="1189" bestFit="1" customWidth="1"/>
    <col min="9225" max="9472" width="8.7109375" style="1189"/>
    <col min="9473" max="9473" width="6.140625" style="1189" bestFit="1" customWidth="1"/>
    <col min="9474" max="9474" width="19.7109375" style="1189" bestFit="1" customWidth="1"/>
    <col min="9475" max="9475" width="10.140625" style="1189" bestFit="1" customWidth="1"/>
    <col min="9476" max="9476" width="14" style="1189" customWidth="1"/>
    <col min="9477" max="9477" width="14.42578125" style="1189" bestFit="1" customWidth="1"/>
    <col min="9478" max="9478" width="13" style="1189" bestFit="1" customWidth="1"/>
    <col min="9479" max="9479" width="22" style="1189" customWidth="1"/>
    <col min="9480" max="9480" width="70.7109375" style="1189" bestFit="1" customWidth="1"/>
    <col min="9481" max="9728" width="8.7109375" style="1189"/>
    <col min="9729" max="9729" width="6.140625" style="1189" bestFit="1" customWidth="1"/>
    <col min="9730" max="9730" width="19.7109375" style="1189" bestFit="1" customWidth="1"/>
    <col min="9731" max="9731" width="10.140625" style="1189" bestFit="1" customWidth="1"/>
    <col min="9732" max="9732" width="14" style="1189" customWidth="1"/>
    <col min="9733" max="9733" width="14.42578125" style="1189" bestFit="1" customWidth="1"/>
    <col min="9734" max="9734" width="13" style="1189" bestFit="1" customWidth="1"/>
    <col min="9735" max="9735" width="22" style="1189" customWidth="1"/>
    <col min="9736" max="9736" width="70.7109375" style="1189" bestFit="1" customWidth="1"/>
    <col min="9737" max="9984" width="8.7109375" style="1189"/>
    <col min="9985" max="9985" width="6.140625" style="1189" bestFit="1" customWidth="1"/>
    <col min="9986" max="9986" width="19.7109375" style="1189" bestFit="1" customWidth="1"/>
    <col min="9987" max="9987" width="10.140625" style="1189" bestFit="1" customWidth="1"/>
    <col min="9988" max="9988" width="14" style="1189" customWidth="1"/>
    <col min="9989" max="9989" width="14.42578125" style="1189" bestFit="1" customWidth="1"/>
    <col min="9990" max="9990" width="13" style="1189" bestFit="1" customWidth="1"/>
    <col min="9991" max="9991" width="22" style="1189" customWidth="1"/>
    <col min="9992" max="9992" width="70.7109375" style="1189" bestFit="1" customWidth="1"/>
    <col min="9993" max="10240" width="8.7109375" style="1189"/>
    <col min="10241" max="10241" width="6.140625" style="1189" bestFit="1" customWidth="1"/>
    <col min="10242" max="10242" width="19.7109375" style="1189" bestFit="1" customWidth="1"/>
    <col min="10243" max="10243" width="10.140625" style="1189" bestFit="1" customWidth="1"/>
    <col min="10244" max="10244" width="14" style="1189" customWidth="1"/>
    <col min="10245" max="10245" width="14.42578125" style="1189" bestFit="1" customWidth="1"/>
    <col min="10246" max="10246" width="13" style="1189" bestFit="1" customWidth="1"/>
    <col min="10247" max="10247" width="22" style="1189" customWidth="1"/>
    <col min="10248" max="10248" width="70.7109375" style="1189" bestFit="1" customWidth="1"/>
    <col min="10249" max="10496" width="8.7109375" style="1189"/>
    <col min="10497" max="10497" width="6.140625" style="1189" bestFit="1" customWidth="1"/>
    <col min="10498" max="10498" width="19.7109375" style="1189" bestFit="1" customWidth="1"/>
    <col min="10499" max="10499" width="10.140625" style="1189" bestFit="1" customWidth="1"/>
    <col min="10500" max="10500" width="14" style="1189" customWidth="1"/>
    <col min="10501" max="10501" width="14.42578125" style="1189" bestFit="1" customWidth="1"/>
    <col min="10502" max="10502" width="13" style="1189" bestFit="1" customWidth="1"/>
    <col min="10503" max="10503" width="22" style="1189" customWidth="1"/>
    <col min="10504" max="10504" width="70.7109375" style="1189" bestFit="1" customWidth="1"/>
    <col min="10505" max="10752" width="8.7109375" style="1189"/>
    <col min="10753" max="10753" width="6.140625" style="1189" bestFit="1" customWidth="1"/>
    <col min="10754" max="10754" width="19.7109375" style="1189" bestFit="1" customWidth="1"/>
    <col min="10755" max="10755" width="10.140625" style="1189" bestFit="1" customWidth="1"/>
    <col min="10756" max="10756" width="14" style="1189" customWidth="1"/>
    <col min="10757" max="10757" width="14.42578125" style="1189" bestFit="1" customWidth="1"/>
    <col min="10758" max="10758" width="13" style="1189" bestFit="1" customWidth="1"/>
    <col min="10759" max="10759" width="22" style="1189" customWidth="1"/>
    <col min="10760" max="10760" width="70.7109375" style="1189" bestFit="1" customWidth="1"/>
    <col min="10761" max="11008" width="8.7109375" style="1189"/>
    <col min="11009" max="11009" width="6.140625" style="1189" bestFit="1" customWidth="1"/>
    <col min="11010" max="11010" width="19.7109375" style="1189" bestFit="1" customWidth="1"/>
    <col min="11011" max="11011" width="10.140625" style="1189" bestFit="1" customWidth="1"/>
    <col min="11012" max="11012" width="14" style="1189" customWidth="1"/>
    <col min="11013" max="11013" width="14.42578125" style="1189" bestFit="1" customWidth="1"/>
    <col min="11014" max="11014" width="13" style="1189" bestFit="1" customWidth="1"/>
    <col min="11015" max="11015" width="22" style="1189" customWidth="1"/>
    <col min="11016" max="11016" width="70.7109375" style="1189" bestFit="1" customWidth="1"/>
    <col min="11017" max="11264" width="8.7109375" style="1189"/>
    <col min="11265" max="11265" width="6.140625" style="1189" bestFit="1" customWidth="1"/>
    <col min="11266" max="11266" width="19.7109375" style="1189" bestFit="1" customWidth="1"/>
    <col min="11267" max="11267" width="10.140625" style="1189" bestFit="1" customWidth="1"/>
    <col min="11268" max="11268" width="14" style="1189" customWidth="1"/>
    <col min="11269" max="11269" width="14.42578125" style="1189" bestFit="1" customWidth="1"/>
    <col min="11270" max="11270" width="13" style="1189" bestFit="1" customWidth="1"/>
    <col min="11271" max="11271" width="22" style="1189" customWidth="1"/>
    <col min="11272" max="11272" width="70.7109375" style="1189" bestFit="1" customWidth="1"/>
    <col min="11273" max="11520" width="8.7109375" style="1189"/>
    <col min="11521" max="11521" width="6.140625" style="1189" bestFit="1" customWidth="1"/>
    <col min="11522" max="11522" width="19.7109375" style="1189" bestFit="1" customWidth="1"/>
    <col min="11523" max="11523" width="10.140625" style="1189" bestFit="1" customWidth="1"/>
    <col min="11524" max="11524" width="14" style="1189" customWidth="1"/>
    <col min="11525" max="11525" width="14.42578125" style="1189" bestFit="1" customWidth="1"/>
    <col min="11526" max="11526" width="13" style="1189" bestFit="1" customWidth="1"/>
    <col min="11527" max="11527" width="22" style="1189" customWidth="1"/>
    <col min="11528" max="11528" width="70.7109375" style="1189" bestFit="1" customWidth="1"/>
    <col min="11529" max="11776" width="8.7109375" style="1189"/>
    <col min="11777" max="11777" width="6.140625" style="1189" bestFit="1" customWidth="1"/>
    <col min="11778" max="11778" width="19.7109375" style="1189" bestFit="1" customWidth="1"/>
    <col min="11779" max="11779" width="10.140625" style="1189" bestFit="1" customWidth="1"/>
    <col min="11780" max="11780" width="14" style="1189" customWidth="1"/>
    <col min="11781" max="11781" width="14.42578125" style="1189" bestFit="1" customWidth="1"/>
    <col min="11782" max="11782" width="13" style="1189" bestFit="1" customWidth="1"/>
    <col min="11783" max="11783" width="22" style="1189" customWidth="1"/>
    <col min="11784" max="11784" width="70.7109375" style="1189" bestFit="1" customWidth="1"/>
    <col min="11785" max="12032" width="8.7109375" style="1189"/>
    <col min="12033" max="12033" width="6.140625" style="1189" bestFit="1" customWidth="1"/>
    <col min="12034" max="12034" width="19.7109375" style="1189" bestFit="1" customWidth="1"/>
    <col min="12035" max="12035" width="10.140625" style="1189" bestFit="1" customWidth="1"/>
    <col min="12036" max="12036" width="14" style="1189" customWidth="1"/>
    <col min="12037" max="12037" width="14.42578125" style="1189" bestFit="1" customWidth="1"/>
    <col min="12038" max="12038" width="13" style="1189" bestFit="1" customWidth="1"/>
    <col min="12039" max="12039" width="22" style="1189" customWidth="1"/>
    <col min="12040" max="12040" width="70.7109375" style="1189" bestFit="1" customWidth="1"/>
    <col min="12041" max="12288" width="8.7109375" style="1189"/>
    <col min="12289" max="12289" width="6.140625" style="1189" bestFit="1" customWidth="1"/>
    <col min="12290" max="12290" width="19.7109375" style="1189" bestFit="1" customWidth="1"/>
    <col min="12291" max="12291" width="10.140625" style="1189" bestFit="1" customWidth="1"/>
    <col min="12292" max="12292" width="14" style="1189" customWidth="1"/>
    <col min="12293" max="12293" width="14.42578125" style="1189" bestFit="1" customWidth="1"/>
    <col min="12294" max="12294" width="13" style="1189" bestFit="1" customWidth="1"/>
    <col min="12295" max="12295" width="22" style="1189" customWidth="1"/>
    <col min="12296" max="12296" width="70.7109375" style="1189" bestFit="1" customWidth="1"/>
    <col min="12297" max="12544" width="8.7109375" style="1189"/>
    <col min="12545" max="12545" width="6.140625" style="1189" bestFit="1" customWidth="1"/>
    <col min="12546" max="12546" width="19.7109375" style="1189" bestFit="1" customWidth="1"/>
    <col min="12547" max="12547" width="10.140625" style="1189" bestFit="1" customWidth="1"/>
    <col min="12548" max="12548" width="14" style="1189" customWidth="1"/>
    <col min="12549" max="12549" width="14.42578125" style="1189" bestFit="1" customWidth="1"/>
    <col min="12550" max="12550" width="13" style="1189" bestFit="1" customWidth="1"/>
    <col min="12551" max="12551" width="22" style="1189" customWidth="1"/>
    <col min="12552" max="12552" width="70.7109375" style="1189" bestFit="1" customWidth="1"/>
    <col min="12553" max="12800" width="8.7109375" style="1189"/>
    <col min="12801" max="12801" width="6.140625" style="1189" bestFit="1" customWidth="1"/>
    <col min="12802" max="12802" width="19.7109375" style="1189" bestFit="1" customWidth="1"/>
    <col min="12803" max="12803" width="10.140625" style="1189" bestFit="1" customWidth="1"/>
    <col min="12804" max="12804" width="14" style="1189" customWidth="1"/>
    <col min="12805" max="12805" width="14.42578125" style="1189" bestFit="1" customWidth="1"/>
    <col min="12806" max="12806" width="13" style="1189" bestFit="1" customWidth="1"/>
    <col min="12807" max="12807" width="22" style="1189" customWidth="1"/>
    <col min="12808" max="12808" width="70.7109375" style="1189" bestFit="1" customWidth="1"/>
    <col min="12809" max="13056" width="8.7109375" style="1189"/>
    <col min="13057" max="13057" width="6.140625" style="1189" bestFit="1" customWidth="1"/>
    <col min="13058" max="13058" width="19.7109375" style="1189" bestFit="1" customWidth="1"/>
    <col min="13059" max="13059" width="10.140625" style="1189" bestFit="1" customWidth="1"/>
    <col min="13060" max="13060" width="14" style="1189" customWidth="1"/>
    <col min="13061" max="13061" width="14.42578125" style="1189" bestFit="1" customWidth="1"/>
    <col min="13062" max="13062" width="13" style="1189" bestFit="1" customWidth="1"/>
    <col min="13063" max="13063" width="22" style="1189" customWidth="1"/>
    <col min="13064" max="13064" width="70.7109375" style="1189" bestFit="1" customWidth="1"/>
    <col min="13065" max="13312" width="8.7109375" style="1189"/>
    <col min="13313" max="13313" width="6.140625" style="1189" bestFit="1" customWidth="1"/>
    <col min="13314" max="13314" width="19.7109375" style="1189" bestFit="1" customWidth="1"/>
    <col min="13315" max="13315" width="10.140625" style="1189" bestFit="1" customWidth="1"/>
    <col min="13316" max="13316" width="14" style="1189" customWidth="1"/>
    <col min="13317" max="13317" width="14.42578125" style="1189" bestFit="1" customWidth="1"/>
    <col min="13318" max="13318" width="13" style="1189" bestFit="1" customWidth="1"/>
    <col min="13319" max="13319" width="22" style="1189" customWidth="1"/>
    <col min="13320" max="13320" width="70.7109375" style="1189" bestFit="1" customWidth="1"/>
    <col min="13321" max="13568" width="8.7109375" style="1189"/>
    <col min="13569" max="13569" width="6.140625" style="1189" bestFit="1" customWidth="1"/>
    <col min="13570" max="13570" width="19.7109375" style="1189" bestFit="1" customWidth="1"/>
    <col min="13571" max="13571" width="10.140625" style="1189" bestFit="1" customWidth="1"/>
    <col min="13572" max="13572" width="14" style="1189" customWidth="1"/>
    <col min="13573" max="13573" width="14.42578125" style="1189" bestFit="1" customWidth="1"/>
    <col min="13574" max="13574" width="13" style="1189" bestFit="1" customWidth="1"/>
    <col min="13575" max="13575" width="22" style="1189" customWidth="1"/>
    <col min="13576" max="13576" width="70.7109375" style="1189" bestFit="1" customWidth="1"/>
    <col min="13577" max="13824" width="8.7109375" style="1189"/>
    <col min="13825" max="13825" width="6.140625" style="1189" bestFit="1" customWidth="1"/>
    <col min="13826" max="13826" width="19.7109375" style="1189" bestFit="1" customWidth="1"/>
    <col min="13827" max="13827" width="10.140625" style="1189" bestFit="1" customWidth="1"/>
    <col min="13828" max="13828" width="14" style="1189" customWidth="1"/>
    <col min="13829" max="13829" width="14.42578125" style="1189" bestFit="1" customWidth="1"/>
    <col min="13830" max="13830" width="13" style="1189" bestFit="1" customWidth="1"/>
    <col min="13831" max="13831" width="22" style="1189" customWidth="1"/>
    <col min="13832" max="13832" width="70.7109375" style="1189" bestFit="1" customWidth="1"/>
    <col min="13833" max="14080" width="8.7109375" style="1189"/>
    <col min="14081" max="14081" width="6.140625" style="1189" bestFit="1" customWidth="1"/>
    <col min="14082" max="14082" width="19.7109375" style="1189" bestFit="1" customWidth="1"/>
    <col min="14083" max="14083" width="10.140625" style="1189" bestFit="1" customWidth="1"/>
    <col min="14084" max="14084" width="14" style="1189" customWidth="1"/>
    <col min="14085" max="14085" width="14.42578125" style="1189" bestFit="1" customWidth="1"/>
    <col min="14086" max="14086" width="13" style="1189" bestFit="1" customWidth="1"/>
    <col min="14087" max="14087" width="22" style="1189" customWidth="1"/>
    <col min="14088" max="14088" width="70.7109375" style="1189" bestFit="1" customWidth="1"/>
    <col min="14089" max="14336" width="8.7109375" style="1189"/>
    <col min="14337" max="14337" width="6.140625" style="1189" bestFit="1" customWidth="1"/>
    <col min="14338" max="14338" width="19.7109375" style="1189" bestFit="1" customWidth="1"/>
    <col min="14339" max="14339" width="10.140625" style="1189" bestFit="1" customWidth="1"/>
    <col min="14340" max="14340" width="14" style="1189" customWidth="1"/>
    <col min="14341" max="14341" width="14.42578125" style="1189" bestFit="1" customWidth="1"/>
    <col min="14342" max="14342" width="13" style="1189" bestFit="1" customWidth="1"/>
    <col min="14343" max="14343" width="22" style="1189" customWidth="1"/>
    <col min="14344" max="14344" width="70.7109375" style="1189" bestFit="1" customWidth="1"/>
    <col min="14345" max="14592" width="8.7109375" style="1189"/>
    <col min="14593" max="14593" width="6.140625" style="1189" bestFit="1" customWidth="1"/>
    <col min="14594" max="14594" width="19.7109375" style="1189" bestFit="1" customWidth="1"/>
    <col min="14595" max="14595" width="10.140625" style="1189" bestFit="1" customWidth="1"/>
    <col min="14596" max="14596" width="14" style="1189" customWidth="1"/>
    <col min="14597" max="14597" width="14.42578125" style="1189" bestFit="1" customWidth="1"/>
    <col min="14598" max="14598" width="13" style="1189" bestFit="1" customWidth="1"/>
    <col min="14599" max="14599" width="22" style="1189" customWidth="1"/>
    <col min="14600" max="14600" width="70.7109375" style="1189" bestFit="1" customWidth="1"/>
    <col min="14601" max="14848" width="8.7109375" style="1189"/>
    <col min="14849" max="14849" width="6.140625" style="1189" bestFit="1" customWidth="1"/>
    <col min="14850" max="14850" width="19.7109375" style="1189" bestFit="1" customWidth="1"/>
    <col min="14851" max="14851" width="10.140625" style="1189" bestFit="1" customWidth="1"/>
    <col min="14852" max="14852" width="14" style="1189" customWidth="1"/>
    <col min="14853" max="14853" width="14.42578125" style="1189" bestFit="1" customWidth="1"/>
    <col min="14854" max="14854" width="13" style="1189" bestFit="1" customWidth="1"/>
    <col min="14855" max="14855" width="22" style="1189" customWidth="1"/>
    <col min="14856" max="14856" width="70.7109375" style="1189" bestFit="1" customWidth="1"/>
    <col min="14857" max="15104" width="8.7109375" style="1189"/>
    <col min="15105" max="15105" width="6.140625" style="1189" bestFit="1" customWidth="1"/>
    <col min="15106" max="15106" width="19.7109375" style="1189" bestFit="1" customWidth="1"/>
    <col min="15107" max="15107" width="10.140625" style="1189" bestFit="1" customWidth="1"/>
    <col min="15108" max="15108" width="14" style="1189" customWidth="1"/>
    <col min="15109" max="15109" width="14.42578125" style="1189" bestFit="1" customWidth="1"/>
    <col min="15110" max="15110" width="13" style="1189" bestFit="1" customWidth="1"/>
    <col min="15111" max="15111" width="22" style="1189" customWidth="1"/>
    <col min="15112" max="15112" width="70.7109375" style="1189" bestFit="1" customWidth="1"/>
    <col min="15113" max="15360" width="8.7109375" style="1189"/>
    <col min="15361" max="15361" width="6.140625" style="1189" bestFit="1" customWidth="1"/>
    <col min="15362" max="15362" width="19.7109375" style="1189" bestFit="1" customWidth="1"/>
    <col min="15363" max="15363" width="10.140625" style="1189" bestFit="1" customWidth="1"/>
    <col min="15364" max="15364" width="14" style="1189" customWidth="1"/>
    <col min="15365" max="15365" width="14.42578125" style="1189" bestFit="1" customWidth="1"/>
    <col min="15366" max="15366" width="13" style="1189" bestFit="1" customWidth="1"/>
    <col min="15367" max="15367" width="22" style="1189" customWidth="1"/>
    <col min="15368" max="15368" width="70.7109375" style="1189" bestFit="1" customWidth="1"/>
    <col min="15369" max="15616" width="8.7109375" style="1189"/>
    <col min="15617" max="15617" width="6.140625" style="1189" bestFit="1" customWidth="1"/>
    <col min="15618" max="15618" width="19.7109375" style="1189" bestFit="1" customWidth="1"/>
    <col min="15619" max="15619" width="10.140625" style="1189" bestFit="1" customWidth="1"/>
    <col min="15620" max="15620" width="14" style="1189" customWidth="1"/>
    <col min="15621" max="15621" width="14.42578125" style="1189" bestFit="1" customWidth="1"/>
    <col min="15622" max="15622" width="13" style="1189" bestFit="1" customWidth="1"/>
    <col min="15623" max="15623" width="22" style="1189" customWidth="1"/>
    <col min="15624" max="15624" width="70.7109375" style="1189" bestFit="1" customWidth="1"/>
    <col min="15625" max="15872" width="8.7109375" style="1189"/>
    <col min="15873" max="15873" width="6.140625" style="1189" bestFit="1" customWidth="1"/>
    <col min="15874" max="15874" width="19.7109375" style="1189" bestFit="1" customWidth="1"/>
    <col min="15875" max="15875" width="10.140625" style="1189" bestFit="1" customWidth="1"/>
    <col min="15876" max="15876" width="14" style="1189" customWidth="1"/>
    <col min="15877" max="15877" width="14.42578125" style="1189" bestFit="1" customWidth="1"/>
    <col min="15878" max="15878" width="13" style="1189" bestFit="1" customWidth="1"/>
    <col min="15879" max="15879" width="22" style="1189" customWidth="1"/>
    <col min="15880" max="15880" width="70.7109375" style="1189" bestFit="1" customWidth="1"/>
    <col min="15881" max="16128" width="8.7109375" style="1189"/>
    <col min="16129" max="16129" width="6.140625" style="1189" bestFit="1" customWidth="1"/>
    <col min="16130" max="16130" width="19.7109375" style="1189" bestFit="1" customWidth="1"/>
    <col min="16131" max="16131" width="10.140625" style="1189" bestFit="1" customWidth="1"/>
    <col min="16132" max="16132" width="14" style="1189" customWidth="1"/>
    <col min="16133" max="16133" width="14.42578125" style="1189" bestFit="1" customWidth="1"/>
    <col min="16134" max="16134" width="13" style="1189" bestFit="1" customWidth="1"/>
    <col min="16135" max="16135" width="22" style="1189" customWidth="1"/>
    <col min="16136" max="16136" width="70.7109375" style="1189" bestFit="1" customWidth="1"/>
    <col min="16137" max="16384" width="8.7109375" style="1189"/>
  </cols>
  <sheetData>
    <row r="1" spans="1:8">
      <c r="A1" s="1693" t="s">
        <v>3452</v>
      </c>
      <c r="B1" s="1693"/>
      <c r="C1" s="1693"/>
      <c r="D1" s="1693"/>
      <c r="E1" s="1693"/>
      <c r="F1" s="1693"/>
      <c r="G1" s="1693"/>
      <c r="H1" s="1693"/>
    </row>
    <row r="2" spans="1:8" ht="40.5" customHeight="1">
      <c r="A2" s="1190" t="s">
        <v>2877</v>
      </c>
      <c r="B2" s="1190" t="s">
        <v>3267</v>
      </c>
      <c r="C2" s="1191" t="s">
        <v>2683</v>
      </c>
      <c r="D2" s="1191" t="s">
        <v>3453</v>
      </c>
      <c r="E2" s="1191" t="s">
        <v>3454</v>
      </c>
      <c r="F2" s="1191" t="s">
        <v>3561</v>
      </c>
      <c r="G2" s="1200" t="s">
        <v>3562</v>
      </c>
      <c r="H2" s="1190" t="s">
        <v>19</v>
      </c>
    </row>
    <row r="3" spans="1:8" ht="15">
      <c r="A3" s="1694" t="s">
        <v>1675</v>
      </c>
      <c r="B3" s="1192" t="s">
        <v>3438</v>
      </c>
      <c r="C3" s="1202" t="s">
        <v>1857</v>
      </c>
      <c r="D3" s="1194">
        <v>1</v>
      </c>
      <c r="E3" s="1194">
        <v>2</v>
      </c>
      <c r="F3" s="1194">
        <f>D3-E3</f>
        <v>-1</v>
      </c>
      <c r="G3" s="1195"/>
      <c r="H3" s="1196" t="s">
        <v>3444</v>
      </c>
    </row>
    <row r="4" spans="1:8" ht="15">
      <c r="A4" s="1694"/>
      <c r="B4" s="1192" t="s">
        <v>3439</v>
      </c>
      <c r="C4" s="1202" t="s">
        <v>3455</v>
      </c>
      <c r="D4" s="1194"/>
      <c r="E4" s="1194">
        <v>0</v>
      </c>
      <c r="F4" s="1194">
        <f t="shared" ref="F4:F44" si="0">D4-E4</f>
        <v>0</v>
      </c>
      <c r="G4" s="1195"/>
      <c r="H4" s="1203"/>
    </row>
    <row r="5" spans="1:8" ht="15">
      <c r="A5" s="1694"/>
      <c r="B5" s="1192" t="s">
        <v>3441</v>
      </c>
      <c r="C5" s="1202" t="s">
        <v>3455</v>
      </c>
      <c r="D5" s="1194"/>
      <c r="E5" s="1194">
        <v>2</v>
      </c>
      <c r="F5" s="1194">
        <f t="shared" si="0"/>
        <v>-2</v>
      </c>
      <c r="G5" s="1195"/>
      <c r="H5" s="1196" t="s">
        <v>3444</v>
      </c>
    </row>
    <row r="6" spans="1:8" ht="15">
      <c r="A6" s="1694"/>
      <c r="B6" s="1192" t="s">
        <v>3442</v>
      </c>
      <c r="C6" s="1202" t="s">
        <v>3455</v>
      </c>
      <c r="D6" s="1194"/>
      <c r="E6" s="1194">
        <v>0</v>
      </c>
      <c r="F6" s="1194">
        <f t="shared" si="0"/>
        <v>0</v>
      </c>
      <c r="G6" s="1195"/>
      <c r="H6" s="1196"/>
    </row>
    <row r="7" spans="1:8" ht="15">
      <c r="A7" s="1694"/>
      <c r="B7" s="1192" t="s">
        <v>3443</v>
      </c>
      <c r="C7" s="1202" t="s">
        <v>3455</v>
      </c>
      <c r="D7" s="1194"/>
      <c r="E7" s="1194">
        <v>0</v>
      </c>
      <c r="F7" s="1194">
        <f t="shared" si="0"/>
        <v>0</v>
      </c>
      <c r="G7" s="1195"/>
      <c r="H7" s="1197"/>
    </row>
    <row r="8" spans="1:8" ht="15">
      <c r="A8" s="1694" t="s">
        <v>2397</v>
      </c>
      <c r="B8" s="1192" t="s">
        <v>3438</v>
      </c>
      <c r="C8" s="1202" t="s">
        <v>1857</v>
      </c>
      <c r="D8" s="1194">
        <v>33.5</v>
      </c>
      <c r="E8" s="1194">
        <v>31</v>
      </c>
      <c r="F8" s="1194">
        <f t="shared" si="0"/>
        <v>2.5</v>
      </c>
      <c r="G8" s="1195">
        <v>2</v>
      </c>
      <c r="H8" s="1196"/>
    </row>
    <row r="9" spans="1:8" ht="15">
      <c r="A9" s="1694"/>
      <c r="B9" s="1192" t="s">
        <v>3439</v>
      </c>
      <c r="C9" s="1202" t="s">
        <v>3455</v>
      </c>
      <c r="D9" s="1194">
        <v>6</v>
      </c>
      <c r="E9" s="1194">
        <v>6</v>
      </c>
      <c r="F9" s="1194">
        <f t="shared" si="0"/>
        <v>0</v>
      </c>
      <c r="G9" s="1195"/>
      <c r="H9" s="1197"/>
    </row>
    <row r="10" spans="1:8" ht="15">
      <c r="A10" s="1694"/>
      <c r="B10" s="1192" t="s">
        <v>3441</v>
      </c>
      <c r="C10" s="1202" t="s">
        <v>3455</v>
      </c>
      <c r="D10" s="1194">
        <v>16</v>
      </c>
      <c r="E10" s="1194">
        <v>15</v>
      </c>
      <c r="F10" s="1194">
        <f t="shared" si="0"/>
        <v>1</v>
      </c>
      <c r="G10" s="1195">
        <v>1</v>
      </c>
      <c r="H10" s="1196"/>
    </row>
    <row r="11" spans="1:8" ht="15">
      <c r="A11" s="1694"/>
      <c r="B11" s="1192" t="s">
        <v>3442</v>
      </c>
      <c r="C11" s="1202" t="s">
        <v>3455</v>
      </c>
      <c r="D11" s="1194">
        <v>4</v>
      </c>
      <c r="E11" s="1194">
        <v>4</v>
      </c>
      <c r="F11" s="1194">
        <f t="shared" si="0"/>
        <v>0</v>
      </c>
      <c r="G11" s="1195"/>
      <c r="H11" s="1196"/>
    </row>
    <row r="12" spans="1:8" ht="15">
      <c r="A12" s="1694"/>
      <c r="B12" s="1192" t="s">
        <v>3445</v>
      </c>
      <c r="C12" s="1202" t="s">
        <v>3455</v>
      </c>
      <c r="D12" s="1194">
        <v>8</v>
      </c>
      <c r="E12" s="1194">
        <v>8</v>
      </c>
      <c r="F12" s="1194">
        <f t="shared" si="0"/>
        <v>0</v>
      </c>
      <c r="G12" s="1195"/>
      <c r="H12" s="1197"/>
    </row>
    <row r="13" spans="1:8" ht="15">
      <c r="A13" s="1694"/>
      <c r="B13" s="1192" t="s">
        <v>3448</v>
      </c>
      <c r="C13" s="1202" t="s">
        <v>3455</v>
      </c>
      <c r="D13" s="1194">
        <v>1</v>
      </c>
      <c r="E13" s="1194">
        <v>0</v>
      </c>
      <c r="F13" s="1194">
        <f t="shared" si="0"/>
        <v>1</v>
      </c>
      <c r="G13" s="1195">
        <v>1</v>
      </c>
      <c r="H13" s="1203"/>
    </row>
    <row r="14" spans="1:8" ht="15">
      <c r="A14" s="1694"/>
      <c r="B14" s="1192" t="s">
        <v>3456</v>
      </c>
      <c r="C14" s="1202" t="s">
        <v>3455</v>
      </c>
      <c r="D14" s="1194">
        <v>1</v>
      </c>
      <c r="E14" s="1194">
        <v>0</v>
      </c>
      <c r="F14" s="1194">
        <f t="shared" si="0"/>
        <v>1</v>
      </c>
      <c r="G14" s="1195">
        <v>1</v>
      </c>
      <c r="H14" s="1203"/>
    </row>
    <row r="15" spans="1:8" ht="15">
      <c r="A15" s="1694"/>
      <c r="B15" s="1192" t="s">
        <v>3457</v>
      </c>
      <c r="C15" s="1202" t="s">
        <v>3455</v>
      </c>
      <c r="D15" s="1194">
        <v>2</v>
      </c>
      <c r="E15" s="1194">
        <v>0</v>
      </c>
      <c r="F15" s="1194">
        <f t="shared" si="0"/>
        <v>2</v>
      </c>
      <c r="G15" s="1195">
        <v>2</v>
      </c>
      <c r="H15" s="1203"/>
    </row>
    <row r="16" spans="1:8" ht="15">
      <c r="A16" s="1694"/>
      <c r="B16" s="1192" t="s">
        <v>3458</v>
      </c>
      <c r="C16" s="1202" t="s">
        <v>3455</v>
      </c>
      <c r="D16" s="1194">
        <v>1</v>
      </c>
      <c r="E16" s="1194">
        <v>0</v>
      </c>
      <c r="F16" s="1194">
        <f t="shared" si="0"/>
        <v>1</v>
      </c>
      <c r="G16" s="1195">
        <v>1</v>
      </c>
      <c r="H16" s="1203"/>
    </row>
    <row r="17" spans="1:8" ht="15">
      <c r="A17" s="1694" t="s">
        <v>2398</v>
      </c>
      <c r="B17" s="1192" t="s">
        <v>3438</v>
      </c>
      <c r="C17" s="1202" t="s">
        <v>1857</v>
      </c>
      <c r="D17" s="1194">
        <f>133/4</f>
        <v>33.25</v>
      </c>
      <c r="E17" s="1194">
        <v>31</v>
      </c>
      <c r="F17" s="1194">
        <f t="shared" si="0"/>
        <v>2.25</v>
      </c>
      <c r="G17" s="1195">
        <v>2</v>
      </c>
      <c r="H17" s="1196"/>
    </row>
    <row r="18" spans="1:8" ht="15">
      <c r="A18" s="1694"/>
      <c r="B18" s="1192" t="s">
        <v>3439</v>
      </c>
      <c r="C18" s="1202" t="s">
        <v>3455</v>
      </c>
      <c r="D18" s="1194">
        <v>7</v>
      </c>
      <c r="E18" s="1194">
        <v>7</v>
      </c>
      <c r="F18" s="1194">
        <f t="shared" si="0"/>
        <v>0</v>
      </c>
      <c r="G18" s="1195"/>
      <c r="H18" s="1196"/>
    </row>
    <row r="19" spans="1:8" ht="15">
      <c r="A19" s="1694"/>
      <c r="B19" s="1192" t="s">
        <v>3441</v>
      </c>
      <c r="C19" s="1202" t="s">
        <v>3455</v>
      </c>
      <c r="D19" s="1194">
        <v>4</v>
      </c>
      <c r="E19" s="1194">
        <v>4</v>
      </c>
      <c r="F19" s="1194">
        <f t="shared" si="0"/>
        <v>0</v>
      </c>
      <c r="G19" s="1195"/>
      <c r="H19" s="1196"/>
    </row>
    <row r="20" spans="1:8" ht="15">
      <c r="A20" s="1694"/>
      <c r="B20" s="1192" t="s">
        <v>3442</v>
      </c>
      <c r="C20" s="1202" t="s">
        <v>3455</v>
      </c>
      <c r="D20" s="1194">
        <v>8</v>
      </c>
      <c r="E20" s="1194">
        <v>7</v>
      </c>
      <c r="F20" s="1194">
        <f t="shared" si="0"/>
        <v>1</v>
      </c>
      <c r="G20" s="1195">
        <v>1</v>
      </c>
      <c r="H20" s="1196"/>
    </row>
    <row r="21" spans="1:8" ht="15">
      <c r="A21" s="1694"/>
      <c r="B21" s="1192" t="s">
        <v>3443</v>
      </c>
      <c r="C21" s="1202" t="s">
        <v>3455</v>
      </c>
      <c r="D21" s="1194"/>
      <c r="E21" s="1194">
        <v>0</v>
      </c>
      <c r="F21" s="1194">
        <f t="shared" si="0"/>
        <v>0</v>
      </c>
      <c r="G21" s="1195"/>
      <c r="H21" s="1196"/>
    </row>
    <row r="22" spans="1:8" ht="15">
      <c r="A22" s="1694"/>
      <c r="B22" s="1192" t="s">
        <v>3445</v>
      </c>
      <c r="C22" s="1202" t="s">
        <v>3455</v>
      </c>
      <c r="D22" s="1194">
        <v>8</v>
      </c>
      <c r="E22" s="1194">
        <v>8</v>
      </c>
      <c r="F22" s="1194">
        <f t="shared" si="0"/>
        <v>0</v>
      </c>
      <c r="G22" s="1195"/>
      <c r="H22" s="1197"/>
    </row>
    <row r="23" spans="1:8" ht="15">
      <c r="A23" s="1694"/>
      <c r="B23" s="1192" t="s">
        <v>3447</v>
      </c>
      <c r="C23" s="1202" t="s">
        <v>3455</v>
      </c>
      <c r="D23" s="1194">
        <v>1</v>
      </c>
      <c r="E23" s="1194">
        <v>0</v>
      </c>
      <c r="F23" s="1194">
        <f t="shared" si="0"/>
        <v>1</v>
      </c>
      <c r="G23" s="1195">
        <v>1</v>
      </c>
      <c r="H23" s="1203"/>
    </row>
    <row r="24" spans="1:8" ht="15">
      <c r="A24" s="1694"/>
      <c r="B24" s="1192" t="s">
        <v>3448</v>
      </c>
      <c r="C24" s="1202" t="s">
        <v>3455</v>
      </c>
      <c r="D24" s="1194">
        <v>2</v>
      </c>
      <c r="E24" s="1194">
        <v>2</v>
      </c>
      <c r="F24" s="1194">
        <f t="shared" si="0"/>
        <v>0</v>
      </c>
      <c r="G24" s="1195"/>
      <c r="H24" s="1197"/>
    </row>
    <row r="25" spans="1:8" ht="15">
      <c r="A25" s="1694"/>
      <c r="B25" s="1192" t="s">
        <v>3457</v>
      </c>
      <c r="C25" s="1202" t="s">
        <v>3455</v>
      </c>
      <c r="D25" s="1194">
        <v>1</v>
      </c>
      <c r="E25" s="1194">
        <v>0</v>
      </c>
      <c r="F25" s="1194">
        <f t="shared" si="0"/>
        <v>1</v>
      </c>
      <c r="G25" s="1195">
        <v>1</v>
      </c>
      <c r="H25" s="1203"/>
    </row>
    <row r="26" spans="1:8" ht="15">
      <c r="A26" s="1694"/>
      <c r="B26" s="1192" t="s">
        <v>3459</v>
      </c>
      <c r="C26" s="1202" t="s">
        <v>3455</v>
      </c>
      <c r="D26" s="1194">
        <v>2</v>
      </c>
      <c r="E26" s="1194">
        <v>0</v>
      </c>
      <c r="F26" s="1194">
        <f t="shared" si="0"/>
        <v>2</v>
      </c>
      <c r="G26" s="1195">
        <v>2</v>
      </c>
      <c r="H26" s="1203"/>
    </row>
    <row r="27" spans="1:8" ht="15">
      <c r="A27" s="1695" t="s">
        <v>2425</v>
      </c>
      <c r="B27" s="1192" t="s">
        <v>3438</v>
      </c>
      <c r="C27" s="1202" t="s">
        <v>1857</v>
      </c>
      <c r="D27" s="1194">
        <v>33.5</v>
      </c>
      <c r="E27" s="1194">
        <v>28</v>
      </c>
      <c r="F27" s="1194">
        <f t="shared" si="0"/>
        <v>5.5</v>
      </c>
      <c r="G27" s="1195">
        <v>3</v>
      </c>
      <c r="H27" s="1196"/>
    </row>
    <row r="28" spans="1:8" ht="15">
      <c r="A28" s="1696"/>
      <c r="B28" s="1192" t="s">
        <v>3439</v>
      </c>
      <c r="C28" s="1202" t="s">
        <v>3455</v>
      </c>
      <c r="D28" s="1194">
        <v>4</v>
      </c>
      <c r="E28" s="1194">
        <v>5</v>
      </c>
      <c r="F28" s="1194">
        <f t="shared" si="0"/>
        <v>-1</v>
      </c>
      <c r="G28" s="1195"/>
      <c r="H28" s="1196" t="s">
        <v>3444</v>
      </c>
    </row>
    <row r="29" spans="1:8" ht="15">
      <c r="A29" s="1696"/>
      <c r="B29" s="1192" t="s">
        <v>3441</v>
      </c>
      <c r="C29" s="1202" t="s">
        <v>3455</v>
      </c>
      <c r="D29" s="1194">
        <v>6</v>
      </c>
      <c r="E29" s="1194">
        <v>5</v>
      </c>
      <c r="F29" s="1194">
        <f t="shared" si="0"/>
        <v>1</v>
      </c>
      <c r="G29" s="1195"/>
      <c r="H29" s="1196"/>
    </row>
    <row r="30" spans="1:8" ht="15">
      <c r="A30" s="1696"/>
      <c r="B30" s="1192" t="s">
        <v>3442</v>
      </c>
      <c r="C30" s="1202" t="s">
        <v>3455</v>
      </c>
      <c r="D30" s="1194">
        <v>10</v>
      </c>
      <c r="E30" s="1194">
        <v>9</v>
      </c>
      <c r="F30" s="1194">
        <f t="shared" si="0"/>
        <v>1</v>
      </c>
      <c r="G30" s="1195">
        <v>1</v>
      </c>
      <c r="H30" s="1196"/>
    </row>
    <row r="31" spans="1:8" ht="15">
      <c r="A31" s="1696"/>
      <c r="B31" s="1192" t="s">
        <v>3445</v>
      </c>
      <c r="C31" s="1202" t="s">
        <v>3455</v>
      </c>
      <c r="D31" s="1194">
        <v>5</v>
      </c>
      <c r="E31" s="1194">
        <v>5</v>
      </c>
      <c r="F31" s="1194">
        <f t="shared" si="0"/>
        <v>0</v>
      </c>
      <c r="G31" s="1195"/>
      <c r="H31" s="1196"/>
    </row>
    <row r="32" spans="1:8" ht="15">
      <c r="A32" s="1696"/>
      <c r="B32" s="1192" t="s">
        <v>3447</v>
      </c>
      <c r="C32" s="1202" t="s">
        <v>3455</v>
      </c>
      <c r="D32" s="1194">
        <v>3</v>
      </c>
      <c r="E32" s="1194">
        <v>3</v>
      </c>
      <c r="F32" s="1194">
        <f t="shared" si="0"/>
        <v>0</v>
      </c>
      <c r="G32" s="1195"/>
      <c r="H32" s="1197"/>
    </row>
    <row r="33" spans="1:8" ht="15">
      <c r="A33" s="1696"/>
      <c r="B33" s="1192" t="s">
        <v>3448</v>
      </c>
      <c r="C33" s="1202" t="s">
        <v>3455</v>
      </c>
      <c r="D33" s="1194">
        <v>1</v>
      </c>
      <c r="E33" s="1194">
        <v>1</v>
      </c>
      <c r="F33" s="1194">
        <f t="shared" si="0"/>
        <v>0</v>
      </c>
      <c r="G33" s="1195"/>
      <c r="H33" s="1197"/>
    </row>
    <row r="34" spans="1:8" ht="15">
      <c r="A34" s="1696"/>
      <c r="B34" s="1192" t="s">
        <v>3456</v>
      </c>
      <c r="C34" s="1202" t="s">
        <v>3455</v>
      </c>
      <c r="D34" s="1194">
        <v>6</v>
      </c>
      <c r="E34" s="1194">
        <v>6</v>
      </c>
      <c r="F34" s="1194">
        <f t="shared" si="0"/>
        <v>0</v>
      </c>
      <c r="G34" s="1195"/>
      <c r="H34" s="1197"/>
    </row>
    <row r="35" spans="1:8" ht="15">
      <c r="A35" s="1696"/>
      <c r="B35" s="1192" t="s">
        <v>3474</v>
      </c>
      <c r="C35" s="1202" t="s">
        <v>3455</v>
      </c>
      <c r="D35" s="1194">
        <v>1</v>
      </c>
      <c r="E35" s="1194"/>
      <c r="F35" s="1194"/>
      <c r="G35" s="1195"/>
      <c r="H35" s="1197"/>
    </row>
    <row r="36" spans="1:8" ht="15">
      <c r="A36" s="1696"/>
      <c r="B36" s="1192" t="s">
        <v>3460</v>
      </c>
      <c r="C36" s="1202" t="s">
        <v>3455</v>
      </c>
      <c r="D36" s="1194">
        <v>1</v>
      </c>
      <c r="E36" s="1194">
        <v>1</v>
      </c>
      <c r="F36" s="1194">
        <f t="shared" si="0"/>
        <v>0</v>
      </c>
      <c r="G36" s="1195"/>
      <c r="H36" s="1197"/>
    </row>
    <row r="37" spans="1:8" ht="15">
      <c r="A37" s="1696"/>
      <c r="B37" s="1192" t="s">
        <v>3446</v>
      </c>
      <c r="C37" s="1202" t="s">
        <v>1857</v>
      </c>
      <c r="D37" s="1194">
        <v>8.5</v>
      </c>
      <c r="E37" s="1194">
        <v>5</v>
      </c>
      <c r="F37" s="1194">
        <f t="shared" si="0"/>
        <v>3.5</v>
      </c>
      <c r="G37" s="1195">
        <v>1</v>
      </c>
      <c r="H37" s="1196"/>
    </row>
    <row r="38" spans="1:8" ht="15">
      <c r="A38" s="1696"/>
      <c r="B38" s="1192" t="s">
        <v>3439</v>
      </c>
      <c r="C38" s="1202" t="s">
        <v>3455</v>
      </c>
      <c r="D38" s="1194">
        <v>1</v>
      </c>
      <c r="E38" s="1194">
        <v>1</v>
      </c>
      <c r="F38" s="1194">
        <f t="shared" si="0"/>
        <v>0</v>
      </c>
      <c r="G38" s="1195"/>
      <c r="H38" s="1196"/>
    </row>
    <row r="39" spans="1:8" ht="15">
      <c r="A39" s="1696"/>
      <c r="B39" s="1192" t="s">
        <v>3441</v>
      </c>
      <c r="C39" s="1202" t="s">
        <v>3455</v>
      </c>
      <c r="D39" s="1194">
        <v>1</v>
      </c>
      <c r="E39" s="1194">
        <v>1</v>
      </c>
      <c r="F39" s="1194">
        <f t="shared" si="0"/>
        <v>0</v>
      </c>
      <c r="G39" s="1195"/>
      <c r="H39" s="1196"/>
    </row>
    <row r="40" spans="1:8" ht="15">
      <c r="A40" s="1696"/>
      <c r="B40" s="1192" t="s">
        <v>3442</v>
      </c>
      <c r="C40" s="1202" t="s">
        <v>3455</v>
      </c>
      <c r="D40" s="1194">
        <v>7</v>
      </c>
      <c r="E40" s="1194">
        <v>5</v>
      </c>
      <c r="F40" s="1194">
        <f t="shared" si="0"/>
        <v>2</v>
      </c>
      <c r="G40" s="1195">
        <v>2</v>
      </c>
      <c r="H40" s="1196"/>
    </row>
    <row r="41" spans="1:8" ht="15">
      <c r="A41" s="1696"/>
      <c r="B41" s="1192" t="s">
        <v>3447</v>
      </c>
      <c r="C41" s="1202" t="s">
        <v>3455</v>
      </c>
      <c r="D41" s="1194">
        <v>8</v>
      </c>
      <c r="E41" s="1194">
        <v>3</v>
      </c>
      <c r="F41" s="1194">
        <f t="shared" si="0"/>
        <v>5</v>
      </c>
      <c r="G41" s="1195"/>
      <c r="H41" s="1196"/>
    </row>
    <row r="42" spans="1:8" ht="15">
      <c r="A42" s="1696"/>
      <c r="B42" s="1192" t="s">
        <v>3445</v>
      </c>
      <c r="C42" s="1202" t="s">
        <v>3455</v>
      </c>
      <c r="D42" s="1194">
        <v>3</v>
      </c>
      <c r="E42" s="1194">
        <v>2</v>
      </c>
      <c r="F42" s="1194">
        <f t="shared" si="0"/>
        <v>1</v>
      </c>
      <c r="G42" s="1195">
        <v>1</v>
      </c>
      <c r="H42" s="1197"/>
    </row>
    <row r="43" spans="1:8" ht="15">
      <c r="A43" s="1696"/>
      <c r="B43" s="1192" t="s">
        <v>3448</v>
      </c>
      <c r="C43" s="1202" t="s">
        <v>3455</v>
      </c>
      <c r="D43" s="1194">
        <v>4</v>
      </c>
      <c r="E43" s="1194">
        <v>2</v>
      </c>
      <c r="F43" s="1194">
        <f t="shared" si="0"/>
        <v>2</v>
      </c>
      <c r="G43" s="1195"/>
      <c r="H43" s="1197"/>
    </row>
    <row r="44" spans="1:8" ht="15">
      <c r="A44" s="1697"/>
      <c r="B44" s="1192" t="s">
        <v>3474</v>
      </c>
      <c r="C44" s="1202" t="s">
        <v>3455</v>
      </c>
      <c r="D44" s="1194">
        <v>1</v>
      </c>
      <c r="E44" s="1194"/>
      <c r="F44" s="1194">
        <f t="shared" si="0"/>
        <v>1</v>
      </c>
      <c r="G44" s="1195"/>
      <c r="H44" s="1197"/>
    </row>
    <row r="45" spans="1:8" ht="15">
      <c r="A45" s="1698" t="s">
        <v>994</v>
      </c>
      <c r="B45" s="1698"/>
      <c r="C45" s="1265" t="s">
        <v>1857</v>
      </c>
      <c r="D45" s="1265">
        <f>D3+D8+D17+D27+D37+((D4)/4)+(D29/4)+(D39/4)+(D9/4)+(D18/4)+(D28/4)+(D38/4)</f>
        <v>116</v>
      </c>
      <c r="E45" s="1265">
        <f>E3+E8+E17+E27+E37+((E4)/4)+(E29/4)+(E39/4)+(E9/4)+(E18/4)+(E28/4)+(E38/4)</f>
        <v>103.25</v>
      </c>
      <c r="F45" s="1265">
        <f>F3+F8+F17+F27+F37+((F4)/4)+(F29/4)+(F39/4)+(F9/4)+(F18/4)+(F28/4)+(F38/4)</f>
        <v>12.75</v>
      </c>
      <c r="G45" s="1265">
        <f>G3+G8+G17+G27+G37+((G4)/4)+(G29/4)+(G39/4)+(G9/4)+(G18/4)+(G28/4)+(G38/4)</f>
        <v>8</v>
      </c>
      <c r="H45" s="1265"/>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89" customWidth="1"/>
    <col min="2" max="2" width="16.5703125" style="1189" bestFit="1" customWidth="1"/>
    <col min="3" max="3" width="14.42578125" style="1189" bestFit="1" customWidth="1"/>
    <col min="4" max="5" width="14.42578125" style="1189" customWidth="1"/>
    <col min="6" max="6" width="15" style="1189" customWidth="1"/>
    <col min="7" max="7" width="13.85546875" style="1189" customWidth="1"/>
    <col min="8" max="10" width="11.140625" style="1189" customWidth="1"/>
    <col min="11" max="11" width="8.140625" style="1189" customWidth="1"/>
    <col min="12" max="12" width="37.85546875" style="1189" bestFit="1" customWidth="1"/>
    <col min="13" max="256" width="8.7109375" style="1189"/>
    <col min="257" max="257" width="8.42578125" style="1189" customWidth="1"/>
    <col min="258" max="258" width="16.5703125" style="1189" bestFit="1" customWidth="1"/>
    <col min="259" max="259" width="14.42578125" style="1189" bestFit="1" customWidth="1"/>
    <col min="260" max="261" width="14.42578125" style="1189" customWidth="1"/>
    <col min="262" max="262" width="15" style="1189" customWidth="1"/>
    <col min="263" max="263" width="13.85546875" style="1189" customWidth="1"/>
    <col min="264" max="266" width="11.140625" style="1189" customWidth="1"/>
    <col min="267" max="267" width="8.140625" style="1189" customWidth="1"/>
    <col min="268" max="268" width="37.85546875" style="1189" bestFit="1" customWidth="1"/>
    <col min="269" max="512" width="8.7109375" style="1189"/>
    <col min="513" max="513" width="8.42578125" style="1189" customWidth="1"/>
    <col min="514" max="514" width="16.5703125" style="1189" bestFit="1" customWidth="1"/>
    <col min="515" max="515" width="14.42578125" style="1189" bestFit="1" customWidth="1"/>
    <col min="516" max="517" width="14.42578125" style="1189" customWidth="1"/>
    <col min="518" max="518" width="15" style="1189" customWidth="1"/>
    <col min="519" max="519" width="13.85546875" style="1189" customWidth="1"/>
    <col min="520" max="522" width="11.140625" style="1189" customWidth="1"/>
    <col min="523" max="523" width="8.140625" style="1189" customWidth="1"/>
    <col min="524" max="524" width="37.85546875" style="1189" bestFit="1" customWidth="1"/>
    <col min="525" max="768" width="8.7109375" style="1189"/>
    <col min="769" max="769" width="8.42578125" style="1189" customWidth="1"/>
    <col min="770" max="770" width="16.5703125" style="1189" bestFit="1" customWidth="1"/>
    <col min="771" max="771" width="14.42578125" style="1189" bestFit="1" customWidth="1"/>
    <col min="772" max="773" width="14.42578125" style="1189" customWidth="1"/>
    <col min="774" max="774" width="15" style="1189" customWidth="1"/>
    <col min="775" max="775" width="13.85546875" style="1189" customWidth="1"/>
    <col min="776" max="778" width="11.140625" style="1189" customWidth="1"/>
    <col min="779" max="779" width="8.140625" style="1189" customWidth="1"/>
    <col min="780" max="780" width="37.85546875" style="1189" bestFit="1" customWidth="1"/>
    <col min="781" max="1024" width="8.7109375" style="1189"/>
    <col min="1025" max="1025" width="8.42578125" style="1189" customWidth="1"/>
    <col min="1026" max="1026" width="16.5703125" style="1189" bestFit="1" customWidth="1"/>
    <col min="1027" max="1027" width="14.42578125" style="1189" bestFit="1" customWidth="1"/>
    <col min="1028" max="1029" width="14.42578125" style="1189" customWidth="1"/>
    <col min="1030" max="1030" width="15" style="1189" customWidth="1"/>
    <col min="1031" max="1031" width="13.85546875" style="1189" customWidth="1"/>
    <col min="1032" max="1034" width="11.140625" style="1189" customWidth="1"/>
    <col min="1035" max="1035" width="8.140625" style="1189" customWidth="1"/>
    <col min="1036" max="1036" width="37.85546875" style="1189" bestFit="1" customWidth="1"/>
    <col min="1037" max="1280" width="8.7109375" style="1189"/>
    <col min="1281" max="1281" width="8.42578125" style="1189" customWidth="1"/>
    <col min="1282" max="1282" width="16.5703125" style="1189" bestFit="1" customWidth="1"/>
    <col min="1283" max="1283" width="14.42578125" style="1189" bestFit="1" customWidth="1"/>
    <col min="1284" max="1285" width="14.42578125" style="1189" customWidth="1"/>
    <col min="1286" max="1286" width="15" style="1189" customWidth="1"/>
    <col min="1287" max="1287" width="13.85546875" style="1189" customWidth="1"/>
    <col min="1288" max="1290" width="11.140625" style="1189" customWidth="1"/>
    <col min="1291" max="1291" width="8.140625" style="1189" customWidth="1"/>
    <col min="1292" max="1292" width="37.85546875" style="1189" bestFit="1" customWidth="1"/>
    <col min="1293" max="1536" width="8.7109375" style="1189"/>
    <col min="1537" max="1537" width="8.42578125" style="1189" customWidth="1"/>
    <col min="1538" max="1538" width="16.5703125" style="1189" bestFit="1" customWidth="1"/>
    <col min="1539" max="1539" width="14.42578125" style="1189" bestFit="1" customWidth="1"/>
    <col min="1540" max="1541" width="14.42578125" style="1189" customWidth="1"/>
    <col min="1542" max="1542" width="15" style="1189" customWidth="1"/>
    <col min="1543" max="1543" width="13.85546875" style="1189" customWidth="1"/>
    <col min="1544" max="1546" width="11.140625" style="1189" customWidth="1"/>
    <col min="1547" max="1547" width="8.140625" style="1189" customWidth="1"/>
    <col min="1548" max="1548" width="37.85546875" style="1189" bestFit="1" customWidth="1"/>
    <col min="1549" max="1792" width="8.7109375" style="1189"/>
    <col min="1793" max="1793" width="8.42578125" style="1189" customWidth="1"/>
    <col min="1794" max="1794" width="16.5703125" style="1189" bestFit="1" customWidth="1"/>
    <col min="1795" max="1795" width="14.42578125" style="1189" bestFit="1" customWidth="1"/>
    <col min="1796" max="1797" width="14.42578125" style="1189" customWidth="1"/>
    <col min="1798" max="1798" width="15" style="1189" customWidth="1"/>
    <col min="1799" max="1799" width="13.85546875" style="1189" customWidth="1"/>
    <col min="1800" max="1802" width="11.140625" style="1189" customWidth="1"/>
    <col min="1803" max="1803" width="8.140625" style="1189" customWidth="1"/>
    <col min="1804" max="1804" width="37.85546875" style="1189" bestFit="1" customWidth="1"/>
    <col min="1805" max="2048" width="8.7109375" style="1189"/>
    <col min="2049" max="2049" width="8.42578125" style="1189" customWidth="1"/>
    <col min="2050" max="2050" width="16.5703125" style="1189" bestFit="1" customWidth="1"/>
    <col min="2051" max="2051" width="14.42578125" style="1189" bestFit="1" customWidth="1"/>
    <col min="2052" max="2053" width="14.42578125" style="1189" customWidth="1"/>
    <col min="2054" max="2054" width="15" style="1189" customWidth="1"/>
    <col min="2055" max="2055" width="13.85546875" style="1189" customWidth="1"/>
    <col min="2056" max="2058" width="11.140625" style="1189" customWidth="1"/>
    <col min="2059" max="2059" width="8.140625" style="1189" customWidth="1"/>
    <col min="2060" max="2060" width="37.85546875" style="1189" bestFit="1" customWidth="1"/>
    <col min="2061" max="2304" width="8.7109375" style="1189"/>
    <col min="2305" max="2305" width="8.42578125" style="1189" customWidth="1"/>
    <col min="2306" max="2306" width="16.5703125" style="1189" bestFit="1" customWidth="1"/>
    <col min="2307" max="2307" width="14.42578125" style="1189" bestFit="1" customWidth="1"/>
    <col min="2308" max="2309" width="14.42578125" style="1189" customWidth="1"/>
    <col min="2310" max="2310" width="15" style="1189" customWidth="1"/>
    <col min="2311" max="2311" width="13.85546875" style="1189" customWidth="1"/>
    <col min="2312" max="2314" width="11.140625" style="1189" customWidth="1"/>
    <col min="2315" max="2315" width="8.140625" style="1189" customWidth="1"/>
    <col min="2316" max="2316" width="37.85546875" style="1189" bestFit="1" customWidth="1"/>
    <col min="2317" max="2560" width="8.7109375" style="1189"/>
    <col min="2561" max="2561" width="8.42578125" style="1189" customWidth="1"/>
    <col min="2562" max="2562" width="16.5703125" style="1189" bestFit="1" customWidth="1"/>
    <col min="2563" max="2563" width="14.42578125" style="1189" bestFit="1" customWidth="1"/>
    <col min="2564" max="2565" width="14.42578125" style="1189" customWidth="1"/>
    <col min="2566" max="2566" width="15" style="1189" customWidth="1"/>
    <col min="2567" max="2567" width="13.85546875" style="1189" customWidth="1"/>
    <col min="2568" max="2570" width="11.140625" style="1189" customWidth="1"/>
    <col min="2571" max="2571" width="8.140625" style="1189" customWidth="1"/>
    <col min="2572" max="2572" width="37.85546875" style="1189" bestFit="1" customWidth="1"/>
    <col min="2573" max="2816" width="8.7109375" style="1189"/>
    <col min="2817" max="2817" width="8.42578125" style="1189" customWidth="1"/>
    <col min="2818" max="2818" width="16.5703125" style="1189" bestFit="1" customWidth="1"/>
    <col min="2819" max="2819" width="14.42578125" style="1189" bestFit="1" customWidth="1"/>
    <col min="2820" max="2821" width="14.42578125" style="1189" customWidth="1"/>
    <col min="2822" max="2822" width="15" style="1189" customWidth="1"/>
    <col min="2823" max="2823" width="13.85546875" style="1189" customWidth="1"/>
    <col min="2824" max="2826" width="11.140625" style="1189" customWidth="1"/>
    <col min="2827" max="2827" width="8.140625" style="1189" customWidth="1"/>
    <col min="2828" max="2828" width="37.85546875" style="1189" bestFit="1" customWidth="1"/>
    <col min="2829" max="3072" width="8.7109375" style="1189"/>
    <col min="3073" max="3073" width="8.42578125" style="1189" customWidth="1"/>
    <col min="3074" max="3074" width="16.5703125" style="1189" bestFit="1" customWidth="1"/>
    <col min="3075" max="3075" width="14.42578125" style="1189" bestFit="1" customWidth="1"/>
    <col min="3076" max="3077" width="14.42578125" style="1189" customWidth="1"/>
    <col min="3078" max="3078" width="15" style="1189" customWidth="1"/>
    <col min="3079" max="3079" width="13.85546875" style="1189" customWidth="1"/>
    <col min="3080" max="3082" width="11.140625" style="1189" customWidth="1"/>
    <col min="3083" max="3083" width="8.140625" style="1189" customWidth="1"/>
    <col min="3084" max="3084" width="37.85546875" style="1189" bestFit="1" customWidth="1"/>
    <col min="3085" max="3328" width="8.7109375" style="1189"/>
    <col min="3329" max="3329" width="8.42578125" style="1189" customWidth="1"/>
    <col min="3330" max="3330" width="16.5703125" style="1189" bestFit="1" customWidth="1"/>
    <col min="3331" max="3331" width="14.42578125" style="1189" bestFit="1" customWidth="1"/>
    <col min="3332" max="3333" width="14.42578125" style="1189" customWidth="1"/>
    <col min="3334" max="3334" width="15" style="1189" customWidth="1"/>
    <col min="3335" max="3335" width="13.85546875" style="1189" customWidth="1"/>
    <col min="3336" max="3338" width="11.140625" style="1189" customWidth="1"/>
    <col min="3339" max="3339" width="8.140625" style="1189" customWidth="1"/>
    <col min="3340" max="3340" width="37.85546875" style="1189" bestFit="1" customWidth="1"/>
    <col min="3341" max="3584" width="8.7109375" style="1189"/>
    <col min="3585" max="3585" width="8.42578125" style="1189" customWidth="1"/>
    <col min="3586" max="3586" width="16.5703125" style="1189" bestFit="1" customWidth="1"/>
    <col min="3587" max="3587" width="14.42578125" style="1189" bestFit="1" customWidth="1"/>
    <col min="3588" max="3589" width="14.42578125" style="1189" customWidth="1"/>
    <col min="3590" max="3590" width="15" style="1189" customWidth="1"/>
    <col min="3591" max="3591" width="13.85546875" style="1189" customWidth="1"/>
    <col min="3592" max="3594" width="11.140625" style="1189" customWidth="1"/>
    <col min="3595" max="3595" width="8.140625" style="1189" customWidth="1"/>
    <col min="3596" max="3596" width="37.85546875" style="1189" bestFit="1" customWidth="1"/>
    <col min="3597" max="3840" width="8.7109375" style="1189"/>
    <col min="3841" max="3841" width="8.42578125" style="1189" customWidth="1"/>
    <col min="3842" max="3842" width="16.5703125" style="1189" bestFit="1" customWidth="1"/>
    <col min="3843" max="3843" width="14.42578125" style="1189" bestFit="1" customWidth="1"/>
    <col min="3844" max="3845" width="14.42578125" style="1189" customWidth="1"/>
    <col min="3846" max="3846" width="15" style="1189" customWidth="1"/>
    <col min="3847" max="3847" width="13.85546875" style="1189" customWidth="1"/>
    <col min="3848" max="3850" width="11.140625" style="1189" customWidth="1"/>
    <col min="3851" max="3851" width="8.140625" style="1189" customWidth="1"/>
    <col min="3852" max="3852" width="37.85546875" style="1189" bestFit="1" customWidth="1"/>
    <col min="3853" max="4096" width="8.7109375" style="1189"/>
    <col min="4097" max="4097" width="8.42578125" style="1189" customWidth="1"/>
    <col min="4098" max="4098" width="16.5703125" style="1189" bestFit="1" customWidth="1"/>
    <col min="4099" max="4099" width="14.42578125" style="1189" bestFit="1" customWidth="1"/>
    <col min="4100" max="4101" width="14.42578125" style="1189" customWidth="1"/>
    <col min="4102" max="4102" width="15" style="1189" customWidth="1"/>
    <col min="4103" max="4103" width="13.85546875" style="1189" customWidth="1"/>
    <col min="4104" max="4106" width="11.140625" style="1189" customWidth="1"/>
    <col min="4107" max="4107" width="8.140625" style="1189" customWidth="1"/>
    <col min="4108" max="4108" width="37.85546875" style="1189" bestFit="1" customWidth="1"/>
    <col min="4109" max="4352" width="8.7109375" style="1189"/>
    <col min="4353" max="4353" width="8.42578125" style="1189" customWidth="1"/>
    <col min="4354" max="4354" width="16.5703125" style="1189" bestFit="1" customWidth="1"/>
    <col min="4355" max="4355" width="14.42578125" style="1189" bestFit="1" customWidth="1"/>
    <col min="4356" max="4357" width="14.42578125" style="1189" customWidth="1"/>
    <col min="4358" max="4358" width="15" style="1189" customWidth="1"/>
    <col min="4359" max="4359" width="13.85546875" style="1189" customWidth="1"/>
    <col min="4360" max="4362" width="11.140625" style="1189" customWidth="1"/>
    <col min="4363" max="4363" width="8.140625" style="1189" customWidth="1"/>
    <col min="4364" max="4364" width="37.85546875" style="1189" bestFit="1" customWidth="1"/>
    <col min="4365" max="4608" width="8.7109375" style="1189"/>
    <col min="4609" max="4609" width="8.42578125" style="1189" customWidth="1"/>
    <col min="4610" max="4610" width="16.5703125" style="1189" bestFit="1" customWidth="1"/>
    <col min="4611" max="4611" width="14.42578125" style="1189" bestFit="1" customWidth="1"/>
    <col min="4612" max="4613" width="14.42578125" style="1189" customWidth="1"/>
    <col min="4614" max="4614" width="15" style="1189" customWidth="1"/>
    <col min="4615" max="4615" width="13.85546875" style="1189" customWidth="1"/>
    <col min="4616" max="4618" width="11.140625" style="1189" customWidth="1"/>
    <col min="4619" max="4619" width="8.140625" style="1189" customWidth="1"/>
    <col min="4620" max="4620" width="37.85546875" style="1189" bestFit="1" customWidth="1"/>
    <col min="4621" max="4864" width="8.7109375" style="1189"/>
    <col min="4865" max="4865" width="8.42578125" style="1189" customWidth="1"/>
    <col min="4866" max="4866" width="16.5703125" style="1189" bestFit="1" customWidth="1"/>
    <col min="4867" max="4867" width="14.42578125" style="1189" bestFit="1" customWidth="1"/>
    <col min="4868" max="4869" width="14.42578125" style="1189" customWidth="1"/>
    <col min="4870" max="4870" width="15" style="1189" customWidth="1"/>
    <col min="4871" max="4871" width="13.85546875" style="1189" customWidth="1"/>
    <col min="4872" max="4874" width="11.140625" style="1189" customWidth="1"/>
    <col min="4875" max="4875" width="8.140625" style="1189" customWidth="1"/>
    <col min="4876" max="4876" width="37.85546875" style="1189" bestFit="1" customWidth="1"/>
    <col min="4877" max="5120" width="8.7109375" style="1189"/>
    <col min="5121" max="5121" width="8.42578125" style="1189" customWidth="1"/>
    <col min="5122" max="5122" width="16.5703125" style="1189" bestFit="1" customWidth="1"/>
    <col min="5123" max="5123" width="14.42578125" style="1189" bestFit="1" customWidth="1"/>
    <col min="5124" max="5125" width="14.42578125" style="1189" customWidth="1"/>
    <col min="5126" max="5126" width="15" style="1189" customWidth="1"/>
    <col min="5127" max="5127" width="13.85546875" style="1189" customWidth="1"/>
    <col min="5128" max="5130" width="11.140625" style="1189" customWidth="1"/>
    <col min="5131" max="5131" width="8.140625" style="1189" customWidth="1"/>
    <col min="5132" max="5132" width="37.85546875" style="1189" bestFit="1" customWidth="1"/>
    <col min="5133" max="5376" width="8.7109375" style="1189"/>
    <col min="5377" max="5377" width="8.42578125" style="1189" customWidth="1"/>
    <col min="5378" max="5378" width="16.5703125" style="1189" bestFit="1" customWidth="1"/>
    <col min="5379" max="5379" width="14.42578125" style="1189" bestFit="1" customWidth="1"/>
    <col min="5380" max="5381" width="14.42578125" style="1189" customWidth="1"/>
    <col min="5382" max="5382" width="15" style="1189" customWidth="1"/>
    <col min="5383" max="5383" width="13.85546875" style="1189" customWidth="1"/>
    <col min="5384" max="5386" width="11.140625" style="1189" customWidth="1"/>
    <col min="5387" max="5387" width="8.140625" style="1189" customWidth="1"/>
    <col min="5388" max="5388" width="37.85546875" style="1189" bestFit="1" customWidth="1"/>
    <col min="5389" max="5632" width="8.7109375" style="1189"/>
    <col min="5633" max="5633" width="8.42578125" style="1189" customWidth="1"/>
    <col min="5634" max="5634" width="16.5703125" style="1189" bestFit="1" customWidth="1"/>
    <col min="5635" max="5635" width="14.42578125" style="1189" bestFit="1" customWidth="1"/>
    <col min="5636" max="5637" width="14.42578125" style="1189" customWidth="1"/>
    <col min="5638" max="5638" width="15" style="1189" customWidth="1"/>
    <col min="5639" max="5639" width="13.85546875" style="1189" customWidth="1"/>
    <col min="5640" max="5642" width="11.140625" style="1189" customWidth="1"/>
    <col min="5643" max="5643" width="8.140625" style="1189" customWidth="1"/>
    <col min="5644" max="5644" width="37.85546875" style="1189" bestFit="1" customWidth="1"/>
    <col min="5645" max="5888" width="8.7109375" style="1189"/>
    <col min="5889" max="5889" width="8.42578125" style="1189" customWidth="1"/>
    <col min="5890" max="5890" width="16.5703125" style="1189" bestFit="1" customWidth="1"/>
    <col min="5891" max="5891" width="14.42578125" style="1189" bestFit="1" customWidth="1"/>
    <col min="5892" max="5893" width="14.42578125" style="1189" customWidth="1"/>
    <col min="5894" max="5894" width="15" style="1189" customWidth="1"/>
    <col min="5895" max="5895" width="13.85546875" style="1189" customWidth="1"/>
    <col min="5896" max="5898" width="11.140625" style="1189" customWidth="1"/>
    <col min="5899" max="5899" width="8.140625" style="1189" customWidth="1"/>
    <col min="5900" max="5900" width="37.85546875" style="1189" bestFit="1" customWidth="1"/>
    <col min="5901" max="6144" width="8.7109375" style="1189"/>
    <col min="6145" max="6145" width="8.42578125" style="1189" customWidth="1"/>
    <col min="6146" max="6146" width="16.5703125" style="1189" bestFit="1" customWidth="1"/>
    <col min="6147" max="6147" width="14.42578125" style="1189" bestFit="1" customWidth="1"/>
    <col min="6148" max="6149" width="14.42578125" style="1189" customWidth="1"/>
    <col min="6150" max="6150" width="15" style="1189" customWidth="1"/>
    <col min="6151" max="6151" width="13.85546875" style="1189" customWidth="1"/>
    <col min="6152" max="6154" width="11.140625" style="1189" customWidth="1"/>
    <col min="6155" max="6155" width="8.140625" style="1189" customWidth="1"/>
    <col min="6156" max="6156" width="37.85546875" style="1189" bestFit="1" customWidth="1"/>
    <col min="6157" max="6400" width="8.7109375" style="1189"/>
    <col min="6401" max="6401" width="8.42578125" style="1189" customWidth="1"/>
    <col min="6402" max="6402" width="16.5703125" style="1189" bestFit="1" customWidth="1"/>
    <col min="6403" max="6403" width="14.42578125" style="1189" bestFit="1" customWidth="1"/>
    <col min="6404" max="6405" width="14.42578125" style="1189" customWidth="1"/>
    <col min="6406" max="6406" width="15" style="1189" customWidth="1"/>
    <col min="6407" max="6407" width="13.85546875" style="1189" customWidth="1"/>
    <col min="6408" max="6410" width="11.140625" style="1189" customWidth="1"/>
    <col min="6411" max="6411" width="8.140625" style="1189" customWidth="1"/>
    <col min="6412" max="6412" width="37.85546875" style="1189" bestFit="1" customWidth="1"/>
    <col min="6413" max="6656" width="8.7109375" style="1189"/>
    <col min="6657" max="6657" width="8.42578125" style="1189" customWidth="1"/>
    <col min="6658" max="6658" width="16.5703125" style="1189" bestFit="1" customWidth="1"/>
    <col min="6659" max="6659" width="14.42578125" style="1189" bestFit="1" customWidth="1"/>
    <col min="6660" max="6661" width="14.42578125" style="1189" customWidth="1"/>
    <col min="6662" max="6662" width="15" style="1189" customWidth="1"/>
    <col min="6663" max="6663" width="13.85546875" style="1189" customWidth="1"/>
    <col min="6664" max="6666" width="11.140625" style="1189" customWidth="1"/>
    <col min="6667" max="6667" width="8.140625" style="1189" customWidth="1"/>
    <col min="6668" max="6668" width="37.85546875" style="1189" bestFit="1" customWidth="1"/>
    <col min="6669" max="6912" width="8.7109375" style="1189"/>
    <col min="6913" max="6913" width="8.42578125" style="1189" customWidth="1"/>
    <col min="6914" max="6914" width="16.5703125" style="1189" bestFit="1" customWidth="1"/>
    <col min="6915" max="6915" width="14.42578125" style="1189" bestFit="1" customWidth="1"/>
    <col min="6916" max="6917" width="14.42578125" style="1189" customWidth="1"/>
    <col min="6918" max="6918" width="15" style="1189" customWidth="1"/>
    <col min="6919" max="6919" width="13.85546875" style="1189" customWidth="1"/>
    <col min="6920" max="6922" width="11.140625" style="1189" customWidth="1"/>
    <col min="6923" max="6923" width="8.140625" style="1189" customWidth="1"/>
    <col min="6924" max="6924" width="37.85546875" style="1189" bestFit="1" customWidth="1"/>
    <col min="6925" max="7168" width="8.7109375" style="1189"/>
    <col min="7169" max="7169" width="8.42578125" style="1189" customWidth="1"/>
    <col min="7170" max="7170" width="16.5703125" style="1189" bestFit="1" customWidth="1"/>
    <col min="7171" max="7171" width="14.42578125" style="1189" bestFit="1" customWidth="1"/>
    <col min="7172" max="7173" width="14.42578125" style="1189" customWidth="1"/>
    <col min="7174" max="7174" width="15" style="1189" customWidth="1"/>
    <col min="7175" max="7175" width="13.85546875" style="1189" customWidth="1"/>
    <col min="7176" max="7178" width="11.140625" style="1189" customWidth="1"/>
    <col min="7179" max="7179" width="8.140625" style="1189" customWidth="1"/>
    <col min="7180" max="7180" width="37.85546875" style="1189" bestFit="1" customWidth="1"/>
    <col min="7181" max="7424" width="8.7109375" style="1189"/>
    <col min="7425" max="7425" width="8.42578125" style="1189" customWidth="1"/>
    <col min="7426" max="7426" width="16.5703125" style="1189" bestFit="1" customWidth="1"/>
    <col min="7427" max="7427" width="14.42578125" style="1189" bestFit="1" customWidth="1"/>
    <col min="7428" max="7429" width="14.42578125" style="1189" customWidth="1"/>
    <col min="7430" max="7430" width="15" style="1189" customWidth="1"/>
    <col min="7431" max="7431" width="13.85546875" style="1189" customWidth="1"/>
    <col min="7432" max="7434" width="11.140625" style="1189" customWidth="1"/>
    <col min="7435" max="7435" width="8.140625" style="1189" customWidth="1"/>
    <col min="7436" max="7436" width="37.85546875" style="1189" bestFit="1" customWidth="1"/>
    <col min="7437" max="7680" width="8.7109375" style="1189"/>
    <col min="7681" max="7681" width="8.42578125" style="1189" customWidth="1"/>
    <col min="7682" max="7682" width="16.5703125" style="1189" bestFit="1" customWidth="1"/>
    <col min="7683" max="7683" width="14.42578125" style="1189" bestFit="1" customWidth="1"/>
    <col min="7684" max="7685" width="14.42578125" style="1189" customWidth="1"/>
    <col min="7686" max="7686" width="15" style="1189" customWidth="1"/>
    <col min="7687" max="7687" width="13.85546875" style="1189" customWidth="1"/>
    <col min="7688" max="7690" width="11.140625" style="1189" customWidth="1"/>
    <col min="7691" max="7691" width="8.140625" style="1189" customWidth="1"/>
    <col min="7692" max="7692" width="37.85546875" style="1189" bestFit="1" customWidth="1"/>
    <col min="7693" max="7936" width="8.7109375" style="1189"/>
    <col min="7937" max="7937" width="8.42578125" style="1189" customWidth="1"/>
    <col min="7938" max="7938" width="16.5703125" style="1189" bestFit="1" customWidth="1"/>
    <col min="7939" max="7939" width="14.42578125" style="1189" bestFit="1" customWidth="1"/>
    <col min="7940" max="7941" width="14.42578125" style="1189" customWidth="1"/>
    <col min="7942" max="7942" width="15" style="1189" customWidth="1"/>
    <col min="7943" max="7943" width="13.85546875" style="1189" customWidth="1"/>
    <col min="7944" max="7946" width="11.140625" style="1189" customWidth="1"/>
    <col min="7947" max="7947" width="8.140625" style="1189" customWidth="1"/>
    <col min="7948" max="7948" width="37.85546875" style="1189" bestFit="1" customWidth="1"/>
    <col min="7949" max="8192" width="8.7109375" style="1189"/>
    <col min="8193" max="8193" width="8.42578125" style="1189" customWidth="1"/>
    <col min="8194" max="8194" width="16.5703125" style="1189" bestFit="1" customWidth="1"/>
    <col min="8195" max="8195" width="14.42578125" style="1189" bestFit="1" customWidth="1"/>
    <col min="8196" max="8197" width="14.42578125" style="1189" customWidth="1"/>
    <col min="8198" max="8198" width="15" style="1189" customWidth="1"/>
    <col min="8199" max="8199" width="13.85546875" style="1189" customWidth="1"/>
    <col min="8200" max="8202" width="11.140625" style="1189" customWidth="1"/>
    <col min="8203" max="8203" width="8.140625" style="1189" customWidth="1"/>
    <col min="8204" max="8204" width="37.85546875" style="1189" bestFit="1" customWidth="1"/>
    <col min="8205" max="8448" width="8.7109375" style="1189"/>
    <col min="8449" max="8449" width="8.42578125" style="1189" customWidth="1"/>
    <col min="8450" max="8450" width="16.5703125" style="1189" bestFit="1" customWidth="1"/>
    <col min="8451" max="8451" width="14.42578125" style="1189" bestFit="1" customWidth="1"/>
    <col min="8452" max="8453" width="14.42578125" style="1189" customWidth="1"/>
    <col min="8454" max="8454" width="15" style="1189" customWidth="1"/>
    <col min="8455" max="8455" width="13.85546875" style="1189" customWidth="1"/>
    <col min="8456" max="8458" width="11.140625" style="1189" customWidth="1"/>
    <col min="8459" max="8459" width="8.140625" style="1189" customWidth="1"/>
    <col min="8460" max="8460" width="37.85546875" style="1189" bestFit="1" customWidth="1"/>
    <col min="8461" max="8704" width="8.7109375" style="1189"/>
    <col min="8705" max="8705" width="8.42578125" style="1189" customWidth="1"/>
    <col min="8706" max="8706" width="16.5703125" style="1189" bestFit="1" customWidth="1"/>
    <col min="8707" max="8707" width="14.42578125" style="1189" bestFit="1" customWidth="1"/>
    <col min="8708" max="8709" width="14.42578125" style="1189" customWidth="1"/>
    <col min="8710" max="8710" width="15" style="1189" customWidth="1"/>
    <col min="8711" max="8711" width="13.85546875" style="1189" customWidth="1"/>
    <col min="8712" max="8714" width="11.140625" style="1189" customWidth="1"/>
    <col min="8715" max="8715" width="8.140625" style="1189" customWidth="1"/>
    <col min="8716" max="8716" width="37.85546875" style="1189" bestFit="1" customWidth="1"/>
    <col min="8717" max="8960" width="8.7109375" style="1189"/>
    <col min="8961" max="8961" width="8.42578125" style="1189" customWidth="1"/>
    <col min="8962" max="8962" width="16.5703125" style="1189" bestFit="1" customWidth="1"/>
    <col min="8963" max="8963" width="14.42578125" style="1189" bestFit="1" customWidth="1"/>
    <col min="8964" max="8965" width="14.42578125" style="1189" customWidth="1"/>
    <col min="8966" max="8966" width="15" style="1189" customWidth="1"/>
    <col min="8967" max="8967" width="13.85546875" style="1189" customWidth="1"/>
    <col min="8968" max="8970" width="11.140625" style="1189" customWidth="1"/>
    <col min="8971" max="8971" width="8.140625" style="1189" customWidth="1"/>
    <col min="8972" max="8972" width="37.85546875" style="1189" bestFit="1" customWidth="1"/>
    <col min="8973" max="9216" width="8.7109375" style="1189"/>
    <col min="9217" max="9217" width="8.42578125" style="1189" customWidth="1"/>
    <col min="9218" max="9218" width="16.5703125" style="1189" bestFit="1" customWidth="1"/>
    <col min="9219" max="9219" width="14.42578125" style="1189" bestFit="1" customWidth="1"/>
    <col min="9220" max="9221" width="14.42578125" style="1189" customWidth="1"/>
    <col min="9222" max="9222" width="15" style="1189" customWidth="1"/>
    <col min="9223" max="9223" width="13.85546875" style="1189" customWidth="1"/>
    <col min="9224" max="9226" width="11.140625" style="1189" customWidth="1"/>
    <col min="9227" max="9227" width="8.140625" style="1189" customWidth="1"/>
    <col min="9228" max="9228" width="37.85546875" style="1189" bestFit="1" customWidth="1"/>
    <col min="9229" max="9472" width="8.7109375" style="1189"/>
    <col min="9473" max="9473" width="8.42578125" style="1189" customWidth="1"/>
    <col min="9474" max="9474" width="16.5703125" style="1189" bestFit="1" customWidth="1"/>
    <col min="9475" max="9475" width="14.42578125" style="1189" bestFit="1" customWidth="1"/>
    <col min="9476" max="9477" width="14.42578125" style="1189" customWidth="1"/>
    <col min="9478" max="9478" width="15" style="1189" customWidth="1"/>
    <col min="9479" max="9479" width="13.85546875" style="1189" customWidth="1"/>
    <col min="9480" max="9482" width="11.140625" style="1189" customWidth="1"/>
    <col min="9483" max="9483" width="8.140625" style="1189" customWidth="1"/>
    <col min="9484" max="9484" width="37.85546875" style="1189" bestFit="1" customWidth="1"/>
    <col min="9485" max="9728" width="8.7109375" style="1189"/>
    <col min="9729" max="9729" width="8.42578125" style="1189" customWidth="1"/>
    <col min="9730" max="9730" width="16.5703125" style="1189" bestFit="1" customWidth="1"/>
    <col min="9731" max="9731" width="14.42578125" style="1189" bestFit="1" customWidth="1"/>
    <col min="9732" max="9733" width="14.42578125" style="1189" customWidth="1"/>
    <col min="9734" max="9734" width="15" style="1189" customWidth="1"/>
    <col min="9735" max="9735" width="13.85546875" style="1189" customWidth="1"/>
    <col min="9736" max="9738" width="11.140625" style="1189" customWidth="1"/>
    <col min="9739" max="9739" width="8.140625" style="1189" customWidth="1"/>
    <col min="9740" max="9740" width="37.85546875" style="1189" bestFit="1" customWidth="1"/>
    <col min="9741" max="9984" width="8.7109375" style="1189"/>
    <col min="9985" max="9985" width="8.42578125" style="1189" customWidth="1"/>
    <col min="9986" max="9986" width="16.5703125" style="1189" bestFit="1" customWidth="1"/>
    <col min="9987" max="9987" width="14.42578125" style="1189" bestFit="1" customWidth="1"/>
    <col min="9988" max="9989" width="14.42578125" style="1189" customWidth="1"/>
    <col min="9990" max="9990" width="15" style="1189" customWidth="1"/>
    <col min="9991" max="9991" width="13.85546875" style="1189" customWidth="1"/>
    <col min="9992" max="9994" width="11.140625" style="1189" customWidth="1"/>
    <col min="9995" max="9995" width="8.140625" style="1189" customWidth="1"/>
    <col min="9996" max="9996" width="37.85546875" style="1189" bestFit="1" customWidth="1"/>
    <col min="9997" max="10240" width="8.7109375" style="1189"/>
    <col min="10241" max="10241" width="8.42578125" style="1189" customWidth="1"/>
    <col min="10242" max="10242" width="16.5703125" style="1189" bestFit="1" customWidth="1"/>
    <col min="10243" max="10243" width="14.42578125" style="1189" bestFit="1" customWidth="1"/>
    <col min="10244" max="10245" width="14.42578125" style="1189" customWidth="1"/>
    <col min="10246" max="10246" width="15" style="1189" customWidth="1"/>
    <col min="10247" max="10247" width="13.85546875" style="1189" customWidth="1"/>
    <col min="10248" max="10250" width="11.140625" style="1189" customWidth="1"/>
    <col min="10251" max="10251" width="8.140625" style="1189" customWidth="1"/>
    <col min="10252" max="10252" width="37.85546875" style="1189" bestFit="1" customWidth="1"/>
    <col min="10253" max="10496" width="8.7109375" style="1189"/>
    <col min="10497" max="10497" width="8.42578125" style="1189" customWidth="1"/>
    <col min="10498" max="10498" width="16.5703125" style="1189" bestFit="1" customWidth="1"/>
    <col min="10499" max="10499" width="14.42578125" style="1189" bestFit="1" customWidth="1"/>
    <col min="10500" max="10501" width="14.42578125" style="1189" customWidth="1"/>
    <col min="10502" max="10502" width="15" style="1189" customWidth="1"/>
    <col min="10503" max="10503" width="13.85546875" style="1189" customWidth="1"/>
    <col min="10504" max="10506" width="11.140625" style="1189" customWidth="1"/>
    <col min="10507" max="10507" width="8.140625" style="1189" customWidth="1"/>
    <col min="10508" max="10508" width="37.85546875" style="1189" bestFit="1" customWidth="1"/>
    <col min="10509" max="10752" width="8.7109375" style="1189"/>
    <col min="10753" max="10753" width="8.42578125" style="1189" customWidth="1"/>
    <col min="10754" max="10754" width="16.5703125" style="1189" bestFit="1" customWidth="1"/>
    <col min="10755" max="10755" width="14.42578125" style="1189" bestFit="1" customWidth="1"/>
    <col min="10756" max="10757" width="14.42578125" style="1189" customWidth="1"/>
    <col min="10758" max="10758" width="15" style="1189" customWidth="1"/>
    <col min="10759" max="10759" width="13.85546875" style="1189" customWidth="1"/>
    <col min="10760" max="10762" width="11.140625" style="1189" customWidth="1"/>
    <col min="10763" max="10763" width="8.140625" style="1189" customWidth="1"/>
    <col min="10764" max="10764" width="37.85546875" style="1189" bestFit="1" customWidth="1"/>
    <col min="10765" max="11008" width="8.7109375" style="1189"/>
    <col min="11009" max="11009" width="8.42578125" style="1189" customWidth="1"/>
    <col min="11010" max="11010" width="16.5703125" style="1189" bestFit="1" customWidth="1"/>
    <col min="11011" max="11011" width="14.42578125" style="1189" bestFit="1" customWidth="1"/>
    <col min="11012" max="11013" width="14.42578125" style="1189" customWidth="1"/>
    <col min="11014" max="11014" width="15" style="1189" customWidth="1"/>
    <col min="11015" max="11015" width="13.85546875" style="1189" customWidth="1"/>
    <col min="11016" max="11018" width="11.140625" style="1189" customWidth="1"/>
    <col min="11019" max="11019" width="8.140625" style="1189" customWidth="1"/>
    <col min="11020" max="11020" width="37.85546875" style="1189" bestFit="1" customWidth="1"/>
    <col min="11021" max="11264" width="8.7109375" style="1189"/>
    <col min="11265" max="11265" width="8.42578125" style="1189" customWidth="1"/>
    <col min="11266" max="11266" width="16.5703125" style="1189" bestFit="1" customWidth="1"/>
    <col min="11267" max="11267" width="14.42578125" style="1189" bestFit="1" customWidth="1"/>
    <col min="11268" max="11269" width="14.42578125" style="1189" customWidth="1"/>
    <col min="11270" max="11270" width="15" style="1189" customWidth="1"/>
    <col min="11271" max="11271" width="13.85546875" style="1189" customWidth="1"/>
    <col min="11272" max="11274" width="11.140625" style="1189" customWidth="1"/>
    <col min="11275" max="11275" width="8.140625" style="1189" customWidth="1"/>
    <col min="11276" max="11276" width="37.85546875" style="1189" bestFit="1" customWidth="1"/>
    <col min="11277" max="11520" width="8.7109375" style="1189"/>
    <col min="11521" max="11521" width="8.42578125" style="1189" customWidth="1"/>
    <col min="11522" max="11522" width="16.5703125" style="1189" bestFit="1" customWidth="1"/>
    <col min="11523" max="11523" width="14.42578125" style="1189" bestFit="1" customWidth="1"/>
    <col min="11524" max="11525" width="14.42578125" style="1189" customWidth="1"/>
    <col min="11526" max="11526" width="15" style="1189" customWidth="1"/>
    <col min="11527" max="11527" width="13.85546875" style="1189" customWidth="1"/>
    <col min="11528" max="11530" width="11.140625" style="1189" customWidth="1"/>
    <col min="11531" max="11531" width="8.140625" style="1189" customWidth="1"/>
    <col min="11532" max="11532" width="37.85546875" style="1189" bestFit="1" customWidth="1"/>
    <col min="11533" max="11776" width="8.7109375" style="1189"/>
    <col min="11777" max="11777" width="8.42578125" style="1189" customWidth="1"/>
    <col min="11778" max="11778" width="16.5703125" style="1189" bestFit="1" customWidth="1"/>
    <col min="11779" max="11779" width="14.42578125" style="1189" bestFit="1" customWidth="1"/>
    <col min="11780" max="11781" width="14.42578125" style="1189" customWidth="1"/>
    <col min="11782" max="11782" width="15" style="1189" customWidth="1"/>
    <col min="11783" max="11783" width="13.85546875" style="1189" customWidth="1"/>
    <col min="11784" max="11786" width="11.140625" style="1189" customWidth="1"/>
    <col min="11787" max="11787" width="8.140625" style="1189" customWidth="1"/>
    <col min="11788" max="11788" width="37.85546875" style="1189" bestFit="1" customWidth="1"/>
    <col min="11789" max="12032" width="8.7109375" style="1189"/>
    <col min="12033" max="12033" width="8.42578125" style="1189" customWidth="1"/>
    <col min="12034" max="12034" width="16.5703125" style="1189" bestFit="1" customWidth="1"/>
    <col min="12035" max="12035" width="14.42578125" style="1189" bestFit="1" customWidth="1"/>
    <col min="12036" max="12037" width="14.42578125" style="1189" customWidth="1"/>
    <col min="12038" max="12038" width="15" style="1189" customWidth="1"/>
    <col min="12039" max="12039" width="13.85546875" style="1189" customWidth="1"/>
    <col min="12040" max="12042" width="11.140625" style="1189" customWidth="1"/>
    <col min="12043" max="12043" width="8.140625" style="1189" customWidth="1"/>
    <col min="12044" max="12044" width="37.85546875" style="1189" bestFit="1" customWidth="1"/>
    <col min="12045" max="12288" width="8.7109375" style="1189"/>
    <col min="12289" max="12289" width="8.42578125" style="1189" customWidth="1"/>
    <col min="12290" max="12290" width="16.5703125" style="1189" bestFit="1" customWidth="1"/>
    <col min="12291" max="12291" width="14.42578125" style="1189" bestFit="1" customWidth="1"/>
    <col min="12292" max="12293" width="14.42578125" style="1189" customWidth="1"/>
    <col min="12294" max="12294" width="15" style="1189" customWidth="1"/>
    <col min="12295" max="12295" width="13.85546875" style="1189" customWidth="1"/>
    <col min="12296" max="12298" width="11.140625" style="1189" customWidth="1"/>
    <col min="12299" max="12299" width="8.140625" style="1189" customWidth="1"/>
    <col min="12300" max="12300" width="37.85546875" style="1189" bestFit="1" customWidth="1"/>
    <col min="12301" max="12544" width="8.7109375" style="1189"/>
    <col min="12545" max="12545" width="8.42578125" style="1189" customWidth="1"/>
    <col min="12546" max="12546" width="16.5703125" style="1189" bestFit="1" customWidth="1"/>
    <col min="12547" max="12547" width="14.42578125" style="1189" bestFit="1" customWidth="1"/>
    <col min="12548" max="12549" width="14.42578125" style="1189" customWidth="1"/>
    <col min="12550" max="12550" width="15" style="1189" customWidth="1"/>
    <col min="12551" max="12551" width="13.85546875" style="1189" customWidth="1"/>
    <col min="12552" max="12554" width="11.140625" style="1189" customWidth="1"/>
    <col min="12555" max="12555" width="8.140625" style="1189" customWidth="1"/>
    <col min="12556" max="12556" width="37.85546875" style="1189" bestFit="1" customWidth="1"/>
    <col min="12557" max="12800" width="8.7109375" style="1189"/>
    <col min="12801" max="12801" width="8.42578125" style="1189" customWidth="1"/>
    <col min="12802" max="12802" width="16.5703125" style="1189" bestFit="1" customWidth="1"/>
    <col min="12803" max="12803" width="14.42578125" style="1189" bestFit="1" customWidth="1"/>
    <col min="12804" max="12805" width="14.42578125" style="1189" customWidth="1"/>
    <col min="12806" max="12806" width="15" style="1189" customWidth="1"/>
    <col min="12807" max="12807" width="13.85546875" style="1189" customWidth="1"/>
    <col min="12808" max="12810" width="11.140625" style="1189" customWidth="1"/>
    <col min="12811" max="12811" width="8.140625" style="1189" customWidth="1"/>
    <col min="12812" max="12812" width="37.85546875" style="1189" bestFit="1" customWidth="1"/>
    <col min="12813" max="13056" width="8.7109375" style="1189"/>
    <col min="13057" max="13057" width="8.42578125" style="1189" customWidth="1"/>
    <col min="13058" max="13058" width="16.5703125" style="1189" bestFit="1" customWidth="1"/>
    <col min="13059" max="13059" width="14.42578125" style="1189" bestFit="1" customWidth="1"/>
    <col min="13060" max="13061" width="14.42578125" style="1189" customWidth="1"/>
    <col min="13062" max="13062" width="15" style="1189" customWidth="1"/>
    <col min="13063" max="13063" width="13.85546875" style="1189" customWidth="1"/>
    <col min="13064" max="13066" width="11.140625" style="1189" customWidth="1"/>
    <col min="13067" max="13067" width="8.140625" style="1189" customWidth="1"/>
    <col min="13068" max="13068" width="37.85546875" style="1189" bestFit="1" customWidth="1"/>
    <col min="13069" max="13312" width="8.7109375" style="1189"/>
    <col min="13313" max="13313" width="8.42578125" style="1189" customWidth="1"/>
    <col min="13314" max="13314" width="16.5703125" style="1189" bestFit="1" customWidth="1"/>
    <col min="13315" max="13315" width="14.42578125" style="1189" bestFit="1" customWidth="1"/>
    <col min="13316" max="13317" width="14.42578125" style="1189" customWidth="1"/>
    <col min="13318" max="13318" width="15" style="1189" customWidth="1"/>
    <col min="13319" max="13319" width="13.85546875" style="1189" customWidth="1"/>
    <col min="13320" max="13322" width="11.140625" style="1189" customWidth="1"/>
    <col min="13323" max="13323" width="8.140625" style="1189" customWidth="1"/>
    <col min="13324" max="13324" width="37.85546875" style="1189" bestFit="1" customWidth="1"/>
    <col min="13325" max="13568" width="8.7109375" style="1189"/>
    <col min="13569" max="13569" width="8.42578125" style="1189" customWidth="1"/>
    <col min="13570" max="13570" width="16.5703125" style="1189" bestFit="1" customWidth="1"/>
    <col min="13571" max="13571" width="14.42578125" style="1189" bestFit="1" customWidth="1"/>
    <col min="13572" max="13573" width="14.42578125" style="1189" customWidth="1"/>
    <col min="13574" max="13574" width="15" style="1189" customWidth="1"/>
    <col min="13575" max="13575" width="13.85546875" style="1189" customWidth="1"/>
    <col min="13576" max="13578" width="11.140625" style="1189" customWidth="1"/>
    <col min="13579" max="13579" width="8.140625" style="1189" customWidth="1"/>
    <col min="13580" max="13580" width="37.85546875" style="1189" bestFit="1" customWidth="1"/>
    <col min="13581" max="13824" width="8.7109375" style="1189"/>
    <col min="13825" max="13825" width="8.42578125" style="1189" customWidth="1"/>
    <col min="13826" max="13826" width="16.5703125" style="1189" bestFit="1" customWidth="1"/>
    <col min="13827" max="13827" width="14.42578125" style="1189" bestFit="1" customWidth="1"/>
    <col min="13828" max="13829" width="14.42578125" style="1189" customWidth="1"/>
    <col min="13830" max="13830" width="15" style="1189" customWidth="1"/>
    <col min="13831" max="13831" width="13.85546875" style="1189" customWidth="1"/>
    <col min="13832" max="13834" width="11.140625" style="1189" customWidth="1"/>
    <col min="13835" max="13835" width="8.140625" style="1189" customWidth="1"/>
    <col min="13836" max="13836" width="37.85546875" style="1189" bestFit="1" customWidth="1"/>
    <col min="13837" max="14080" width="8.7109375" style="1189"/>
    <col min="14081" max="14081" width="8.42578125" style="1189" customWidth="1"/>
    <col min="14082" max="14082" width="16.5703125" style="1189" bestFit="1" customWidth="1"/>
    <col min="14083" max="14083" width="14.42578125" style="1189" bestFit="1" customWidth="1"/>
    <col min="14084" max="14085" width="14.42578125" style="1189" customWidth="1"/>
    <col min="14086" max="14086" width="15" style="1189" customWidth="1"/>
    <col min="14087" max="14087" width="13.85546875" style="1189" customWidth="1"/>
    <col min="14088" max="14090" width="11.140625" style="1189" customWidth="1"/>
    <col min="14091" max="14091" width="8.140625" style="1189" customWidth="1"/>
    <col min="14092" max="14092" width="37.85546875" style="1189" bestFit="1" customWidth="1"/>
    <col min="14093" max="14336" width="8.7109375" style="1189"/>
    <col min="14337" max="14337" width="8.42578125" style="1189" customWidth="1"/>
    <col min="14338" max="14338" width="16.5703125" style="1189" bestFit="1" customWidth="1"/>
    <col min="14339" max="14339" width="14.42578125" style="1189" bestFit="1" customWidth="1"/>
    <col min="14340" max="14341" width="14.42578125" style="1189" customWidth="1"/>
    <col min="14342" max="14342" width="15" style="1189" customWidth="1"/>
    <col min="14343" max="14343" width="13.85546875" style="1189" customWidth="1"/>
    <col min="14344" max="14346" width="11.140625" style="1189" customWidth="1"/>
    <col min="14347" max="14347" width="8.140625" style="1189" customWidth="1"/>
    <col min="14348" max="14348" width="37.85546875" style="1189" bestFit="1" customWidth="1"/>
    <col min="14349" max="14592" width="8.7109375" style="1189"/>
    <col min="14593" max="14593" width="8.42578125" style="1189" customWidth="1"/>
    <col min="14594" max="14594" width="16.5703125" style="1189" bestFit="1" customWidth="1"/>
    <col min="14595" max="14595" width="14.42578125" style="1189" bestFit="1" customWidth="1"/>
    <col min="14596" max="14597" width="14.42578125" style="1189" customWidth="1"/>
    <col min="14598" max="14598" width="15" style="1189" customWidth="1"/>
    <col min="14599" max="14599" width="13.85546875" style="1189" customWidth="1"/>
    <col min="14600" max="14602" width="11.140625" style="1189" customWidth="1"/>
    <col min="14603" max="14603" width="8.140625" style="1189" customWidth="1"/>
    <col min="14604" max="14604" width="37.85546875" style="1189" bestFit="1" customWidth="1"/>
    <col min="14605" max="14848" width="8.7109375" style="1189"/>
    <col min="14849" max="14849" width="8.42578125" style="1189" customWidth="1"/>
    <col min="14850" max="14850" width="16.5703125" style="1189" bestFit="1" customWidth="1"/>
    <col min="14851" max="14851" width="14.42578125" style="1189" bestFit="1" customWidth="1"/>
    <col min="14852" max="14853" width="14.42578125" style="1189" customWidth="1"/>
    <col min="14854" max="14854" width="15" style="1189" customWidth="1"/>
    <col min="14855" max="14855" width="13.85546875" style="1189" customWidth="1"/>
    <col min="14856" max="14858" width="11.140625" style="1189" customWidth="1"/>
    <col min="14859" max="14859" width="8.140625" style="1189" customWidth="1"/>
    <col min="14860" max="14860" width="37.85546875" style="1189" bestFit="1" customWidth="1"/>
    <col min="14861" max="15104" width="8.7109375" style="1189"/>
    <col min="15105" max="15105" width="8.42578125" style="1189" customWidth="1"/>
    <col min="15106" max="15106" width="16.5703125" style="1189" bestFit="1" customWidth="1"/>
    <col min="15107" max="15107" width="14.42578125" style="1189" bestFit="1" customWidth="1"/>
    <col min="15108" max="15109" width="14.42578125" style="1189" customWidth="1"/>
    <col min="15110" max="15110" width="15" style="1189" customWidth="1"/>
    <col min="15111" max="15111" width="13.85546875" style="1189" customWidth="1"/>
    <col min="15112" max="15114" width="11.140625" style="1189" customWidth="1"/>
    <col min="15115" max="15115" width="8.140625" style="1189" customWidth="1"/>
    <col min="15116" max="15116" width="37.85546875" style="1189" bestFit="1" customWidth="1"/>
    <col min="15117" max="15360" width="8.7109375" style="1189"/>
    <col min="15361" max="15361" width="8.42578125" style="1189" customWidth="1"/>
    <col min="15362" max="15362" width="16.5703125" style="1189" bestFit="1" customWidth="1"/>
    <col min="15363" max="15363" width="14.42578125" style="1189" bestFit="1" customWidth="1"/>
    <col min="15364" max="15365" width="14.42578125" style="1189" customWidth="1"/>
    <col min="15366" max="15366" width="15" style="1189" customWidth="1"/>
    <col min="15367" max="15367" width="13.85546875" style="1189" customWidth="1"/>
    <col min="15368" max="15370" width="11.140625" style="1189" customWidth="1"/>
    <col min="15371" max="15371" width="8.140625" style="1189" customWidth="1"/>
    <col min="15372" max="15372" width="37.85546875" style="1189" bestFit="1" customWidth="1"/>
    <col min="15373" max="15616" width="8.7109375" style="1189"/>
    <col min="15617" max="15617" width="8.42578125" style="1189" customWidth="1"/>
    <col min="15618" max="15618" width="16.5703125" style="1189" bestFit="1" customWidth="1"/>
    <col min="15619" max="15619" width="14.42578125" style="1189" bestFit="1" customWidth="1"/>
    <col min="15620" max="15621" width="14.42578125" style="1189" customWidth="1"/>
    <col min="15622" max="15622" width="15" style="1189" customWidth="1"/>
    <col min="15623" max="15623" width="13.85546875" style="1189" customWidth="1"/>
    <col min="15624" max="15626" width="11.140625" style="1189" customWidth="1"/>
    <col min="15627" max="15627" width="8.140625" style="1189" customWidth="1"/>
    <col min="15628" max="15628" width="37.85546875" style="1189" bestFit="1" customWidth="1"/>
    <col min="15629" max="15872" width="8.7109375" style="1189"/>
    <col min="15873" max="15873" width="8.42578125" style="1189" customWidth="1"/>
    <col min="15874" max="15874" width="16.5703125" style="1189" bestFit="1" customWidth="1"/>
    <col min="15875" max="15875" width="14.42578125" style="1189" bestFit="1" customWidth="1"/>
    <col min="15876" max="15877" width="14.42578125" style="1189" customWidth="1"/>
    <col min="15878" max="15878" width="15" style="1189" customWidth="1"/>
    <col min="15879" max="15879" width="13.85546875" style="1189" customWidth="1"/>
    <col min="15880" max="15882" width="11.140625" style="1189" customWidth="1"/>
    <col min="15883" max="15883" width="8.140625" style="1189" customWidth="1"/>
    <col min="15884" max="15884" width="37.85546875" style="1189" bestFit="1" customWidth="1"/>
    <col min="15885" max="16128" width="8.7109375" style="1189"/>
    <col min="16129" max="16129" width="8.42578125" style="1189" customWidth="1"/>
    <col min="16130" max="16130" width="16.5703125" style="1189" bestFit="1" customWidth="1"/>
    <col min="16131" max="16131" width="14.42578125" style="1189" bestFit="1" customWidth="1"/>
    <col min="16132" max="16133" width="14.42578125" style="1189" customWidth="1"/>
    <col min="16134" max="16134" width="15" style="1189" customWidth="1"/>
    <col min="16135" max="16135" width="13.85546875" style="1189" customWidth="1"/>
    <col min="16136" max="16138" width="11.140625" style="1189" customWidth="1"/>
    <col min="16139" max="16139" width="8.140625" style="1189" customWidth="1"/>
    <col min="16140" max="16140" width="37.85546875" style="1189" bestFit="1" customWidth="1"/>
    <col min="16141" max="16384" width="8.7109375" style="1189"/>
  </cols>
  <sheetData>
    <row r="1" spans="1:15">
      <c r="A1" s="1699" t="s">
        <v>3449</v>
      </c>
      <c r="B1" s="1700"/>
      <c r="C1" s="1700"/>
      <c r="D1" s="1700"/>
      <c r="E1" s="1700"/>
      <c r="F1" s="1700"/>
      <c r="G1" s="1700"/>
      <c r="H1" s="1700"/>
      <c r="I1" s="1700"/>
      <c r="J1" s="1700"/>
      <c r="K1" s="1700"/>
      <c r="L1" s="1700"/>
    </row>
    <row r="2" spans="1:15" ht="66.599999999999994" customHeight="1">
      <c r="A2" s="1190" t="s">
        <v>2877</v>
      </c>
      <c r="B2" s="1190" t="s">
        <v>3267</v>
      </c>
      <c r="C2" s="1191" t="s">
        <v>3432</v>
      </c>
      <c r="D2" s="1191" t="s">
        <v>3433</v>
      </c>
      <c r="E2" s="1200" t="s">
        <v>3434</v>
      </c>
      <c r="F2" s="1191" t="s">
        <v>3435</v>
      </c>
      <c r="G2" s="1191" t="s">
        <v>3436</v>
      </c>
      <c r="H2" s="1200" t="s">
        <v>3437</v>
      </c>
      <c r="I2" s="1701" t="s">
        <v>3563</v>
      </c>
      <c r="J2" s="1702"/>
      <c r="K2" s="1191" t="s">
        <v>593</v>
      </c>
      <c r="L2" s="1190" t="s">
        <v>19</v>
      </c>
    </row>
    <row r="3" spans="1:15">
      <c r="A3" s="1190"/>
      <c r="B3" s="1190"/>
      <c r="C3" s="1191"/>
      <c r="D3" s="1191"/>
      <c r="E3" s="1200"/>
      <c r="F3" s="1191"/>
      <c r="G3" s="1191"/>
      <c r="H3" s="1200"/>
      <c r="I3" s="1191" t="s">
        <v>2371</v>
      </c>
      <c r="J3" s="1191" t="s">
        <v>2376</v>
      </c>
      <c r="K3" s="1191"/>
      <c r="L3" s="1190"/>
    </row>
    <row r="4" spans="1:15">
      <c r="A4" s="1694" t="s">
        <v>1675</v>
      </c>
      <c r="B4" s="1192" t="s">
        <v>3268</v>
      </c>
      <c r="C4" s="1196">
        <v>75</v>
      </c>
      <c r="D4" s="1196">
        <v>128</v>
      </c>
      <c r="E4" s="1195">
        <f>C4+D4</f>
        <v>203</v>
      </c>
      <c r="F4" s="1196">
        <v>84</v>
      </c>
      <c r="G4" s="1196">
        <v>100</v>
      </c>
      <c r="H4" s="1195">
        <f>F4+G4</f>
        <v>184</v>
      </c>
      <c r="I4" s="1206"/>
      <c r="J4" s="1206"/>
      <c r="K4" s="1196">
        <f t="shared" ref="K4:K32" si="0">E4-H4-I4-J4</f>
        <v>19</v>
      </c>
      <c r="L4" s="1196"/>
    </row>
    <row r="5" spans="1:15">
      <c r="A5" s="1694"/>
      <c r="B5" s="1201" t="s">
        <v>3269</v>
      </c>
      <c r="C5" s="1196">
        <v>51</v>
      </c>
      <c r="D5" s="1196">
        <v>91</v>
      </c>
      <c r="E5" s="1195">
        <f t="shared" ref="E5:E32" si="1">C5+D5</f>
        <v>142</v>
      </c>
      <c r="F5" s="1196">
        <v>62</v>
      </c>
      <c r="G5" s="1196">
        <v>61</v>
      </c>
      <c r="H5" s="1195">
        <f t="shared" ref="H5:H32" si="2">F5+G5</f>
        <v>123</v>
      </c>
      <c r="I5" s="1206"/>
      <c r="J5" s="1206"/>
      <c r="K5" s="1196">
        <f t="shared" si="0"/>
        <v>19</v>
      </c>
      <c r="L5" s="1196"/>
    </row>
    <row r="6" spans="1:15">
      <c r="A6" s="1694"/>
      <c r="B6" s="1201" t="s">
        <v>3270</v>
      </c>
      <c r="C6" s="1196">
        <v>24</v>
      </c>
      <c r="D6" s="1196">
        <v>37</v>
      </c>
      <c r="E6" s="1195">
        <f t="shared" si="1"/>
        <v>61</v>
      </c>
      <c r="F6" s="1196">
        <v>22</v>
      </c>
      <c r="G6" s="1196">
        <v>39</v>
      </c>
      <c r="H6" s="1195">
        <f t="shared" si="2"/>
        <v>61</v>
      </c>
      <c r="I6" s="1206"/>
      <c r="J6" s="1206"/>
      <c r="K6" s="1196">
        <f t="shared" si="0"/>
        <v>0</v>
      </c>
      <c r="L6" s="1196"/>
    </row>
    <row r="7" spans="1:15">
      <c r="A7" s="1694"/>
      <c r="B7" s="1201" t="s">
        <v>3271</v>
      </c>
      <c r="C7" s="1196">
        <v>10</v>
      </c>
      <c r="D7" s="1196">
        <v>15</v>
      </c>
      <c r="E7" s="1195">
        <f t="shared" si="1"/>
        <v>25</v>
      </c>
      <c r="F7" s="1196">
        <v>10</v>
      </c>
      <c r="G7" s="1196">
        <v>14</v>
      </c>
      <c r="H7" s="1195">
        <f t="shared" si="2"/>
        <v>24</v>
      </c>
      <c r="I7" s="1206"/>
      <c r="J7" s="1206"/>
      <c r="K7" s="1196">
        <f t="shared" si="0"/>
        <v>1</v>
      </c>
      <c r="L7" s="1196"/>
    </row>
    <row r="8" spans="1:15">
      <c r="A8" s="1694"/>
      <c r="B8" s="1201" t="s">
        <v>3272</v>
      </c>
      <c r="C8" s="1196">
        <v>2</v>
      </c>
      <c r="D8" s="1196">
        <v>6</v>
      </c>
      <c r="E8" s="1195">
        <f t="shared" si="1"/>
        <v>8</v>
      </c>
      <c r="F8" s="1196">
        <v>2</v>
      </c>
      <c r="G8" s="1196">
        <v>5</v>
      </c>
      <c r="H8" s="1195">
        <f t="shared" si="2"/>
        <v>7</v>
      </c>
      <c r="I8" s="1206"/>
      <c r="J8" s="1206"/>
      <c r="K8" s="1196">
        <f t="shared" si="0"/>
        <v>1</v>
      </c>
      <c r="L8" s="1196"/>
    </row>
    <row r="9" spans="1:15" ht="7.5" customHeight="1">
      <c r="A9" s="1192"/>
      <c r="B9" s="1192"/>
      <c r="C9" s="1196"/>
      <c r="D9" s="1196"/>
      <c r="E9" s="1195">
        <f t="shared" si="1"/>
        <v>0</v>
      </c>
      <c r="F9" s="1196">
        <v>0</v>
      </c>
      <c r="G9" s="1196">
        <v>0</v>
      </c>
      <c r="H9" s="1195">
        <f t="shared" si="2"/>
        <v>0</v>
      </c>
      <c r="I9" s="1206"/>
      <c r="J9" s="1206"/>
      <c r="K9" s="1196">
        <f t="shared" si="0"/>
        <v>0</v>
      </c>
      <c r="L9" s="1196"/>
    </row>
    <row r="10" spans="1:15">
      <c r="A10" s="1694" t="s">
        <v>2397</v>
      </c>
      <c r="B10" s="1192" t="s">
        <v>3268</v>
      </c>
      <c r="C10" s="1196">
        <v>18</v>
      </c>
      <c r="D10" s="1196">
        <v>42</v>
      </c>
      <c r="E10" s="1195">
        <f t="shared" si="1"/>
        <v>60</v>
      </c>
      <c r="F10" s="1196">
        <v>12</v>
      </c>
      <c r="G10" s="1196">
        <v>42</v>
      </c>
      <c r="H10" s="1195">
        <f t="shared" si="2"/>
        <v>54</v>
      </c>
      <c r="I10" s="1206"/>
      <c r="J10" s="1206"/>
      <c r="K10" s="1196">
        <f t="shared" si="0"/>
        <v>6</v>
      </c>
      <c r="L10" s="1196"/>
    </row>
    <row r="11" spans="1:15">
      <c r="A11" s="1694"/>
      <c r="B11" s="1201" t="s">
        <v>3269</v>
      </c>
      <c r="C11" s="1196">
        <v>17</v>
      </c>
      <c r="D11" s="1196">
        <v>36</v>
      </c>
      <c r="E11" s="1195">
        <f t="shared" si="1"/>
        <v>53</v>
      </c>
      <c r="F11" s="1196">
        <v>6</v>
      </c>
      <c r="G11" s="1196">
        <v>33</v>
      </c>
      <c r="H11" s="1195">
        <f t="shared" si="2"/>
        <v>39</v>
      </c>
      <c r="I11" s="1206">
        <v>5</v>
      </c>
      <c r="J11" s="1206">
        <v>3</v>
      </c>
      <c r="K11" s="1196">
        <f t="shared" si="0"/>
        <v>6</v>
      </c>
      <c r="L11" s="1196"/>
    </row>
    <row r="12" spans="1:15">
      <c r="A12" s="1694"/>
      <c r="B12" s="1201" t="s">
        <v>3270</v>
      </c>
      <c r="C12" s="1196">
        <v>1</v>
      </c>
      <c r="D12" s="1196">
        <v>6</v>
      </c>
      <c r="E12" s="1195">
        <f t="shared" si="1"/>
        <v>7</v>
      </c>
      <c r="F12" s="1196">
        <v>1</v>
      </c>
      <c r="G12" s="1196">
        <v>6</v>
      </c>
      <c r="H12" s="1195">
        <f t="shared" si="2"/>
        <v>7</v>
      </c>
      <c r="I12" s="1206"/>
      <c r="J12" s="1206"/>
      <c r="K12" s="1196">
        <f t="shared" si="0"/>
        <v>0</v>
      </c>
      <c r="L12" s="1196"/>
    </row>
    <row r="13" spans="1:15">
      <c r="A13" s="1694"/>
      <c r="B13" s="1201" t="s">
        <v>3271</v>
      </c>
      <c r="C13" s="1196">
        <v>2</v>
      </c>
      <c r="D13" s="1196">
        <v>4</v>
      </c>
      <c r="E13" s="1195">
        <f t="shared" si="1"/>
        <v>6</v>
      </c>
      <c r="F13" s="1196">
        <v>1</v>
      </c>
      <c r="G13" s="1196">
        <v>2</v>
      </c>
      <c r="H13" s="1195">
        <f t="shared" si="2"/>
        <v>3</v>
      </c>
      <c r="I13" s="1206"/>
      <c r="J13" s="1206">
        <v>2</v>
      </c>
      <c r="K13" s="1196">
        <f t="shared" si="0"/>
        <v>1</v>
      </c>
      <c r="L13" s="1196"/>
    </row>
    <row r="14" spans="1:15">
      <c r="A14" s="1694"/>
      <c r="B14" s="1201" t="s">
        <v>3272</v>
      </c>
      <c r="C14" s="1196">
        <v>2</v>
      </c>
      <c r="D14" s="1196">
        <v>7</v>
      </c>
      <c r="E14" s="1195">
        <f t="shared" si="1"/>
        <v>9</v>
      </c>
      <c r="F14" s="1196">
        <v>2</v>
      </c>
      <c r="G14" s="1196">
        <v>5</v>
      </c>
      <c r="H14" s="1195">
        <f t="shared" si="2"/>
        <v>7</v>
      </c>
      <c r="I14" s="1206"/>
      <c r="J14" s="1206">
        <v>1</v>
      </c>
      <c r="K14" s="1196">
        <f t="shared" si="0"/>
        <v>1</v>
      </c>
      <c r="L14" s="1196"/>
      <c r="O14" s="1189">
        <f>229*75</f>
        <v>17175</v>
      </c>
    </row>
    <row r="15" spans="1:15" ht="7.5" customHeight="1">
      <c r="A15" s="1192"/>
      <c r="B15" s="1192"/>
      <c r="C15" s="1196"/>
      <c r="D15" s="1196"/>
      <c r="E15" s="1195">
        <f t="shared" si="1"/>
        <v>0</v>
      </c>
      <c r="F15" s="1196">
        <v>0</v>
      </c>
      <c r="G15" s="1196">
        <v>0</v>
      </c>
      <c r="H15" s="1195">
        <f t="shared" si="2"/>
        <v>0</v>
      </c>
      <c r="I15" s="1206"/>
      <c r="J15" s="1206"/>
      <c r="K15" s="1196">
        <f t="shared" si="0"/>
        <v>0</v>
      </c>
      <c r="L15" s="1196"/>
    </row>
    <row r="16" spans="1:15">
      <c r="A16" s="1694" t="s">
        <v>2398</v>
      </c>
      <c r="B16" s="1192" t="s">
        <v>3268</v>
      </c>
      <c r="C16" s="1196">
        <v>12</v>
      </c>
      <c r="D16" s="1196">
        <v>31</v>
      </c>
      <c r="E16" s="1195">
        <f t="shared" si="1"/>
        <v>43</v>
      </c>
      <c r="F16" s="1196">
        <v>27</v>
      </c>
      <c r="G16" s="1196">
        <v>16</v>
      </c>
      <c r="H16" s="1195">
        <f t="shared" si="2"/>
        <v>43</v>
      </c>
      <c r="I16" s="1206"/>
      <c r="J16" s="1206"/>
      <c r="K16" s="1196">
        <f t="shared" si="0"/>
        <v>0</v>
      </c>
      <c r="L16" s="1196"/>
    </row>
    <row r="17" spans="1:12">
      <c r="A17" s="1694"/>
      <c r="B17" s="1201" t="s">
        <v>3269</v>
      </c>
      <c r="C17" s="1196">
        <v>8</v>
      </c>
      <c r="D17" s="1196">
        <v>24</v>
      </c>
      <c r="E17" s="1195">
        <f t="shared" si="1"/>
        <v>32</v>
      </c>
      <c r="F17" s="1196">
        <v>21</v>
      </c>
      <c r="G17" s="1196">
        <v>6</v>
      </c>
      <c r="H17" s="1195">
        <f t="shared" si="2"/>
        <v>27</v>
      </c>
      <c r="I17" s="1206">
        <v>2</v>
      </c>
      <c r="J17" s="1206">
        <v>3</v>
      </c>
      <c r="K17" s="1196">
        <f t="shared" si="0"/>
        <v>0</v>
      </c>
      <c r="L17" s="1196"/>
    </row>
    <row r="18" spans="1:12">
      <c r="A18" s="1694"/>
      <c r="B18" s="1201" t="s">
        <v>3270</v>
      </c>
      <c r="C18" s="1196">
        <v>4</v>
      </c>
      <c r="D18" s="1196">
        <v>7</v>
      </c>
      <c r="E18" s="1195">
        <f t="shared" si="1"/>
        <v>11</v>
      </c>
      <c r="F18" s="1196">
        <v>4</v>
      </c>
      <c r="G18" s="1196">
        <v>6</v>
      </c>
      <c r="H18" s="1195">
        <f t="shared" si="2"/>
        <v>10</v>
      </c>
      <c r="I18" s="1206"/>
      <c r="J18" s="1206">
        <v>1</v>
      </c>
      <c r="K18" s="1196">
        <f t="shared" si="0"/>
        <v>0</v>
      </c>
      <c r="L18" s="1196"/>
    </row>
    <row r="19" spans="1:12">
      <c r="A19" s="1694"/>
      <c r="B19" s="1201" t="s">
        <v>3271</v>
      </c>
      <c r="C19" s="1196">
        <v>1</v>
      </c>
      <c r="D19" s="1196">
        <v>1</v>
      </c>
      <c r="E19" s="1195">
        <f t="shared" si="1"/>
        <v>2</v>
      </c>
      <c r="F19" s="1196">
        <v>0</v>
      </c>
      <c r="G19" s="1196">
        <v>2</v>
      </c>
      <c r="H19" s="1195">
        <f t="shared" si="2"/>
        <v>2</v>
      </c>
      <c r="I19" s="1206">
        <v>1</v>
      </c>
      <c r="J19" s="1206"/>
      <c r="K19" s="1196">
        <f t="shared" si="0"/>
        <v>-1</v>
      </c>
      <c r="L19" s="1266" t="s">
        <v>3564</v>
      </c>
    </row>
    <row r="20" spans="1:12">
      <c r="A20" s="1694"/>
      <c r="B20" s="1201" t="s">
        <v>3272</v>
      </c>
      <c r="C20" s="1196">
        <v>1</v>
      </c>
      <c r="D20" s="1196">
        <v>4</v>
      </c>
      <c r="E20" s="1195">
        <f t="shared" si="1"/>
        <v>5</v>
      </c>
      <c r="F20" s="1196">
        <v>1</v>
      </c>
      <c r="G20" s="1196">
        <v>4</v>
      </c>
      <c r="H20" s="1195">
        <f t="shared" si="2"/>
        <v>5</v>
      </c>
      <c r="I20" s="1206">
        <v>1</v>
      </c>
      <c r="J20" s="1206"/>
      <c r="K20" s="1196">
        <f t="shared" si="0"/>
        <v>-1</v>
      </c>
      <c r="L20" s="1266" t="s">
        <v>3564</v>
      </c>
    </row>
    <row r="21" spans="1:12" ht="6.95" customHeight="1">
      <c r="A21" s="1192"/>
      <c r="B21" s="1192"/>
      <c r="C21" s="1196"/>
      <c r="D21" s="1196"/>
      <c r="E21" s="1195">
        <f t="shared" si="1"/>
        <v>0</v>
      </c>
      <c r="F21" s="1196">
        <v>0</v>
      </c>
      <c r="G21" s="1196">
        <v>0</v>
      </c>
      <c r="H21" s="1195">
        <f t="shared" si="2"/>
        <v>0</v>
      </c>
      <c r="I21" s="1206"/>
      <c r="J21" s="1206"/>
      <c r="K21" s="1196">
        <f t="shared" si="0"/>
        <v>0</v>
      </c>
      <c r="L21" s="1196"/>
    </row>
    <row r="22" spans="1:12">
      <c r="A22" s="1695" t="s">
        <v>2425</v>
      </c>
      <c r="B22" s="1192" t="s">
        <v>3268</v>
      </c>
      <c r="C22" s="1196">
        <v>21</v>
      </c>
      <c r="D22" s="1196">
        <v>60</v>
      </c>
      <c r="E22" s="1195">
        <f t="shared" si="1"/>
        <v>81</v>
      </c>
      <c r="F22" s="1196">
        <v>19</v>
      </c>
      <c r="G22" s="1196">
        <v>37</v>
      </c>
      <c r="H22" s="1195">
        <f t="shared" si="2"/>
        <v>56</v>
      </c>
      <c r="I22" s="1206"/>
      <c r="J22" s="1206"/>
      <c r="K22" s="1196">
        <f t="shared" si="0"/>
        <v>25</v>
      </c>
      <c r="L22" s="1196"/>
    </row>
    <row r="23" spans="1:12">
      <c r="A23" s="1696"/>
      <c r="B23" s="1201" t="s">
        <v>3269</v>
      </c>
      <c r="C23" s="1196">
        <v>20</v>
      </c>
      <c r="D23" s="1196">
        <v>53</v>
      </c>
      <c r="E23" s="1195">
        <f t="shared" si="1"/>
        <v>73</v>
      </c>
      <c r="F23" s="1196">
        <v>17</v>
      </c>
      <c r="G23" s="1196">
        <v>30</v>
      </c>
      <c r="H23" s="1195">
        <f t="shared" si="2"/>
        <v>47</v>
      </c>
      <c r="I23" s="1206">
        <v>1</v>
      </c>
      <c r="J23" s="1206">
        <v>2</v>
      </c>
      <c r="K23" s="1196">
        <f t="shared" si="0"/>
        <v>23</v>
      </c>
      <c r="L23" s="1196"/>
    </row>
    <row r="24" spans="1:12">
      <c r="A24" s="1696"/>
      <c r="B24" s="1201" t="s">
        <v>3270</v>
      </c>
      <c r="C24" s="1196">
        <v>1</v>
      </c>
      <c r="D24" s="1196">
        <v>7</v>
      </c>
      <c r="E24" s="1195">
        <f t="shared" si="1"/>
        <v>8</v>
      </c>
      <c r="F24" s="1196">
        <v>1</v>
      </c>
      <c r="G24" s="1196">
        <v>5</v>
      </c>
      <c r="H24" s="1195">
        <f t="shared" si="2"/>
        <v>6</v>
      </c>
      <c r="I24" s="1206"/>
      <c r="J24" s="1206"/>
      <c r="K24" s="1196">
        <f t="shared" si="0"/>
        <v>2</v>
      </c>
      <c r="L24" s="1196"/>
    </row>
    <row r="25" spans="1:12">
      <c r="A25" s="1696"/>
      <c r="B25" s="1201" t="s">
        <v>3271</v>
      </c>
      <c r="C25" s="1196">
        <v>1</v>
      </c>
      <c r="D25" s="1196">
        <v>3</v>
      </c>
      <c r="E25" s="1195">
        <f t="shared" si="1"/>
        <v>4</v>
      </c>
      <c r="F25" s="1196">
        <v>1</v>
      </c>
      <c r="G25" s="1196">
        <v>2</v>
      </c>
      <c r="H25" s="1195">
        <f t="shared" si="2"/>
        <v>3</v>
      </c>
      <c r="I25" s="1206"/>
      <c r="J25" s="1206"/>
      <c r="K25" s="1196">
        <f t="shared" si="0"/>
        <v>1</v>
      </c>
      <c r="L25" s="1196"/>
    </row>
    <row r="26" spans="1:12">
      <c r="A26" s="1696"/>
      <c r="B26" s="1201" t="s">
        <v>3272</v>
      </c>
      <c r="C26" s="1196">
        <v>3</v>
      </c>
      <c r="D26" s="1196">
        <v>5</v>
      </c>
      <c r="E26" s="1195">
        <f t="shared" si="1"/>
        <v>8</v>
      </c>
      <c r="F26" s="1196">
        <v>3</v>
      </c>
      <c r="G26" s="1196">
        <v>5</v>
      </c>
      <c r="H26" s="1195">
        <f t="shared" si="2"/>
        <v>8</v>
      </c>
      <c r="I26" s="1206"/>
      <c r="J26" s="1206"/>
      <c r="K26" s="1196">
        <f t="shared" si="0"/>
        <v>0</v>
      </c>
      <c r="L26" s="1196"/>
    </row>
    <row r="27" spans="1:12">
      <c r="A27" s="1696"/>
      <c r="B27" s="1201" t="s">
        <v>3273</v>
      </c>
      <c r="C27" s="1196">
        <v>1</v>
      </c>
      <c r="D27" s="1196">
        <v>11</v>
      </c>
      <c r="E27" s="1195">
        <f t="shared" si="1"/>
        <v>12</v>
      </c>
      <c r="F27" s="1196">
        <v>1</v>
      </c>
      <c r="G27" s="1196">
        <v>9</v>
      </c>
      <c r="H27" s="1195">
        <f t="shared" si="2"/>
        <v>10</v>
      </c>
      <c r="I27" s="1206"/>
      <c r="J27" s="1206"/>
      <c r="K27" s="1196">
        <f t="shared" si="0"/>
        <v>2</v>
      </c>
      <c r="L27" s="1266" t="s">
        <v>3565</v>
      </c>
    </row>
    <row r="28" spans="1:12">
      <c r="A28" s="1696"/>
      <c r="B28" s="1201" t="s">
        <v>3274</v>
      </c>
      <c r="C28" s="1196">
        <v>4</v>
      </c>
      <c r="D28" s="1196">
        <v>10</v>
      </c>
      <c r="E28" s="1195">
        <f t="shared" si="1"/>
        <v>14</v>
      </c>
      <c r="F28" s="1196">
        <v>5</v>
      </c>
      <c r="G28" s="1196">
        <v>5</v>
      </c>
      <c r="H28" s="1195">
        <f t="shared" si="2"/>
        <v>10</v>
      </c>
      <c r="I28" s="1206"/>
      <c r="J28" s="1206">
        <v>1</v>
      </c>
      <c r="K28" s="1196">
        <f t="shared" si="0"/>
        <v>3</v>
      </c>
      <c r="L28" s="1266" t="s">
        <v>3565</v>
      </c>
    </row>
    <row r="29" spans="1:12">
      <c r="A29" s="1697"/>
      <c r="B29" s="1201" t="s">
        <v>3275</v>
      </c>
      <c r="C29" s="1196">
        <v>6</v>
      </c>
      <c r="D29" s="1196">
        <v>11</v>
      </c>
      <c r="E29" s="1195">
        <f t="shared" si="1"/>
        <v>17</v>
      </c>
      <c r="F29" s="1196">
        <v>3</v>
      </c>
      <c r="G29" s="1196">
        <v>4</v>
      </c>
      <c r="H29" s="1195">
        <f t="shared" si="2"/>
        <v>7</v>
      </c>
      <c r="I29" s="1206"/>
      <c r="J29" s="1206">
        <v>1</v>
      </c>
      <c r="K29" s="1196">
        <f t="shared" si="0"/>
        <v>9</v>
      </c>
      <c r="L29" s="1266" t="s">
        <v>3565</v>
      </c>
    </row>
    <row r="30" spans="1:12" ht="9" customHeight="1">
      <c r="A30" s="1198"/>
      <c r="B30" s="1201"/>
      <c r="C30" s="1196"/>
      <c r="D30" s="1196"/>
      <c r="E30" s="1195">
        <f t="shared" si="1"/>
        <v>0</v>
      </c>
      <c r="F30" s="1196">
        <v>0</v>
      </c>
      <c r="G30" s="1196">
        <v>0</v>
      </c>
      <c r="H30" s="1195">
        <f t="shared" si="2"/>
        <v>0</v>
      </c>
      <c r="I30" s="1206"/>
      <c r="J30" s="1206"/>
      <c r="K30" s="1196">
        <f t="shared" si="0"/>
        <v>0</v>
      </c>
      <c r="L30" s="1196"/>
    </row>
    <row r="31" spans="1:12">
      <c r="A31" s="1695" t="s">
        <v>3451</v>
      </c>
      <c r="B31" s="1192" t="s">
        <v>3268</v>
      </c>
      <c r="C31" s="1196"/>
      <c r="D31" s="1196">
        <v>2</v>
      </c>
      <c r="E31" s="1195">
        <f t="shared" si="1"/>
        <v>2</v>
      </c>
      <c r="F31" s="1196">
        <v>0</v>
      </c>
      <c r="G31" s="1196">
        <v>0</v>
      </c>
      <c r="H31" s="1195">
        <f t="shared" si="2"/>
        <v>0</v>
      </c>
      <c r="I31" s="1206"/>
      <c r="J31" s="1206"/>
      <c r="K31" s="1196">
        <f t="shared" si="0"/>
        <v>2</v>
      </c>
      <c r="L31" s="1196"/>
    </row>
    <row r="32" spans="1:12">
      <c r="A32" s="1697"/>
      <c r="B32" s="1201" t="s">
        <v>3269</v>
      </c>
      <c r="C32" s="1196"/>
      <c r="D32" s="1196">
        <v>2</v>
      </c>
      <c r="E32" s="1195">
        <f t="shared" si="1"/>
        <v>2</v>
      </c>
      <c r="F32" s="1196">
        <v>0</v>
      </c>
      <c r="G32" s="1196">
        <v>0</v>
      </c>
      <c r="H32" s="1195">
        <f t="shared" si="2"/>
        <v>0</v>
      </c>
      <c r="I32" s="1206"/>
      <c r="J32" s="1206"/>
      <c r="K32" s="1196">
        <f t="shared" si="0"/>
        <v>2</v>
      </c>
      <c r="L32" s="1196"/>
    </row>
    <row r="33" spans="1:12">
      <c r="A33" s="1693" t="s">
        <v>994</v>
      </c>
      <c r="B33" s="1693"/>
      <c r="C33" s="1188">
        <f t="shared" ref="C33:K33" si="3">C22+C16+C10+C4+C31</f>
        <v>126</v>
      </c>
      <c r="D33" s="1188">
        <f t="shared" si="3"/>
        <v>263</v>
      </c>
      <c r="E33" s="1188">
        <f t="shared" si="3"/>
        <v>389</v>
      </c>
      <c r="F33" s="1188">
        <f>F22+F16+F10+F4+F31</f>
        <v>142</v>
      </c>
      <c r="G33" s="1188">
        <f t="shared" si="3"/>
        <v>195</v>
      </c>
      <c r="H33" s="1188">
        <f t="shared" si="3"/>
        <v>337</v>
      </c>
      <c r="I33" s="1188">
        <f t="shared" si="3"/>
        <v>0</v>
      </c>
      <c r="J33" s="1188">
        <f t="shared" si="3"/>
        <v>0</v>
      </c>
      <c r="K33" s="1188">
        <f t="shared" si="3"/>
        <v>52</v>
      </c>
      <c r="L33" s="118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75"/>
  <cols>
    <col min="1" max="1" width="10.7109375" style="1189" bestFit="1" customWidth="1"/>
    <col min="2" max="2" width="16.5703125" style="1189" bestFit="1" customWidth="1"/>
    <col min="3" max="3" width="14.42578125" style="1189" bestFit="1" customWidth="1"/>
    <col min="4" max="4" width="15.85546875" style="1189" customWidth="1"/>
    <col min="5" max="5" width="12.42578125" style="1189" customWidth="1"/>
    <col min="6" max="6" width="11.85546875" style="1189" customWidth="1"/>
    <col min="7" max="7" width="18.42578125" style="1189" bestFit="1" customWidth="1"/>
    <col min="8" max="256" width="8.7109375" style="1189"/>
    <col min="257" max="257" width="10.7109375" style="1189" bestFit="1" customWidth="1"/>
    <col min="258" max="258" width="16.5703125" style="1189" bestFit="1" customWidth="1"/>
    <col min="259" max="259" width="14.42578125" style="1189" bestFit="1" customWidth="1"/>
    <col min="260" max="260" width="15.85546875" style="1189" customWidth="1"/>
    <col min="261" max="261" width="12.42578125" style="1189" customWidth="1"/>
    <col min="262" max="262" width="11.85546875" style="1189" customWidth="1"/>
    <col min="263" max="263" width="18.42578125" style="1189" bestFit="1" customWidth="1"/>
    <col min="264" max="512" width="8.7109375" style="1189"/>
    <col min="513" max="513" width="10.7109375" style="1189" bestFit="1" customWidth="1"/>
    <col min="514" max="514" width="16.5703125" style="1189" bestFit="1" customWidth="1"/>
    <col min="515" max="515" width="14.42578125" style="1189" bestFit="1" customWidth="1"/>
    <col min="516" max="516" width="15.85546875" style="1189" customWidth="1"/>
    <col min="517" max="517" width="12.42578125" style="1189" customWidth="1"/>
    <col min="518" max="518" width="11.85546875" style="1189" customWidth="1"/>
    <col min="519" max="519" width="18.42578125" style="1189" bestFit="1" customWidth="1"/>
    <col min="520" max="768" width="8.7109375" style="1189"/>
    <col min="769" max="769" width="10.7109375" style="1189" bestFit="1" customWidth="1"/>
    <col min="770" max="770" width="16.5703125" style="1189" bestFit="1" customWidth="1"/>
    <col min="771" max="771" width="14.42578125" style="1189" bestFit="1" customWidth="1"/>
    <col min="772" max="772" width="15.85546875" style="1189" customWidth="1"/>
    <col min="773" max="773" width="12.42578125" style="1189" customWidth="1"/>
    <col min="774" max="774" width="11.85546875" style="1189" customWidth="1"/>
    <col min="775" max="775" width="18.42578125" style="1189" bestFit="1" customWidth="1"/>
    <col min="776" max="1024" width="8.7109375" style="1189"/>
    <col min="1025" max="1025" width="10.7109375" style="1189" bestFit="1" customWidth="1"/>
    <col min="1026" max="1026" width="16.5703125" style="1189" bestFit="1" customWidth="1"/>
    <col min="1027" max="1027" width="14.42578125" style="1189" bestFit="1" customWidth="1"/>
    <col min="1028" max="1028" width="15.85546875" style="1189" customWidth="1"/>
    <col min="1029" max="1029" width="12.42578125" style="1189" customWidth="1"/>
    <col min="1030" max="1030" width="11.85546875" style="1189" customWidth="1"/>
    <col min="1031" max="1031" width="18.42578125" style="1189" bestFit="1" customWidth="1"/>
    <col min="1032" max="1280" width="8.7109375" style="1189"/>
    <col min="1281" max="1281" width="10.7109375" style="1189" bestFit="1" customWidth="1"/>
    <col min="1282" max="1282" width="16.5703125" style="1189" bestFit="1" customWidth="1"/>
    <col min="1283" max="1283" width="14.42578125" style="1189" bestFit="1" customWidth="1"/>
    <col min="1284" max="1284" width="15.85546875" style="1189" customWidth="1"/>
    <col min="1285" max="1285" width="12.42578125" style="1189" customWidth="1"/>
    <col min="1286" max="1286" width="11.85546875" style="1189" customWidth="1"/>
    <col min="1287" max="1287" width="18.42578125" style="1189" bestFit="1" customWidth="1"/>
    <col min="1288" max="1536" width="8.7109375" style="1189"/>
    <col min="1537" max="1537" width="10.7109375" style="1189" bestFit="1" customWidth="1"/>
    <col min="1538" max="1538" width="16.5703125" style="1189" bestFit="1" customWidth="1"/>
    <col min="1539" max="1539" width="14.42578125" style="1189" bestFit="1" customWidth="1"/>
    <col min="1540" max="1540" width="15.85546875" style="1189" customWidth="1"/>
    <col min="1541" max="1541" width="12.42578125" style="1189" customWidth="1"/>
    <col min="1542" max="1542" width="11.85546875" style="1189" customWidth="1"/>
    <col min="1543" max="1543" width="18.42578125" style="1189" bestFit="1" customWidth="1"/>
    <col min="1544" max="1792" width="8.7109375" style="1189"/>
    <col min="1793" max="1793" width="10.7109375" style="1189" bestFit="1" customWidth="1"/>
    <col min="1794" max="1794" width="16.5703125" style="1189" bestFit="1" customWidth="1"/>
    <col min="1795" max="1795" width="14.42578125" style="1189" bestFit="1" customWidth="1"/>
    <col min="1796" max="1796" width="15.85546875" style="1189" customWidth="1"/>
    <col min="1797" max="1797" width="12.42578125" style="1189" customWidth="1"/>
    <col min="1798" max="1798" width="11.85546875" style="1189" customWidth="1"/>
    <col min="1799" max="1799" width="18.42578125" style="1189" bestFit="1" customWidth="1"/>
    <col min="1800" max="2048" width="8.7109375" style="1189"/>
    <col min="2049" max="2049" width="10.7109375" style="1189" bestFit="1" customWidth="1"/>
    <col min="2050" max="2050" width="16.5703125" style="1189" bestFit="1" customWidth="1"/>
    <col min="2051" max="2051" width="14.42578125" style="1189" bestFit="1" customWidth="1"/>
    <col min="2052" max="2052" width="15.85546875" style="1189" customWidth="1"/>
    <col min="2053" max="2053" width="12.42578125" style="1189" customWidth="1"/>
    <col min="2054" max="2054" width="11.85546875" style="1189" customWidth="1"/>
    <col min="2055" max="2055" width="18.42578125" style="1189" bestFit="1" customWidth="1"/>
    <col min="2056" max="2304" width="8.7109375" style="1189"/>
    <col min="2305" max="2305" width="10.7109375" style="1189" bestFit="1" customWidth="1"/>
    <col min="2306" max="2306" width="16.5703125" style="1189" bestFit="1" customWidth="1"/>
    <col min="2307" max="2307" width="14.42578125" style="1189" bestFit="1" customWidth="1"/>
    <col min="2308" max="2308" width="15.85546875" style="1189" customWidth="1"/>
    <col min="2309" max="2309" width="12.42578125" style="1189" customWidth="1"/>
    <col min="2310" max="2310" width="11.85546875" style="1189" customWidth="1"/>
    <col min="2311" max="2311" width="18.42578125" style="1189" bestFit="1" customWidth="1"/>
    <col min="2312" max="2560" width="8.7109375" style="1189"/>
    <col min="2561" max="2561" width="10.7109375" style="1189" bestFit="1" customWidth="1"/>
    <col min="2562" max="2562" width="16.5703125" style="1189" bestFit="1" customWidth="1"/>
    <col min="2563" max="2563" width="14.42578125" style="1189" bestFit="1" customWidth="1"/>
    <col min="2564" max="2564" width="15.85546875" style="1189" customWidth="1"/>
    <col min="2565" max="2565" width="12.42578125" style="1189" customWidth="1"/>
    <col min="2566" max="2566" width="11.85546875" style="1189" customWidth="1"/>
    <col min="2567" max="2567" width="18.42578125" style="1189" bestFit="1" customWidth="1"/>
    <col min="2568" max="2816" width="8.7109375" style="1189"/>
    <col min="2817" max="2817" width="10.7109375" style="1189" bestFit="1" customWidth="1"/>
    <col min="2818" max="2818" width="16.5703125" style="1189" bestFit="1" customWidth="1"/>
    <col min="2819" max="2819" width="14.42578125" style="1189" bestFit="1" customWidth="1"/>
    <col min="2820" max="2820" width="15.85546875" style="1189" customWidth="1"/>
    <col min="2821" max="2821" width="12.42578125" style="1189" customWidth="1"/>
    <col min="2822" max="2822" width="11.85546875" style="1189" customWidth="1"/>
    <col min="2823" max="2823" width="18.42578125" style="1189" bestFit="1" customWidth="1"/>
    <col min="2824" max="3072" width="8.7109375" style="1189"/>
    <col min="3073" max="3073" width="10.7109375" style="1189" bestFit="1" customWidth="1"/>
    <col min="3074" max="3074" width="16.5703125" style="1189" bestFit="1" customWidth="1"/>
    <col min="3075" max="3075" width="14.42578125" style="1189" bestFit="1" customWidth="1"/>
    <col min="3076" max="3076" width="15.85546875" style="1189" customWidth="1"/>
    <col min="3077" max="3077" width="12.42578125" style="1189" customWidth="1"/>
    <col min="3078" max="3078" width="11.85546875" style="1189" customWidth="1"/>
    <col min="3079" max="3079" width="18.42578125" style="1189" bestFit="1" customWidth="1"/>
    <col min="3080" max="3328" width="8.7109375" style="1189"/>
    <col min="3329" max="3329" width="10.7109375" style="1189" bestFit="1" customWidth="1"/>
    <col min="3330" max="3330" width="16.5703125" style="1189" bestFit="1" customWidth="1"/>
    <col min="3331" max="3331" width="14.42578125" style="1189" bestFit="1" customWidth="1"/>
    <col min="3332" max="3332" width="15.85546875" style="1189" customWidth="1"/>
    <col min="3333" max="3333" width="12.42578125" style="1189" customWidth="1"/>
    <col min="3334" max="3334" width="11.85546875" style="1189" customWidth="1"/>
    <col min="3335" max="3335" width="18.42578125" style="1189" bestFit="1" customWidth="1"/>
    <col min="3336" max="3584" width="8.7109375" style="1189"/>
    <col min="3585" max="3585" width="10.7109375" style="1189" bestFit="1" customWidth="1"/>
    <col min="3586" max="3586" width="16.5703125" style="1189" bestFit="1" customWidth="1"/>
    <col min="3587" max="3587" width="14.42578125" style="1189" bestFit="1" customWidth="1"/>
    <col min="3588" max="3588" width="15.85546875" style="1189" customWidth="1"/>
    <col min="3589" max="3589" width="12.42578125" style="1189" customWidth="1"/>
    <col min="3590" max="3590" width="11.85546875" style="1189" customWidth="1"/>
    <col min="3591" max="3591" width="18.42578125" style="1189" bestFit="1" customWidth="1"/>
    <col min="3592" max="3840" width="8.7109375" style="1189"/>
    <col min="3841" max="3841" width="10.7109375" style="1189" bestFit="1" customWidth="1"/>
    <col min="3842" max="3842" width="16.5703125" style="1189" bestFit="1" customWidth="1"/>
    <col min="3843" max="3843" width="14.42578125" style="1189" bestFit="1" customWidth="1"/>
    <col min="3844" max="3844" width="15.85546875" style="1189" customWidth="1"/>
    <col min="3845" max="3845" width="12.42578125" style="1189" customWidth="1"/>
    <col min="3846" max="3846" width="11.85546875" style="1189" customWidth="1"/>
    <col min="3847" max="3847" width="18.42578125" style="1189" bestFit="1" customWidth="1"/>
    <col min="3848" max="4096" width="8.7109375" style="1189"/>
    <col min="4097" max="4097" width="10.7109375" style="1189" bestFit="1" customWidth="1"/>
    <col min="4098" max="4098" width="16.5703125" style="1189" bestFit="1" customWidth="1"/>
    <col min="4099" max="4099" width="14.42578125" style="1189" bestFit="1" customWidth="1"/>
    <col min="4100" max="4100" width="15.85546875" style="1189" customWidth="1"/>
    <col min="4101" max="4101" width="12.42578125" style="1189" customWidth="1"/>
    <col min="4102" max="4102" width="11.85546875" style="1189" customWidth="1"/>
    <col min="4103" max="4103" width="18.42578125" style="1189" bestFit="1" customWidth="1"/>
    <col min="4104" max="4352" width="8.7109375" style="1189"/>
    <col min="4353" max="4353" width="10.7109375" style="1189" bestFit="1" customWidth="1"/>
    <col min="4354" max="4354" width="16.5703125" style="1189" bestFit="1" customWidth="1"/>
    <col min="4355" max="4355" width="14.42578125" style="1189" bestFit="1" customWidth="1"/>
    <col min="4356" max="4356" width="15.85546875" style="1189" customWidth="1"/>
    <col min="4357" max="4357" width="12.42578125" style="1189" customWidth="1"/>
    <col min="4358" max="4358" width="11.85546875" style="1189" customWidth="1"/>
    <col min="4359" max="4359" width="18.42578125" style="1189" bestFit="1" customWidth="1"/>
    <col min="4360" max="4608" width="8.7109375" style="1189"/>
    <col min="4609" max="4609" width="10.7109375" style="1189" bestFit="1" customWidth="1"/>
    <col min="4610" max="4610" width="16.5703125" style="1189" bestFit="1" customWidth="1"/>
    <col min="4611" max="4611" width="14.42578125" style="1189" bestFit="1" customWidth="1"/>
    <col min="4612" max="4612" width="15.85546875" style="1189" customWidth="1"/>
    <col min="4613" max="4613" width="12.42578125" style="1189" customWidth="1"/>
    <col min="4614" max="4614" width="11.85546875" style="1189" customWidth="1"/>
    <col min="4615" max="4615" width="18.42578125" style="1189" bestFit="1" customWidth="1"/>
    <col min="4616" max="4864" width="8.7109375" style="1189"/>
    <col min="4865" max="4865" width="10.7109375" style="1189" bestFit="1" customWidth="1"/>
    <col min="4866" max="4866" width="16.5703125" style="1189" bestFit="1" customWidth="1"/>
    <col min="4867" max="4867" width="14.42578125" style="1189" bestFit="1" customWidth="1"/>
    <col min="4868" max="4868" width="15.85546875" style="1189" customWidth="1"/>
    <col min="4869" max="4869" width="12.42578125" style="1189" customWidth="1"/>
    <col min="4870" max="4870" width="11.85546875" style="1189" customWidth="1"/>
    <col min="4871" max="4871" width="18.42578125" style="1189" bestFit="1" customWidth="1"/>
    <col min="4872" max="5120" width="8.7109375" style="1189"/>
    <col min="5121" max="5121" width="10.7109375" style="1189" bestFit="1" customWidth="1"/>
    <col min="5122" max="5122" width="16.5703125" style="1189" bestFit="1" customWidth="1"/>
    <col min="5123" max="5123" width="14.42578125" style="1189" bestFit="1" customWidth="1"/>
    <col min="5124" max="5124" width="15.85546875" style="1189" customWidth="1"/>
    <col min="5125" max="5125" width="12.42578125" style="1189" customWidth="1"/>
    <col min="5126" max="5126" width="11.85546875" style="1189" customWidth="1"/>
    <col min="5127" max="5127" width="18.42578125" style="1189" bestFit="1" customWidth="1"/>
    <col min="5128" max="5376" width="8.7109375" style="1189"/>
    <col min="5377" max="5377" width="10.7109375" style="1189" bestFit="1" customWidth="1"/>
    <col min="5378" max="5378" width="16.5703125" style="1189" bestFit="1" customWidth="1"/>
    <col min="5379" max="5379" width="14.42578125" style="1189" bestFit="1" customWidth="1"/>
    <col min="5380" max="5380" width="15.85546875" style="1189" customWidth="1"/>
    <col min="5381" max="5381" width="12.42578125" style="1189" customWidth="1"/>
    <col min="5382" max="5382" width="11.85546875" style="1189" customWidth="1"/>
    <col min="5383" max="5383" width="18.42578125" style="1189" bestFit="1" customWidth="1"/>
    <col min="5384" max="5632" width="8.7109375" style="1189"/>
    <col min="5633" max="5633" width="10.7109375" style="1189" bestFit="1" customWidth="1"/>
    <col min="5634" max="5634" width="16.5703125" style="1189" bestFit="1" customWidth="1"/>
    <col min="5635" max="5635" width="14.42578125" style="1189" bestFit="1" customWidth="1"/>
    <col min="5636" max="5636" width="15.85546875" style="1189" customWidth="1"/>
    <col min="5637" max="5637" width="12.42578125" style="1189" customWidth="1"/>
    <col min="5638" max="5638" width="11.85546875" style="1189" customWidth="1"/>
    <col min="5639" max="5639" width="18.42578125" style="1189" bestFit="1" customWidth="1"/>
    <col min="5640" max="5888" width="8.7109375" style="1189"/>
    <col min="5889" max="5889" width="10.7109375" style="1189" bestFit="1" customWidth="1"/>
    <col min="5890" max="5890" width="16.5703125" style="1189" bestFit="1" customWidth="1"/>
    <col min="5891" max="5891" width="14.42578125" style="1189" bestFit="1" customWidth="1"/>
    <col min="5892" max="5892" width="15.85546875" style="1189" customWidth="1"/>
    <col min="5893" max="5893" width="12.42578125" style="1189" customWidth="1"/>
    <col min="5894" max="5894" width="11.85546875" style="1189" customWidth="1"/>
    <col min="5895" max="5895" width="18.42578125" style="1189" bestFit="1" customWidth="1"/>
    <col min="5896" max="6144" width="8.7109375" style="1189"/>
    <col min="6145" max="6145" width="10.7109375" style="1189" bestFit="1" customWidth="1"/>
    <col min="6146" max="6146" width="16.5703125" style="1189" bestFit="1" customWidth="1"/>
    <col min="6147" max="6147" width="14.42578125" style="1189" bestFit="1" customWidth="1"/>
    <col min="6148" max="6148" width="15.85546875" style="1189" customWidth="1"/>
    <col min="6149" max="6149" width="12.42578125" style="1189" customWidth="1"/>
    <col min="6150" max="6150" width="11.85546875" style="1189" customWidth="1"/>
    <col min="6151" max="6151" width="18.42578125" style="1189" bestFit="1" customWidth="1"/>
    <col min="6152" max="6400" width="8.7109375" style="1189"/>
    <col min="6401" max="6401" width="10.7109375" style="1189" bestFit="1" customWidth="1"/>
    <col min="6402" max="6402" width="16.5703125" style="1189" bestFit="1" customWidth="1"/>
    <col min="6403" max="6403" width="14.42578125" style="1189" bestFit="1" customWidth="1"/>
    <col min="6404" max="6404" width="15.85546875" style="1189" customWidth="1"/>
    <col min="6405" max="6405" width="12.42578125" style="1189" customWidth="1"/>
    <col min="6406" max="6406" width="11.85546875" style="1189" customWidth="1"/>
    <col min="6407" max="6407" width="18.42578125" style="1189" bestFit="1" customWidth="1"/>
    <col min="6408" max="6656" width="8.7109375" style="1189"/>
    <col min="6657" max="6657" width="10.7109375" style="1189" bestFit="1" customWidth="1"/>
    <col min="6658" max="6658" width="16.5703125" style="1189" bestFit="1" customWidth="1"/>
    <col min="6659" max="6659" width="14.42578125" style="1189" bestFit="1" customWidth="1"/>
    <col min="6660" max="6660" width="15.85546875" style="1189" customWidth="1"/>
    <col min="6661" max="6661" width="12.42578125" style="1189" customWidth="1"/>
    <col min="6662" max="6662" width="11.85546875" style="1189" customWidth="1"/>
    <col min="6663" max="6663" width="18.42578125" style="1189" bestFit="1" customWidth="1"/>
    <col min="6664" max="6912" width="8.7109375" style="1189"/>
    <col min="6913" max="6913" width="10.7109375" style="1189" bestFit="1" customWidth="1"/>
    <col min="6914" max="6914" width="16.5703125" style="1189" bestFit="1" customWidth="1"/>
    <col min="6915" max="6915" width="14.42578125" style="1189" bestFit="1" customWidth="1"/>
    <col min="6916" max="6916" width="15.85546875" style="1189" customWidth="1"/>
    <col min="6917" max="6917" width="12.42578125" style="1189" customWidth="1"/>
    <col min="6918" max="6918" width="11.85546875" style="1189" customWidth="1"/>
    <col min="6919" max="6919" width="18.42578125" style="1189" bestFit="1" customWidth="1"/>
    <col min="6920" max="7168" width="8.7109375" style="1189"/>
    <col min="7169" max="7169" width="10.7109375" style="1189" bestFit="1" customWidth="1"/>
    <col min="7170" max="7170" width="16.5703125" style="1189" bestFit="1" customWidth="1"/>
    <col min="7171" max="7171" width="14.42578125" style="1189" bestFit="1" customWidth="1"/>
    <col min="7172" max="7172" width="15.85546875" style="1189" customWidth="1"/>
    <col min="7173" max="7173" width="12.42578125" style="1189" customWidth="1"/>
    <col min="7174" max="7174" width="11.85546875" style="1189" customWidth="1"/>
    <col min="7175" max="7175" width="18.42578125" style="1189" bestFit="1" customWidth="1"/>
    <col min="7176" max="7424" width="8.7109375" style="1189"/>
    <col min="7425" max="7425" width="10.7109375" style="1189" bestFit="1" customWidth="1"/>
    <col min="7426" max="7426" width="16.5703125" style="1189" bestFit="1" customWidth="1"/>
    <col min="7427" max="7427" width="14.42578125" style="1189" bestFit="1" customWidth="1"/>
    <col min="7428" max="7428" width="15.85546875" style="1189" customWidth="1"/>
    <col min="7429" max="7429" width="12.42578125" style="1189" customWidth="1"/>
    <col min="7430" max="7430" width="11.85546875" style="1189" customWidth="1"/>
    <col min="7431" max="7431" width="18.42578125" style="1189" bestFit="1" customWidth="1"/>
    <col min="7432" max="7680" width="8.7109375" style="1189"/>
    <col min="7681" max="7681" width="10.7109375" style="1189" bestFit="1" customWidth="1"/>
    <col min="7682" max="7682" width="16.5703125" style="1189" bestFit="1" customWidth="1"/>
    <col min="7683" max="7683" width="14.42578125" style="1189" bestFit="1" customWidth="1"/>
    <col min="7684" max="7684" width="15.85546875" style="1189" customWidth="1"/>
    <col min="7685" max="7685" width="12.42578125" style="1189" customWidth="1"/>
    <col min="7686" max="7686" width="11.85546875" style="1189" customWidth="1"/>
    <col min="7687" max="7687" width="18.42578125" style="1189" bestFit="1" customWidth="1"/>
    <col min="7688" max="7936" width="8.7109375" style="1189"/>
    <col min="7937" max="7937" width="10.7109375" style="1189" bestFit="1" customWidth="1"/>
    <col min="7938" max="7938" width="16.5703125" style="1189" bestFit="1" customWidth="1"/>
    <col min="7939" max="7939" width="14.42578125" style="1189" bestFit="1" customWidth="1"/>
    <col min="7940" max="7940" width="15.85546875" style="1189" customWidth="1"/>
    <col min="7941" max="7941" width="12.42578125" style="1189" customWidth="1"/>
    <col min="7942" max="7942" width="11.85546875" style="1189" customWidth="1"/>
    <col min="7943" max="7943" width="18.42578125" style="1189" bestFit="1" customWidth="1"/>
    <col min="7944" max="8192" width="8.7109375" style="1189"/>
    <col min="8193" max="8193" width="10.7109375" style="1189" bestFit="1" customWidth="1"/>
    <col min="8194" max="8194" width="16.5703125" style="1189" bestFit="1" customWidth="1"/>
    <col min="8195" max="8195" width="14.42578125" style="1189" bestFit="1" customWidth="1"/>
    <col min="8196" max="8196" width="15.85546875" style="1189" customWidth="1"/>
    <col min="8197" max="8197" width="12.42578125" style="1189" customWidth="1"/>
    <col min="8198" max="8198" width="11.85546875" style="1189" customWidth="1"/>
    <col min="8199" max="8199" width="18.42578125" style="1189" bestFit="1" customWidth="1"/>
    <col min="8200" max="8448" width="8.7109375" style="1189"/>
    <col min="8449" max="8449" width="10.7109375" style="1189" bestFit="1" customWidth="1"/>
    <col min="8450" max="8450" width="16.5703125" style="1189" bestFit="1" customWidth="1"/>
    <col min="8451" max="8451" width="14.42578125" style="1189" bestFit="1" customWidth="1"/>
    <col min="8452" max="8452" width="15.85546875" style="1189" customWidth="1"/>
    <col min="8453" max="8453" width="12.42578125" style="1189" customWidth="1"/>
    <col min="8454" max="8454" width="11.85546875" style="1189" customWidth="1"/>
    <col min="8455" max="8455" width="18.42578125" style="1189" bestFit="1" customWidth="1"/>
    <col min="8456" max="8704" width="8.7109375" style="1189"/>
    <col min="8705" max="8705" width="10.7109375" style="1189" bestFit="1" customWidth="1"/>
    <col min="8706" max="8706" width="16.5703125" style="1189" bestFit="1" customWidth="1"/>
    <col min="8707" max="8707" width="14.42578125" style="1189" bestFit="1" customWidth="1"/>
    <col min="8708" max="8708" width="15.85546875" style="1189" customWidth="1"/>
    <col min="8709" max="8709" width="12.42578125" style="1189" customWidth="1"/>
    <col min="8710" max="8710" width="11.85546875" style="1189" customWidth="1"/>
    <col min="8711" max="8711" width="18.42578125" style="1189" bestFit="1" customWidth="1"/>
    <col min="8712" max="8960" width="8.7109375" style="1189"/>
    <col min="8961" max="8961" width="10.7109375" style="1189" bestFit="1" customWidth="1"/>
    <col min="8962" max="8962" width="16.5703125" style="1189" bestFit="1" customWidth="1"/>
    <col min="8963" max="8963" width="14.42578125" style="1189" bestFit="1" customWidth="1"/>
    <col min="8964" max="8964" width="15.85546875" style="1189" customWidth="1"/>
    <col min="8965" max="8965" width="12.42578125" style="1189" customWidth="1"/>
    <col min="8966" max="8966" width="11.85546875" style="1189" customWidth="1"/>
    <col min="8967" max="8967" width="18.42578125" style="1189" bestFit="1" customWidth="1"/>
    <col min="8968" max="9216" width="8.7109375" style="1189"/>
    <col min="9217" max="9217" width="10.7109375" style="1189" bestFit="1" customWidth="1"/>
    <col min="9218" max="9218" width="16.5703125" style="1189" bestFit="1" customWidth="1"/>
    <col min="9219" max="9219" width="14.42578125" style="1189" bestFit="1" customWidth="1"/>
    <col min="9220" max="9220" width="15.85546875" style="1189" customWidth="1"/>
    <col min="9221" max="9221" width="12.42578125" style="1189" customWidth="1"/>
    <col min="9222" max="9222" width="11.85546875" style="1189" customWidth="1"/>
    <col min="9223" max="9223" width="18.42578125" style="1189" bestFit="1" customWidth="1"/>
    <col min="9224" max="9472" width="8.7109375" style="1189"/>
    <col min="9473" max="9473" width="10.7109375" style="1189" bestFit="1" customWidth="1"/>
    <col min="9474" max="9474" width="16.5703125" style="1189" bestFit="1" customWidth="1"/>
    <col min="9475" max="9475" width="14.42578125" style="1189" bestFit="1" customWidth="1"/>
    <col min="9476" max="9476" width="15.85546875" style="1189" customWidth="1"/>
    <col min="9477" max="9477" width="12.42578125" style="1189" customWidth="1"/>
    <col min="9478" max="9478" width="11.85546875" style="1189" customWidth="1"/>
    <col min="9479" max="9479" width="18.42578125" style="1189" bestFit="1" customWidth="1"/>
    <col min="9480" max="9728" width="8.7109375" style="1189"/>
    <col min="9729" max="9729" width="10.7109375" style="1189" bestFit="1" customWidth="1"/>
    <col min="9730" max="9730" width="16.5703125" style="1189" bestFit="1" customWidth="1"/>
    <col min="9731" max="9731" width="14.42578125" style="1189" bestFit="1" customWidth="1"/>
    <col min="9732" max="9732" width="15.85546875" style="1189" customWidth="1"/>
    <col min="9733" max="9733" width="12.42578125" style="1189" customWidth="1"/>
    <col min="9734" max="9734" width="11.85546875" style="1189" customWidth="1"/>
    <col min="9735" max="9735" width="18.42578125" style="1189" bestFit="1" customWidth="1"/>
    <col min="9736" max="9984" width="8.7109375" style="1189"/>
    <col min="9985" max="9985" width="10.7109375" style="1189" bestFit="1" customWidth="1"/>
    <col min="9986" max="9986" width="16.5703125" style="1189" bestFit="1" customWidth="1"/>
    <col min="9987" max="9987" width="14.42578125" style="1189" bestFit="1" customWidth="1"/>
    <col min="9988" max="9988" width="15.85546875" style="1189" customWidth="1"/>
    <col min="9989" max="9989" width="12.42578125" style="1189" customWidth="1"/>
    <col min="9990" max="9990" width="11.85546875" style="1189" customWidth="1"/>
    <col min="9991" max="9991" width="18.42578125" style="1189" bestFit="1" customWidth="1"/>
    <col min="9992" max="10240" width="8.7109375" style="1189"/>
    <col min="10241" max="10241" width="10.7109375" style="1189" bestFit="1" customWidth="1"/>
    <col min="10242" max="10242" width="16.5703125" style="1189" bestFit="1" customWidth="1"/>
    <col min="10243" max="10243" width="14.42578125" style="1189" bestFit="1" customWidth="1"/>
    <col min="10244" max="10244" width="15.85546875" style="1189" customWidth="1"/>
    <col min="10245" max="10245" width="12.42578125" style="1189" customWidth="1"/>
    <col min="10246" max="10246" width="11.85546875" style="1189" customWidth="1"/>
    <col min="10247" max="10247" width="18.42578125" style="1189" bestFit="1" customWidth="1"/>
    <col min="10248" max="10496" width="8.7109375" style="1189"/>
    <col min="10497" max="10497" width="10.7109375" style="1189" bestFit="1" customWidth="1"/>
    <col min="10498" max="10498" width="16.5703125" style="1189" bestFit="1" customWidth="1"/>
    <col min="10499" max="10499" width="14.42578125" style="1189" bestFit="1" customWidth="1"/>
    <col min="10500" max="10500" width="15.85546875" style="1189" customWidth="1"/>
    <col min="10501" max="10501" width="12.42578125" style="1189" customWidth="1"/>
    <col min="10502" max="10502" width="11.85546875" style="1189" customWidth="1"/>
    <col min="10503" max="10503" width="18.42578125" style="1189" bestFit="1" customWidth="1"/>
    <col min="10504" max="10752" width="8.7109375" style="1189"/>
    <col min="10753" max="10753" width="10.7109375" style="1189" bestFit="1" customWidth="1"/>
    <col min="10754" max="10754" width="16.5703125" style="1189" bestFit="1" customWidth="1"/>
    <col min="10755" max="10755" width="14.42578125" style="1189" bestFit="1" customWidth="1"/>
    <col min="10756" max="10756" width="15.85546875" style="1189" customWidth="1"/>
    <col min="10757" max="10757" width="12.42578125" style="1189" customWidth="1"/>
    <col min="10758" max="10758" width="11.85546875" style="1189" customWidth="1"/>
    <col min="10759" max="10759" width="18.42578125" style="1189" bestFit="1" customWidth="1"/>
    <col min="10760" max="11008" width="8.7109375" style="1189"/>
    <col min="11009" max="11009" width="10.7109375" style="1189" bestFit="1" customWidth="1"/>
    <col min="11010" max="11010" width="16.5703125" style="1189" bestFit="1" customWidth="1"/>
    <col min="11011" max="11011" width="14.42578125" style="1189" bestFit="1" customWidth="1"/>
    <col min="11012" max="11012" width="15.85546875" style="1189" customWidth="1"/>
    <col min="11013" max="11013" width="12.42578125" style="1189" customWidth="1"/>
    <col min="11014" max="11014" width="11.85546875" style="1189" customWidth="1"/>
    <col min="11015" max="11015" width="18.42578125" style="1189" bestFit="1" customWidth="1"/>
    <col min="11016" max="11264" width="8.7109375" style="1189"/>
    <col min="11265" max="11265" width="10.7109375" style="1189" bestFit="1" customWidth="1"/>
    <col min="11266" max="11266" width="16.5703125" style="1189" bestFit="1" customWidth="1"/>
    <col min="11267" max="11267" width="14.42578125" style="1189" bestFit="1" customWidth="1"/>
    <col min="11268" max="11268" width="15.85546875" style="1189" customWidth="1"/>
    <col min="11269" max="11269" width="12.42578125" style="1189" customWidth="1"/>
    <col min="11270" max="11270" width="11.85546875" style="1189" customWidth="1"/>
    <col min="11271" max="11271" width="18.42578125" style="1189" bestFit="1" customWidth="1"/>
    <col min="11272" max="11520" width="8.7109375" style="1189"/>
    <col min="11521" max="11521" width="10.7109375" style="1189" bestFit="1" customWidth="1"/>
    <col min="11522" max="11522" width="16.5703125" style="1189" bestFit="1" customWidth="1"/>
    <col min="11523" max="11523" width="14.42578125" style="1189" bestFit="1" customWidth="1"/>
    <col min="11524" max="11524" width="15.85546875" style="1189" customWidth="1"/>
    <col min="11525" max="11525" width="12.42578125" style="1189" customWidth="1"/>
    <col min="11526" max="11526" width="11.85546875" style="1189" customWidth="1"/>
    <col min="11527" max="11527" width="18.42578125" style="1189" bestFit="1" customWidth="1"/>
    <col min="11528" max="11776" width="8.7109375" style="1189"/>
    <col min="11777" max="11777" width="10.7109375" style="1189" bestFit="1" customWidth="1"/>
    <col min="11778" max="11778" width="16.5703125" style="1189" bestFit="1" customWidth="1"/>
    <col min="11779" max="11779" width="14.42578125" style="1189" bestFit="1" customWidth="1"/>
    <col min="11780" max="11780" width="15.85546875" style="1189" customWidth="1"/>
    <col min="11781" max="11781" width="12.42578125" style="1189" customWidth="1"/>
    <col min="11782" max="11782" width="11.85546875" style="1189" customWidth="1"/>
    <col min="11783" max="11783" width="18.42578125" style="1189" bestFit="1" customWidth="1"/>
    <col min="11784" max="12032" width="8.7109375" style="1189"/>
    <col min="12033" max="12033" width="10.7109375" style="1189" bestFit="1" customWidth="1"/>
    <col min="12034" max="12034" width="16.5703125" style="1189" bestFit="1" customWidth="1"/>
    <col min="12035" max="12035" width="14.42578125" style="1189" bestFit="1" customWidth="1"/>
    <col min="12036" max="12036" width="15.85546875" style="1189" customWidth="1"/>
    <col min="12037" max="12037" width="12.42578125" style="1189" customWidth="1"/>
    <col min="12038" max="12038" width="11.85546875" style="1189" customWidth="1"/>
    <col min="12039" max="12039" width="18.42578125" style="1189" bestFit="1" customWidth="1"/>
    <col min="12040" max="12288" width="8.7109375" style="1189"/>
    <col min="12289" max="12289" width="10.7109375" style="1189" bestFit="1" customWidth="1"/>
    <col min="12290" max="12290" width="16.5703125" style="1189" bestFit="1" customWidth="1"/>
    <col min="12291" max="12291" width="14.42578125" style="1189" bestFit="1" customWidth="1"/>
    <col min="12292" max="12292" width="15.85546875" style="1189" customWidth="1"/>
    <col min="12293" max="12293" width="12.42578125" style="1189" customWidth="1"/>
    <col min="12294" max="12294" width="11.85546875" style="1189" customWidth="1"/>
    <col min="12295" max="12295" width="18.42578125" style="1189" bestFit="1" customWidth="1"/>
    <col min="12296" max="12544" width="8.7109375" style="1189"/>
    <col min="12545" max="12545" width="10.7109375" style="1189" bestFit="1" customWidth="1"/>
    <col min="12546" max="12546" width="16.5703125" style="1189" bestFit="1" customWidth="1"/>
    <col min="12547" max="12547" width="14.42578125" style="1189" bestFit="1" customWidth="1"/>
    <col min="12548" max="12548" width="15.85546875" style="1189" customWidth="1"/>
    <col min="12549" max="12549" width="12.42578125" style="1189" customWidth="1"/>
    <col min="12550" max="12550" width="11.85546875" style="1189" customWidth="1"/>
    <col min="12551" max="12551" width="18.42578125" style="1189" bestFit="1" customWidth="1"/>
    <col min="12552" max="12800" width="8.7109375" style="1189"/>
    <col min="12801" max="12801" width="10.7109375" style="1189" bestFit="1" customWidth="1"/>
    <col min="12802" max="12802" width="16.5703125" style="1189" bestFit="1" customWidth="1"/>
    <col min="12803" max="12803" width="14.42578125" style="1189" bestFit="1" customWidth="1"/>
    <col min="12804" max="12804" width="15.85546875" style="1189" customWidth="1"/>
    <col min="12805" max="12805" width="12.42578125" style="1189" customWidth="1"/>
    <col min="12806" max="12806" width="11.85546875" style="1189" customWidth="1"/>
    <col min="12807" max="12807" width="18.42578125" style="1189" bestFit="1" customWidth="1"/>
    <col min="12808" max="13056" width="8.7109375" style="1189"/>
    <col min="13057" max="13057" width="10.7109375" style="1189" bestFit="1" customWidth="1"/>
    <col min="13058" max="13058" width="16.5703125" style="1189" bestFit="1" customWidth="1"/>
    <col min="13059" max="13059" width="14.42578125" style="1189" bestFit="1" customWidth="1"/>
    <col min="13060" max="13060" width="15.85546875" style="1189" customWidth="1"/>
    <col min="13061" max="13061" width="12.42578125" style="1189" customWidth="1"/>
    <col min="13062" max="13062" width="11.85546875" style="1189" customWidth="1"/>
    <col min="13063" max="13063" width="18.42578125" style="1189" bestFit="1" customWidth="1"/>
    <col min="13064" max="13312" width="8.7109375" style="1189"/>
    <col min="13313" max="13313" width="10.7109375" style="1189" bestFit="1" customWidth="1"/>
    <col min="13314" max="13314" width="16.5703125" style="1189" bestFit="1" customWidth="1"/>
    <col min="13315" max="13315" width="14.42578125" style="1189" bestFit="1" customWidth="1"/>
    <col min="13316" max="13316" width="15.85546875" style="1189" customWidth="1"/>
    <col min="13317" max="13317" width="12.42578125" style="1189" customWidth="1"/>
    <col min="13318" max="13318" width="11.85546875" style="1189" customWidth="1"/>
    <col min="13319" max="13319" width="18.42578125" style="1189" bestFit="1" customWidth="1"/>
    <col min="13320" max="13568" width="8.7109375" style="1189"/>
    <col min="13569" max="13569" width="10.7109375" style="1189" bestFit="1" customWidth="1"/>
    <col min="13570" max="13570" width="16.5703125" style="1189" bestFit="1" customWidth="1"/>
    <col min="13571" max="13571" width="14.42578125" style="1189" bestFit="1" customWidth="1"/>
    <col min="13572" max="13572" width="15.85546875" style="1189" customWidth="1"/>
    <col min="13573" max="13573" width="12.42578125" style="1189" customWidth="1"/>
    <col min="13574" max="13574" width="11.85546875" style="1189" customWidth="1"/>
    <col min="13575" max="13575" width="18.42578125" style="1189" bestFit="1" customWidth="1"/>
    <col min="13576" max="13824" width="8.7109375" style="1189"/>
    <col min="13825" max="13825" width="10.7109375" style="1189" bestFit="1" customWidth="1"/>
    <col min="13826" max="13826" width="16.5703125" style="1189" bestFit="1" customWidth="1"/>
    <col min="13827" max="13827" width="14.42578125" style="1189" bestFit="1" customWidth="1"/>
    <col min="13828" max="13828" width="15.85546875" style="1189" customWidth="1"/>
    <col min="13829" max="13829" width="12.42578125" style="1189" customWidth="1"/>
    <col min="13830" max="13830" width="11.85546875" style="1189" customWidth="1"/>
    <col min="13831" max="13831" width="18.42578125" style="1189" bestFit="1" customWidth="1"/>
    <col min="13832" max="14080" width="8.7109375" style="1189"/>
    <col min="14081" max="14081" width="10.7109375" style="1189" bestFit="1" customWidth="1"/>
    <col min="14082" max="14082" width="16.5703125" style="1189" bestFit="1" customWidth="1"/>
    <col min="14083" max="14083" width="14.42578125" style="1189" bestFit="1" customWidth="1"/>
    <col min="14084" max="14084" width="15.85546875" style="1189" customWidth="1"/>
    <col min="14085" max="14085" width="12.42578125" style="1189" customWidth="1"/>
    <col min="14086" max="14086" width="11.85546875" style="1189" customWidth="1"/>
    <col min="14087" max="14087" width="18.42578125" style="1189" bestFit="1" customWidth="1"/>
    <col min="14088" max="14336" width="8.7109375" style="1189"/>
    <col min="14337" max="14337" width="10.7109375" style="1189" bestFit="1" customWidth="1"/>
    <col min="14338" max="14338" width="16.5703125" style="1189" bestFit="1" customWidth="1"/>
    <col min="14339" max="14339" width="14.42578125" style="1189" bestFit="1" customWidth="1"/>
    <col min="14340" max="14340" width="15.85546875" style="1189" customWidth="1"/>
    <col min="14341" max="14341" width="12.42578125" style="1189" customWidth="1"/>
    <col min="14342" max="14342" width="11.85546875" style="1189" customWidth="1"/>
    <col min="14343" max="14343" width="18.42578125" style="1189" bestFit="1" customWidth="1"/>
    <col min="14344" max="14592" width="8.7109375" style="1189"/>
    <col min="14593" max="14593" width="10.7109375" style="1189" bestFit="1" customWidth="1"/>
    <col min="14594" max="14594" width="16.5703125" style="1189" bestFit="1" customWidth="1"/>
    <col min="14595" max="14595" width="14.42578125" style="1189" bestFit="1" customWidth="1"/>
    <col min="14596" max="14596" width="15.85546875" style="1189" customWidth="1"/>
    <col min="14597" max="14597" width="12.42578125" style="1189" customWidth="1"/>
    <col min="14598" max="14598" width="11.85546875" style="1189" customWidth="1"/>
    <col min="14599" max="14599" width="18.42578125" style="1189" bestFit="1" customWidth="1"/>
    <col min="14600" max="14848" width="8.7109375" style="1189"/>
    <col min="14849" max="14849" width="10.7109375" style="1189" bestFit="1" customWidth="1"/>
    <col min="14850" max="14850" width="16.5703125" style="1189" bestFit="1" customWidth="1"/>
    <col min="14851" max="14851" width="14.42578125" style="1189" bestFit="1" customWidth="1"/>
    <col min="14852" max="14852" width="15.85546875" style="1189" customWidth="1"/>
    <col min="14853" max="14853" width="12.42578125" style="1189" customWidth="1"/>
    <col min="14854" max="14854" width="11.85546875" style="1189" customWidth="1"/>
    <col min="14855" max="14855" width="18.42578125" style="1189" bestFit="1" customWidth="1"/>
    <col min="14856" max="15104" width="8.7109375" style="1189"/>
    <col min="15105" max="15105" width="10.7109375" style="1189" bestFit="1" customWidth="1"/>
    <col min="15106" max="15106" width="16.5703125" style="1189" bestFit="1" customWidth="1"/>
    <col min="15107" max="15107" width="14.42578125" style="1189" bestFit="1" customWidth="1"/>
    <col min="15108" max="15108" width="15.85546875" style="1189" customWidth="1"/>
    <col min="15109" max="15109" width="12.42578125" style="1189" customWidth="1"/>
    <col min="15110" max="15110" width="11.85546875" style="1189" customWidth="1"/>
    <col min="15111" max="15111" width="18.42578125" style="1189" bestFit="1" customWidth="1"/>
    <col min="15112" max="15360" width="8.7109375" style="1189"/>
    <col min="15361" max="15361" width="10.7109375" style="1189" bestFit="1" customWidth="1"/>
    <col min="15362" max="15362" width="16.5703125" style="1189" bestFit="1" customWidth="1"/>
    <col min="15363" max="15363" width="14.42578125" style="1189" bestFit="1" customWidth="1"/>
    <col min="15364" max="15364" width="15.85546875" style="1189" customWidth="1"/>
    <col min="15365" max="15365" width="12.42578125" style="1189" customWidth="1"/>
    <col min="15366" max="15366" width="11.85546875" style="1189" customWidth="1"/>
    <col min="15367" max="15367" width="18.42578125" style="1189" bestFit="1" customWidth="1"/>
    <col min="15368" max="15616" width="8.7109375" style="1189"/>
    <col min="15617" max="15617" width="10.7109375" style="1189" bestFit="1" customWidth="1"/>
    <col min="15618" max="15618" width="16.5703125" style="1189" bestFit="1" customWidth="1"/>
    <col min="15619" max="15619" width="14.42578125" style="1189" bestFit="1" customWidth="1"/>
    <col min="15620" max="15620" width="15.85546875" style="1189" customWidth="1"/>
    <col min="15621" max="15621" width="12.42578125" style="1189" customWidth="1"/>
    <col min="15622" max="15622" width="11.85546875" style="1189" customWidth="1"/>
    <col min="15623" max="15623" width="18.42578125" style="1189" bestFit="1" customWidth="1"/>
    <col min="15624" max="15872" width="8.7109375" style="1189"/>
    <col min="15873" max="15873" width="10.7109375" style="1189" bestFit="1" customWidth="1"/>
    <col min="15874" max="15874" width="16.5703125" style="1189" bestFit="1" customWidth="1"/>
    <col min="15875" max="15875" width="14.42578125" style="1189" bestFit="1" customWidth="1"/>
    <col min="15876" max="15876" width="15.85546875" style="1189" customWidth="1"/>
    <col min="15877" max="15877" width="12.42578125" style="1189" customWidth="1"/>
    <col min="15878" max="15878" width="11.85546875" style="1189" customWidth="1"/>
    <col min="15879" max="15879" width="18.42578125" style="1189" bestFit="1" customWidth="1"/>
    <col min="15880" max="16128" width="8.7109375" style="1189"/>
    <col min="16129" max="16129" width="10.7109375" style="1189" bestFit="1" customWidth="1"/>
    <col min="16130" max="16130" width="16.5703125" style="1189" bestFit="1" customWidth="1"/>
    <col min="16131" max="16131" width="14.42578125" style="1189" bestFit="1" customWidth="1"/>
    <col min="16132" max="16132" width="15.85546875" style="1189" customWidth="1"/>
    <col min="16133" max="16133" width="12.42578125" style="1189" customWidth="1"/>
    <col min="16134" max="16134" width="11.85546875" style="1189" customWidth="1"/>
    <col min="16135" max="16135" width="18.42578125" style="1189" bestFit="1" customWidth="1"/>
    <col min="16136" max="16384" width="8.7109375" style="1189"/>
  </cols>
  <sheetData>
    <row r="1" spans="1:7">
      <c r="A1" s="1694" t="s">
        <v>3461</v>
      </c>
      <c r="B1" s="1694"/>
      <c r="C1" s="1694"/>
      <c r="D1" s="1694"/>
      <c r="E1" s="1694"/>
      <c r="F1" s="1694"/>
      <c r="G1" s="1694"/>
    </row>
    <row r="2" spans="1:7" ht="38.25">
      <c r="A2" s="1190" t="s">
        <v>2877</v>
      </c>
      <c r="B2" s="1190" t="s">
        <v>3267</v>
      </c>
      <c r="C2" s="1191" t="s">
        <v>3453</v>
      </c>
      <c r="D2" s="1191" t="s">
        <v>3566</v>
      </c>
      <c r="E2" s="1200" t="s">
        <v>3567</v>
      </c>
      <c r="F2" s="1191" t="s">
        <v>593</v>
      </c>
      <c r="G2" s="1190" t="s">
        <v>19</v>
      </c>
    </row>
    <row r="3" spans="1:7">
      <c r="A3" s="1694" t="s">
        <v>1675</v>
      </c>
      <c r="B3" s="1192" t="s">
        <v>3268</v>
      </c>
      <c r="C3" s="1196">
        <v>1</v>
      </c>
      <c r="D3" s="1196">
        <v>1</v>
      </c>
      <c r="E3" s="1195"/>
      <c r="F3" s="1196">
        <f>C3-D3-E3</f>
        <v>0</v>
      </c>
      <c r="G3" s="1196"/>
    </row>
    <row r="4" spans="1:7">
      <c r="A4" s="1694"/>
      <c r="B4" s="1201" t="s">
        <v>3269</v>
      </c>
      <c r="C4" s="1196">
        <v>1</v>
      </c>
      <c r="D4" s="1196">
        <v>1</v>
      </c>
      <c r="E4" s="1195"/>
      <c r="F4" s="1196">
        <f t="shared" ref="F4:F51" si="0">C4-D4-E4</f>
        <v>0</v>
      </c>
      <c r="G4" s="1196"/>
    </row>
    <row r="5" spans="1:7" ht="7.5" customHeight="1">
      <c r="A5" s="1192"/>
      <c r="B5" s="1192"/>
      <c r="C5" s="1196"/>
      <c r="D5" s="1196">
        <v>0</v>
      </c>
      <c r="E5" s="1195"/>
      <c r="F5" s="1196">
        <f t="shared" si="0"/>
        <v>0</v>
      </c>
      <c r="G5" s="1196"/>
    </row>
    <row r="6" spans="1:7">
      <c r="A6" s="1695" t="s">
        <v>2397</v>
      </c>
      <c r="B6" s="1192" t="s">
        <v>3268</v>
      </c>
      <c r="C6" s="1196">
        <v>35</v>
      </c>
      <c r="D6" s="1196">
        <v>33</v>
      </c>
      <c r="E6" s="1195"/>
      <c r="F6" s="1196">
        <f t="shared" si="0"/>
        <v>2</v>
      </c>
      <c r="G6" s="1196"/>
    </row>
    <row r="7" spans="1:7">
      <c r="A7" s="1696"/>
      <c r="B7" s="1201" t="s">
        <v>3269</v>
      </c>
      <c r="C7" s="1196">
        <v>13</v>
      </c>
      <c r="D7" s="1196">
        <v>14</v>
      </c>
      <c r="E7" s="1195"/>
      <c r="F7" s="1196">
        <f t="shared" si="0"/>
        <v>-1</v>
      </c>
      <c r="G7" s="1196" t="s">
        <v>3463</v>
      </c>
    </row>
    <row r="8" spans="1:7">
      <c r="A8" s="1696"/>
      <c r="B8" s="1201" t="s">
        <v>3270</v>
      </c>
      <c r="C8" s="1196">
        <v>3</v>
      </c>
      <c r="D8" s="1196">
        <v>2</v>
      </c>
      <c r="E8" s="1195"/>
      <c r="F8" s="1196">
        <f t="shared" si="0"/>
        <v>1</v>
      </c>
      <c r="G8" s="1196"/>
    </row>
    <row r="9" spans="1:7">
      <c r="A9" s="1696"/>
      <c r="B9" s="1201" t="s">
        <v>3271</v>
      </c>
      <c r="C9" s="1196">
        <v>1</v>
      </c>
      <c r="D9" s="1196">
        <v>1</v>
      </c>
      <c r="E9" s="1195"/>
      <c r="F9" s="1196">
        <f t="shared" si="0"/>
        <v>0</v>
      </c>
      <c r="G9" s="1196"/>
    </row>
    <row r="10" spans="1:7">
      <c r="A10" s="1696"/>
      <c r="B10" s="1201" t="s">
        <v>3272</v>
      </c>
      <c r="C10" s="1196">
        <v>6</v>
      </c>
      <c r="D10" s="1196">
        <v>5</v>
      </c>
      <c r="E10" s="1195">
        <v>1</v>
      </c>
      <c r="F10" s="1196">
        <f t="shared" si="0"/>
        <v>0</v>
      </c>
      <c r="G10" s="1196"/>
    </row>
    <row r="11" spans="1:7">
      <c r="A11" s="1696"/>
      <c r="B11" s="1205" t="s">
        <v>3464</v>
      </c>
      <c r="C11" s="1196">
        <v>28</v>
      </c>
      <c r="D11" s="1196">
        <v>11</v>
      </c>
      <c r="E11" s="1195">
        <v>13</v>
      </c>
      <c r="F11" s="1196">
        <f t="shared" si="0"/>
        <v>4</v>
      </c>
      <c r="G11" s="1196"/>
    </row>
    <row r="12" spans="1:7">
      <c r="A12" s="1696"/>
      <c r="B12" s="1205" t="s">
        <v>3465</v>
      </c>
      <c r="C12" s="1196">
        <v>9</v>
      </c>
      <c r="D12" s="1196">
        <v>6</v>
      </c>
      <c r="E12" s="1195">
        <v>3</v>
      </c>
      <c r="F12" s="1196">
        <f t="shared" si="0"/>
        <v>0</v>
      </c>
      <c r="G12" s="1196"/>
    </row>
    <row r="13" spans="1:7">
      <c r="A13" s="1696"/>
      <c r="B13" s="1205" t="s">
        <v>3466</v>
      </c>
      <c r="C13" s="1196">
        <v>12</v>
      </c>
      <c r="D13" s="1196">
        <v>8</v>
      </c>
      <c r="E13" s="1195"/>
      <c r="F13" s="1196">
        <f t="shared" si="0"/>
        <v>4</v>
      </c>
      <c r="G13" s="1196"/>
    </row>
    <row r="14" spans="1:7">
      <c r="A14" s="1696"/>
      <c r="B14" s="1205" t="s">
        <v>3467</v>
      </c>
      <c r="C14" s="1196">
        <v>10</v>
      </c>
      <c r="D14" s="1196">
        <v>8</v>
      </c>
      <c r="E14" s="1195">
        <v>2</v>
      </c>
      <c r="F14" s="1196">
        <f t="shared" si="0"/>
        <v>0</v>
      </c>
      <c r="G14" s="1196"/>
    </row>
    <row r="15" spans="1:7">
      <c r="A15" s="1696"/>
      <c r="B15" s="1205" t="s">
        <v>3468</v>
      </c>
      <c r="C15" s="1196">
        <v>17</v>
      </c>
      <c r="D15" s="1196">
        <v>7</v>
      </c>
      <c r="E15" s="1195">
        <v>10</v>
      </c>
      <c r="F15" s="1196">
        <f t="shared" si="0"/>
        <v>0</v>
      </c>
      <c r="G15" s="1196"/>
    </row>
    <row r="16" spans="1:7">
      <c r="A16" s="1696"/>
      <c r="B16" s="1205" t="s">
        <v>3469</v>
      </c>
      <c r="C16" s="1196">
        <v>1</v>
      </c>
      <c r="D16" s="1196">
        <v>1</v>
      </c>
      <c r="E16" s="1195"/>
      <c r="F16" s="1196">
        <f t="shared" si="0"/>
        <v>0</v>
      </c>
      <c r="G16" s="1196"/>
    </row>
    <row r="17" spans="1:7">
      <c r="A17" s="1696"/>
      <c r="B17" s="1205" t="s">
        <v>3470</v>
      </c>
      <c r="C17" s="1196">
        <v>7</v>
      </c>
      <c r="D17" s="1196">
        <v>2</v>
      </c>
      <c r="E17" s="1195">
        <v>5</v>
      </c>
      <c r="F17" s="1196">
        <f t="shared" si="0"/>
        <v>0</v>
      </c>
      <c r="G17" s="1196"/>
    </row>
    <row r="18" spans="1:7">
      <c r="A18" s="1696"/>
      <c r="B18" s="1205" t="s">
        <v>3471</v>
      </c>
      <c r="C18" s="1196">
        <v>1</v>
      </c>
      <c r="D18" s="1196">
        <v>1</v>
      </c>
      <c r="E18" s="1195"/>
      <c r="F18" s="1196">
        <f t="shared" si="0"/>
        <v>0</v>
      </c>
      <c r="G18" s="1196"/>
    </row>
    <row r="19" spans="1:7">
      <c r="A19" s="1696"/>
      <c r="B19" s="1205" t="s">
        <v>3472</v>
      </c>
      <c r="C19" s="1196">
        <v>7</v>
      </c>
      <c r="D19" s="1196">
        <v>0</v>
      </c>
      <c r="E19" s="1195">
        <v>7</v>
      </c>
      <c r="F19" s="1196">
        <f t="shared" si="0"/>
        <v>0</v>
      </c>
      <c r="G19" s="1196"/>
    </row>
    <row r="20" spans="1:7" ht="7.5" customHeight="1">
      <c r="A20" s="1192"/>
      <c r="B20" s="1192"/>
      <c r="C20" s="1196"/>
      <c r="D20" s="1196">
        <v>0</v>
      </c>
      <c r="E20" s="1195"/>
      <c r="F20" s="1196">
        <f t="shared" si="0"/>
        <v>0</v>
      </c>
      <c r="G20" s="1196"/>
    </row>
    <row r="21" spans="1:7">
      <c r="A21" s="1695" t="s">
        <v>2398</v>
      </c>
      <c r="B21" s="1192" t="s">
        <v>3268</v>
      </c>
      <c r="C21" s="1196">
        <v>35</v>
      </c>
      <c r="D21" s="1196">
        <v>33</v>
      </c>
      <c r="E21" s="1195"/>
      <c r="F21" s="1196">
        <f t="shared" si="0"/>
        <v>2</v>
      </c>
      <c r="G21" s="1196"/>
    </row>
    <row r="22" spans="1:7">
      <c r="A22" s="1696"/>
      <c r="B22" s="1201" t="s">
        <v>3269</v>
      </c>
      <c r="C22" s="1196">
        <v>13</v>
      </c>
      <c r="D22" s="1196">
        <v>12</v>
      </c>
      <c r="E22" s="1195"/>
      <c r="F22" s="1196">
        <f t="shared" si="0"/>
        <v>1</v>
      </c>
      <c r="G22" s="1196"/>
    </row>
    <row r="23" spans="1:7">
      <c r="A23" s="1696"/>
      <c r="B23" s="1201" t="s">
        <v>3270</v>
      </c>
      <c r="C23" s="1196">
        <v>1</v>
      </c>
      <c r="D23" s="1196">
        <v>1</v>
      </c>
      <c r="E23" s="1195"/>
      <c r="F23" s="1196">
        <f t="shared" si="0"/>
        <v>0</v>
      </c>
      <c r="G23" s="1196"/>
    </row>
    <row r="24" spans="1:7">
      <c r="A24" s="1696"/>
      <c r="B24" s="1201" t="s">
        <v>3271</v>
      </c>
      <c r="C24" s="1196"/>
      <c r="D24" s="1196">
        <v>0</v>
      </c>
      <c r="E24" s="1195"/>
      <c r="F24" s="1196">
        <f t="shared" si="0"/>
        <v>0</v>
      </c>
      <c r="G24" s="1196"/>
    </row>
    <row r="25" spans="1:7">
      <c r="A25" s="1696"/>
      <c r="B25" s="1201" t="s">
        <v>3272</v>
      </c>
      <c r="C25" s="1196">
        <v>5</v>
      </c>
      <c r="D25" s="1196">
        <v>3</v>
      </c>
      <c r="E25" s="1195">
        <v>2</v>
      </c>
      <c r="F25" s="1196">
        <f t="shared" si="0"/>
        <v>0</v>
      </c>
      <c r="G25" s="1196"/>
    </row>
    <row r="26" spans="1:7">
      <c r="A26" s="1696"/>
      <c r="B26" s="1205" t="s">
        <v>3464</v>
      </c>
      <c r="C26" s="1196">
        <v>31</v>
      </c>
      <c r="D26" s="1196">
        <v>19</v>
      </c>
      <c r="E26" s="1195">
        <v>12</v>
      </c>
      <c r="F26" s="1196">
        <f t="shared" si="0"/>
        <v>0</v>
      </c>
      <c r="G26" s="1196"/>
    </row>
    <row r="27" spans="1:7">
      <c r="A27" s="1696"/>
      <c r="B27" s="1205" t="s">
        <v>3465</v>
      </c>
      <c r="C27" s="1196">
        <v>13</v>
      </c>
      <c r="D27" s="1196">
        <v>8</v>
      </c>
      <c r="E27" s="1195">
        <v>5</v>
      </c>
      <c r="F27" s="1196">
        <f t="shared" si="0"/>
        <v>0</v>
      </c>
      <c r="G27" s="1196"/>
    </row>
    <row r="28" spans="1:7">
      <c r="A28" s="1696"/>
      <c r="B28" s="1205" t="s">
        <v>3466</v>
      </c>
      <c r="C28" s="1196">
        <v>15</v>
      </c>
      <c r="D28" s="1196">
        <v>7</v>
      </c>
      <c r="E28" s="1195">
        <v>4</v>
      </c>
      <c r="F28" s="1196">
        <f t="shared" si="0"/>
        <v>4</v>
      </c>
      <c r="G28" s="1196"/>
    </row>
    <row r="29" spans="1:7">
      <c r="A29" s="1696"/>
      <c r="B29" s="1205" t="s">
        <v>3467</v>
      </c>
      <c r="C29" s="1196">
        <v>7</v>
      </c>
      <c r="D29" s="1196">
        <v>3</v>
      </c>
      <c r="E29" s="1195">
        <v>4</v>
      </c>
      <c r="F29" s="1196">
        <f t="shared" si="0"/>
        <v>0</v>
      </c>
      <c r="G29" s="1196"/>
    </row>
    <row r="30" spans="1:7">
      <c r="A30" s="1696"/>
      <c r="B30" s="1205" t="s">
        <v>3468</v>
      </c>
      <c r="C30" s="1196">
        <v>18</v>
      </c>
      <c r="D30" s="1196">
        <v>7</v>
      </c>
      <c r="E30" s="1195">
        <v>11</v>
      </c>
      <c r="F30" s="1196">
        <f t="shared" si="0"/>
        <v>0</v>
      </c>
      <c r="G30" s="1196"/>
    </row>
    <row r="31" spans="1:7">
      <c r="A31" s="1696"/>
      <c r="B31" s="1205" t="s">
        <v>3469</v>
      </c>
      <c r="C31" s="1196">
        <v>2</v>
      </c>
      <c r="D31" s="1196">
        <v>0</v>
      </c>
      <c r="E31" s="1195"/>
      <c r="F31" s="1196">
        <f t="shared" si="0"/>
        <v>2</v>
      </c>
      <c r="G31" s="1196"/>
    </row>
    <row r="32" spans="1:7">
      <c r="A32" s="1696"/>
      <c r="B32" s="1205" t="s">
        <v>3470</v>
      </c>
      <c r="C32" s="1196">
        <v>5</v>
      </c>
      <c r="D32" s="1196">
        <v>1</v>
      </c>
      <c r="E32" s="1195">
        <v>4</v>
      </c>
      <c r="F32" s="1196">
        <f t="shared" si="0"/>
        <v>0</v>
      </c>
      <c r="G32" s="1196"/>
    </row>
    <row r="33" spans="1:7">
      <c r="A33" s="1696"/>
      <c r="B33" s="1205" t="s">
        <v>3471</v>
      </c>
      <c r="C33" s="1196">
        <v>5</v>
      </c>
      <c r="D33" s="1196">
        <v>1</v>
      </c>
      <c r="E33" s="1195">
        <v>4</v>
      </c>
      <c r="F33" s="1196">
        <f t="shared" si="0"/>
        <v>0</v>
      </c>
      <c r="G33" s="1196"/>
    </row>
    <row r="34" spans="1:7">
      <c r="A34" s="1696"/>
      <c r="B34" s="1205" t="s">
        <v>3472</v>
      </c>
      <c r="C34" s="1196">
        <v>16</v>
      </c>
      <c r="D34" s="1196">
        <v>6</v>
      </c>
      <c r="E34" s="1195">
        <v>8</v>
      </c>
      <c r="F34" s="1196">
        <f t="shared" si="0"/>
        <v>2</v>
      </c>
      <c r="G34" s="1196"/>
    </row>
    <row r="35" spans="1:7" ht="6.95" customHeight="1">
      <c r="A35" s="1192"/>
      <c r="B35" s="1192"/>
      <c r="C35" s="1196"/>
      <c r="D35" s="1196">
        <v>0</v>
      </c>
      <c r="E35" s="1195"/>
      <c r="F35" s="1196">
        <f t="shared" si="0"/>
        <v>0</v>
      </c>
      <c r="G35" s="1196"/>
    </row>
    <row r="36" spans="1:7">
      <c r="A36" s="1694" t="s">
        <v>2425</v>
      </c>
      <c r="B36" s="1192" t="s">
        <v>3268</v>
      </c>
      <c r="C36" s="1196">
        <v>41</v>
      </c>
      <c r="D36" s="1196">
        <v>35</v>
      </c>
      <c r="E36" s="1195"/>
      <c r="F36" s="1196">
        <f t="shared" si="0"/>
        <v>6</v>
      </c>
      <c r="G36" s="1196"/>
    </row>
    <row r="37" spans="1:7">
      <c r="A37" s="1694"/>
      <c r="B37" s="1201" t="s">
        <v>3269</v>
      </c>
      <c r="C37" s="1196">
        <v>27</v>
      </c>
      <c r="D37" s="1196">
        <v>15</v>
      </c>
      <c r="E37" s="1195">
        <v>7</v>
      </c>
      <c r="F37" s="1196">
        <f t="shared" si="0"/>
        <v>5</v>
      </c>
      <c r="G37" s="1196"/>
    </row>
    <row r="38" spans="1:7">
      <c r="A38" s="1694"/>
      <c r="B38" s="1201" t="s">
        <v>3270</v>
      </c>
      <c r="C38" s="1196">
        <v>1</v>
      </c>
      <c r="D38" s="1196">
        <v>1</v>
      </c>
      <c r="E38" s="1195"/>
      <c r="F38" s="1196">
        <f t="shared" si="0"/>
        <v>0</v>
      </c>
      <c r="G38" s="1196"/>
    </row>
    <row r="39" spans="1:7">
      <c r="A39" s="1694"/>
      <c r="B39" s="1201" t="s">
        <v>3271</v>
      </c>
      <c r="C39" s="1196">
        <v>1</v>
      </c>
      <c r="D39" s="1196">
        <v>0</v>
      </c>
      <c r="E39" s="1195"/>
      <c r="F39" s="1196">
        <f t="shared" si="0"/>
        <v>1</v>
      </c>
      <c r="G39" s="1196"/>
    </row>
    <row r="40" spans="1:7">
      <c r="A40" s="1694"/>
      <c r="B40" s="1201" t="s">
        <v>3272</v>
      </c>
      <c r="C40" s="1196">
        <v>9</v>
      </c>
      <c r="D40" s="1196">
        <v>5</v>
      </c>
      <c r="E40" s="1195">
        <v>1</v>
      </c>
      <c r="F40" s="1196">
        <f t="shared" si="0"/>
        <v>3</v>
      </c>
      <c r="G40" s="1196"/>
    </row>
    <row r="41" spans="1:7">
      <c r="A41" s="1694"/>
      <c r="B41" s="1205" t="s">
        <v>3464</v>
      </c>
      <c r="C41" s="1196">
        <v>10</v>
      </c>
      <c r="D41" s="1196">
        <v>7</v>
      </c>
      <c r="E41" s="1195">
        <v>3</v>
      </c>
      <c r="F41" s="1196">
        <f t="shared" si="0"/>
        <v>0</v>
      </c>
      <c r="G41" s="1196"/>
    </row>
    <row r="42" spans="1:7">
      <c r="A42" s="1694"/>
      <c r="B42" s="1205" t="s">
        <v>3465</v>
      </c>
      <c r="C42" s="1196">
        <v>5</v>
      </c>
      <c r="D42" s="1196">
        <v>2</v>
      </c>
      <c r="E42" s="1195">
        <v>1</v>
      </c>
      <c r="F42" s="1196">
        <f t="shared" si="0"/>
        <v>2</v>
      </c>
      <c r="G42" s="1196"/>
    </row>
    <row r="43" spans="1:7">
      <c r="A43" s="1694"/>
      <c r="B43" s="1205" t="s">
        <v>3466</v>
      </c>
      <c r="C43" s="1196">
        <v>24</v>
      </c>
      <c r="D43" s="1196">
        <v>9</v>
      </c>
      <c r="E43" s="1195">
        <v>13</v>
      </c>
      <c r="F43" s="1196">
        <f t="shared" si="0"/>
        <v>2</v>
      </c>
      <c r="G43" s="1196"/>
    </row>
    <row r="44" spans="1:7">
      <c r="A44" s="1694"/>
      <c r="B44" s="1205" t="s">
        <v>3467</v>
      </c>
      <c r="C44" s="1196">
        <v>5</v>
      </c>
      <c r="D44" s="1196">
        <v>3</v>
      </c>
      <c r="E44" s="1195">
        <v>2</v>
      </c>
      <c r="F44" s="1196">
        <f t="shared" si="0"/>
        <v>0</v>
      </c>
      <c r="G44" s="1196"/>
    </row>
    <row r="45" spans="1:7">
      <c r="A45" s="1694"/>
      <c r="B45" s="1205" t="s">
        <v>3468</v>
      </c>
      <c r="C45" s="1196">
        <v>8</v>
      </c>
      <c r="D45" s="1196">
        <v>7</v>
      </c>
      <c r="E45" s="1195"/>
      <c r="F45" s="1196">
        <f t="shared" si="0"/>
        <v>1</v>
      </c>
      <c r="G45" s="1196"/>
    </row>
    <row r="46" spans="1:7">
      <c r="A46" s="1694"/>
      <c r="B46" s="1205" t="s">
        <v>3469</v>
      </c>
      <c r="C46" s="1196"/>
      <c r="D46" s="1196">
        <v>0</v>
      </c>
      <c r="E46" s="1195"/>
      <c r="F46" s="1196">
        <f t="shared" si="0"/>
        <v>0</v>
      </c>
      <c r="G46" s="1196"/>
    </row>
    <row r="47" spans="1:7">
      <c r="A47" s="1694"/>
      <c r="B47" s="1205" t="s">
        <v>3470</v>
      </c>
      <c r="C47" s="1196">
        <v>5</v>
      </c>
      <c r="D47" s="1196">
        <v>1</v>
      </c>
      <c r="E47" s="1195">
        <v>3</v>
      </c>
      <c r="F47" s="1196">
        <f t="shared" si="0"/>
        <v>1</v>
      </c>
      <c r="G47" s="1196"/>
    </row>
    <row r="48" spans="1:7">
      <c r="A48" s="1694"/>
      <c r="B48" s="1205" t="s">
        <v>3471</v>
      </c>
      <c r="C48" s="1196">
        <v>3</v>
      </c>
      <c r="D48" s="1196">
        <v>0</v>
      </c>
      <c r="E48" s="1195"/>
      <c r="F48" s="1196">
        <f t="shared" si="0"/>
        <v>3</v>
      </c>
      <c r="G48" s="1196"/>
    </row>
    <row r="49" spans="1:7">
      <c r="A49" s="1694"/>
      <c r="B49" s="1205" t="s">
        <v>3472</v>
      </c>
      <c r="C49" s="1196">
        <v>12</v>
      </c>
      <c r="D49" s="1196">
        <v>0</v>
      </c>
      <c r="E49" s="1195">
        <v>12</v>
      </c>
      <c r="F49" s="1196">
        <f t="shared" si="0"/>
        <v>0</v>
      </c>
      <c r="G49" s="1196"/>
    </row>
    <row r="50" spans="1:7">
      <c r="A50" s="1694"/>
      <c r="B50" s="1201" t="s">
        <v>3273</v>
      </c>
      <c r="C50" s="1196">
        <v>6</v>
      </c>
      <c r="D50" s="1196">
        <v>0</v>
      </c>
      <c r="E50" s="1195">
        <v>1</v>
      </c>
      <c r="F50" s="1196">
        <f t="shared" si="0"/>
        <v>5</v>
      </c>
      <c r="G50" s="1196"/>
    </row>
    <row r="51" spans="1:7">
      <c r="A51" s="1694"/>
      <c r="B51" s="1201" t="s">
        <v>3274</v>
      </c>
      <c r="C51" s="1196">
        <v>1</v>
      </c>
      <c r="D51" s="1196">
        <v>0</v>
      </c>
      <c r="E51" s="1195"/>
      <c r="F51" s="1196">
        <f t="shared" si="0"/>
        <v>1</v>
      </c>
      <c r="G51" s="1196"/>
    </row>
    <row r="52" spans="1:7">
      <c r="A52" s="1694" t="s">
        <v>994</v>
      </c>
      <c r="B52" s="1694"/>
      <c r="C52" s="1192">
        <f t="shared" ref="C52:F52" si="1">C36+C21+C6+C3</f>
        <v>112</v>
      </c>
      <c r="D52" s="1192">
        <f t="shared" si="1"/>
        <v>102</v>
      </c>
      <c r="E52" s="1192">
        <f t="shared" si="1"/>
        <v>0</v>
      </c>
      <c r="F52" s="1192">
        <f t="shared" si="1"/>
        <v>10</v>
      </c>
      <c r="G52" s="119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5"/>
  <cols>
    <col min="1" max="1" width="2.42578125" customWidth="1"/>
    <col min="2" max="2" width="4.5703125" bestFit="1" customWidth="1"/>
    <col min="3" max="3" width="15.5703125" bestFit="1" customWidth="1"/>
    <col min="4" max="4" width="9.42578125" style="2" customWidth="1"/>
    <col min="5" max="6" width="12.140625" style="2" bestFit="1" customWidth="1"/>
    <col min="7" max="7" width="9.5703125" style="2" customWidth="1"/>
  </cols>
  <sheetData>
    <row r="2" spans="2:7">
      <c r="B2" s="1536" t="s">
        <v>28</v>
      </c>
      <c r="C2" s="1536"/>
      <c r="D2" s="1536"/>
      <c r="E2" s="1536"/>
      <c r="F2" s="1536"/>
      <c r="G2" s="1536"/>
    </row>
    <row r="3" spans="2:7">
      <c r="B3" s="1707" t="s">
        <v>1782</v>
      </c>
      <c r="C3" s="1707" t="s">
        <v>2401</v>
      </c>
      <c r="D3" s="1703" t="s">
        <v>3541</v>
      </c>
      <c r="E3" s="1705" t="s">
        <v>3540</v>
      </c>
      <c r="F3" s="1706"/>
      <c r="G3" s="1703" t="s">
        <v>3532</v>
      </c>
    </row>
    <row r="4" spans="2:7" s="368" customFormat="1" ht="30">
      <c r="B4" s="1708"/>
      <c r="C4" s="1708"/>
      <c r="D4" s="1704"/>
      <c r="E4" s="1246" t="s">
        <v>3542</v>
      </c>
      <c r="F4" s="1246" t="s">
        <v>3543</v>
      </c>
      <c r="G4" s="1704"/>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3" customFormat="1">
      <c r="D8" s="9">
        <f>SUM(D5:D7)</f>
        <v>27</v>
      </c>
      <c r="E8" s="9">
        <f t="shared" ref="E8:G8" si="0">SUM(E5:E7)</f>
        <v>1</v>
      </c>
      <c r="F8" s="9">
        <f t="shared" si="0"/>
        <v>4</v>
      </c>
      <c r="G8" s="9">
        <f t="shared" si="0"/>
        <v>32</v>
      </c>
    </row>
    <row r="10" spans="2:7">
      <c r="B10" s="1536" t="s">
        <v>610</v>
      </c>
      <c r="C10" s="1536"/>
      <c r="D10" s="1536"/>
      <c r="E10" s="1536"/>
      <c r="F10" s="1536"/>
      <c r="G10" s="1536"/>
    </row>
    <row r="11" spans="2:7" ht="14.45" customHeight="1">
      <c r="B11" s="1707" t="s">
        <v>1782</v>
      </c>
      <c r="C11" s="1707" t="s">
        <v>2401</v>
      </c>
      <c r="D11" s="1703" t="s">
        <v>3541</v>
      </c>
      <c r="E11" s="1705" t="s">
        <v>3540</v>
      </c>
      <c r="F11" s="1706"/>
      <c r="G11" s="998"/>
    </row>
    <row r="12" spans="2:7" ht="30">
      <c r="B12" s="1708"/>
      <c r="C12" s="1708"/>
      <c r="D12" s="1704"/>
      <c r="E12" s="1246" t="s">
        <v>3542</v>
      </c>
      <c r="F12" s="1246" t="s">
        <v>3543</v>
      </c>
      <c r="G12" s="1246" t="s">
        <v>3532</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3"/>
      <c r="C15" s="753"/>
      <c r="D15" s="9">
        <f>SUM(D13:D14)</f>
        <v>9</v>
      </c>
      <c r="E15" s="9">
        <f t="shared" ref="E15:G15" si="1">SUM(E13:E14)</f>
        <v>3</v>
      </c>
      <c r="F15" s="9">
        <f t="shared" si="1"/>
        <v>8</v>
      </c>
      <c r="G15" s="9">
        <f t="shared" si="1"/>
        <v>20</v>
      </c>
    </row>
    <row r="17" spans="2:7">
      <c r="B17" s="1536" t="s">
        <v>614</v>
      </c>
      <c r="C17" s="1536"/>
      <c r="D17" s="1536"/>
      <c r="E17" s="1536"/>
      <c r="F17" s="1536"/>
      <c r="G17" s="1536"/>
    </row>
    <row r="18" spans="2:7">
      <c r="B18" s="1707" t="s">
        <v>1782</v>
      </c>
      <c r="C18" s="1707" t="s">
        <v>2401</v>
      </c>
      <c r="D18" s="1703" t="s">
        <v>3541</v>
      </c>
      <c r="E18" s="1705" t="s">
        <v>3540</v>
      </c>
      <c r="F18" s="1706"/>
      <c r="G18" s="998"/>
    </row>
    <row r="19" spans="2:7" ht="30">
      <c r="B19" s="1708"/>
      <c r="C19" s="1708"/>
      <c r="D19" s="1704"/>
      <c r="E19" s="1246" t="s">
        <v>3542</v>
      </c>
      <c r="F19" s="1246" t="s">
        <v>3543</v>
      </c>
      <c r="G19" s="1246" t="s">
        <v>3532</v>
      </c>
    </row>
    <row r="20" spans="2:7">
      <c r="B20" s="13">
        <v>1</v>
      </c>
      <c r="C20" s="12" t="s">
        <v>2691</v>
      </c>
      <c r="D20" s="13"/>
      <c r="E20" s="13"/>
      <c r="F20" s="13">
        <v>1</v>
      </c>
      <c r="G20" s="13">
        <f>SUM(D20:F20)</f>
        <v>1</v>
      </c>
    </row>
    <row r="21" spans="2:7">
      <c r="B21" s="753"/>
      <c r="C21" s="753"/>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5"/>
  <cols>
    <col min="1" max="1" width="1" customWidth="1"/>
    <col min="2" max="2" width="4.5703125" style="2" bestFit="1" customWidth="1"/>
    <col min="3" max="3" width="15.5703125" bestFit="1" customWidth="1"/>
    <col min="4" max="4" width="8.42578125" style="2" bestFit="1" customWidth="1"/>
    <col min="5" max="5" width="11.42578125" style="2" customWidth="1"/>
    <col min="6" max="6" width="22.85546875" bestFit="1" customWidth="1"/>
    <col min="7" max="7" width="1.42578125" customWidth="1"/>
    <col min="8" max="8" width="4.5703125" bestFit="1" customWidth="1"/>
    <col min="9" max="9" width="18.5703125" bestFit="1" customWidth="1"/>
    <col min="11" max="11" width="13.85546875" customWidth="1"/>
    <col min="12" max="12" width="22.85546875" bestFit="1" customWidth="1"/>
    <col min="13" max="13" width="1.42578125" customWidth="1"/>
    <col min="15" max="15" width="17.140625" bestFit="1" customWidth="1"/>
    <col min="17" max="17" width="11.85546875" customWidth="1"/>
    <col min="18" max="18" width="22.85546875" bestFit="1" customWidth="1"/>
  </cols>
  <sheetData>
    <row r="1" spans="2:18">
      <c r="B1" s="1709" t="s">
        <v>28</v>
      </c>
      <c r="C1" s="1709"/>
      <c r="D1" s="1709"/>
      <c r="E1" s="1709"/>
      <c r="F1" s="1709"/>
      <c r="H1" s="1709" t="s">
        <v>610</v>
      </c>
      <c r="I1" s="1709"/>
      <c r="J1" s="1709"/>
      <c r="K1" s="1709"/>
      <c r="L1" s="1709"/>
      <c r="N1" s="1709" t="s">
        <v>614</v>
      </c>
      <c r="O1" s="1709"/>
      <c r="P1" s="1709"/>
      <c r="Q1" s="1709"/>
      <c r="R1" s="1709"/>
    </row>
    <row r="2" spans="2:18">
      <c r="B2" s="1536" t="s">
        <v>3519</v>
      </c>
      <c r="C2" s="1536"/>
      <c r="D2" s="1536"/>
      <c r="E2" s="1536"/>
      <c r="F2" s="1536"/>
      <c r="H2" s="1536" t="s">
        <v>3519</v>
      </c>
      <c r="I2" s="1536"/>
      <c r="J2" s="1536"/>
      <c r="K2" s="1536"/>
      <c r="L2" s="1536"/>
      <c r="N2" s="1536" t="s">
        <v>3530</v>
      </c>
      <c r="O2" s="1536"/>
      <c r="P2" s="1536"/>
      <c r="Q2" s="1536"/>
      <c r="R2" s="1536"/>
    </row>
    <row r="3" spans="2:18" s="368" customFormat="1" ht="30">
      <c r="B3" s="269" t="s">
        <v>1782</v>
      </c>
      <c r="C3" s="269" t="s">
        <v>3501</v>
      </c>
      <c r="D3" s="269" t="s">
        <v>3506</v>
      </c>
      <c r="E3" s="1246" t="s">
        <v>3544</v>
      </c>
      <c r="F3" s="269" t="s">
        <v>19</v>
      </c>
      <c r="H3" s="269" t="s">
        <v>1782</v>
      </c>
      <c r="I3" s="269" t="s">
        <v>3501</v>
      </c>
      <c r="J3" s="269" t="s">
        <v>3506</v>
      </c>
      <c r="K3" s="1246" t="s">
        <v>3544</v>
      </c>
      <c r="L3" s="269" t="s">
        <v>19</v>
      </c>
      <c r="N3" s="269" t="s">
        <v>1782</v>
      </c>
      <c r="O3" s="269" t="s">
        <v>3501</v>
      </c>
      <c r="P3" s="269" t="s">
        <v>3506</v>
      </c>
      <c r="Q3" s="1246" t="s">
        <v>3544</v>
      </c>
      <c r="R3" s="269" t="s">
        <v>19</v>
      </c>
    </row>
    <row r="4" spans="2:18">
      <c r="B4" s="13">
        <v>1</v>
      </c>
      <c r="C4" s="12" t="s">
        <v>3502</v>
      </c>
      <c r="D4" s="13">
        <v>11</v>
      </c>
      <c r="E4" s="13"/>
      <c r="F4" s="12"/>
      <c r="H4" s="13">
        <v>1</v>
      </c>
      <c r="I4" s="1240" t="s">
        <v>3416</v>
      </c>
      <c r="J4" s="13">
        <v>20</v>
      </c>
      <c r="K4" s="13"/>
      <c r="L4" s="12"/>
      <c r="N4" s="13">
        <v>1</v>
      </c>
      <c r="O4" s="1240" t="s">
        <v>3531</v>
      </c>
      <c r="P4" s="13"/>
      <c r="Q4" s="13">
        <v>10</v>
      </c>
      <c r="R4" s="1240" t="s">
        <v>3516</v>
      </c>
    </row>
    <row r="5" spans="2:18">
      <c r="B5" s="13">
        <f>B4+1</f>
        <v>2</v>
      </c>
      <c r="C5" s="12" t="s">
        <v>3503</v>
      </c>
      <c r="D5" s="13">
        <v>10</v>
      </c>
      <c r="E5" s="13"/>
      <c r="F5" s="12"/>
      <c r="H5" s="13">
        <f>H4+1</f>
        <v>2</v>
      </c>
      <c r="I5" s="1240" t="s">
        <v>3414</v>
      </c>
      <c r="J5" s="13">
        <v>22</v>
      </c>
      <c r="K5" s="13"/>
      <c r="L5" s="12"/>
      <c r="N5" s="1705" t="s">
        <v>994</v>
      </c>
      <c r="O5" s="1706"/>
      <c r="P5" s="998"/>
      <c r="Q5" s="998">
        <f>SUM(Q1:Q4)</f>
        <v>10</v>
      </c>
      <c r="R5" s="1243"/>
    </row>
    <row r="6" spans="2:18">
      <c r="B6" s="13">
        <f t="shared" ref="B6:B12" si="0">B5+1</f>
        <v>3</v>
      </c>
      <c r="C6" s="12" t="s">
        <v>3413</v>
      </c>
      <c r="D6" s="13">
        <v>12</v>
      </c>
      <c r="E6" s="13"/>
      <c r="F6" s="12"/>
      <c r="H6" s="13">
        <f t="shared" ref="H6:H7" si="1">H5+1</f>
        <v>3</v>
      </c>
      <c r="I6" s="1240" t="s">
        <v>3521</v>
      </c>
      <c r="J6" s="13">
        <v>23</v>
      </c>
      <c r="K6" s="13"/>
      <c r="L6" s="12"/>
    </row>
    <row r="7" spans="2:18">
      <c r="B7" s="13">
        <f t="shared" si="0"/>
        <v>4</v>
      </c>
      <c r="C7" s="12" t="s">
        <v>3408</v>
      </c>
      <c r="D7" s="13">
        <v>10</v>
      </c>
      <c r="E7" s="13"/>
      <c r="F7" s="12"/>
      <c r="H7" s="13">
        <f t="shared" si="1"/>
        <v>4</v>
      </c>
      <c r="I7" s="1240" t="s">
        <v>3415</v>
      </c>
      <c r="J7" s="13"/>
      <c r="K7" s="13">
        <v>20</v>
      </c>
      <c r="L7" s="1240" t="s">
        <v>3533</v>
      </c>
    </row>
    <row r="8" spans="2:18">
      <c r="B8" s="13">
        <f t="shared" si="0"/>
        <v>5</v>
      </c>
      <c r="C8" s="12" t="s">
        <v>3133</v>
      </c>
      <c r="D8" s="13">
        <v>10</v>
      </c>
      <c r="E8" s="13"/>
      <c r="F8" s="12"/>
      <c r="H8" s="1705" t="s">
        <v>994</v>
      </c>
      <c r="I8" s="1706"/>
      <c r="J8" s="998">
        <f>SUM(J4:J7)</f>
        <v>65</v>
      </c>
      <c r="K8" s="998">
        <f>SUM(K4:K7)</f>
        <v>20</v>
      </c>
      <c r="L8" s="1243"/>
    </row>
    <row r="9" spans="2:18">
      <c r="B9" s="13">
        <f t="shared" si="0"/>
        <v>6</v>
      </c>
      <c r="C9" s="12" t="s">
        <v>3504</v>
      </c>
      <c r="D9" s="13">
        <v>10</v>
      </c>
      <c r="E9" s="13"/>
      <c r="F9" s="12"/>
    </row>
    <row r="10" spans="2:18">
      <c r="B10" s="13">
        <f t="shared" si="0"/>
        <v>7</v>
      </c>
      <c r="C10" s="12" t="s">
        <v>3505</v>
      </c>
      <c r="D10" s="13"/>
      <c r="E10" s="13">
        <v>12</v>
      </c>
      <c r="F10" s="1240" t="s">
        <v>3516</v>
      </c>
    </row>
    <row r="11" spans="2:18">
      <c r="B11" s="13">
        <f t="shared" si="0"/>
        <v>8</v>
      </c>
      <c r="C11" s="1240" t="s">
        <v>3507</v>
      </c>
      <c r="D11" s="13"/>
      <c r="E11" s="13">
        <v>13</v>
      </c>
      <c r="F11" s="1240" t="s">
        <v>3508</v>
      </c>
    </row>
    <row r="12" spans="2:18">
      <c r="B12" s="24">
        <f t="shared" si="0"/>
        <v>9</v>
      </c>
      <c r="C12" s="1242" t="s">
        <v>3509</v>
      </c>
      <c r="D12" s="13"/>
      <c r="E12" s="24">
        <v>12</v>
      </c>
      <c r="F12" s="1242" t="s">
        <v>3510</v>
      </c>
    </row>
    <row r="13" spans="2:18">
      <c r="B13" s="1705" t="s">
        <v>994</v>
      </c>
      <c r="C13" s="1706"/>
      <c r="D13" s="998">
        <f>SUM(D4:D12)</f>
        <v>63</v>
      </c>
      <c r="E13" s="998">
        <f>SUM(E4:E12)</f>
        <v>37</v>
      </c>
      <c r="F13" s="1243"/>
    </row>
    <row r="15" spans="2:18">
      <c r="B15" s="1536" t="s">
        <v>3520</v>
      </c>
      <c r="C15" s="1536"/>
      <c r="D15" s="1536"/>
      <c r="E15" s="1536"/>
      <c r="F15" s="1536"/>
      <c r="H15" s="1536" t="s">
        <v>3522</v>
      </c>
      <c r="I15" s="1536"/>
      <c r="J15" s="1536"/>
      <c r="K15" s="1536"/>
      <c r="L15" s="1536"/>
    </row>
    <row r="16" spans="2:18" ht="30">
      <c r="B16" s="269" t="s">
        <v>1782</v>
      </c>
      <c r="C16" s="269" t="s">
        <v>3501</v>
      </c>
      <c r="D16" s="269" t="s">
        <v>3506</v>
      </c>
      <c r="E16" s="1246" t="s">
        <v>3544</v>
      </c>
      <c r="F16" s="269" t="s">
        <v>19</v>
      </c>
      <c r="H16" s="269" t="s">
        <v>1782</v>
      </c>
      <c r="I16" s="269" t="s">
        <v>3501</v>
      </c>
      <c r="J16" s="269" t="s">
        <v>3506</v>
      </c>
      <c r="K16" s="1246" t="s">
        <v>3544</v>
      </c>
      <c r="L16" s="269" t="s">
        <v>19</v>
      </c>
    </row>
    <row r="17" spans="2:12">
      <c r="B17" s="13">
        <v>1</v>
      </c>
      <c r="C17" s="1244" t="s">
        <v>3493</v>
      </c>
      <c r="D17" s="13">
        <v>11</v>
      </c>
      <c r="E17" s="13"/>
      <c r="F17" s="12"/>
      <c r="H17" s="13">
        <v>1</v>
      </c>
      <c r="I17" s="1244" t="s">
        <v>3264</v>
      </c>
      <c r="J17" s="13">
        <v>24</v>
      </c>
      <c r="K17" s="13"/>
      <c r="L17" s="13"/>
    </row>
    <row r="18" spans="2:12">
      <c r="B18" s="13">
        <f>B17+1</f>
        <v>2</v>
      </c>
      <c r="C18" s="1244" t="s">
        <v>3299</v>
      </c>
      <c r="D18" s="13">
        <v>11</v>
      </c>
      <c r="E18" s="13"/>
      <c r="F18" s="12"/>
      <c r="H18" s="13">
        <f>H17+1</f>
        <v>2</v>
      </c>
      <c r="I18" s="1244" t="s">
        <v>3284</v>
      </c>
      <c r="J18" s="13">
        <v>25</v>
      </c>
      <c r="K18" s="13"/>
      <c r="L18" s="13"/>
    </row>
    <row r="19" spans="2:12">
      <c r="B19" s="13">
        <f t="shared" ref="B19:B30" si="2">B18+1</f>
        <v>3</v>
      </c>
      <c r="C19" s="1244" t="s">
        <v>3300</v>
      </c>
      <c r="D19" s="13">
        <v>10</v>
      </c>
      <c r="E19" s="13"/>
      <c r="F19" s="12"/>
      <c r="H19" s="13">
        <f t="shared" ref="H19:H28" si="3">H18+1</f>
        <v>3</v>
      </c>
      <c r="I19" s="1244" t="s">
        <v>3523</v>
      </c>
      <c r="J19" s="13">
        <v>20</v>
      </c>
      <c r="K19" s="13"/>
      <c r="L19" s="13"/>
    </row>
    <row r="20" spans="2:12">
      <c r="B20" s="13">
        <f t="shared" si="2"/>
        <v>4</v>
      </c>
      <c r="C20" s="1244" t="s">
        <v>3303</v>
      </c>
      <c r="D20" s="13">
        <v>10</v>
      </c>
      <c r="E20" s="13"/>
      <c r="F20" s="12"/>
      <c r="H20" s="13">
        <f t="shared" si="3"/>
        <v>4</v>
      </c>
      <c r="I20" s="1244" t="s">
        <v>3525</v>
      </c>
      <c r="J20" s="13">
        <v>21</v>
      </c>
      <c r="K20" s="13"/>
      <c r="L20" s="1241"/>
    </row>
    <row r="21" spans="2:12">
      <c r="B21" s="13">
        <f t="shared" si="2"/>
        <v>5</v>
      </c>
      <c r="C21" s="1244" t="s">
        <v>3498</v>
      </c>
      <c r="D21" s="13">
        <v>12</v>
      </c>
      <c r="E21" s="13"/>
      <c r="F21" s="12"/>
      <c r="H21" s="13">
        <f t="shared" si="3"/>
        <v>5</v>
      </c>
      <c r="I21" s="1244" t="s">
        <v>3527</v>
      </c>
      <c r="J21" s="13">
        <v>23</v>
      </c>
      <c r="K21" s="13"/>
      <c r="L21" s="13"/>
    </row>
    <row r="22" spans="2:12">
      <c r="B22" s="13">
        <f t="shared" si="2"/>
        <v>6</v>
      </c>
      <c r="C22" s="1244" t="s">
        <v>3511</v>
      </c>
      <c r="D22" s="13">
        <v>10</v>
      </c>
      <c r="E22" s="13"/>
      <c r="F22" s="12"/>
      <c r="H22" s="13">
        <f t="shared" si="3"/>
        <v>6</v>
      </c>
      <c r="I22" s="1247" t="s">
        <v>3326</v>
      </c>
      <c r="J22" s="13">
        <v>20</v>
      </c>
      <c r="K22" s="13"/>
      <c r="L22" s="13"/>
    </row>
    <row r="23" spans="2:12">
      <c r="B23" s="13">
        <f t="shared" si="2"/>
        <v>7</v>
      </c>
      <c r="C23" s="1244" t="s">
        <v>2830</v>
      </c>
      <c r="D23" s="13">
        <v>12</v>
      </c>
      <c r="E23" s="13"/>
      <c r="F23" s="1240"/>
      <c r="H23" s="13">
        <f t="shared" si="3"/>
        <v>7</v>
      </c>
      <c r="I23" s="1244" t="s">
        <v>3524</v>
      </c>
      <c r="J23" s="13"/>
      <c r="K23" s="13">
        <v>20</v>
      </c>
      <c r="L23" s="1244" t="s">
        <v>3508</v>
      </c>
    </row>
    <row r="24" spans="2:12">
      <c r="B24" s="13">
        <f t="shared" si="2"/>
        <v>8</v>
      </c>
      <c r="C24" s="1245" t="s">
        <v>3512</v>
      </c>
      <c r="D24" s="793">
        <v>16</v>
      </c>
      <c r="E24" s="793"/>
      <c r="F24" s="1240"/>
      <c r="H24" s="13">
        <f t="shared" si="3"/>
        <v>8</v>
      </c>
      <c r="I24" s="1244" t="s">
        <v>3526</v>
      </c>
      <c r="J24" s="13"/>
      <c r="K24" s="13">
        <v>24</v>
      </c>
      <c r="L24" s="1244" t="s">
        <v>3516</v>
      </c>
    </row>
    <row r="25" spans="2:12">
      <c r="B25" s="13">
        <f t="shared" si="2"/>
        <v>9</v>
      </c>
      <c r="C25" s="1245" t="s">
        <v>3107</v>
      </c>
      <c r="D25" s="793">
        <v>12</v>
      </c>
      <c r="E25" s="793"/>
      <c r="F25" s="1240"/>
      <c r="H25" s="13">
        <f t="shared" si="3"/>
        <v>9</v>
      </c>
      <c r="I25" s="1244" t="s">
        <v>3528</v>
      </c>
      <c r="J25" s="13"/>
      <c r="K25" s="13">
        <v>20</v>
      </c>
      <c r="L25" s="1244" t="s">
        <v>3533</v>
      </c>
    </row>
    <row r="26" spans="2:12">
      <c r="B26" s="13">
        <f t="shared" si="2"/>
        <v>10</v>
      </c>
      <c r="C26" s="1245" t="s">
        <v>2875</v>
      </c>
      <c r="D26" s="793">
        <v>13</v>
      </c>
      <c r="E26" s="793"/>
      <c r="F26" s="12"/>
      <c r="H26" s="13">
        <f t="shared" si="3"/>
        <v>10</v>
      </c>
      <c r="I26" s="1244" t="s">
        <v>3529</v>
      </c>
      <c r="J26" s="13"/>
      <c r="K26" s="13">
        <v>20</v>
      </c>
      <c r="L26" s="1244" t="s">
        <v>3533</v>
      </c>
    </row>
    <row r="27" spans="2:12">
      <c r="B27" s="13">
        <f t="shared" si="2"/>
        <v>11</v>
      </c>
      <c r="C27" s="1245" t="s">
        <v>3304</v>
      </c>
      <c r="D27" s="793">
        <v>12</v>
      </c>
      <c r="E27" s="793"/>
      <c r="F27" s="12"/>
      <c r="H27" s="13">
        <f t="shared" si="3"/>
        <v>11</v>
      </c>
      <c r="I27" s="1244" t="s">
        <v>3538</v>
      </c>
      <c r="J27" s="12"/>
      <c r="K27" s="13">
        <v>22</v>
      </c>
      <c r="L27" s="1244" t="s">
        <v>3510</v>
      </c>
    </row>
    <row r="28" spans="2:12">
      <c r="B28" s="13">
        <f t="shared" si="2"/>
        <v>12</v>
      </c>
      <c r="C28" s="1245" t="s">
        <v>3305</v>
      </c>
      <c r="D28" s="793">
        <v>10</v>
      </c>
      <c r="E28" s="793"/>
      <c r="F28" s="12"/>
      <c r="H28" s="13">
        <f t="shared" si="3"/>
        <v>12</v>
      </c>
      <c r="I28" s="1244" t="s">
        <v>3539</v>
      </c>
      <c r="J28" s="12"/>
      <c r="K28" s="13">
        <v>21</v>
      </c>
      <c r="L28" s="1244" t="s">
        <v>3510</v>
      </c>
    </row>
    <row r="29" spans="2:12">
      <c r="B29" s="13">
        <f t="shared" si="2"/>
        <v>13</v>
      </c>
      <c r="C29" s="1245" t="s">
        <v>3513</v>
      </c>
      <c r="D29" s="13"/>
      <c r="E29" s="793">
        <v>12</v>
      </c>
      <c r="F29" s="1240" t="s">
        <v>3533</v>
      </c>
      <c r="H29" s="1705" t="s">
        <v>994</v>
      </c>
      <c r="I29" s="1706"/>
      <c r="J29" s="998">
        <f>SUM(J17:J28)</f>
        <v>133</v>
      </c>
      <c r="K29" s="998">
        <f>SUM(K17:K28)</f>
        <v>127</v>
      </c>
      <c r="L29" s="1243"/>
    </row>
    <row r="30" spans="2:12">
      <c r="B30" s="13">
        <f t="shared" si="2"/>
        <v>14</v>
      </c>
      <c r="C30" s="1245" t="s">
        <v>3514</v>
      </c>
      <c r="D30" s="13"/>
      <c r="E30" s="793">
        <v>12</v>
      </c>
      <c r="F30" s="1240" t="s">
        <v>3515</v>
      </c>
    </row>
    <row r="31" spans="2:12">
      <c r="B31" s="1705" t="s">
        <v>994</v>
      </c>
      <c r="C31" s="1706"/>
      <c r="D31" s="998">
        <f>SUM(D17:D30)</f>
        <v>139</v>
      </c>
      <c r="E31" s="998">
        <f>SUM(E17:E30)</f>
        <v>24</v>
      </c>
      <c r="F31" s="1243"/>
    </row>
    <row r="32" spans="2:12">
      <c r="H32" s="1536" t="s">
        <v>2835</v>
      </c>
      <c r="I32" s="1536"/>
      <c r="J32" s="1536"/>
      <c r="K32" s="1536"/>
      <c r="L32" s="1536"/>
    </row>
    <row r="33" spans="2:12" ht="35.1" customHeight="1">
      <c r="B33" s="1537" t="s">
        <v>2835</v>
      </c>
      <c r="C33" s="1537"/>
      <c r="D33" s="1537"/>
      <c r="E33" s="1537"/>
      <c r="H33" s="269" t="s">
        <v>1782</v>
      </c>
      <c r="I33" s="269" t="s">
        <v>3501</v>
      </c>
      <c r="J33" s="269" t="s">
        <v>3506</v>
      </c>
      <c r="K33" s="1246" t="s">
        <v>3544</v>
      </c>
      <c r="L33" s="269" t="s">
        <v>19</v>
      </c>
    </row>
    <row r="34" spans="2:12">
      <c r="B34" s="269" t="s">
        <v>1782</v>
      </c>
      <c r="C34" s="269" t="s">
        <v>3501</v>
      </c>
      <c r="D34" s="269" t="s">
        <v>3506</v>
      </c>
      <c r="E34" s="269" t="s">
        <v>19</v>
      </c>
      <c r="H34" s="13">
        <v>1</v>
      </c>
      <c r="I34" s="1240" t="s">
        <v>3288</v>
      </c>
      <c r="J34" s="13"/>
      <c r="K34" s="13">
        <v>20</v>
      </c>
      <c r="L34" s="1240" t="s">
        <v>3515</v>
      </c>
    </row>
    <row r="35" spans="2:12">
      <c r="B35" s="13">
        <v>1</v>
      </c>
      <c r="C35" s="1244" t="s">
        <v>2840</v>
      </c>
      <c r="D35" s="13">
        <v>12</v>
      </c>
      <c r="E35" s="13"/>
      <c r="H35" s="13">
        <f>H34+1</f>
        <v>2</v>
      </c>
      <c r="I35" s="12" t="s">
        <v>3534</v>
      </c>
      <c r="J35" s="13"/>
      <c r="K35" s="13">
        <v>22</v>
      </c>
      <c r="L35" s="1240" t="s">
        <v>3537</v>
      </c>
    </row>
    <row r="36" spans="2:12">
      <c r="B36" s="13">
        <f>B35+1</f>
        <v>2</v>
      </c>
      <c r="C36" s="1244" t="s">
        <v>3092</v>
      </c>
      <c r="D36" s="13">
        <v>13</v>
      </c>
      <c r="E36" s="13"/>
      <c r="H36" s="13">
        <f>H35+1</f>
        <v>3</v>
      </c>
      <c r="I36" s="12" t="s">
        <v>3535</v>
      </c>
      <c r="J36" s="13"/>
      <c r="K36" s="13">
        <v>23</v>
      </c>
      <c r="L36" s="1240" t="s">
        <v>3516</v>
      </c>
    </row>
    <row r="37" spans="2:12">
      <c r="B37" s="13">
        <f>B36+1</f>
        <v>3</v>
      </c>
      <c r="C37" s="1244" t="s">
        <v>86</v>
      </c>
      <c r="D37" s="13">
        <v>10</v>
      </c>
      <c r="E37" s="13"/>
      <c r="H37" s="13">
        <f>H36+1</f>
        <v>4</v>
      </c>
      <c r="I37" s="12" t="s">
        <v>3536</v>
      </c>
      <c r="J37" s="13"/>
      <c r="K37" s="13">
        <v>20</v>
      </c>
      <c r="L37" s="1240" t="s">
        <v>3516</v>
      </c>
    </row>
    <row r="38" spans="2:12">
      <c r="B38" s="13">
        <f>B37+1</f>
        <v>4</v>
      </c>
      <c r="C38" s="1244" t="s">
        <v>3495</v>
      </c>
      <c r="D38" s="13">
        <v>10</v>
      </c>
      <c r="E38" s="13"/>
      <c r="H38" s="1536" t="s">
        <v>994</v>
      </c>
      <c r="I38" s="1536"/>
      <c r="J38" s="998"/>
      <c r="K38" s="998">
        <f>SUM(K34:K37)</f>
        <v>85</v>
      </c>
      <c r="L38" s="1243"/>
    </row>
    <row r="39" spans="2:12">
      <c r="B39" s="13">
        <f>B38+1</f>
        <v>5</v>
      </c>
      <c r="C39" s="1244" t="s">
        <v>3518</v>
      </c>
      <c r="D39" s="13">
        <v>10</v>
      </c>
      <c r="E39" s="13"/>
    </row>
    <row r="40" spans="2:12">
      <c r="B40" s="13">
        <f>B39+1</f>
        <v>6</v>
      </c>
      <c r="C40" s="1244" t="s">
        <v>3517</v>
      </c>
      <c r="D40" s="13">
        <v>11</v>
      </c>
      <c r="E40" s="13"/>
    </row>
    <row r="41" spans="2:12">
      <c r="B41" s="1705" t="s">
        <v>994</v>
      </c>
      <c r="C41" s="1706"/>
      <c r="D41" s="998">
        <f>SUM(D35:D40)</f>
        <v>66</v>
      </c>
      <c r="E41" s="998"/>
    </row>
    <row r="43" spans="2:12">
      <c r="B43" s="1537" t="s">
        <v>3410</v>
      </c>
      <c r="C43" s="1537"/>
      <c r="D43" s="1537"/>
      <c r="E43" s="1537"/>
    </row>
    <row r="44" spans="2:12">
      <c r="B44" s="269" t="s">
        <v>1782</v>
      </c>
      <c r="C44" s="269" t="s">
        <v>3501</v>
      </c>
      <c r="D44" s="269" t="s">
        <v>3506</v>
      </c>
      <c r="E44" s="269" t="s">
        <v>19</v>
      </c>
    </row>
    <row r="45" spans="2:12">
      <c r="B45" s="13">
        <v>1</v>
      </c>
      <c r="C45" s="1244" t="s">
        <v>3204</v>
      </c>
      <c r="D45" s="13">
        <v>8</v>
      </c>
      <c r="E45" s="13"/>
    </row>
    <row r="46" spans="2:12">
      <c r="B46" s="13">
        <f>B45+1</f>
        <v>2</v>
      </c>
      <c r="C46" s="1244" t="s">
        <v>3490</v>
      </c>
      <c r="D46" s="13">
        <v>14</v>
      </c>
      <c r="E46" s="13"/>
    </row>
    <row r="47" spans="2:12">
      <c r="B47" s="13">
        <f>B46+1</f>
        <v>3</v>
      </c>
      <c r="C47" s="1244" t="s">
        <v>3496</v>
      </c>
      <c r="D47" s="13">
        <v>17</v>
      </c>
      <c r="E47" s="13"/>
    </row>
    <row r="48" spans="2:12">
      <c r="B48" s="1705" t="s">
        <v>994</v>
      </c>
      <c r="C48" s="1706"/>
      <c r="D48" s="998">
        <f>SUM(D45:D47)</f>
        <v>39</v>
      </c>
      <c r="E48" s="998"/>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75"/>
  <cols>
    <col min="1" max="1" width="6.140625" style="1189" bestFit="1" customWidth="1"/>
    <col min="2" max="2" width="19.5703125" style="1189" bestFit="1" customWidth="1"/>
    <col min="3" max="3" width="5.140625" style="1199" bestFit="1" customWidth="1"/>
    <col min="4" max="5" width="12.5703125" style="1189" bestFit="1" customWidth="1"/>
    <col min="6" max="6" width="13.42578125" style="1189" customWidth="1"/>
    <col min="7" max="8" width="16.140625" style="1189" bestFit="1" customWidth="1"/>
    <col min="9" max="9" width="8.5703125" style="1189" bestFit="1" customWidth="1"/>
    <col min="10" max="10" width="7.5703125" style="1189" bestFit="1" customWidth="1"/>
    <col min="11" max="11" width="70.42578125" style="1189" bestFit="1" customWidth="1"/>
    <col min="12" max="255" width="8.7109375" style="1189"/>
    <col min="256" max="256" width="6.140625" style="1189" bestFit="1" customWidth="1"/>
    <col min="257" max="257" width="19.5703125" style="1189" bestFit="1" customWidth="1"/>
    <col min="258" max="258" width="5.140625" style="1189" bestFit="1" customWidth="1"/>
    <col min="259" max="260" width="12.5703125" style="1189" bestFit="1" customWidth="1"/>
    <col min="261" max="261" width="13.42578125" style="1189" customWidth="1"/>
    <col min="262" max="263" width="16.140625" style="1189" bestFit="1" customWidth="1"/>
    <col min="264" max="264" width="8.5703125" style="1189" bestFit="1" customWidth="1"/>
    <col min="265" max="265" width="10.5703125" style="1189" bestFit="1" customWidth="1"/>
    <col min="266" max="266" width="7.5703125" style="1189" bestFit="1" customWidth="1"/>
    <col min="267" max="267" width="70.42578125" style="1189" bestFit="1" customWidth="1"/>
    <col min="268" max="511" width="8.7109375" style="1189"/>
    <col min="512" max="512" width="6.140625" style="1189" bestFit="1" customWidth="1"/>
    <col min="513" max="513" width="19.5703125" style="1189" bestFit="1" customWidth="1"/>
    <col min="514" max="514" width="5.140625" style="1189" bestFit="1" customWidth="1"/>
    <col min="515" max="516" width="12.5703125" style="1189" bestFit="1" customWidth="1"/>
    <col min="517" max="517" width="13.42578125" style="1189" customWidth="1"/>
    <col min="518" max="519" width="16.140625" style="1189" bestFit="1" customWidth="1"/>
    <col min="520" max="520" width="8.5703125" style="1189" bestFit="1" customWidth="1"/>
    <col min="521" max="521" width="10.5703125" style="1189" bestFit="1" customWidth="1"/>
    <col min="522" max="522" width="7.5703125" style="1189" bestFit="1" customWidth="1"/>
    <col min="523" max="523" width="70.42578125" style="1189" bestFit="1" customWidth="1"/>
    <col min="524" max="767" width="8.7109375" style="1189"/>
    <col min="768" max="768" width="6.140625" style="1189" bestFit="1" customWidth="1"/>
    <col min="769" max="769" width="19.5703125" style="1189" bestFit="1" customWidth="1"/>
    <col min="770" max="770" width="5.140625" style="1189" bestFit="1" customWidth="1"/>
    <col min="771" max="772" width="12.5703125" style="1189" bestFit="1" customWidth="1"/>
    <col min="773" max="773" width="13.42578125" style="1189" customWidth="1"/>
    <col min="774" max="775" width="16.140625" style="1189" bestFit="1" customWidth="1"/>
    <col min="776" max="776" width="8.5703125" style="1189" bestFit="1" customWidth="1"/>
    <col min="777" max="777" width="10.5703125" style="1189" bestFit="1" customWidth="1"/>
    <col min="778" max="778" width="7.5703125" style="1189" bestFit="1" customWidth="1"/>
    <col min="779" max="779" width="70.42578125" style="1189" bestFit="1" customWidth="1"/>
    <col min="780" max="1023" width="8.7109375" style="1189"/>
    <col min="1024" max="1024" width="6.140625" style="1189" bestFit="1" customWidth="1"/>
    <col min="1025" max="1025" width="19.5703125" style="1189" bestFit="1" customWidth="1"/>
    <col min="1026" max="1026" width="5.140625" style="1189" bestFit="1" customWidth="1"/>
    <col min="1027" max="1028" width="12.5703125" style="1189" bestFit="1" customWidth="1"/>
    <col min="1029" max="1029" width="13.42578125" style="1189" customWidth="1"/>
    <col min="1030" max="1031" width="16.140625" style="1189" bestFit="1" customWidth="1"/>
    <col min="1032" max="1032" width="8.5703125" style="1189" bestFit="1" customWidth="1"/>
    <col min="1033" max="1033" width="10.5703125" style="1189" bestFit="1" customWidth="1"/>
    <col min="1034" max="1034" width="7.5703125" style="1189" bestFit="1" customWidth="1"/>
    <col min="1035" max="1035" width="70.42578125" style="1189" bestFit="1" customWidth="1"/>
    <col min="1036" max="1279" width="8.7109375" style="1189"/>
    <col min="1280" max="1280" width="6.140625" style="1189" bestFit="1" customWidth="1"/>
    <col min="1281" max="1281" width="19.5703125" style="1189" bestFit="1" customWidth="1"/>
    <col min="1282" max="1282" width="5.140625" style="1189" bestFit="1" customWidth="1"/>
    <col min="1283" max="1284" width="12.5703125" style="1189" bestFit="1" customWidth="1"/>
    <col min="1285" max="1285" width="13.42578125" style="1189" customWidth="1"/>
    <col min="1286" max="1287" width="16.140625" style="1189" bestFit="1" customWidth="1"/>
    <col min="1288" max="1288" width="8.5703125" style="1189" bestFit="1" customWidth="1"/>
    <col min="1289" max="1289" width="10.5703125" style="1189" bestFit="1" customWidth="1"/>
    <col min="1290" max="1290" width="7.5703125" style="1189" bestFit="1" customWidth="1"/>
    <col min="1291" max="1291" width="70.42578125" style="1189" bestFit="1" customWidth="1"/>
    <col min="1292" max="1535" width="8.7109375" style="1189"/>
    <col min="1536" max="1536" width="6.140625" style="1189" bestFit="1" customWidth="1"/>
    <col min="1537" max="1537" width="19.5703125" style="1189" bestFit="1" customWidth="1"/>
    <col min="1538" max="1538" width="5.140625" style="1189" bestFit="1" customWidth="1"/>
    <col min="1539" max="1540" width="12.5703125" style="1189" bestFit="1" customWidth="1"/>
    <col min="1541" max="1541" width="13.42578125" style="1189" customWidth="1"/>
    <col min="1542" max="1543" width="16.140625" style="1189" bestFit="1" customWidth="1"/>
    <col min="1544" max="1544" width="8.5703125" style="1189" bestFit="1" customWidth="1"/>
    <col min="1545" max="1545" width="10.5703125" style="1189" bestFit="1" customWidth="1"/>
    <col min="1546" max="1546" width="7.5703125" style="1189" bestFit="1" customWidth="1"/>
    <col min="1547" max="1547" width="70.42578125" style="1189" bestFit="1" customWidth="1"/>
    <col min="1548" max="1791" width="8.7109375" style="1189"/>
    <col min="1792" max="1792" width="6.140625" style="1189" bestFit="1" customWidth="1"/>
    <col min="1793" max="1793" width="19.5703125" style="1189" bestFit="1" customWidth="1"/>
    <col min="1794" max="1794" width="5.140625" style="1189" bestFit="1" customWidth="1"/>
    <col min="1795" max="1796" width="12.5703125" style="1189" bestFit="1" customWidth="1"/>
    <col min="1797" max="1797" width="13.42578125" style="1189" customWidth="1"/>
    <col min="1798" max="1799" width="16.140625" style="1189" bestFit="1" customWidth="1"/>
    <col min="1800" max="1800" width="8.5703125" style="1189" bestFit="1" customWidth="1"/>
    <col min="1801" max="1801" width="10.5703125" style="1189" bestFit="1" customWidth="1"/>
    <col min="1802" max="1802" width="7.5703125" style="1189" bestFit="1" customWidth="1"/>
    <col min="1803" max="1803" width="70.42578125" style="1189" bestFit="1" customWidth="1"/>
    <col min="1804" max="2047" width="8.7109375" style="1189"/>
    <col min="2048" max="2048" width="6.140625" style="1189" bestFit="1" customWidth="1"/>
    <col min="2049" max="2049" width="19.5703125" style="1189" bestFit="1" customWidth="1"/>
    <col min="2050" max="2050" width="5.140625" style="1189" bestFit="1" customWidth="1"/>
    <col min="2051" max="2052" width="12.5703125" style="1189" bestFit="1" customWidth="1"/>
    <col min="2053" max="2053" width="13.42578125" style="1189" customWidth="1"/>
    <col min="2054" max="2055" width="16.140625" style="1189" bestFit="1" customWidth="1"/>
    <col min="2056" max="2056" width="8.5703125" style="1189" bestFit="1" customWidth="1"/>
    <col min="2057" max="2057" width="10.5703125" style="1189" bestFit="1" customWidth="1"/>
    <col min="2058" max="2058" width="7.5703125" style="1189" bestFit="1" customWidth="1"/>
    <col min="2059" max="2059" width="70.42578125" style="1189" bestFit="1" customWidth="1"/>
    <col min="2060" max="2303" width="8.7109375" style="1189"/>
    <col min="2304" max="2304" width="6.140625" style="1189" bestFit="1" customWidth="1"/>
    <col min="2305" max="2305" width="19.5703125" style="1189" bestFit="1" customWidth="1"/>
    <col min="2306" max="2306" width="5.140625" style="1189" bestFit="1" customWidth="1"/>
    <col min="2307" max="2308" width="12.5703125" style="1189" bestFit="1" customWidth="1"/>
    <col min="2309" max="2309" width="13.42578125" style="1189" customWidth="1"/>
    <col min="2310" max="2311" width="16.140625" style="1189" bestFit="1" customWidth="1"/>
    <col min="2312" max="2312" width="8.5703125" style="1189" bestFit="1" customWidth="1"/>
    <col min="2313" max="2313" width="10.5703125" style="1189" bestFit="1" customWidth="1"/>
    <col min="2314" max="2314" width="7.5703125" style="1189" bestFit="1" customWidth="1"/>
    <col min="2315" max="2315" width="70.42578125" style="1189" bestFit="1" customWidth="1"/>
    <col min="2316" max="2559" width="8.7109375" style="1189"/>
    <col min="2560" max="2560" width="6.140625" style="1189" bestFit="1" customWidth="1"/>
    <col min="2561" max="2561" width="19.5703125" style="1189" bestFit="1" customWidth="1"/>
    <col min="2562" max="2562" width="5.140625" style="1189" bestFit="1" customWidth="1"/>
    <col min="2563" max="2564" width="12.5703125" style="1189" bestFit="1" customWidth="1"/>
    <col min="2565" max="2565" width="13.42578125" style="1189" customWidth="1"/>
    <col min="2566" max="2567" width="16.140625" style="1189" bestFit="1" customWidth="1"/>
    <col min="2568" max="2568" width="8.5703125" style="1189" bestFit="1" customWidth="1"/>
    <col min="2569" max="2569" width="10.5703125" style="1189" bestFit="1" customWidth="1"/>
    <col min="2570" max="2570" width="7.5703125" style="1189" bestFit="1" customWidth="1"/>
    <col min="2571" max="2571" width="70.42578125" style="1189" bestFit="1" customWidth="1"/>
    <col min="2572" max="2815" width="8.7109375" style="1189"/>
    <col min="2816" max="2816" width="6.140625" style="1189" bestFit="1" customWidth="1"/>
    <col min="2817" max="2817" width="19.5703125" style="1189" bestFit="1" customWidth="1"/>
    <col min="2818" max="2818" width="5.140625" style="1189" bestFit="1" customWidth="1"/>
    <col min="2819" max="2820" width="12.5703125" style="1189" bestFit="1" customWidth="1"/>
    <col min="2821" max="2821" width="13.42578125" style="1189" customWidth="1"/>
    <col min="2822" max="2823" width="16.140625" style="1189" bestFit="1" customWidth="1"/>
    <col min="2824" max="2824" width="8.5703125" style="1189" bestFit="1" customWidth="1"/>
    <col min="2825" max="2825" width="10.5703125" style="1189" bestFit="1" customWidth="1"/>
    <col min="2826" max="2826" width="7.5703125" style="1189" bestFit="1" customWidth="1"/>
    <col min="2827" max="2827" width="70.42578125" style="1189" bestFit="1" customWidth="1"/>
    <col min="2828" max="3071" width="8.7109375" style="1189"/>
    <col min="3072" max="3072" width="6.140625" style="1189" bestFit="1" customWidth="1"/>
    <col min="3073" max="3073" width="19.5703125" style="1189" bestFit="1" customWidth="1"/>
    <col min="3074" max="3074" width="5.140625" style="1189" bestFit="1" customWidth="1"/>
    <col min="3075" max="3076" width="12.5703125" style="1189" bestFit="1" customWidth="1"/>
    <col min="3077" max="3077" width="13.42578125" style="1189" customWidth="1"/>
    <col min="3078" max="3079" width="16.140625" style="1189" bestFit="1" customWidth="1"/>
    <col min="3080" max="3080" width="8.5703125" style="1189" bestFit="1" customWidth="1"/>
    <col min="3081" max="3081" width="10.5703125" style="1189" bestFit="1" customWidth="1"/>
    <col min="3082" max="3082" width="7.5703125" style="1189" bestFit="1" customWidth="1"/>
    <col min="3083" max="3083" width="70.42578125" style="1189" bestFit="1" customWidth="1"/>
    <col min="3084" max="3327" width="8.7109375" style="1189"/>
    <col min="3328" max="3328" width="6.140625" style="1189" bestFit="1" customWidth="1"/>
    <col min="3329" max="3329" width="19.5703125" style="1189" bestFit="1" customWidth="1"/>
    <col min="3330" max="3330" width="5.140625" style="1189" bestFit="1" customWidth="1"/>
    <col min="3331" max="3332" width="12.5703125" style="1189" bestFit="1" customWidth="1"/>
    <col min="3333" max="3333" width="13.42578125" style="1189" customWidth="1"/>
    <col min="3334" max="3335" width="16.140625" style="1189" bestFit="1" customWidth="1"/>
    <col min="3336" max="3336" width="8.5703125" style="1189" bestFit="1" customWidth="1"/>
    <col min="3337" max="3337" width="10.5703125" style="1189" bestFit="1" customWidth="1"/>
    <col min="3338" max="3338" width="7.5703125" style="1189" bestFit="1" customWidth="1"/>
    <col min="3339" max="3339" width="70.42578125" style="1189" bestFit="1" customWidth="1"/>
    <col min="3340" max="3583" width="8.7109375" style="1189"/>
    <col min="3584" max="3584" width="6.140625" style="1189" bestFit="1" customWidth="1"/>
    <col min="3585" max="3585" width="19.5703125" style="1189" bestFit="1" customWidth="1"/>
    <col min="3586" max="3586" width="5.140625" style="1189" bestFit="1" customWidth="1"/>
    <col min="3587" max="3588" width="12.5703125" style="1189" bestFit="1" customWidth="1"/>
    <col min="3589" max="3589" width="13.42578125" style="1189" customWidth="1"/>
    <col min="3590" max="3591" width="16.140625" style="1189" bestFit="1" customWidth="1"/>
    <col min="3592" max="3592" width="8.5703125" style="1189" bestFit="1" customWidth="1"/>
    <col min="3593" max="3593" width="10.5703125" style="1189" bestFit="1" customWidth="1"/>
    <col min="3594" max="3594" width="7.5703125" style="1189" bestFit="1" customWidth="1"/>
    <col min="3595" max="3595" width="70.42578125" style="1189" bestFit="1" customWidth="1"/>
    <col min="3596" max="3839" width="8.7109375" style="1189"/>
    <col min="3840" max="3840" width="6.140625" style="1189" bestFit="1" customWidth="1"/>
    <col min="3841" max="3841" width="19.5703125" style="1189" bestFit="1" customWidth="1"/>
    <col min="3842" max="3842" width="5.140625" style="1189" bestFit="1" customWidth="1"/>
    <col min="3843" max="3844" width="12.5703125" style="1189" bestFit="1" customWidth="1"/>
    <col min="3845" max="3845" width="13.42578125" style="1189" customWidth="1"/>
    <col min="3846" max="3847" width="16.140625" style="1189" bestFit="1" customWidth="1"/>
    <col min="3848" max="3848" width="8.5703125" style="1189" bestFit="1" customWidth="1"/>
    <col min="3849" max="3849" width="10.5703125" style="1189" bestFit="1" customWidth="1"/>
    <col min="3850" max="3850" width="7.5703125" style="1189" bestFit="1" customWidth="1"/>
    <col min="3851" max="3851" width="70.42578125" style="1189" bestFit="1" customWidth="1"/>
    <col min="3852" max="4095" width="8.7109375" style="1189"/>
    <col min="4096" max="4096" width="6.140625" style="1189" bestFit="1" customWidth="1"/>
    <col min="4097" max="4097" width="19.5703125" style="1189" bestFit="1" customWidth="1"/>
    <col min="4098" max="4098" width="5.140625" style="1189" bestFit="1" customWidth="1"/>
    <col min="4099" max="4100" width="12.5703125" style="1189" bestFit="1" customWidth="1"/>
    <col min="4101" max="4101" width="13.42578125" style="1189" customWidth="1"/>
    <col min="4102" max="4103" width="16.140625" style="1189" bestFit="1" customWidth="1"/>
    <col min="4104" max="4104" width="8.5703125" style="1189" bestFit="1" customWidth="1"/>
    <col min="4105" max="4105" width="10.5703125" style="1189" bestFit="1" customWidth="1"/>
    <col min="4106" max="4106" width="7.5703125" style="1189" bestFit="1" customWidth="1"/>
    <col min="4107" max="4107" width="70.42578125" style="1189" bestFit="1" customWidth="1"/>
    <col min="4108" max="4351" width="8.7109375" style="1189"/>
    <col min="4352" max="4352" width="6.140625" style="1189" bestFit="1" customWidth="1"/>
    <col min="4353" max="4353" width="19.5703125" style="1189" bestFit="1" customWidth="1"/>
    <col min="4354" max="4354" width="5.140625" style="1189" bestFit="1" customWidth="1"/>
    <col min="4355" max="4356" width="12.5703125" style="1189" bestFit="1" customWidth="1"/>
    <col min="4357" max="4357" width="13.42578125" style="1189" customWidth="1"/>
    <col min="4358" max="4359" width="16.140625" style="1189" bestFit="1" customWidth="1"/>
    <col min="4360" max="4360" width="8.5703125" style="1189" bestFit="1" customWidth="1"/>
    <col min="4361" max="4361" width="10.5703125" style="1189" bestFit="1" customWidth="1"/>
    <col min="4362" max="4362" width="7.5703125" style="1189" bestFit="1" customWidth="1"/>
    <col min="4363" max="4363" width="70.42578125" style="1189" bestFit="1" customWidth="1"/>
    <col min="4364" max="4607" width="8.7109375" style="1189"/>
    <col min="4608" max="4608" width="6.140625" style="1189" bestFit="1" customWidth="1"/>
    <col min="4609" max="4609" width="19.5703125" style="1189" bestFit="1" customWidth="1"/>
    <col min="4610" max="4610" width="5.140625" style="1189" bestFit="1" customWidth="1"/>
    <col min="4611" max="4612" width="12.5703125" style="1189" bestFit="1" customWidth="1"/>
    <col min="4613" max="4613" width="13.42578125" style="1189" customWidth="1"/>
    <col min="4614" max="4615" width="16.140625" style="1189" bestFit="1" customWidth="1"/>
    <col min="4616" max="4616" width="8.5703125" style="1189" bestFit="1" customWidth="1"/>
    <col min="4617" max="4617" width="10.5703125" style="1189" bestFit="1" customWidth="1"/>
    <col min="4618" max="4618" width="7.5703125" style="1189" bestFit="1" customWidth="1"/>
    <col min="4619" max="4619" width="70.42578125" style="1189" bestFit="1" customWidth="1"/>
    <col min="4620" max="4863" width="8.7109375" style="1189"/>
    <col min="4864" max="4864" width="6.140625" style="1189" bestFit="1" customWidth="1"/>
    <col min="4865" max="4865" width="19.5703125" style="1189" bestFit="1" customWidth="1"/>
    <col min="4866" max="4866" width="5.140625" style="1189" bestFit="1" customWidth="1"/>
    <col min="4867" max="4868" width="12.5703125" style="1189" bestFit="1" customWidth="1"/>
    <col min="4869" max="4869" width="13.42578125" style="1189" customWidth="1"/>
    <col min="4870" max="4871" width="16.140625" style="1189" bestFit="1" customWidth="1"/>
    <col min="4872" max="4872" width="8.5703125" style="1189" bestFit="1" customWidth="1"/>
    <col min="4873" max="4873" width="10.5703125" style="1189" bestFit="1" customWidth="1"/>
    <col min="4874" max="4874" width="7.5703125" style="1189" bestFit="1" customWidth="1"/>
    <col min="4875" max="4875" width="70.42578125" style="1189" bestFit="1" customWidth="1"/>
    <col min="4876" max="5119" width="8.7109375" style="1189"/>
    <col min="5120" max="5120" width="6.140625" style="1189" bestFit="1" customWidth="1"/>
    <col min="5121" max="5121" width="19.5703125" style="1189" bestFit="1" customWidth="1"/>
    <col min="5122" max="5122" width="5.140625" style="1189" bestFit="1" customWidth="1"/>
    <col min="5123" max="5124" width="12.5703125" style="1189" bestFit="1" customWidth="1"/>
    <col min="5125" max="5125" width="13.42578125" style="1189" customWidth="1"/>
    <col min="5126" max="5127" width="16.140625" style="1189" bestFit="1" customWidth="1"/>
    <col min="5128" max="5128" width="8.5703125" style="1189" bestFit="1" customWidth="1"/>
    <col min="5129" max="5129" width="10.5703125" style="1189" bestFit="1" customWidth="1"/>
    <col min="5130" max="5130" width="7.5703125" style="1189" bestFit="1" customWidth="1"/>
    <col min="5131" max="5131" width="70.42578125" style="1189" bestFit="1" customWidth="1"/>
    <col min="5132" max="5375" width="8.7109375" style="1189"/>
    <col min="5376" max="5376" width="6.140625" style="1189" bestFit="1" customWidth="1"/>
    <col min="5377" max="5377" width="19.5703125" style="1189" bestFit="1" customWidth="1"/>
    <col min="5378" max="5378" width="5.140625" style="1189" bestFit="1" customWidth="1"/>
    <col min="5379" max="5380" width="12.5703125" style="1189" bestFit="1" customWidth="1"/>
    <col min="5381" max="5381" width="13.42578125" style="1189" customWidth="1"/>
    <col min="5382" max="5383" width="16.140625" style="1189" bestFit="1" customWidth="1"/>
    <col min="5384" max="5384" width="8.5703125" style="1189" bestFit="1" customWidth="1"/>
    <col min="5385" max="5385" width="10.5703125" style="1189" bestFit="1" customWidth="1"/>
    <col min="5386" max="5386" width="7.5703125" style="1189" bestFit="1" customWidth="1"/>
    <col min="5387" max="5387" width="70.42578125" style="1189" bestFit="1" customWidth="1"/>
    <col min="5388" max="5631" width="8.7109375" style="1189"/>
    <col min="5632" max="5632" width="6.140625" style="1189" bestFit="1" customWidth="1"/>
    <col min="5633" max="5633" width="19.5703125" style="1189" bestFit="1" customWidth="1"/>
    <col min="5634" max="5634" width="5.140625" style="1189" bestFit="1" customWidth="1"/>
    <col min="5635" max="5636" width="12.5703125" style="1189" bestFit="1" customWidth="1"/>
    <col min="5637" max="5637" width="13.42578125" style="1189" customWidth="1"/>
    <col min="5638" max="5639" width="16.140625" style="1189" bestFit="1" customWidth="1"/>
    <col min="5640" max="5640" width="8.5703125" style="1189" bestFit="1" customWidth="1"/>
    <col min="5641" max="5641" width="10.5703125" style="1189" bestFit="1" customWidth="1"/>
    <col min="5642" max="5642" width="7.5703125" style="1189" bestFit="1" customWidth="1"/>
    <col min="5643" max="5643" width="70.42578125" style="1189" bestFit="1" customWidth="1"/>
    <col min="5644" max="5887" width="8.7109375" style="1189"/>
    <col min="5888" max="5888" width="6.140625" style="1189" bestFit="1" customWidth="1"/>
    <col min="5889" max="5889" width="19.5703125" style="1189" bestFit="1" customWidth="1"/>
    <col min="5890" max="5890" width="5.140625" style="1189" bestFit="1" customWidth="1"/>
    <col min="5891" max="5892" width="12.5703125" style="1189" bestFit="1" customWidth="1"/>
    <col min="5893" max="5893" width="13.42578125" style="1189" customWidth="1"/>
    <col min="5894" max="5895" width="16.140625" style="1189" bestFit="1" customWidth="1"/>
    <col min="5896" max="5896" width="8.5703125" style="1189" bestFit="1" customWidth="1"/>
    <col min="5897" max="5897" width="10.5703125" style="1189" bestFit="1" customWidth="1"/>
    <col min="5898" max="5898" width="7.5703125" style="1189" bestFit="1" customWidth="1"/>
    <col min="5899" max="5899" width="70.42578125" style="1189" bestFit="1" customWidth="1"/>
    <col min="5900" max="6143" width="8.7109375" style="1189"/>
    <col min="6144" max="6144" width="6.140625" style="1189" bestFit="1" customWidth="1"/>
    <col min="6145" max="6145" width="19.5703125" style="1189" bestFit="1" customWidth="1"/>
    <col min="6146" max="6146" width="5.140625" style="1189" bestFit="1" customWidth="1"/>
    <col min="6147" max="6148" width="12.5703125" style="1189" bestFit="1" customWidth="1"/>
    <col min="6149" max="6149" width="13.42578125" style="1189" customWidth="1"/>
    <col min="6150" max="6151" width="16.140625" style="1189" bestFit="1" customWidth="1"/>
    <col min="6152" max="6152" width="8.5703125" style="1189" bestFit="1" customWidth="1"/>
    <col min="6153" max="6153" width="10.5703125" style="1189" bestFit="1" customWidth="1"/>
    <col min="6154" max="6154" width="7.5703125" style="1189" bestFit="1" customWidth="1"/>
    <col min="6155" max="6155" width="70.42578125" style="1189" bestFit="1" customWidth="1"/>
    <col min="6156" max="6399" width="8.7109375" style="1189"/>
    <col min="6400" max="6400" width="6.140625" style="1189" bestFit="1" customWidth="1"/>
    <col min="6401" max="6401" width="19.5703125" style="1189" bestFit="1" customWidth="1"/>
    <col min="6402" max="6402" width="5.140625" style="1189" bestFit="1" customWidth="1"/>
    <col min="6403" max="6404" width="12.5703125" style="1189" bestFit="1" customWidth="1"/>
    <col min="6405" max="6405" width="13.42578125" style="1189" customWidth="1"/>
    <col min="6406" max="6407" width="16.140625" style="1189" bestFit="1" customWidth="1"/>
    <col min="6408" max="6408" width="8.5703125" style="1189" bestFit="1" customWidth="1"/>
    <col min="6409" max="6409" width="10.5703125" style="1189" bestFit="1" customWidth="1"/>
    <col min="6410" max="6410" width="7.5703125" style="1189" bestFit="1" customWidth="1"/>
    <col min="6411" max="6411" width="70.42578125" style="1189" bestFit="1" customWidth="1"/>
    <col min="6412" max="6655" width="8.7109375" style="1189"/>
    <col min="6656" max="6656" width="6.140625" style="1189" bestFit="1" customWidth="1"/>
    <col min="6657" max="6657" width="19.5703125" style="1189" bestFit="1" customWidth="1"/>
    <col min="6658" max="6658" width="5.140625" style="1189" bestFit="1" customWidth="1"/>
    <col min="6659" max="6660" width="12.5703125" style="1189" bestFit="1" customWidth="1"/>
    <col min="6661" max="6661" width="13.42578125" style="1189" customWidth="1"/>
    <col min="6662" max="6663" width="16.140625" style="1189" bestFit="1" customWidth="1"/>
    <col min="6664" max="6664" width="8.5703125" style="1189" bestFit="1" customWidth="1"/>
    <col min="6665" max="6665" width="10.5703125" style="1189" bestFit="1" customWidth="1"/>
    <col min="6666" max="6666" width="7.5703125" style="1189" bestFit="1" customWidth="1"/>
    <col min="6667" max="6667" width="70.42578125" style="1189" bestFit="1" customWidth="1"/>
    <col min="6668" max="6911" width="8.7109375" style="1189"/>
    <col min="6912" max="6912" width="6.140625" style="1189" bestFit="1" customWidth="1"/>
    <col min="6913" max="6913" width="19.5703125" style="1189" bestFit="1" customWidth="1"/>
    <col min="6914" max="6914" width="5.140625" style="1189" bestFit="1" customWidth="1"/>
    <col min="6915" max="6916" width="12.5703125" style="1189" bestFit="1" customWidth="1"/>
    <col min="6917" max="6917" width="13.42578125" style="1189" customWidth="1"/>
    <col min="6918" max="6919" width="16.140625" style="1189" bestFit="1" customWidth="1"/>
    <col min="6920" max="6920" width="8.5703125" style="1189" bestFit="1" customWidth="1"/>
    <col min="6921" max="6921" width="10.5703125" style="1189" bestFit="1" customWidth="1"/>
    <col min="6922" max="6922" width="7.5703125" style="1189" bestFit="1" customWidth="1"/>
    <col min="6923" max="6923" width="70.42578125" style="1189" bestFit="1" customWidth="1"/>
    <col min="6924" max="7167" width="8.7109375" style="1189"/>
    <col min="7168" max="7168" width="6.140625" style="1189" bestFit="1" customWidth="1"/>
    <col min="7169" max="7169" width="19.5703125" style="1189" bestFit="1" customWidth="1"/>
    <col min="7170" max="7170" width="5.140625" style="1189" bestFit="1" customWidth="1"/>
    <col min="7171" max="7172" width="12.5703125" style="1189" bestFit="1" customWidth="1"/>
    <col min="7173" max="7173" width="13.42578125" style="1189" customWidth="1"/>
    <col min="7174" max="7175" width="16.140625" style="1189" bestFit="1" customWidth="1"/>
    <col min="7176" max="7176" width="8.5703125" style="1189" bestFit="1" customWidth="1"/>
    <col min="7177" max="7177" width="10.5703125" style="1189" bestFit="1" customWidth="1"/>
    <col min="7178" max="7178" width="7.5703125" style="1189" bestFit="1" customWidth="1"/>
    <col min="7179" max="7179" width="70.42578125" style="1189" bestFit="1" customWidth="1"/>
    <col min="7180" max="7423" width="8.7109375" style="1189"/>
    <col min="7424" max="7424" width="6.140625" style="1189" bestFit="1" customWidth="1"/>
    <col min="7425" max="7425" width="19.5703125" style="1189" bestFit="1" customWidth="1"/>
    <col min="7426" max="7426" width="5.140625" style="1189" bestFit="1" customWidth="1"/>
    <col min="7427" max="7428" width="12.5703125" style="1189" bestFit="1" customWidth="1"/>
    <col min="7429" max="7429" width="13.42578125" style="1189" customWidth="1"/>
    <col min="7430" max="7431" width="16.140625" style="1189" bestFit="1" customWidth="1"/>
    <col min="7432" max="7432" width="8.5703125" style="1189" bestFit="1" customWidth="1"/>
    <col min="7433" max="7433" width="10.5703125" style="1189" bestFit="1" customWidth="1"/>
    <col min="7434" max="7434" width="7.5703125" style="1189" bestFit="1" customWidth="1"/>
    <col min="7435" max="7435" width="70.42578125" style="1189" bestFit="1" customWidth="1"/>
    <col min="7436" max="7679" width="8.7109375" style="1189"/>
    <col min="7680" max="7680" width="6.140625" style="1189" bestFit="1" customWidth="1"/>
    <col min="7681" max="7681" width="19.5703125" style="1189" bestFit="1" customWidth="1"/>
    <col min="7682" max="7682" width="5.140625" style="1189" bestFit="1" customWidth="1"/>
    <col min="7683" max="7684" width="12.5703125" style="1189" bestFit="1" customWidth="1"/>
    <col min="7685" max="7685" width="13.42578125" style="1189" customWidth="1"/>
    <col min="7686" max="7687" width="16.140625" style="1189" bestFit="1" customWidth="1"/>
    <col min="7688" max="7688" width="8.5703125" style="1189" bestFit="1" customWidth="1"/>
    <col min="7689" max="7689" width="10.5703125" style="1189" bestFit="1" customWidth="1"/>
    <col min="7690" max="7690" width="7.5703125" style="1189" bestFit="1" customWidth="1"/>
    <col min="7691" max="7691" width="70.42578125" style="1189" bestFit="1" customWidth="1"/>
    <col min="7692" max="7935" width="8.7109375" style="1189"/>
    <col min="7936" max="7936" width="6.140625" style="1189" bestFit="1" customWidth="1"/>
    <col min="7937" max="7937" width="19.5703125" style="1189" bestFit="1" customWidth="1"/>
    <col min="7938" max="7938" width="5.140625" style="1189" bestFit="1" customWidth="1"/>
    <col min="7939" max="7940" width="12.5703125" style="1189" bestFit="1" customWidth="1"/>
    <col min="7941" max="7941" width="13.42578125" style="1189" customWidth="1"/>
    <col min="7942" max="7943" width="16.140625" style="1189" bestFit="1" customWidth="1"/>
    <col min="7944" max="7944" width="8.5703125" style="1189" bestFit="1" customWidth="1"/>
    <col min="7945" max="7945" width="10.5703125" style="1189" bestFit="1" customWidth="1"/>
    <col min="7946" max="7946" width="7.5703125" style="1189" bestFit="1" customWidth="1"/>
    <col min="7947" max="7947" width="70.42578125" style="1189" bestFit="1" customWidth="1"/>
    <col min="7948" max="8191" width="8.7109375" style="1189"/>
    <col min="8192" max="8192" width="6.140625" style="1189" bestFit="1" customWidth="1"/>
    <col min="8193" max="8193" width="19.5703125" style="1189" bestFit="1" customWidth="1"/>
    <col min="8194" max="8194" width="5.140625" style="1189" bestFit="1" customWidth="1"/>
    <col min="8195" max="8196" width="12.5703125" style="1189" bestFit="1" customWidth="1"/>
    <col min="8197" max="8197" width="13.42578125" style="1189" customWidth="1"/>
    <col min="8198" max="8199" width="16.140625" style="1189" bestFit="1" customWidth="1"/>
    <col min="8200" max="8200" width="8.5703125" style="1189" bestFit="1" customWidth="1"/>
    <col min="8201" max="8201" width="10.5703125" style="1189" bestFit="1" customWidth="1"/>
    <col min="8202" max="8202" width="7.5703125" style="1189" bestFit="1" customWidth="1"/>
    <col min="8203" max="8203" width="70.42578125" style="1189" bestFit="1" customWidth="1"/>
    <col min="8204" max="8447" width="8.7109375" style="1189"/>
    <col min="8448" max="8448" width="6.140625" style="1189" bestFit="1" customWidth="1"/>
    <col min="8449" max="8449" width="19.5703125" style="1189" bestFit="1" customWidth="1"/>
    <col min="8450" max="8450" width="5.140625" style="1189" bestFit="1" customWidth="1"/>
    <col min="8451" max="8452" width="12.5703125" style="1189" bestFit="1" customWidth="1"/>
    <col min="8453" max="8453" width="13.42578125" style="1189" customWidth="1"/>
    <col min="8454" max="8455" width="16.140625" style="1189" bestFit="1" customWidth="1"/>
    <col min="8456" max="8456" width="8.5703125" style="1189" bestFit="1" customWidth="1"/>
    <col min="8457" max="8457" width="10.5703125" style="1189" bestFit="1" customWidth="1"/>
    <col min="8458" max="8458" width="7.5703125" style="1189" bestFit="1" customWidth="1"/>
    <col min="8459" max="8459" width="70.42578125" style="1189" bestFit="1" customWidth="1"/>
    <col min="8460" max="8703" width="8.7109375" style="1189"/>
    <col min="8704" max="8704" width="6.140625" style="1189" bestFit="1" customWidth="1"/>
    <col min="8705" max="8705" width="19.5703125" style="1189" bestFit="1" customWidth="1"/>
    <col min="8706" max="8706" width="5.140625" style="1189" bestFit="1" customWidth="1"/>
    <col min="8707" max="8708" width="12.5703125" style="1189" bestFit="1" customWidth="1"/>
    <col min="8709" max="8709" width="13.42578125" style="1189" customWidth="1"/>
    <col min="8710" max="8711" width="16.140625" style="1189" bestFit="1" customWidth="1"/>
    <col min="8712" max="8712" width="8.5703125" style="1189" bestFit="1" customWidth="1"/>
    <col min="8713" max="8713" width="10.5703125" style="1189" bestFit="1" customWidth="1"/>
    <col min="8714" max="8714" width="7.5703125" style="1189" bestFit="1" customWidth="1"/>
    <col min="8715" max="8715" width="70.42578125" style="1189" bestFit="1" customWidth="1"/>
    <col min="8716" max="8959" width="8.7109375" style="1189"/>
    <col min="8960" max="8960" width="6.140625" style="1189" bestFit="1" customWidth="1"/>
    <col min="8961" max="8961" width="19.5703125" style="1189" bestFit="1" customWidth="1"/>
    <col min="8962" max="8962" width="5.140625" style="1189" bestFit="1" customWidth="1"/>
    <col min="8963" max="8964" width="12.5703125" style="1189" bestFit="1" customWidth="1"/>
    <col min="8965" max="8965" width="13.42578125" style="1189" customWidth="1"/>
    <col min="8966" max="8967" width="16.140625" style="1189" bestFit="1" customWidth="1"/>
    <col min="8968" max="8968" width="8.5703125" style="1189" bestFit="1" customWidth="1"/>
    <col min="8969" max="8969" width="10.5703125" style="1189" bestFit="1" customWidth="1"/>
    <col min="8970" max="8970" width="7.5703125" style="1189" bestFit="1" customWidth="1"/>
    <col min="8971" max="8971" width="70.42578125" style="1189" bestFit="1" customWidth="1"/>
    <col min="8972" max="9215" width="8.7109375" style="1189"/>
    <col min="9216" max="9216" width="6.140625" style="1189" bestFit="1" customWidth="1"/>
    <col min="9217" max="9217" width="19.5703125" style="1189" bestFit="1" customWidth="1"/>
    <col min="9218" max="9218" width="5.140625" style="1189" bestFit="1" customWidth="1"/>
    <col min="9219" max="9220" width="12.5703125" style="1189" bestFit="1" customWidth="1"/>
    <col min="9221" max="9221" width="13.42578125" style="1189" customWidth="1"/>
    <col min="9222" max="9223" width="16.140625" style="1189" bestFit="1" customWidth="1"/>
    <col min="9224" max="9224" width="8.5703125" style="1189" bestFit="1" customWidth="1"/>
    <col min="9225" max="9225" width="10.5703125" style="1189" bestFit="1" customWidth="1"/>
    <col min="9226" max="9226" width="7.5703125" style="1189" bestFit="1" customWidth="1"/>
    <col min="9227" max="9227" width="70.42578125" style="1189" bestFit="1" customWidth="1"/>
    <col min="9228" max="9471" width="8.7109375" style="1189"/>
    <col min="9472" max="9472" width="6.140625" style="1189" bestFit="1" customWidth="1"/>
    <col min="9473" max="9473" width="19.5703125" style="1189" bestFit="1" customWidth="1"/>
    <col min="9474" max="9474" width="5.140625" style="1189" bestFit="1" customWidth="1"/>
    <col min="9475" max="9476" width="12.5703125" style="1189" bestFit="1" customWidth="1"/>
    <col min="9477" max="9477" width="13.42578125" style="1189" customWidth="1"/>
    <col min="9478" max="9479" width="16.140625" style="1189" bestFit="1" customWidth="1"/>
    <col min="9480" max="9480" width="8.5703125" style="1189" bestFit="1" customWidth="1"/>
    <col min="9481" max="9481" width="10.5703125" style="1189" bestFit="1" customWidth="1"/>
    <col min="9482" max="9482" width="7.5703125" style="1189" bestFit="1" customWidth="1"/>
    <col min="9483" max="9483" width="70.42578125" style="1189" bestFit="1" customWidth="1"/>
    <col min="9484" max="9727" width="8.7109375" style="1189"/>
    <col min="9728" max="9728" width="6.140625" style="1189" bestFit="1" customWidth="1"/>
    <col min="9729" max="9729" width="19.5703125" style="1189" bestFit="1" customWidth="1"/>
    <col min="9730" max="9730" width="5.140625" style="1189" bestFit="1" customWidth="1"/>
    <col min="9731" max="9732" width="12.5703125" style="1189" bestFit="1" customWidth="1"/>
    <col min="9733" max="9733" width="13.42578125" style="1189" customWidth="1"/>
    <col min="9734" max="9735" width="16.140625" style="1189" bestFit="1" customWidth="1"/>
    <col min="9736" max="9736" width="8.5703125" style="1189" bestFit="1" customWidth="1"/>
    <col min="9737" max="9737" width="10.5703125" style="1189" bestFit="1" customWidth="1"/>
    <col min="9738" max="9738" width="7.5703125" style="1189" bestFit="1" customWidth="1"/>
    <col min="9739" max="9739" width="70.42578125" style="1189" bestFit="1" customWidth="1"/>
    <col min="9740" max="9983" width="8.7109375" style="1189"/>
    <col min="9984" max="9984" width="6.140625" style="1189" bestFit="1" customWidth="1"/>
    <col min="9985" max="9985" width="19.5703125" style="1189" bestFit="1" customWidth="1"/>
    <col min="9986" max="9986" width="5.140625" style="1189" bestFit="1" customWidth="1"/>
    <col min="9987" max="9988" width="12.5703125" style="1189" bestFit="1" customWidth="1"/>
    <col min="9989" max="9989" width="13.42578125" style="1189" customWidth="1"/>
    <col min="9990" max="9991" width="16.140625" style="1189" bestFit="1" customWidth="1"/>
    <col min="9992" max="9992" width="8.5703125" style="1189" bestFit="1" customWidth="1"/>
    <col min="9993" max="9993" width="10.5703125" style="1189" bestFit="1" customWidth="1"/>
    <col min="9994" max="9994" width="7.5703125" style="1189" bestFit="1" customWidth="1"/>
    <col min="9995" max="9995" width="70.42578125" style="1189" bestFit="1" customWidth="1"/>
    <col min="9996" max="10239" width="8.7109375" style="1189"/>
    <col min="10240" max="10240" width="6.140625" style="1189" bestFit="1" customWidth="1"/>
    <col min="10241" max="10241" width="19.5703125" style="1189" bestFit="1" customWidth="1"/>
    <col min="10242" max="10242" width="5.140625" style="1189" bestFit="1" customWidth="1"/>
    <col min="10243" max="10244" width="12.5703125" style="1189" bestFit="1" customWidth="1"/>
    <col min="10245" max="10245" width="13.42578125" style="1189" customWidth="1"/>
    <col min="10246" max="10247" width="16.140625" style="1189" bestFit="1" customWidth="1"/>
    <col min="10248" max="10248" width="8.5703125" style="1189" bestFit="1" customWidth="1"/>
    <col min="10249" max="10249" width="10.5703125" style="1189" bestFit="1" customWidth="1"/>
    <col min="10250" max="10250" width="7.5703125" style="1189" bestFit="1" customWidth="1"/>
    <col min="10251" max="10251" width="70.42578125" style="1189" bestFit="1" customWidth="1"/>
    <col min="10252" max="10495" width="8.7109375" style="1189"/>
    <col min="10496" max="10496" width="6.140625" style="1189" bestFit="1" customWidth="1"/>
    <col min="10497" max="10497" width="19.5703125" style="1189" bestFit="1" customWidth="1"/>
    <col min="10498" max="10498" width="5.140625" style="1189" bestFit="1" customWidth="1"/>
    <col min="10499" max="10500" width="12.5703125" style="1189" bestFit="1" customWidth="1"/>
    <col min="10501" max="10501" width="13.42578125" style="1189" customWidth="1"/>
    <col min="10502" max="10503" width="16.140625" style="1189" bestFit="1" customWidth="1"/>
    <col min="10504" max="10504" width="8.5703125" style="1189" bestFit="1" customWidth="1"/>
    <col min="10505" max="10505" width="10.5703125" style="1189" bestFit="1" customWidth="1"/>
    <col min="10506" max="10506" width="7.5703125" style="1189" bestFit="1" customWidth="1"/>
    <col min="10507" max="10507" width="70.42578125" style="1189" bestFit="1" customWidth="1"/>
    <col min="10508" max="10751" width="8.7109375" style="1189"/>
    <col min="10752" max="10752" width="6.140625" style="1189" bestFit="1" customWidth="1"/>
    <col min="10753" max="10753" width="19.5703125" style="1189" bestFit="1" customWidth="1"/>
    <col min="10754" max="10754" width="5.140625" style="1189" bestFit="1" customWidth="1"/>
    <col min="10755" max="10756" width="12.5703125" style="1189" bestFit="1" customWidth="1"/>
    <col min="10757" max="10757" width="13.42578125" style="1189" customWidth="1"/>
    <col min="10758" max="10759" width="16.140625" style="1189" bestFit="1" customWidth="1"/>
    <col min="10760" max="10760" width="8.5703125" style="1189" bestFit="1" customWidth="1"/>
    <col min="10761" max="10761" width="10.5703125" style="1189" bestFit="1" customWidth="1"/>
    <col min="10762" max="10762" width="7.5703125" style="1189" bestFit="1" customWidth="1"/>
    <col min="10763" max="10763" width="70.42578125" style="1189" bestFit="1" customWidth="1"/>
    <col min="10764" max="11007" width="8.7109375" style="1189"/>
    <col min="11008" max="11008" width="6.140625" style="1189" bestFit="1" customWidth="1"/>
    <col min="11009" max="11009" width="19.5703125" style="1189" bestFit="1" customWidth="1"/>
    <col min="11010" max="11010" width="5.140625" style="1189" bestFit="1" customWidth="1"/>
    <col min="11011" max="11012" width="12.5703125" style="1189" bestFit="1" customWidth="1"/>
    <col min="11013" max="11013" width="13.42578125" style="1189" customWidth="1"/>
    <col min="11014" max="11015" width="16.140625" style="1189" bestFit="1" customWidth="1"/>
    <col min="11016" max="11016" width="8.5703125" style="1189" bestFit="1" customWidth="1"/>
    <col min="11017" max="11017" width="10.5703125" style="1189" bestFit="1" customWidth="1"/>
    <col min="11018" max="11018" width="7.5703125" style="1189" bestFit="1" customWidth="1"/>
    <col min="11019" max="11019" width="70.42578125" style="1189" bestFit="1" customWidth="1"/>
    <col min="11020" max="11263" width="8.7109375" style="1189"/>
    <col min="11264" max="11264" width="6.140625" style="1189" bestFit="1" customWidth="1"/>
    <col min="11265" max="11265" width="19.5703125" style="1189" bestFit="1" customWidth="1"/>
    <col min="11266" max="11266" width="5.140625" style="1189" bestFit="1" customWidth="1"/>
    <col min="11267" max="11268" width="12.5703125" style="1189" bestFit="1" customWidth="1"/>
    <col min="11269" max="11269" width="13.42578125" style="1189" customWidth="1"/>
    <col min="11270" max="11271" width="16.140625" style="1189" bestFit="1" customWidth="1"/>
    <col min="11272" max="11272" width="8.5703125" style="1189" bestFit="1" customWidth="1"/>
    <col min="11273" max="11273" width="10.5703125" style="1189" bestFit="1" customWidth="1"/>
    <col min="11274" max="11274" width="7.5703125" style="1189" bestFit="1" customWidth="1"/>
    <col min="11275" max="11275" width="70.42578125" style="1189" bestFit="1" customWidth="1"/>
    <col min="11276" max="11519" width="8.7109375" style="1189"/>
    <col min="11520" max="11520" width="6.140625" style="1189" bestFit="1" customWidth="1"/>
    <col min="11521" max="11521" width="19.5703125" style="1189" bestFit="1" customWidth="1"/>
    <col min="11522" max="11522" width="5.140625" style="1189" bestFit="1" customWidth="1"/>
    <col min="11523" max="11524" width="12.5703125" style="1189" bestFit="1" customWidth="1"/>
    <col min="11525" max="11525" width="13.42578125" style="1189" customWidth="1"/>
    <col min="11526" max="11527" width="16.140625" style="1189" bestFit="1" customWidth="1"/>
    <col min="11528" max="11528" width="8.5703125" style="1189" bestFit="1" customWidth="1"/>
    <col min="11529" max="11529" width="10.5703125" style="1189" bestFit="1" customWidth="1"/>
    <col min="11530" max="11530" width="7.5703125" style="1189" bestFit="1" customWidth="1"/>
    <col min="11531" max="11531" width="70.42578125" style="1189" bestFit="1" customWidth="1"/>
    <col min="11532" max="11775" width="8.7109375" style="1189"/>
    <col min="11776" max="11776" width="6.140625" style="1189" bestFit="1" customWidth="1"/>
    <col min="11777" max="11777" width="19.5703125" style="1189" bestFit="1" customWidth="1"/>
    <col min="11778" max="11778" width="5.140625" style="1189" bestFit="1" customWidth="1"/>
    <col min="11779" max="11780" width="12.5703125" style="1189" bestFit="1" customWidth="1"/>
    <col min="11781" max="11781" width="13.42578125" style="1189" customWidth="1"/>
    <col min="11782" max="11783" width="16.140625" style="1189" bestFit="1" customWidth="1"/>
    <col min="11784" max="11784" width="8.5703125" style="1189" bestFit="1" customWidth="1"/>
    <col min="11785" max="11785" width="10.5703125" style="1189" bestFit="1" customWidth="1"/>
    <col min="11786" max="11786" width="7.5703125" style="1189" bestFit="1" customWidth="1"/>
    <col min="11787" max="11787" width="70.42578125" style="1189" bestFit="1" customWidth="1"/>
    <col min="11788" max="12031" width="8.7109375" style="1189"/>
    <col min="12032" max="12032" width="6.140625" style="1189" bestFit="1" customWidth="1"/>
    <col min="12033" max="12033" width="19.5703125" style="1189" bestFit="1" customWidth="1"/>
    <col min="12034" max="12034" width="5.140625" style="1189" bestFit="1" customWidth="1"/>
    <col min="12035" max="12036" width="12.5703125" style="1189" bestFit="1" customWidth="1"/>
    <col min="12037" max="12037" width="13.42578125" style="1189" customWidth="1"/>
    <col min="12038" max="12039" width="16.140625" style="1189" bestFit="1" customWidth="1"/>
    <col min="12040" max="12040" width="8.5703125" style="1189" bestFit="1" customWidth="1"/>
    <col min="12041" max="12041" width="10.5703125" style="1189" bestFit="1" customWidth="1"/>
    <col min="12042" max="12042" width="7.5703125" style="1189" bestFit="1" customWidth="1"/>
    <col min="12043" max="12043" width="70.42578125" style="1189" bestFit="1" customWidth="1"/>
    <col min="12044" max="12287" width="8.7109375" style="1189"/>
    <col min="12288" max="12288" width="6.140625" style="1189" bestFit="1" customWidth="1"/>
    <col min="12289" max="12289" width="19.5703125" style="1189" bestFit="1" customWidth="1"/>
    <col min="12290" max="12290" width="5.140625" style="1189" bestFit="1" customWidth="1"/>
    <col min="12291" max="12292" width="12.5703125" style="1189" bestFit="1" customWidth="1"/>
    <col min="12293" max="12293" width="13.42578125" style="1189" customWidth="1"/>
    <col min="12294" max="12295" width="16.140625" style="1189" bestFit="1" customWidth="1"/>
    <col min="12296" max="12296" width="8.5703125" style="1189" bestFit="1" customWidth="1"/>
    <col min="12297" max="12297" width="10.5703125" style="1189" bestFit="1" customWidth="1"/>
    <col min="12298" max="12298" width="7.5703125" style="1189" bestFit="1" customWidth="1"/>
    <col min="12299" max="12299" width="70.42578125" style="1189" bestFit="1" customWidth="1"/>
    <col min="12300" max="12543" width="8.7109375" style="1189"/>
    <col min="12544" max="12544" width="6.140625" style="1189" bestFit="1" customWidth="1"/>
    <col min="12545" max="12545" width="19.5703125" style="1189" bestFit="1" customWidth="1"/>
    <col min="12546" max="12546" width="5.140625" style="1189" bestFit="1" customWidth="1"/>
    <col min="12547" max="12548" width="12.5703125" style="1189" bestFit="1" customWidth="1"/>
    <col min="12549" max="12549" width="13.42578125" style="1189" customWidth="1"/>
    <col min="12550" max="12551" width="16.140625" style="1189" bestFit="1" customWidth="1"/>
    <col min="12552" max="12552" width="8.5703125" style="1189" bestFit="1" customWidth="1"/>
    <col min="12553" max="12553" width="10.5703125" style="1189" bestFit="1" customWidth="1"/>
    <col min="12554" max="12554" width="7.5703125" style="1189" bestFit="1" customWidth="1"/>
    <col min="12555" max="12555" width="70.42578125" style="1189" bestFit="1" customWidth="1"/>
    <col min="12556" max="12799" width="8.7109375" style="1189"/>
    <col min="12800" max="12800" width="6.140625" style="1189" bestFit="1" customWidth="1"/>
    <col min="12801" max="12801" width="19.5703125" style="1189" bestFit="1" customWidth="1"/>
    <col min="12802" max="12802" width="5.140625" style="1189" bestFit="1" customWidth="1"/>
    <col min="12803" max="12804" width="12.5703125" style="1189" bestFit="1" customWidth="1"/>
    <col min="12805" max="12805" width="13.42578125" style="1189" customWidth="1"/>
    <col min="12806" max="12807" width="16.140625" style="1189" bestFit="1" customWidth="1"/>
    <col min="12808" max="12808" width="8.5703125" style="1189" bestFit="1" customWidth="1"/>
    <col min="12809" max="12809" width="10.5703125" style="1189" bestFit="1" customWidth="1"/>
    <col min="12810" max="12810" width="7.5703125" style="1189" bestFit="1" customWidth="1"/>
    <col min="12811" max="12811" width="70.42578125" style="1189" bestFit="1" customWidth="1"/>
    <col min="12812" max="13055" width="8.7109375" style="1189"/>
    <col min="13056" max="13056" width="6.140625" style="1189" bestFit="1" customWidth="1"/>
    <col min="13057" max="13057" width="19.5703125" style="1189" bestFit="1" customWidth="1"/>
    <col min="13058" max="13058" width="5.140625" style="1189" bestFit="1" customWidth="1"/>
    <col min="13059" max="13060" width="12.5703125" style="1189" bestFit="1" customWidth="1"/>
    <col min="13061" max="13061" width="13.42578125" style="1189" customWidth="1"/>
    <col min="13062" max="13063" width="16.140625" style="1189" bestFit="1" customWidth="1"/>
    <col min="13064" max="13064" width="8.5703125" style="1189" bestFit="1" customWidth="1"/>
    <col min="13065" max="13065" width="10.5703125" style="1189" bestFit="1" customWidth="1"/>
    <col min="13066" max="13066" width="7.5703125" style="1189" bestFit="1" customWidth="1"/>
    <col min="13067" max="13067" width="70.42578125" style="1189" bestFit="1" customWidth="1"/>
    <col min="13068" max="13311" width="8.7109375" style="1189"/>
    <col min="13312" max="13312" width="6.140625" style="1189" bestFit="1" customWidth="1"/>
    <col min="13313" max="13313" width="19.5703125" style="1189" bestFit="1" customWidth="1"/>
    <col min="13314" max="13314" width="5.140625" style="1189" bestFit="1" customWidth="1"/>
    <col min="13315" max="13316" width="12.5703125" style="1189" bestFit="1" customWidth="1"/>
    <col min="13317" max="13317" width="13.42578125" style="1189" customWidth="1"/>
    <col min="13318" max="13319" width="16.140625" style="1189" bestFit="1" customWidth="1"/>
    <col min="13320" max="13320" width="8.5703125" style="1189" bestFit="1" customWidth="1"/>
    <col min="13321" max="13321" width="10.5703125" style="1189" bestFit="1" customWidth="1"/>
    <col min="13322" max="13322" width="7.5703125" style="1189" bestFit="1" customWidth="1"/>
    <col min="13323" max="13323" width="70.42578125" style="1189" bestFit="1" customWidth="1"/>
    <col min="13324" max="13567" width="8.7109375" style="1189"/>
    <col min="13568" max="13568" width="6.140625" style="1189" bestFit="1" customWidth="1"/>
    <col min="13569" max="13569" width="19.5703125" style="1189" bestFit="1" customWidth="1"/>
    <col min="13570" max="13570" width="5.140625" style="1189" bestFit="1" customWidth="1"/>
    <col min="13571" max="13572" width="12.5703125" style="1189" bestFit="1" customWidth="1"/>
    <col min="13573" max="13573" width="13.42578125" style="1189" customWidth="1"/>
    <col min="13574" max="13575" width="16.140625" style="1189" bestFit="1" customWidth="1"/>
    <col min="13576" max="13576" width="8.5703125" style="1189" bestFit="1" customWidth="1"/>
    <col min="13577" max="13577" width="10.5703125" style="1189" bestFit="1" customWidth="1"/>
    <col min="13578" max="13578" width="7.5703125" style="1189" bestFit="1" customWidth="1"/>
    <col min="13579" max="13579" width="70.42578125" style="1189" bestFit="1" customWidth="1"/>
    <col min="13580" max="13823" width="8.7109375" style="1189"/>
    <col min="13824" max="13824" width="6.140625" style="1189" bestFit="1" customWidth="1"/>
    <col min="13825" max="13825" width="19.5703125" style="1189" bestFit="1" customWidth="1"/>
    <col min="13826" max="13826" width="5.140625" style="1189" bestFit="1" customWidth="1"/>
    <col min="13827" max="13828" width="12.5703125" style="1189" bestFit="1" customWidth="1"/>
    <col min="13829" max="13829" width="13.42578125" style="1189" customWidth="1"/>
    <col min="13830" max="13831" width="16.140625" style="1189" bestFit="1" customWidth="1"/>
    <col min="13832" max="13832" width="8.5703125" style="1189" bestFit="1" customWidth="1"/>
    <col min="13833" max="13833" width="10.5703125" style="1189" bestFit="1" customWidth="1"/>
    <col min="13834" max="13834" width="7.5703125" style="1189" bestFit="1" customWidth="1"/>
    <col min="13835" max="13835" width="70.42578125" style="1189" bestFit="1" customWidth="1"/>
    <col min="13836" max="14079" width="8.7109375" style="1189"/>
    <col min="14080" max="14080" width="6.140625" style="1189" bestFit="1" customWidth="1"/>
    <col min="14081" max="14081" width="19.5703125" style="1189" bestFit="1" customWidth="1"/>
    <col min="14082" max="14082" width="5.140625" style="1189" bestFit="1" customWidth="1"/>
    <col min="14083" max="14084" width="12.5703125" style="1189" bestFit="1" customWidth="1"/>
    <col min="14085" max="14085" width="13.42578125" style="1189" customWidth="1"/>
    <col min="14086" max="14087" width="16.140625" style="1189" bestFit="1" customWidth="1"/>
    <col min="14088" max="14088" width="8.5703125" style="1189" bestFit="1" customWidth="1"/>
    <col min="14089" max="14089" width="10.5703125" style="1189" bestFit="1" customWidth="1"/>
    <col min="14090" max="14090" width="7.5703125" style="1189" bestFit="1" customWidth="1"/>
    <col min="14091" max="14091" width="70.42578125" style="1189" bestFit="1" customWidth="1"/>
    <col min="14092" max="14335" width="8.7109375" style="1189"/>
    <col min="14336" max="14336" width="6.140625" style="1189" bestFit="1" customWidth="1"/>
    <col min="14337" max="14337" width="19.5703125" style="1189" bestFit="1" customWidth="1"/>
    <col min="14338" max="14338" width="5.140625" style="1189" bestFit="1" customWidth="1"/>
    <col min="14339" max="14340" width="12.5703125" style="1189" bestFit="1" customWidth="1"/>
    <col min="14341" max="14341" width="13.42578125" style="1189" customWidth="1"/>
    <col min="14342" max="14343" width="16.140625" style="1189" bestFit="1" customWidth="1"/>
    <col min="14344" max="14344" width="8.5703125" style="1189" bestFit="1" customWidth="1"/>
    <col min="14345" max="14345" width="10.5703125" style="1189" bestFit="1" customWidth="1"/>
    <col min="14346" max="14346" width="7.5703125" style="1189" bestFit="1" customWidth="1"/>
    <col min="14347" max="14347" width="70.42578125" style="1189" bestFit="1" customWidth="1"/>
    <col min="14348" max="14591" width="8.7109375" style="1189"/>
    <col min="14592" max="14592" width="6.140625" style="1189" bestFit="1" customWidth="1"/>
    <col min="14593" max="14593" width="19.5703125" style="1189" bestFit="1" customWidth="1"/>
    <col min="14594" max="14594" width="5.140625" style="1189" bestFit="1" customWidth="1"/>
    <col min="14595" max="14596" width="12.5703125" style="1189" bestFit="1" customWidth="1"/>
    <col min="14597" max="14597" width="13.42578125" style="1189" customWidth="1"/>
    <col min="14598" max="14599" width="16.140625" style="1189" bestFit="1" customWidth="1"/>
    <col min="14600" max="14600" width="8.5703125" style="1189" bestFit="1" customWidth="1"/>
    <col min="14601" max="14601" width="10.5703125" style="1189" bestFit="1" customWidth="1"/>
    <col min="14602" max="14602" width="7.5703125" style="1189" bestFit="1" customWidth="1"/>
    <col min="14603" max="14603" width="70.42578125" style="1189" bestFit="1" customWidth="1"/>
    <col min="14604" max="14847" width="8.7109375" style="1189"/>
    <col min="14848" max="14848" width="6.140625" style="1189" bestFit="1" customWidth="1"/>
    <col min="14849" max="14849" width="19.5703125" style="1189" bestFit="1" customWidth="1"/>
    <col min="14850" max="14850" width="5.140625" style="1189" bestFit="1" customWidth="1"/>
    <col min="14851" max="14852" width="12.5703125" style="1189" bestFit="1" customWidth="1"/>
    <col min="14853" max="14853" width="13.42578125" style="1189" customWidth="1"/>
    <col min="14854" max="14855" width="16.140625" style="1189" bestFit="1" customWidth="1"/>
    <col min="14856" max="14856" width="8.5703125" style="1189" bestFit="1" customWidth="1"/>
    <col min="14857" max="14857" width="10.5703125" style="1189" bestFit="1" customWidth="1"/>
    <col min="14858" max="14858" width="7.5703125" style="1189" bestFit="1" customWidth="1"/>
    <col min="14859" max="14859" width="70.42578125" style="1189" bestFit="1" customWidth="1"/>
    <col min="14860" max="15103" width="8.7109375" style="1189"/>
    <col min="15104" max="15104" width="6.140625" style="1189" bestFit="1" customWidth="1"/>
    <col min="15105" max="15105" width="19.5703125" style="1189" bestFit="1" customWidth="1"/>
    <col min="15106" max="15106" width="5.140625" style="1189" bestFit="1" customWidth="1"/>
    <col min="15107" max="15108" width="12.5703125" style="1189" bestFit="1" customWidth="1"/>
    <col min="15109" max="15109" width="13.42578125" style="1189" customWidth="1"/>
    <col min="15110" max="15111" width="16.140625" style="1189" bestFit="1" customWidth="1"/>
    <col min="15112" max="15112" width="8.5703125" style="1189" bestFit="1" customWidth="1"/>
    <col min="15113" max="15113" width="10.5703125" style="1189" bestFit="1" customWidth="1"/>
    <col min="15114" max="15114" width="7.5703125" style="1189" bestFit="1" customWidth="1"/>
    <col min="15115" max="15115" width="70.42578125" style="1189" bestFit="1" customWidth="1"/>
    <col min="15116" max="15359" width="8.7109375" style="1189"/>
    <col min="15360" max="15360" width="6.140625" style="1189" bestFit="1" customWidth="1"/>
    <col min="15361" max="15361" width="19.5703125" style="1189" bestFit="1" customWidth="1"/>
    <col min="15362" max="15362" width="5.140625" style="1189" bestFit="1" customWidth="1"/>
    <col min="15363" max="15364" width="12.5703125" style="1189" bestFit="1" customWidth="1"/>
    <col min="15365" max="15365" width="13.42578125" style="1189" customWidth="1"/>
    <col min="15366" max="15367" width="16.140625" style="1189" bestFit="1" customWidth="1"/>
    <col min="15368" max="15368" width="8.5703125" style="1189" bestFit="1" customWidth="1"/>
    <col min="15369" max="15369" width="10.5703125" style="1189" bestFit="1" customWidth="1"/>
    <col min="15370" max="15370" width="7.5703125" style="1189" bestFit="1" customWidth="1"/>
    <col min="15371" max="15371" width="70.42578125" style="1189" bestFit="1" customWidth="1"/>
    <col min="15372" max="15615" width="8.7109375" style="1189"/>
    <col min="15616" max="15616" width="6.140625" style="1189" bestFit="1" customWidth="1"/>
    <col min="15617" max="15617" width="19.5703125" style="1189" bestFit="1" customWidth="1"/>
    <col min="15618" max="15618" width="5.140625" style="1189" bestFit="1" customWidth="1"/>
    <col min="15619" max="15620" width="12.5703125" style="1189" bestFit="1" customWidth="1"/>
    <col min="15621" max="15621" width="13.42578125" style="1189" customWidth="1"/>
    <col min="15622" max="15623" width="16.140625" style="1189" bestFit="1" customWidth="1"/>
    <col min="15624" max="15624" width="8.5703125" style="1189" bestFit="1" customWidth="1"/>
    <col min="15625" max="15625" width="10.5703125" style="1189" bestFit="1" customWidth="1"/>
    <col min="15626" max="15626" width="7.5703125" style="1189" bestFit="1" customWidth="1"/>
    <col min="15627" max="15627" width="70.42578125" style="1189" bestFit="1" customWidth="1"/>
    <col min="15628" max="15871" width="8.7109375" style="1189"/>
    <col min="15872" max="15872" width="6.140625" style="1189" bestFit="1" customWidth="1"/>
    <col min="15873" max="15873" width="19.5703125" style="1189" bestFit="1" customWidth="1"/>
    <col min="15874" max="15874" width="5.140625" style="1189" bestFit="1" customWidth="1"/>
    <col min="15875" max="15876" width="12.5703125" style="1189" bestFit="1" customWidth="1"/>
    <col min="15877" max="15877" width="13.42578125" style="1189" customWidth="1"/>
    <col min="15878" max="15879" width="16.140625" style="1189" bestFit="1" customWidth="1"/>
    <col min="15880" max="15880" width="8.5703125" style="1189" bestFit="1" customWidth="1"/>
    <col min="15881" max="15881" width="10.5703125" style="1189" bestFit="1" customWidth="1"/>
    <col min="15882" max="15882" width="7.5703125" style="1189" bestFit="1" customWidth="1"/>
    <col min="15883" max="15883" width="70.42578125" style="1189" bestFit="1" customWidth="1"/>
    <col min="15884" max="16127" width="8.7109375" style="1189"/>
    <col min="16128" max="16128" width="6.140625" style="1189" bestFit="1" customWidth="1"/>
    <col min="16129" max="16129" width="19.5703125" style="1189" bestFit="1" customWidth="1"/>
    <col min="16130" max="16130" width="5.140625" style="1189" bestFit="1" customWidth="1"/>
    <col min="16131" max="16132" width="12.5703125" style="1189" bestFit="1" customWidth="1"/>
    <col min="16133" max="16133" width="13.42578125" style="1189" customWidth="1"/>
    <col min="16134" max="16135" width="16.140625" style="1189" bestFit="1" customWidth="1"/>
    <col min="16136" max="16136" width="8.5703125" style="1189" bestFit="1" customWidth="1"/>
    <col min="16137" max="16137" width="10.5703125" style="1189" bestFit="1" customWidth="1"/>
    <col min="16138" max="16138" width="7.5703125" style="1189" bestFit="1" customWidth="1"/>
    <col min="16139" max="16139" width="70.42578125" style="1189" bestFit="1" customWidth="1"/>
    <col min="16140" max="16384" width="8.7109375" style="1189"/>
  </cols>
  <sheetData>
    <row r="1" spans="1:15">
      <c r="A1" s="1693" t="s">
        <v>3431</v>
      </c>
      <c r="B1" s="1693"/>
      <c r="C1" s="1693"/>
      <c r="D1" s="1693"/>
      <c r="E1" s="1693"/>
      <c r="F1" s="1693"/>
      <c r="G1" s="1693"/>
      <c r="H1" s="1693"/>
      <c r="I1" s="1693"/>
      <c r="J1" s="1693"/>
      <c r="K1" s="1693"/>
    </row>
    <row r="2" spans="1:15" ht="51">
      <c r="A2" s="1190" t="s">
        <v>2877</v>
      </c>
      <c r="B2" s="1190" t="s">
        <v>3267</v>
      </c>
      <c r="C2" s="1190" t="s">
        <v>2683</v>
      </c>
      <c r="D2" s="1191" t="s">
        <v>3432</v>
      </c>
      <c r="E2" s="1191" t="s">
        <v>3433</v>
      </c>
      <c r="F2" s="1191" t="s">
        <v>3434</v>
      </c>
      <c r="G2" s="1191" t="s">
        <v>3435</v>
      </c>
      <c r="H2" s="1191" t="s">
        <v>3436</v>
      </c>
      <c r="I2" s="1191" t="s">
        <v>3437</v>
      </c>
      <c r="J2" s="1191" t="s">
        <v>593</v>
      </c>
      <c r="K2" s="1190" t="s">
        <v>19</v>
      </c>
    </row>
    <row r="3" spans="1:15">
      <c r="A3" s="1694" t="s">
        <v>1675</v>
      </c>
      <c r="B3" s="1192" t="s">
        <v>3438</v>
      </c>
      <c r="C3" s="1193" t="s">
        <v>1857</v>
      </c>
      <c r="D3" s="1194">
        <v>74</v>
      </c>
      <c r="E3" s="1194">
        <v>124</v>
      </c>
      <c r="F3" s="1195">
        <f>D3+E3</f>
        <v>198</v>
      </c>
      <c r="G3" s="1194">
        <v>80</v>
      </c>
      <c r="H3" s="1194">
        <f>10+103+3</f>
        <v>116</v>
      </c>
      <c r="I3" s="1195">
        <f>G3+H3</f>
        <v>196</v>
      </c>
      <c r="J3" s="1194">
        <f>F3-I3</f>
        <v>2</v>
      </c>
      <c r="K3" s="1196"/>
    </row>
    <row r="4" spans="1:15">
      <c r="A4" s="1694"/>
      <c r="B4" s="1192" t="s">
        <v>3439</v>
      </c>
      <c r="C4" s="1193" t="s">
        <v>3440</v>
      </c>
      <c r="D4" s="1194">
        <v>8</v>
      </c>
      <c r="E4" s="1194">
        <v>4</v>
      </c>
      <c r="F4" s="1195">
        <f t="shared" ref="F4:F29" si="0">D4+E4</f>
        <v>12</v>
      </c>
      <c r="G4" s="1194">
        <v>8</v>
      </c>
      <c r="H4" s="1194">
        <v>4</v>
      </c>
      <c r="I4" s="1195">
        <f t="shared" ref="I4:I29" si="1">G4+H4</f>
        <v>12</v>
      </c>
      <c r="J4" s="1194">
        <f t="shared" ref="J4:J29" si="2">F4-I4</f>
        <v>0</v>
      </c>
      <c r="K4" s="1196"/>
    </row>
    <row r="5" spans="1:15">
      <c r="A5" s="1694"/>
      <c r="B5" s="1192" t="s">
        <v>3441</v>
      </c>
      <c r="C5" s="1193" t="s">
        <v>3440</v>
      </c>
      <c r="D5" s="1194">
        <v>5</v>
      </c>
      <c r="E5" s="1194">
        <v>12</v>
      </c>
      <c r="F5" s="1195">
        <f t="shared" si="0"/>
        <v>17</v>
      </c>
      <c r="G5" s="1194">
        <v>5</v>
      </c>
      <c r="H5" s="1194">
        <v>10</v>
      </c>
      <c r="I5" s="1195">
        <f t="shared" si="1"/>
        <v>15</v>
      </c>
      <c r="J5" s="1194">
        <f t="shared" si="2"/>
        <v>2</v>
      </c>
      <c r="K5" s="1196"/>
    </row>
    <row r="6" spans="1:15">
      <c r="A6" s="1694"/>
      <c r="B6" s="1192" t="s">
        <v>3442</v>
      </c>
      <c r="C6" s="1193" t="s">
        <v>3440</v>
      </c>
      <c r="D6" s="1194"/>
      <c r="E6" s="1194"/>
      <c r="F6" s="1195">
        <f t="shared" si="0"/>
        <v>0</v>
      </c>
      <c r="G6" s="1194"/>
      <c r="H6" s="1194">
        <v>0</v>
      </c>
      <c r="I6" s="1195">
        <f t="shared" si="1"/>
        <v>0</v>
      </c>
      <c r="J6" s="1194">
        <f t="shared" si="2"/>
        <v>0</v>
      </c>
      <c r="K6" s="1196"/>
    </row>
    <row r="7" spans="1:15">
      <c r="A7" s="1694"/>
      <c r="B7" s="1192" t="s">
        <v>3442</v>
      </c>
      <c r="C7" s="1193" t="s">
        <v>3440</v>
      </c>
      <c r="D7" s="1194"/>
      <c r="E7" s="1194"/>
      <c r="F7" s="1195">
        <f t="shared" si="0"/>
        <v>0</v>
      </c>
      <c r="G7" s="1194"/>
      <c r="H7" s="1194">
        <v>0</v>
      </c>
      <c r="I7" s="1195">
        <f t="shared" si="1"/>
        <v>0</v>
      </c>
      <c r="J7" s="1194">
        <f t="shared" si="2"/>
        <v>0</v>
      </c>
      <c r="K7" s="1196"/>
    </row>
    <row r="8" spans="1:15">
      <c r="A8" s="1694"/>
      <c r="B8" s="1192" t="s">
        <v>3443</v>
      </c>
      <c r="C8" s="1193" t="s">
        <v>3440</v>
      </c>
      <c r="D8" s="1194">
        <v>1</v>
      </c>
      <c r="E8" s="1194"/>
      <c r="F8" s="1195">
        <f t="shared" si="0"/>
        <v>1</v>
      </c>
      <c r="G8" s="1194">
        <v>1</v>
      </c>
      <c r="H8" s="1194">
        <v>0</v>
      </c>
      <c r="I8" s="1195">
        <f t="shared" si="1"/>
        <v>1</v>
      </c>
      <c r="J8" s="1194">
        <f t="shared" si="2"/>
        <v>0</v>
      </c>
      <c r="K8" s="1197"/>
      <c r="N8" s="1189" t="s">
        <v>1675</v>
      </c>
      <c r="O8" s="1189">
        <v>5</v>
      </c>
    </row>
    <row r="9" spans="1:15">
      <c r="A9" s="1694" t="s">
        <v>2397</v>
      </c>
      <c r="B9" s="1192" t="s">
        <v>3438</v>
      </c>
      <c r="C9" s="1193" t="s">
        <v>1857</v>
      </c>
      <c r="D9" s="1194">
        <v>17</v>
      </c>
      <c r="E9" s="1194">
        <v>38</v>
      </c>
      <c r="F9" s="1195">
        <f t="shared" si="0"/>
        <v>55</v>
      </c>
      <c r="G9" s="1194">
        <v>20</v>
      </c>
      <c r="H9" s="1194">
        <v>33</v>
      </c>
      <c r="I9" s="1195">
        <f t="shared" si="1"/>
        <v>53</v>
      </c>
      <c r="J9" s="1194">
        <f t="shared" si="2"/>
        <v>2</v>
      </c>
      <c r="K9" s="1196"/>
      <c r="N9" s="1189" t="s">
        <v>3486</v>
      </c>
      <c r="O9" s="1189">
        <v>5</v>
      </c>
    </row>
    <row r="10" spans="1:15">
      <c r="A10" s="1694"/>
      <c r="B10" s="1192" t="s">
        <v>3439</v>
      </c>
      <c r="C10" s="1193" t="s">
        <v>3440</v>
      </c>
      <c r="D10" s="1194"/>
      <c r="E10" s="1194">
        <v>4</v>
      </c>
      <c r="F10" s="1195">
        <f t="shared" si="0"/>
        <v>4</v>
      </c>
      <c r="G10" s="1194"/>
      <c r="H10" s="1194">
        <v>4</v>
      </c>
      <c r="I10" s="1195">
        <f t="shared" si="1"/>
        <v>4</v>
      </c>
      <c r="J10" s="1194">
        <f t="shared" si="2"/>
        <v>0</v>
      </c>
      <c r="K10" s="1196"/>
      <c r="N10" s="1189" t="s">
        <v>2398</v>
      </c>
      <c r="O10" s="1189">
        <v>2</v>
      </c>
    </row>
    <row r="11" spans="1:15">
      <c r="A11" s="1694"/>
      <c r="B11" s="1192" t="s">
        <v>3441</v>
      </c>
      <c r="C11" s="1193" t="s">
        <v>3440</v>
      </c>
      <c r="D11" s="1194">
        <v>4</v>
      </c>
      <c r="E11" s="1194">
        <v>4</v>
      </c>
      <c r="F11" s="1195">
        <f t="shared" si="0"/>
        <v>8</v>
      </c>
      <c r="G11" s="1194">
        <v>4</v>
      </c>
      <c r="H11" s="1194">
        <v>4</v>
      </c>
      <c r="I11" s="1195">
        <f t="shared" si="1"/>
        <v>8</v>
      </c>
      <c r="J11" s="1194">
        <f t="shared" si="2"/>
        <v>0</v>
      </c>
      <c r="K11" s="1196"/>
      <c r="N11" s="1189" t="s">
        <v>2425</v>
      </c>
      <c r="O11" s="1189">
        <v>2</v>
      </c>
    </row>
    <row r="12" spans="1:15">
      <c r="A12" s="1694"/>
      <c r="B12" s="1192" t="s">
        <v>3442</v>
      </c>
      <c r="C12" s="1193" t="s">
        <v>3440</v>
      </c>
      <c r="D12" s="1194">
        <v>1</v>
      </c>
      <c r="E12" s="1194"/>
      <c r="F12" s="1195">
        <f t="shared" si="0"/>
        <v>1</v>
      </c>
      <c r="G12" s="1194">
        <v>1</v>
      </c>
      <c r="H12" s="1194">
        <v>4</v>
      </c>
      <c r="I12" s="1195">
        <f t="shared" si="1"/>
        <v>5</v>
      </c>
      <c r="J12" s="1194">
        <f t="shared" si="2"/>
        <v>-4</v>
      </c>
      <c r="K12" s="1196" t="s">
        <v>3444</v>
      </c>
    </row>
    <row r="13" spans="1:15">
      <c r="A13" s="1694" t="s">
        <v>2398</v>
      </c>
      <c r="B13" s="1192" t="s">
        <v>3438</v>
      </c>
      <c r="C13" s="1193" t="s">
        <v>1857</v>
      </c>
      <c r="D13" s="1194">
        <v>13</v>
      </c>
      <c r="E13" s="1194">
        <v>33</v>
      </c>
      <c r="F13" s="1195">
        <f t="shared" si="0"/>
        <v>46</v>
      </c>
      <c r="G13" s="1194">
        <v>20</v>
      </c>
      <c r="H13" s="1194">
        <v>24</v>
      </c>
      <c r="I13" s="1195">
        <f t="shared" si="1"/>
        <v>44</v>
      </c>
      <c r="J13" s="1194">
        <f t="shared" si="2"/>
        <v>2</v>
      </c>
      <c r="K13" s="1196"/>
    </row>
    <row r="14" spans="1:15">
      <c r="A14" s="1694"/>
      <c r="B14" s="1192" t="s">
        <v>3439</v>
      </c>
      <c r="C14" s="1193" t="s">
        <v>3440</v>
      </c>
      <c r="D14" s="1194"/>
      <c r="E14" s="1194"/>
      <c r="F14" s="1195">
        <f t="shared" si="0"/>
        <v>0</v>
      </c>
      <c r="G14" s="1194"/>
      <c r="H14" s="1194">
        <v>0</v>
      </c>
      <c r="I14" s="1195">
        <f t="shared" si="1"/>
        <v>0</v>
      </c>
      <c r="J14" s="1194">
        <f t="shared" si="2"/>
        <v>0</v>
      </c>
      <c r="K14" s="1196"/>
    </row>
    <row r="15" spans="1:15">
      <c r="A15" s="1694"/>
      <c r="B15" s="1192" t="s">
        <v>3441</v>
      </c>
      <c r="C15" s="1193" t="s">
        <v>3440</v>
      </c>
      <c r="D15" s="1194">
        <v>5</v>
      </c>
      <c r="E15" s="1194">
        <v>4</v>
      </c>
      <c r="F15" s="1195">
        <f t="shared" si="0"/>
        <v>9</v>
      </c>
      <c r="G15" s="1194">
        <v>5</v>
      </c>
      <c r="H15" s="1194">
        <v>4</v>
      </c>
      <c r="I15" s="1195">
        <f t="shared" si="1"/>
        <v>9</v>
      </c>
      <c r="J15" s="1194">
        <f t="shared" si="2"/>
        <v>0</v>
      </c>
      <c r="K15" s="1196"/>
    </row>
    <row r="16" spans="1:15">
      <c r="A16" s="1694"/>
      <c r="B16" s="1192" t="s">
        <v>3442</v>
      </c>
      <c r="C16" s="1193" t="s">
        <v>3440</v>
      </c>
      <c r="D16" s="1194"/>
      <c r="E16" s="1194"/>
      <c r="F16" s="1195">
        <f t="shared" si="0"/>
        <v>0</v>
      </c>
      <c r="G16" s="1194"/>
      <c r="H16" s="1194">
        <v>0</v>
      </c>
      <c r="I16" s="1195">
        <f t="shared" si="1"/>
        <v>0</v>
      </c>
      <c r="J16" s="1194">
        <f t="shared" si="2"/>
        <v>0</v>
      </c>
      <c r="K16" s="1196"/>
    </row>
    <row r="17" spans="1:11">
      <c r="A17" s="1694"/>
      <c r="B17" s="1192" t="s">
        <v>3443</v>
      </c>
      <c r="C17" s="1193" t="s">
        <v>3440</v>
      </c>
      <c r="D17" s="1194">
        <v>1</v>
      </c>
      <c r="E17" s="1194"/>
      <c r="F17" s="1195">
        <f t="shared" si="0"/>
        <v>1</v>
      </c>
      <c r="G17" s="1194">
        <v>1</v>
      </c>
      <c r="H17" s="1194">
        <v>0</v>
      </c>
      <c r="I17" s="1195">
        <f t="shared" si="1"/>
        <v>1</v>
      </c>
      <c r="J17" s="1194">
        <f t="shared" si="2"/>
        <v>0</v>
      </c>
      <c r="K17" s="1197"/>
    </row>
    <row r="18" spans="1:11">
      <c r="A18" s="1694"/>
      <c r="B18" s="1192" t="s">
        <v>3445</v>
      </c>
      <c r="C18" s="1193" t="s">
        <v>3440</v>
      </c>
      <c r="D18" s="1194">
        <v>2</v>
      </c>
      <c r="E18" s="1194"/>
      <c r="F18" s="1195">
        <f t="shared" si="0"/>
        <v>2</v>
      </c>
      <c r="G18" s="1194">
        <v>2</v>
      </c>
      <c r="H18" s="1194">
        <v>0</v>
      </c>
      <c r="I18" s="1195">
        <f t="shared" si="1"/>
        <v>2</v>
      </c>
      <c r="J18" s="1194">
        <f t="shared" si="2"/>
        <v>0</v>
      </c>
      <c r="K18" s="1197"/>
    </row>
    <row r="19" spans="1:11">
      <c r="A19" s="1695" t="s">
        <v>2425</v>
      </c>
      <c r="B19" s="1192" t="s">
        <v>3438</v>
      </c>
      <c r="C19" s="1193" t="s">
        <v>1857</v>
      </c>
      <c r="D19" s="1194">
        <v>10</v>
      </c>
      <c r="E19" s="1194">
        <v>20</v>
      </c>
      <c r="F19" s="1195">
        <f t="shared" si="0"/>
        <v>30</v>
      </c>
      <c r="G19" s="1194">
        <v>10</v>
      </c>
      <c r="H19" s="1194">
        <v>20</v>
      </c>
      <c r="I19" s="1195">
        <f t="shared" si="1"/>
        <v>30</v>
      </c>
      <c r="J19" s="1194">
        <f t="shared" si="2"/>
        <v>0</v>
      </c>
      <c r="K19" s="1196"/>
    </row>
    <row r="20" spans="1:11">
      <c r="A20" s="1696"/>
      <c r="B20" s="1192" t="s">
        <v>3439</v>
      </c>
      <c r="C20" s="1193" t="s">
        <v>3440</v>
      </c>
      <c r="D20" s="1194"/>
      <c r="E20" s="1194">
        <v>4</v>
      </c>
      <c r="F20" s="1195">
        <f t="shared" si="0"/>
        <v>4</v>
      </c>
      <c r="G20" s="1194"/>
      <c r="H20" s="1194">
        <v>4</v>
      </c>
      <c r="I20" s="1195">
        <f t="shared" si="1"/>
        <v>4</v>
      </c>
      <c r="J20" s="1194">
        <f t="shared" si="2"/>
        <v>0</v>
      </c>
      <c r="K20" s="1196"/>
    </row>
    <row r="21" spans="1:11">
      <c r="A21" s="1696"/>
      <c r="B21" s="1192" t="s">
        <v>3441</v>
      </c>
      <c r="C21" s="1193" t="s">
        <v>3440</v>
      </c>
      <c r="D21" s="1194">
        <v>4</v>
      </c>
      <c r="E21" s="1194">
        <v>4</v>
      </c>
      <c r="F21" s="1195">
        <f t="shared" si="0"/>
        <v>8</v>
      </c>
      <c r="G21" s="1194">
        <v>4</v>
      </c>
      <c r="H21" s="1194">
        <v>4</v>
      </c>
      <c r="I21" s="1195">
        <f t="shared" si="1"/>
        <v>8</v>
      </c>
      <c r="J21" s="1194">
        <f t="shared" si="2"/>
        <v>0</v>
      </c>
      <c r="K21" s="1196"/>
    </row>
    <row r="22" spans="1:11">
      <c r="A22" s="1696"/>
      <c r="B22" s="1192" t="s">
        <v>3442</v>
      </c>
      <c r="C22" s="1193" t="s">
        <v>3440</v>
      </c>
      <c r="D22" s="1194">
        <v>4</v>
      </c>
      <c r="E22" s="1194"/>
      <c r="F22" s="1195">
        <f t="shared" si="0"/>
        <v>4</v>
      </c>
      <c r="G22" s="1194">
        <v>4</v>
      </c>
      <c r="H22" s="1194">
        <v>4</v>
      </c>
      <c r="I22" s="1195">
        <f t="shared" si="1"/>
        <v>8</v>
      </c>
      <c r="J22" s="1194">
        <f t="shared" si="2"/>
        <v>-4</v>
      </c>
      <c r="K22" s="1196" t="s">
        <v>3444</v>
      </c>
    </row>
    <row r="23" spans="1:11">
      <c r="A23" s="1696"/>
      <c r="B23" s="1192" t="s">
        <v>3445</v>
      </c>
      <c r="C23" s="1193" t="s">
        <v>3440</v>
      </c>
      <c r="D23" s="1194"/>
      <c r="E23" s="1194"/>
      <c r="F23" s="1195">
        <f t="shared" si="0"/>
        <v>0</v>
      </c>
      <c r="G23" s="1194"/>
      <c r="H23" s="1194">
        <v>0</v>
      </c>
      <c r="I23" s="1195">
        <f t="shared" si="1"/>
        <v>0</v>
      </c>
      <c r="J23" s="1194">
        <f t="shared" si="2"/>
        <v>0</v>
      </c>
      <c r="K23" s="1196"/>
    </row>
    <row r="24" spans="1:11">
      <c r="A24" s="1696"/>
      <c r="B24" s="1192" t="s">
        <v>3446</v>
      </c>
      <c r="C24" s="1193" t="s">
        <v>1857</v>
      </c>
      <c r="D24" s="1194">
        <v>9.25</v>
      </c>
      <c r="E24" s="1194">
        <v>22</v>
      </c>
      <c r="F24" s="1195">
        <f t="shared" si="0"/>
        <v>31.25</v>
      </c>
      <c r="G24" s="1194">
        <f>5+3</f>
        <v>8</v>
      </c>
      <c r="H24" s="1194">
        <v>22</v>
      </c>
      <c r="I24" s="1195">
        <f t="shared" si="1"/>
        <v>30</v>
      </c>
      <c r="J24" s="1194">
        <f t="shared" si="2"/>
        <v>1.25</v>
      </c>
      <c r="K24" s="1197"/>
    </row>
    <row r="25" spans="1:11">
      <c r="A25" s="1696"/>
      <c r="B25" s="1192" t="s">
        <v>3441</v>
      </c>
      <c r="C25" s="1193" t="s">
        <v>3440</v>
      </c>
      <c r="D25" s="1194">
        <v>3</v>
      </c>
      <c r="E25" s="1194"/>
      <c r="F25" s="1195">
        <f t="shared" si="0"/>
        <v>3</v>
      </c>
      <c r="G25" s="1194">
        <v>3</v>
      </c>
      <c r="H25" s="1194">
        <v>0</v>
      </c>
      <c r="I25" s="1195">
        <f t="shared" si="1"/>
        <v>3</v>
      </c>
      <c r="J25" s="1194">
        <f t="shared" si="2"/>
        <v>0</v>
      </c>
      <c r="K25" s="1197"/>
    </row>
    <row r="26" spans="1:11">
      <c r="A26" s="1696"/>
      <c r="B26" s="1192" t="s">
        <v>3442</v>
      </c>
      <c r="C26" s="1193" t="s">
        <v>3440</v>
      </c>
      <c r="D26" s="1194">
        <v>8</v>
      </c>
      <c r="E26" s="1194">
        <v>24</v>
      </c>
      <c r="F26" s="1195">
        <f t="shared" si="0"/>
        <v>32</v>
      </c>
      <c r="G26" s="1194">
        <v>4</v>
      </c>
      <c r="H26" s="1194">
        <f>20+8</f>
        <v>28</v>
      </c>
      <c r="I26" s="1195">
        <f t="shared" si="1"/>
        <v>32</v>
      </c>
      <c r="J26" s="1194">
        <f t="shared" si="2"/>
        <v>0</v>
      </c>
      <c r="K26" s="1197"/>
    </row>
    <row r="27" spans="1:11">
      <c r="A27" s="1696"/>
      <c r="B27" s="1192" t="s">
        <v>3447</v>
      </c>
      <c r="C27" s="1193" t="s">
        <v>3440</v>
      </c>
      <c r="D27" s="1194">
        <v>4</v>
      </c>
      <c r="E27" s="1194"/>
      <c r="F27" s="1195">
        <f t="shared" si="0"/>
        <v>4</v>
      </c>
      <c r="G27" s="1194">
        <v>4</v>
      </c>
      <c r="H27" s="1194">
        <v>0</v>
      </c>
      <c r="I27" s="1195">
        <f t="shared" si="1"/>
        <v>4</v>
      </c>
      <c r="J27" s="1194">
        <f t="shared" si="2"/>
        <v>0</v>
      </c>
      <c r="K27" s="1197"/>
    </row>
    <row r="28" spans="1:11">
      <c r="A28" s="1696"/>
      <c r="B28" s="1192" t="s">
        <v>3445</v>
      </c>
      <c r="C28" s="1193" t="s">
        <v>3440</v>
      </c>
      <c r="D28" s="1194">
        <v>2</v>
      </c>
      <c r="E28" s="1194"/>
      <c r="F28" s="1195">
        <f t="shared" si="0"/>
        <v>2</v>
      </c>
      <c r="G28" s="1194">
        <v>2</v>
      </c>
      <c r="H28" s="1194">
        <v>0</v>
      </c>
      <c r="I28" s="1195">
        <f t="shared" si="1"/>
        <v>2</v>
      </c>
      <c r="J28" s="1194">
        <f t="shared" si="2"/>
        <v>0</v>
      </c>
      <c r="K28" s="1197"/>
    </row>
    <row r="29" spans="1:11">
      <c r="A29" s="1697"/>
      <c r="B29" s="1192" t="s">
        <v>3448</v>
      </c>
      <c r="C29" s="1193" t="s">
        <v>3440</v>
      </c>
      <c r="D29" s="1194">
        <v>2</v>
      </c>
      <c r="E29" s="1194"/>
      <c r="F29" s="1195">
        <f t="shared" si="0"/>
        <v>2</v>
      </c>
      <c r="G29" s="1194">
        <v>2</v>
      </c>
      <c r="H29" s="1194">
        <v>0</v>
      </c>
      <c r="I29" s="1195">
        <f t="shared" si="1"/>
        <v>2</v>
      </c>
      <c r="J29" s="1194">
        <f t="shared" si="2"/>
        <v>0</v>
      </c>
      <c r="K29" s="1197"/>
    </row>
    <row r="30" spans="1:11">
      <c r="A30" s="1694" t="s">
        <v>994</v>
      </c>
      <c r="B30" s="1694"/>
      <c r="C30" s="1192"/>
      <c r="D30" s="1192">
        <f t="shared" ref="D30:J30" si="3">D3+D9+D13+D19+D24+((D4)/4)+(D21/4)+(D25/4)+(D20/4)+(D10/4)</f>
        <v>127</v>
      </c>
      <c r="E30" s="1192">
        <f t="shared" si="3"/>
        <v>241</v>
      </c>
      <c r="F30" s="1188">
        <f t="shared" si="3"/>
        <v>368</v>
      </c>
      <c r="G30" s="1192">
        <f t="shared" si="3"/>
        <v>141.75</v>
      </c>
      <c r="H30" s="1192">
        <f t="shared" si="3"/>
        <v>219</v>
      </c>
      <c r="I30" s="1188">
        <f t="shared" si="3"/>
        <v>360.75</v>
      </c>
      <c r="J30" s="1192">
        <f t="shared" si="3"/>
        <v>7.25</v>
      </c>
      <c r="K30" s="119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89" customWidth="1"/>
    <col min="2" max="2" width="16.5703125" style="1189" bestFit="1" customWidth="1"/>
    <col min="3" max="3" width="14.42578125" style="1189" bestFit="1" customWidth="1"/>
    <col min="4" max="5" width="14.42578125" style="1189" customWidth="1"/>
    <col min="6" max="6" width="15" style="1189" customWidth="1"/>
    <col min="7" max="7" width="13.85546875" style="1189" customWidth="1"/>
    <col min="8" max="8" width="11.140625" style="1189" customWidth="1"/>
    <col min="9" max="9" width="16.28515625" style="1189" customWidth="1"/>
    <col min="10" max="10" width="8.140625" style="1189" customWidth="1"/>
    <col min="11" max="11" width="30.28515625" style="1189" bestFit="1" customWidth="1"/>
    <col min="12" max="256" width="8.7109375" style="1189"/>
    <col min="257" max="257" width="8.42578125" style="1189" customWidth="1"/>
    <col min="258" max="258" width="16.5703125" style="1189" bestFit="1" customWidth="1"/>
    <col min="259" max="259" width="14.42578125" style="1189" bestFit="1" customWidth="1"/>
    <col min="260" max="261" width="14.42578125" style="1189" customWidth="1"/>
    <col min="262" max="262" width="15" style="1189" customWidth="1"/>
    <col min="263" max="263" width="13.85546875" style="1189" customWidth="1"/>
    <col min="264" max="264" width="11.140625" style="1189" customWidth="1"/>
    <col min="265" max="265" width="16.28515625" style="1189" customWidth="1"/>
    <col min="266" max="266" width="8.140625" style="1189" customWidth="1"/>
    <col min="267" max="267" width="30.28515625" style="1189" bestFit="1" customWidth="1"/>
    <col min="268" max="512" width="8.7109375" style="1189"/>
    <col min="513" max="513" width="8.42578125" style="1189" customWidth="1"/>
    <col min="514" max="514" width="16.5703125" style="1189" bestFit="1" customWidth="1"/>
    <col min="515" max="515" width="14.42578125" style="1189" bestFit="1" customWidth="1"/>
    <col min="516" max="517" width="14.42578125" style="1189" customWidth="1"/>
    <col min="518" max="518" width="15" style="1189" customWidth="1"/>
    <col min="519" max="519" width="13.85546875" style="1189" customWidth="1"/>
    <col min="520" max="520" width="11.140625" style="1189" customWidth="1"/>
    <col min="521" max="521" width="16.28515625" style="1189" customWidth="1"/>
    <col min="522" max="522" width="8.140625" style="1189" customWidth="1"/>
    <col min="523" max="523" width="30.28515625" style="1189" bestFit="1" customWidth="1"/>
    <col min="524" max="768" width="8.7109375" style="1189"/>
    <col min="769" max="769" width="8.42578125" style="1189" customWidth="1"/>
    <col min="770" max="770" width="16.5703125" style="1189" bestFit="1" customWidth="1"/>
    <col min="771" max="771" width="14.42578125" style="1189" bestFit="1" customWidth="1"/>
    <col min="772" max="773" width="14.42578125" style="1189" customWidth="1"/>
    <col min="774" max="774" width="15" style="1189" customWidth="1"/>
    <col min="775" max="775" width="13.85546875" style="1189" customWidth="1"/>
    <col min="776" max="776" width="11.140625" style="1189" customWidth="1"/>
    <col min="777" max="777" width="16.28515625" style="1189" customWidth="1"/>
    <col min="778" max="778" width="8.140625" style="1189" customWidth="1"/>
    <col min="779" max="779" width="30.28515625" style="1189" bestFit="1" customWidth="1"/>
    <col min="780" max="1024" width="8.7109375" style="1189"/>
    <col min="1025" max="1025" width="8.42578125" style="1189" customWidth="1"/>
    <col min="1026" max="1026" width="16.5703125" style="1189" bestFit="1" customWidth="1"/>
    <col min="1027" max="1027" width="14.42578125" style="1189" bestFit="1" customWidth="1"/>
    <col min="1028" max="1029" width="14.42578125" style="1189" customWidth="1"/>
    <col min="1030" max="1030" width="15" style="1189" customWidth="1"/>
    <col min="1031" max="1031" width="13.85546875" style="1189" customWidth="1"/>
    <col min="1032" max="1032" width="11.140625" style="1189" customWidth="1"/>
    <col min="1033" max="1033" width="16.28515625" style="1189" customWidth="1"/>
    <col min="1034" max="1034" width="8.140625" style="1189" customWidth="1"/>
    <col min="1035" max="1035" width="30.28515625" style="1189" bestFit="1" customWidth="1"/>
    <col min="1036" max="1280" width="8.7109375" style="1189"/>
    <col min="1281" max="1281" width="8.42578125" style="1189" customWidth="1"/>
    <col min="1282" max="1282" width="16.5703125" style="1189" bestFit="1" customWidth="1"/>
    <col min="1283" max="1283" width="14.42578125" style="1189" bestFit="1" customWidth="1"/>
    <col min="1284" max="1285" width="14.42578125" style="1189" customWidth="1"/>
    <col min="1286" max="1286" width="15" style="1189" customWidth="1"/>
    <col min="1287" max="1287" width="13.85546875" style="1189" customWidth="1"/>
    <col min="1288" max="1288" width="11.140625" style="1189" customWidth="1"/>
    <col min="1289" max="1289" width="16.28515625" style="1189" customWidth="1"/>
    <col min="1290" max="1290" width="8.140625" style="1189" customWidth="1"/>
    <col min="1291" max="1291" width="30.28515625" style="1189" bestFit="1" customWidth="1"/>
    <col min="1292" max="1536" width="8.7109375" style="1189"/>
    <col min="1537" max="1537" width="8.42578125" style="1189" customWidth="1"/>
    <col min="1538" max="1538" width="16.5703125" style="1189" bestFit="1" customWidth="1"/>
    <col min="1539" max="1539" width="14.42578125" style="1189" bestFit="1" customWidth="1"/>
    <col min="1540" max="1541" width="14.42578125" style="1189" customWidth="1"/>
    <col min="1542" max="1542" width="15" style="1189" customWidth="1"/>
    <col min="1543" max="1543" width="13.85546875" style="1189" customWidth="1"/>
    <col min="1544" max="1544" width="11.140625" style="1189" customWidth="1"/>
    <col min="1545" max="1545" width="16.28515625" style="1189" customWidth="1"/>
    <col min="1546" max="1546" width="8.140625" style="1189" customWidth="1"/>
    <col min="1547" max="1547" width="30.28515625" style="1189" bestFit="1" customWidth="1"/>
    <col min="1548" max="1792" width="8.7109375" style="1189"/>
    <col min="1793" max="1793" width="8.42578125" style="1189" customWidth="1"/>
    <col min="1794" max="1794" width="16.5703125" style="1189" bestFit="1" customWidth="1"/>
    <col min="1795" max="1795" width="14.42578125" style="1189" bestFit="1" customWidth="1"/>
    <col min="1796" max="1797" width="14.42578125" style="1189" customWidth="1"/>
    <col min="1798" max="1798" width="15" style="1189" customWidth="1"/>
    <col min="1799" max="1799" width="13.85546875" style="1189" customWidth="1"/>
    <col min="1800" max="1800" width="11.140625" style="1189" customWidth="1"/>
    <col min="1801" max="1801" width="16.28515625" style="1189" customWidth="1"/>
    <col min="1802" max="1802" width="8.140625" style="1189" customWidth="1"/>
    <col min="1803" max="1803" width="30.28515625" style="1189" bestFit="1" customWidth="1"/>
    <col min="1804" max="2048" width="8.7109375" style="1189"/>
    <col min="2049" max="2049" width="8.42578125" style="1189" customWidth="1"/>
    <col min="2050" max="2050" width="16.5703125" style="1189" bestFit="1" customWidth="1"/>
    <col min="2051" max="2051" width="14.42578125" style="1189" bestFit="1" customWidth="1"/>
    <col min="2052" max="2053" width="14.42578125" style="1189" customWidth="1"/>
    <col min="2054" max="2054" width="15" style="1189" customWidth="1"/>
    <col min="2055" max="2055" width="13.85546875" style="1189" customWidth="1"/>
    <col min="2056" max="2056" width="11.140625" style="1189" customWidth="1"/>
    <col min="2057" max="2057" width="16.28515625" style="1189" customWidth="1"/>
    <col min="2058" max="2058" width="8.140625" style="1189" customWidth="1"/>
    <col min="2059" max="2059" width="30.28515625" style="1189" bestFit="1" customWidth="1"/>
    <col min="2060" max="2304" width="8.7109375" style="1189"/>
    <col min="2305" max="2305" width="8.42578125" style="1189" customWidth="1"/>
    <col min="2306" max="2306" width="16.5703125" style="1189" bestFit="1" customWidth="1"/>
    <col min="2307" max="2307" width="14.42578125" style="1189" bestFit="1" customWidth="1"/>
    <col min="2308" max="2309" width="14.42578125" style="1189" customWidth="1"/>
    <col min="2310" max="2310" width="15" style="1189" customWidth="1"/>
    <col min="2311" max="2311" width="13.85546875" style="1189" customWidth="1"/>
    <col min="2312" max="2312" width="11.140625" style="1189" customWidth="1"/>
    <col min="2313" max="2313" width="16.28515625" style="1189" customWidth="1"/>
    <col min="2314" max="2314" width="8.140625" style="1189" customWidth="1"/>
    <col min="2315" max="2315" width="30.28515625" style="1189" bestFit="1" customWidth="1"/>
    <col min="2316" max="2560" width="8.7109375" style="1189"/>
    <col min="2561" max="2561" width="8.42578125" style="1189" customWidth="1"/>
    <col min="2562" max="2562" width="16.5703125" style="1189" bestFit="1" customWidth="1"/>
    <col min="2563" max="2563" width="14.42578125" style="1189" bestFit="1" customWidth="1"/>
    <col min="2564" max="2565" width="14.42578125" style="1189" customWidth="1"/>
    <col min="2566" max="2566" width="15" style="1189" customWidth="1"/>
    <col min="2567" max="2567" width="13.85546875" style="1189" customWidth="1"/>
    <col min="2568" max="2568" width="11.140625" style="1189" customWidth="1"/>
    <col min="2569" max="2569" width="16.28515625" style="1189" customWidth="1"/>
    <col min="2570" max="2570" width="8.140625" style="1189" customWidth="1"/>
    <col min="2571" max="2571" width="30.28515625" style="1189" bestFit="1" customWidth="1"/>
    <col min="2572" max="2816" width="8.7109375" style="1189"/>
    <col min="2817" max="2817" width="8.42578125" style="1189" customWidth="1"/>
    <col min="2818" max="2818" width="16.5703125" style="1189" bestFit="1" customWidth="1"/>
    <col min="2819" max="2819" width="14.42578125" style="1189" bestFit="1" customWidth="1"/>
    <col min="2820" max="2821" width="14.42578125" style="1189" customWidth="1"/>
    <col min="2822" max="2822" width="15" style="1189" customWidth="1"/>
    <col min="2823" max="2823" width="13.85546875" style="1189" customWidth="1"/>
    <col min="2824" max="2824" width="11.140625" style="1189" customWidth="1"/>
    <col min="2825" max="2825" width="16.28515625" style="1189" customWidth="1"/>
    <col min="2826" max="2826" width="8.140625" style="1189" customWidth="1"/>
    <col min="2827" max="2827" width="30.28515625" style="1189" bestFit="1" customWidth="1"/>
    <col min="2828" max="3072" width="8.7109375" style="1189"/>
    <col min="3073" max="3073" width="8.42578125" style="1189" customWidth="1"/>
    <col min="3074" max="3074" width="16.5703125" style="1189" bestFit="1" customWidth="1"/>
    <col min="3075" max="3075" width="14.42578125" style="1189" bestFit="1" customWidth="1"/>
    <col min="3076" max="3077" width="14.42578125" style="1189" customWidth="1"/>
    <col min="3078" max="3078" width="15" style="1189" customWidth="1"/>
    <col min="3079" max="3079" width="13.85546875" style="1189" customWidth="1"/>
    <col min="3080" max="3080" width="11.140625" style="1189" customWidth="1"/>
    <col min="3081" max="3081" width="16.28515625" style="1189" customWidth="1"/>
    <col min="3082" max="3082" width="8.140625" style="1189" customWidth="1"/>
    <col min="3083" max="3083" width="30.28515625" style="1189" bestFit="1" customWidth="1"/>
    <col min="3084" max="3328" width="8.7109375" style="1189"/>
    <col min="3329" max="3329" width="8.42578125" style="1189" customWidth="1"/>
    <col min="3330" max="3330" width="16.5703125" style="1189" bestFit="1" customWidth="1"/>
    <col min="3331" max="3331" width="14.42578125" style="1189" bestFit="1" customWidth="1"/>
    <col min="3332" max="3333" width="14.42578125" style="1189" customWidth="1"/>
    <col min="3334" max="3334" width="15" style="1189" customWidth="1"/>
    <col min="3335" max="3335" width="13.85546875" style="1189" customWidth="1"/>
    <col min="3336" max="3336" width="11.140625" style="1189" customWidth="1"/>
    <col min="3337" max="3337" width="16.28515625" style="1189" customWidth="1"/>
    <col min="3338" max="3338" width="8.140625" style="1189" customWidth="1"/>
    <col min="3339" max="3339" width="30.28515625" style="1189" bestFit="1" customWidth="1"/>
    <col min="3340" max="3584" width="8.7109375" style="1189"/>
    <col min="3585" max="3585" width="8.42578125" style="1189" customWidth="1"/>
    <col min="3586" max="3586" width="16.5703125" style="1189" bestFit="1" customWidth="1"/>
    <col min="3587" max="3587" width="14.42578125" style="1189" bestFit="1" customWidth="1"/>
    <col min="3588" max="3589" width="14.42578125" style="1189" customWidth="1"/>
    <col min="3590" max="3590" width="15" style="1189" customWidth="1"/>
    <col min="3591" max="3591" width="13.85546875" style="1189" customWidth="1"/>
    <col min="3592" max="3592" width="11.140625" style="1189" customWidth="1"/>
    <col min="3593" max="3593" width="16.28515625" style="1189" customWidth="1"/>
    <col min="3594" max="3594" width="8.140625" style="1189" customWidth="1"/>
    <col min="3595" max="3595" width="30.28515625" style="1189" bestFit="1" customWidth="1"/>
    <col min="3596" max="3840" width="8.7109375" style="1189"/>
    <col min="3841" max="3841" width="8.42578125" style="1189" customWidth="1"/>
    <col min="3842" max="3842" width="16.5703125" style="1189" bestFit="1" customWidth="1"/>
    <col min="3843" max="3843" width="14.42578125" style="1189" bestFit="1" customWidth="1"/>
    <col min="3844" max="3845" width="14.42578125" style="1189" customWidth="1"/>
    <col min="3846" max="3846" width="15" style="1189" customWidth="1"/>
    <col min="3847" max="3847" width="13.85546875" style="1189" customWidth="1"/>
    <col min="3848" max="3848" width="11.140625" style="1189" customWidth="1"/>
    <col min="3849" max="3849" width="16.28515625" style="1189" customWidth="1"/>
    <col min="3850" max="3850" width="8.140625" style="1189" customWidth="1"/>
    <col min="3851" max="3851" width="30.28515625" style="1189" bestFit="1" customWidth="1"/>
    <col min="3852" max="4096" width="8.7109375" style="1189"/>
    <col min="4097" max="4097" width="8.42578125" style="1189" customWidth="1"/>
    <col min="4098" max="4098" width="16.5703125" style="1189" bestFit="1" customWidth="1"/>
    <col min="4099" max="4099" width="14.42578125" style="1189" bestFit="1" customWidth="1"/>
    <col min="4100" max="4101" width="14.42578125" style="1189" customWidth="1"/>
    <col min="4102" max="4102" width="15" style="1189" customWidth="1"/>
    <col min="4103" max="4103" width="13.85546875" style="1189" customWidth="1"/>
    <col min="4104" max="4104" width="11.140625" style="1189" customWidth="1"/>
    <col min="4105" max="4105" width="16.28515625" style="1189" customWidth="1"/>
    <col min="4106" max="4106" width="8.140625" style="1189" customWidth="1"/>
    <col min="4107" max="4107" width="30.28515625" style="1189" bestFit="1" customWidth="1"/>
    <col min="4108" max="4352" width="8.7109375" style="1189"/>
    <col min="4353" max="4353" width="8.42578125" style="1189" customWidth="1"/>
    <col min="4354" max="4354" width="16.5703125" style="1189" bestFit="1" customWidth="1"/>
    <col min="4355" max="4355" width="14.42578125" style="1189" bestFit="1" customWidth="1"/>
    <col min="4356" max="4357" width="14.42578125" style="1189" customWidth="1"/>
    <col min="4358" max="4358" width="15" style="1189" customWidth="1"/>
    <col min="4359" max="4359" width="13.85546875" style="1189" customWidth="1"/>
    <col min="4360" max="4360" width="11.140625" style="1189" customWidth="1"/>
    <col min="4361" max="4361" width="16.28515625" style="1189" customWidth="1"/>
    <col min="4362" max="4362" width="8.140625" style="1189" customWidth="1"/>
    <col min="4363" max="4363" width="30.28515625" style="1189" bestFit="1" customWidth="1"/>
    <col min="4364" max="4608" width="8.7109375" style="1189"/>
    <col min="4609" max="4609" width="8.42578125" style="1189" customWidth="1"/>
    <col min="4610" max="4610" width="16.5703125" style="1189" bestFit="1" customWidth="1"/>
    <col min="4611" max="4611" width="14.42578125" style="1189" bestFit="1" customWidth="1"/>
    <col min="4612" max="4613" width="14.42578125" style="1189" customWidth="1"/>
    <col min="4614" max="4614" width="15" style="1189" customWidth="1"/>
    <col min="4615" max="4615" width="13.85546875" style="1189" customWidth="1"/>
    <col min="4616" max="4616" width="11.140625" style="1189" customWidth="1"/>
    <col min="4617" max="4617" width="16.28515625" style="1189" customWidth="1"/>
    <col min="4618" max="4618" width="8.140625" style="1189" customWidth="1"/>
    <col min="4619" max="4619" width="30.28515625" style="1189" bestFit="1" customWidth="1"/>
    <col min="4620" max="4864" width="8.7109375" style="1189"/>
    <col min="4865" max="4865" width="8.42578125" style="1189" customWidth="1"/>
    <col min="4866" max="4866" width="16.5703125" style="1189" bestFit="1" customWidth="1"/>
    <col min="4867" max="4867" width="14.42578125" style="1189" bestFit="1" customWidth="1"/>
    <col min="4868" max="4869" width="14.42578125" style="1189" customWidth="1"/>
    <col min="4870" max="4870" width="15" style="1189" customWidth="1"/>
    <col min="4871" max="4871" width="13.85546875" style="1189" customWidth="1"/>
    <col min="4872" max="4872" width="11.140625" style="1189" customWidth="1"/>
    <col min="4873" max="4873" width="16.28515625" style="1189" customWidth="1"/>
    <col min="4874" max="4874" width="8.140625" style="1189" customWidth="1"/>
    <col min="4875" max="4875" width="30.28515625" style="1189" bestFit="1" customWidth="1"/>
    <col min="4876" max="5120" width="8.7109375" style="1189"/>
    <col min="5121" max="5121" width="8.42578125" style="1189" customWidth="1"/>
    <col min="5122" max="5122" width="16.5703125" style="1189" bestFit="1" customWidth="1"/>
    <col min="5123" max="5123" width="14.42578125" style="1189" bestFit="1" customWidth="1"/>
    <col min="5124" max="5125" width="14.42578125" style="1189" customWidth="1"/>
    <col min="5126" max="5126" width="15" style="1189" customWidth="1"/>
    <col min="5127" max="5127" width="13.85546875" style="1189" customWidth="1"/>
    <col min="5128" max="5128" width="11.140625" style="1189" customWidth="1"/>
    <col min="5129" max="5129" width="16.28515625" style="1189" customWidth="1"/>
    <col min="5130" max="5130" width="8.140625" style="1189" customWidth="1"/>
    <col min="5131" max="5131" width="30.28515625" style="1189" bestFit="1" customWidth="1"/>
    <col min="5132" max="5376" width="8.7109375" style="1189"/>
    <col min="5377" max="5377" width="8.42578125" style="1189" customWidth="1"/>
    <col min="5378" max="5378" width="16.5703125" style="1189" bestFit="1" customWidth="1"/>
    <col min="5379" max="5379" width="14.42578125" style="1189" bestFit="1" customWidth="1"/>
    <col min="5380" max="5381" width="14.42578125" style="1189" customWidth="1"/>
    <col min="5382" max="5382" width="15" style="1189" customWidth="1"/>
    <col min="5383" max="5383" width="13.85546875" style="1189" customWidth="1"/>
    <col min="5384" max="5384" width="11.140625" style="1189" customWidth="1"/>
    <col min="5385" max="5385" width="16.28515625" style="1189" customWidth="1"/>
    <col min="5386" max="5386" width="8.140625" style="1189" customWidth="1"/>
    <col min="5387" max="5387" width="30.28515625" style="1189" bestFit="1" customWidth="1"/>
    <col min="5388" max="5632" width="8.7109375" style="1189"/>
    <col min="5633" max="5633" width="8.42578125" style="1189" customWidth="1"/>
    <col min="5634" max="5634" width="16.5703125" style="1189" bestFit="1" customWidth="1"/>
    <col min="5635" max="5635" width="14.42578125" style="1189" bestFit="1" customWidth="1"/>
    <col min="5636" max="5637" width="14.42578125" style="1189" customWidth="1"/>
    <col min="5638" max="5638" width="15" style="1189" customWidth="1"/>
    <col min="5639" max="5639" width="13.85546875" style="1189" customWidth="1"/>
    <col min="5640" max="5640" width="11.140625" style="1189" customWidth="1"/>
    <col min="5641" max="5641" width="16.28515625" style="1189" customWidth="1"/>
    <col min="5642" max="5642" width="8.140625" style="1189" customWidth="1"/>
    <col min="5643" max="5643" width="30.28515625" style="1189" bestFit="1" customWidth="1"/>
    <col min="5644" max="5888" width="8.7109375" style="1189"/>
    <col min="5889" max="5889" width="8.42578125" style="1189" customWidth="1"/>
    <col min="5890" max="5890" width="16.5703125" style="1189" bestFit="1" customWidth="1"/>
    <col min="5891" max="5891" width="14.42578125" style="1189" bestFit="1" customWidth="1"/>
    <col min="5892" max="5893" width="14.42578125" style="1189" customWidth="1"/>
    <col min="5894" max="5894" width="15" style="1189" customWidth="1"/>
    <col min="5895" max="5895" width="13.85546875" style="1189" customWidth="1"/>
    <col min="5896" max="5896" width="11.140625" style="1189" customWidth="1"/>
    <col min="5897" max="5897" width="16.28515625" style="1189" customWidth="1"/>
    <col min="5898" max="5898" width="8.140625" style="1189" customWidth="1"/>
    <col min="5899" max="5899" width="30.28515625" style="1189" bestFit="1" customWidth="1"/>
    <col min="5900" max="6144" width="8.7109375" style="1189"/>
    <col min="6145" max="6145" width="8.42578125" style="1189" customWidth="1"/>
    <col min="6146" max="6146" width="16.5703125" style="1189" bestFit="1" customWidth="1"/>
    <col min="6147" max="6147" width="14.42578125" style="1189" bestFit="1" customWidth="1"/>
    <col min="6148" max="6149" width="14.42578125" style="1189" customWidth="1"/>
    <col min="6150" max="6150" width="15" style="1189" customWidth="1"/>
    <col min="6151" max="6151" width="13.85546875" style="1189" customWidth="1"/>
    <col min="6152" max="6152" width="11.140625" style="1189" customWidth="1"/>
    <col min="6153" max="6153" width="16.28515625" style="1189" customWidth="1"/>
    <col min="6154" max="6154" width="8.140625" style="1189" customWidth="1"/>
    <col min="6155" max="6155" width="30.28515625" style="1189" bestFit="1" customWidth="1"/>
    <col min="6156" max="6400" width="8.7109375" style="1189"/>
    <col min="6401" max="6401" width="8.42578125" style="1189" customWidth="1"/>
    <col min="6402" max="6402" width="16.5703125" style="1189" bestFit="1" customWidth="1"/>
    <col min="6403" max="6403" width="14.42578125" style="1189" bestFit="1" customWidth="1"/>
    <col min="6404" max="6405" width="14.42578125" style="1189" customWidth="1"/>
    <col min="6406" max="6406" width="15" style="1189" customWidth="1"/>
    <col min="6407" max="6407" width="13.85546875" style="1189" customWidth="1"/>
    <col min="6408" max="6408" width="11.140625" style="1189" customWidth="1"/>
    <col min="6409" max="6409" width="16.28515625" style="1189" customWidth="1"/>
    <col min="6410" max="6410" width="8.140625" style="1189" customWidth="1"/>
    <col min="6411" max="6411" width="30.28515625" style="1189" bestFit="1" customWidth="1"/>
    <col min="6412" max="6656" width="8.7109375" style="1189"/>
    <col min="6657" max="6657" width="8.42578125" style="1189" customWidth="1"/>
    <col min="6658" max="6658" width="16.5703125" style="1189" bestFit="1" customWidth="1"/>
    <col min="6659" max="6659" width="14.42578125" style="1189" bestFit="1" customWidth="1"/>
    <col min="6660" max="6661" width="14.42578125" style="1189" customWidth="1"/>
    <col min="6662" max="6662" width="15" style="1189" customWidth="1"/>
    <col min="6663" max="6663" width="13.85546875" style="1189" customWidth="1"/>
    <col min="6664" max="6664" width="11.140625" style="1189" customWidth="1"/>
    <col min="6665" max="6665" width="16.28515625" style="1189" customWidth="1"/>
    <col min="6666" max="6666" width="8.140625" style="1189" customWidth="1"/>
    <col min="6667" max="6667" width="30.28515625" style="1189" bestFit="1" customWidth="1"/>
    <col min="6668" max="6912" width="8.7109375" style="1189"/>
    <col min="6913" max="6913" width="8.42578125" style="1189" customWidth="1"/>
    <col min="6914" max="6914" width="16.5703125" style="1189" bestFit="1" customWidth="1"/>
    <col min="6915" max="6915" width="14.42578125" style="1189" bestFit="1" customWidth="1"/>
    <col min="6916" max="6917" width="14.42578125" style="1189" customWidth="1"/>
    <col min="6918" max="6918" width="15" style="1189" customWidth="1"/>
    <col min="6919" max="6919" width="13.85546875" style="1189" customWidth="1"/>
    <col min="6920" max="6920" width="11.140625" style="1189" customWidth="1"/>
    <col min="6921" max="6921" width="16.28515625" style="1189" customWidth="1"/>
    <col min="6922" max="6922" width="8.140625" style="1189" customWidth="1"/>
    <col min="6923" max="6923" width="30.28515625" style="1189" bestFit="1" customWidth="1"/>
    <col min="6924" max="7168" width="8.7109375" style="1189"/>
    <col min="7169" max="7169" width="8.42578125" style="1189" customWidth="1"/>
    <col min="7170" max="7170" width="16.5703125" style="1189" bestFit="1" customWidth="1"/>
    <col min="7171" max="7171" width="14.42578125" style="1189" bestFit="1" customWidth="1"/>
    <col min="7172" max="7173" width="14.42578125" style="1189" customWidth="1"/>
    <col min="7174" max="7174" width="15" style="1189" customWidth="1"/>
    <col min="7175" max="7175" width="13.85546875" style="1189" customWidth="1"/>
    <col min="7176" max="7176" width="11.140625" style="1189" customWidth="1"/>
    <col min="7177" max="7177" width="16.28515625" style="1189" customWidth="1"/>
    <col min="7178" max="7178" width="8.140625" style="1189" customWidth="1"/>
    <col min="7179" max="7179" width="30.28515625" style="1189" bestFit="1" customWidth="1"/>
    <col min="7180" max="7424" width="8.7109375" style="1189"/>
    <col min="7425" max="7425" width="8.42578125" style="1189" customWidth="1"/>
    <col min="7426" max="7426" width="16.5703125" style="1189" bestFit="1" customWidth="1"/>
    <col min="7427" max="7427" width="14.42578125" style="1189" bestFit="1" customWidth="1"/>
    <col min="7428" max="7429" width="14.42578125" style="1189" customWidth="1"/>
    <col min="7430" max="7430" width="15" style="1189" customWidth="1"/>
    <col min="7431" max="7431" width="13.85546875" style="1189" customWidth="1"/>
    <col min="7432" max="7432" width="11.140625" style="1189" customWidth="1"/>
    <col min="7433" max="7433" width="16.28515625" style="1189" customWidth="1"/>
    <col min="7434" max="7434" width="8.140625" style="1189" customWidth="1"/>
    <col min="7435" max="7435" width="30.28515625" style="1189" bestFit="1" customWidth="1"/>
    <col min="7436" max="7680" width="8.7109375" style="1189"/>
    <col min="7681" max="7681" width="8.42578125" style="1189" customWidth="1"/>
    <col min="7682" max="7682" width="16.5703125" style="1189" bestFit="1" customWidth="1"/>
    <col min="7683" max="7683" width="14.42578125" style="1189" bestFit="1" customWidth="1"/>
    <col min="7684" max="7685" width="14.42578125" style="1189" customWidth="1"/>
    <col min="7686" max="7686" width="15" style="1189" customWidth="1"/>
    <col min="7687" max="7687" width="13.85546875" style="1189" customWidth="1"/>
    <col min="7688" max="7688" width="11.140625" style="1189" customWidth="1"/>
    <col min="7689" max="7689" width="16.28515625" style="1189" customWidth="1"/>
    <col min="7690" max="7690" width="8.140625" style="1189" customWidth="1"/>
    <col min="7691" max="7691" width="30.28515625" style="1189" bestFit="1" customWidth="1"/>
    <col min="7692" max="7936" width="8.7109375" style="1189"/>
    <col min="7937" max="7937" width="8.42578125" style="1189" customWidth="1"/>
    <col min="7938" max="7938" width="16.5703125" style="1189" bestFit="1" customWidth="1"/>
    <col min="7939" max="7939" width="14.42578125" style="1189" bestFit="1" customWidth="1"/>
    <col min="7940" max="7941" width="14.42578125" style="1189" customWidth="1"/>
    <col min="7942" max="7942" width="15" style="1189" customWidth="1"/>
    <col min="7943" max="7943" width="13.85546875" style="1189" customWidth="1"/>
    <col min="7944" max="7944" width="11.140625" style="1189" customWidth="1"/>
    <col min="7945" max="7945" width="16.28515625" style="1189" customWidth="1"/>
    <col min="7946" max="7946" width="8.140625" style="1189" customWidth="1"/>
    <col min="7947" max="7947" width="30.28515625" style="1189" bestFit="1" customWidth="1"/>
    <col min="7948" max="8192" width="8.7109375" style="1189"/>
    <col min="8193" max="8193" width="8.42578125" style="1189" customWidth="1"/>
    <col min="8194" max="8194" width="16.5703125" style="1189" bestFit="1" customWidth="1"/>
    <col min="8195" max="8195" width="14.42578125" style="1189" bestFit="1" customWidth="1"/>
    <col min="8196" max="8197" width="14.42578125" style="1189" customWidth="1"/>
    <col min="8198" max="8198" width="15" style="1189" customWidth="1"/>
    <col min="8199" max="8199" width="13.85546875" style="1189" customWidth="1"/>
    <col min="8200" max="8200" width="11.140625" style="1189" customWidth="1"/>
    <col min="8201" max="8201" width="16.28515625" style="1189" customWidth="1"/>
    <col min="8202" max="8202" width="8.140625" style="1189" customWidth="1"/>
    <col min="8203" max="8203" width="30.28515625" style="1189" bestFit="1" customWidth="1"/>
    <col min="8204" max="8448" width="8.7109375" style="1189"/>
    <col min="8449" max="8449" width="8.42578125" style="1189" customWidth="1"/>
    <col min="8450" max="8450" width="16.5703125" style="1189" bestFit="1" customWidth="1"/>
    <col min="8451" max="8451" width="14.42578125" style="1189" bestFit="1" customWidth="1"/>
    <col min="8452" max="8453" width="14.42578125" style="1189" customWidth="1"/>
    <col min="8454" max="8454" width="15" style="1189" customWidth="1"/>
    <col min="8455" max="8455" width="13.85546875" style="1189" customWidth="1"/>
    <col min="8456" max="8456" width="11.140625" style="1189" customWidth="1"/>
    <col min="8457" max="8457" width="16.28515625" style="1189" customWidth="1"/>
    <col min="8458" max="8458" width="8.140625" style="1189" customWidth="1"/>
    <col min="8459" max="8459" width="30.28515625" style="1189" bestFit="1" customWidth="1"/>
    <col min="8460" max="8704" width="8.7109375" style="1189"/>
    <col min="8705" max="8705" width="8.42578125" style="1189" customWidth="1"/>
    <col min="8706" max="8706" width="16.5703125" style="1189" bestFit="1" customWidth="1"/>
    <col min="8707" max="8707" width="14.42578125" style="1189" bestFit="1" customWidth="1"/>
    <col min="8708" max="8709" width="14.42578125" style="1189" customWidth="1"/>
    <col min="8710" max="8710" width="15" style="1189" customWidth="1"/>
    <col min="8711" max="8711" width="13.85546875" style="1189" customWidth="1"/>
    <col min="8712" max="8712" width="11.140625" style="1189" customWidth="1"/>
    <col min="8713" max="8713" width="16.28515625" style="1189" customWidth="1"/>
    <col min="8714" max="8714" width="8.140625" style="1189" customWidth="1"/>
    <col min="8715" max="8715" width="30.28515625" style="1189" bestFit="1" customWidth="1"/>
    <col min="8716" max="8960" width="8.7109375" style="1189"/>
    <col min="8961" max="8961" width="8.42578125" style="1189" customWidth="1"/>
    <col min="8962" max="8962" width="16.5703125" style="1189" bestFit="1" customWidth="1"/>
    <col min="8963" max="8963" width="14.42578125" style="1189" bestFit="1" customWidth="1"/>
    <col min="8964" max="8965" width="14.42578125" style="1189" customWidth="1"/>
    <col min="8966" max="8966" width="15" style="1189" customWidth="1"/>
    <col min="8967" max="8967" width="13.85546875" style="1189" customWidth="1"/>
    <col min="8968" max="8968" width="11.140625" style="1189" customWidth="1"/>
    <col min="8969" max="8969" width="16.28515625" style="1189" customWidth="1"/>
    <col min="8970" max="8970" width="8.140625" style="1189" customWidth="1"/>
    <col min="8971" max="8971" width="30.28515625" style="1189" bestFit="1" customWidth="1"/>
    <col min="8972" max="9216" width="8.7109375" style="1189"/>
    <col min="9217" max="9217" width="8.42578125" style="1189" customWidth="1"/>
    <col min="9218" max="9218" width="16.5703125" style="1189" bestFit="1" customWidth="1"/>
    <col min="9219" max="9219" width="14.42578125" style="1189" bestFit="1" customWidth="1"/>
    <col min="9220" max="9221" width="14.42578125" style="1189" customWidth="1"/>
    <col min="9222" max="9222" width="15" style="1189" customWidth="1"/>
    <col min="9223" max="9223" width="13.85546875" style="1189" customWidth="1"/>
    <col min="9224" max="9224" width="11.140625" style="1189" customWidth="1"/>
    <col min="9225" max="9225" width="16.28515625" style="1189" customWidth="1"/>
    <col min="9226" max="9226" width="8.140625" style="1189" customWidth="1"/>
    <col min="9227" max="9227" width="30.28515625" style="1189" bestFit="1" customWidth="1"/>
    <col min="9228" max="9472" width="8.7109375" style="1189"/>
    <col min="9473" max="9473" width="8.42578125" style="1189" customWidth="1"/>
    <col min="9474" max="9474" width="16.5703125" style="1189" bestFit="1" customWidth="1"/>
    <col min="9475" max="9475" width="14.42578125" style="1189" bestFit="1" customWidth="1"/>
    <col min="9476" max="9477" width="14.42578125" style="1189" customWidth="1"/>
    <col min="9478" max="9478" width="15" style="1189" customWidth="1"/>
    <col min="9479" max="9479" width="13.85546875" style="1189" customWidth="1"/>
    <col min="9480" max="9480" width="11.140625" style="1189" customWidth="1"/>
    <col min="9481" max="9481" width="16.28515625" style="1189" customWidth="1"/>
    <col min="9482" max="9482" width="8.140625" style="1189" customWidth="1"/>
    <col min="9483" max="9483" width="30.28515625" style="1189" bestFit="1" customWidth="1"/>
    <col min="9484" max="9728" width="8.7109375" style="1189"/>
    <col min="9729" max="9729" width="8.42578125" style="1189" customWidth="1"/>
    <col min="9730" max="9730" width="16.5703125" style="1189" bestFit="1" customWidth="1"/>
    <col min="9731" max="9731" width="14.42578125" style="1189" bestFit="1" customWidth="1"/>
    <col min="9732" max="9733" width="14.42578125" style="1189" customWidth="1"/>
    <col min="9734" max="9734" width="15" style="1189" customWidth="1"/>
    <col min="9735" max="9735" width="13.85546875" style="1189" customWidth="1"/>
    <col min="9736" max="9736" width="11.140625" style="1189" customWidth="1"/>
    <col min="9737" max="9737" width="16.28515625" style="1189" customWidth="1"/>
    <col min="9738" max="9738" width="8.140625" style="1189" customWidth="1"/>
    <col min="9739" max="9739" width="30.28515625" style="1189" bestFit="1" customWidth="1"/>
    <col min="9740" max="9984" width="8.7109375" style="1189"/>
    <col min="9985" max="9985" width="8.42578125" style="1189" customWidth="1"/>
    <col min="9986" max="9986" width="16.5703125" style="1189" bestFit="1" customWidth="1"/>
    <col min="9987" max="9987" width="14.42578125" style="1189" bestFit="1" customWidth="1"/>
    <col min="9988" max="9989" width="14.42578125" style="1189" customWidth="1"/>
    <col min="9990" max="9990" width="15" style="1189" customWidth="1"/>
    <col min="9991" max="9991" width="13.85546875" style="1189" customWidth="1"/>
    <col min="9992" max="9992" width="11.140625" style="1189" customWidth="1"/>
    <col min="9993" max="9993" width="16.28515625" style="1189" customWidth="1"/>
    <col min="9994" max="9994" width="8.140625" style="1189" customWidth="1"/>
    <col min="9995" max="9995" width="30.28515625" style="1189" bestFit="1" customWidth="1"/>
    <col min="9996" max="10240" width="8.7109375" style="1189"/>
    <col min="10241" max="10241" width="8.42578125" style="1189" customWidth="1"/>
    <col min="10242" max="10242" width="16.5703125" style="1189" bestFit="1" customWidth="1"/>
    <col min="10243" max="10243" width="14.42578125" style="1189" bestFit="1" customWidth="1"/>
    <col min="10244" max="10245" width="14.42578125" style="1189" customWidth="1"/>
    <col min="10246" max="10246" width="15" style="1189" customWidth="1"/>
    <col min="10247" max="10247" width="13.85546875" style="1189" customWidth="1"/>
    <col min="10248" max="10248" width="11.140625" style="1189" customWidth="1"/>
    <col min="10249" max="10249" width="16.28515625" style="1189" customWidth="1"/>
    <col min="10250" max="10250" width="8.140625" style="1189" customWidth="1"/>
    <col min="10251" max="10251" width="30.28515625" style="1189" bestFit="1" customWidth="1"/>
    <col min="10252" max="10496" width="8.7109375" style="1189"/>
    <col min="10497" max="10497" width="8.42578125" style="1189" customWidth="1"/>
    <col min="10498" max="10498" width="16.5703125" style="1189" bestFit="1" customWidth="1"/>
    <col min="10499" max="10499" width="14.42578125" style="1189" bestFit="1" customWidth="1"/>
    <col min="10500" max="10501" width="14.42578125" style="1189" customWidth="1"/>
    <col min="10502" max="10502" width="15" style="1189" customWidth="1"/>
    <col min="10503" max="10503" width="13.85546875" style="1189" customWidth="1"/>
    <col min="10504" max="10504" width="11.140625" style="1189" customWidth="1"/>
    <col min="10505" max="10505" width="16.28515625" style="1189" customWidth="1"/>
    <col min="10506" max="10506" width="8.140625" style="1189" customWidth="1"/>
    <col min="10507" max="10507" width="30.28515625" style="1189" bestFit="1" customWidth="1"/>
    <col min="10508" max="10752" width="8.7109375" style="1189"/>
    <col min="10753" max="10753" width="8.42578125" style="1189" customWidth="1"/>
    <col min="10754" max="10754" width="16.5703125" style="1189" bestFit="1" customWidth="1"/>
    <col min="10755" max="10755" width="14.42578125" style="1189" bestFit="1" customWidth="1"/>
    <col min="10756" max="10757" width="14.42578125" style="1189" customWidth="1"/>
    <col min="10758" max="10758" width="15" style="1189" customWidth="1"/>
    <col min="10759" max="10759" width="13.85546875" style="1189" customWidth="1"/>
    <col min="10760" max="10760" width="11.140625" style="1189" customWidth="1"/>
    <col min="10761" max="10761" width="16.28515625" style="1189" customWidth="1"/>
    <col min="10762" max="10762" width="8.140625" style="1189" customWidth="1"/>
    <col min="10763" max="10763" width="30.28515625" style="1189" bestFit="1" customWidth="1"/>
    <col min="10764" max="11008" width="8.7109375" style="1189"/>
    <col min="11009" max="11009" width="8.42578125" style="1189" customWidth="1"/>
    <col min="11010" max="11010" width="16.5703125" style="1189" bestFit="1" customWidth="1"/>
    <col min="11011" max="11011" width="14.42578125" style="1189" bestFit="1" customWidth="1"/>
    <col min="11012" max="11013" width="14.42578125" style="1189" customWidth="1"/>
    <col min="11014" max="11014" width="15" style="1189" customWidth="1"/>
    <col min="11015" max="11015" width="13.85546875" style="1189" customWidth="1"/>
    <col min="11016" max="11016" width="11.140625" style="1189" customWidth="1"/>
    <col min="11017" max="11017" width="16.28515625" style="1189" customWidth="1"/>
    <col min="11018" max="11018" width="8.140625" style="1189" customWidth="1"/>
    <col min="11019" max="11019" width="30.28515625" style="1189" bestFit="1" customWidth="1"/>
    <col min="11020" max="11264" width="8.7109375" style="1189"/>
    <col min="11265" max="11265" width="8.42578125" style="1189" customWidth="1"/>
    <col min="11266" max="11266" width="16.5703125" style="1189" bestFit="1" customWidth="1"/>
    <col min="11267" max="11267" width="14.42578125" style="1189" bestFit="1" customWidth="1"/>
    <col min="11268" max="11269" width="14.42578125" style="1189" customWidth="1"/>
    <col min="11270" max="11270" width="15" style="1189" customWidth="1"/>
    <col min="11271" max="11271" width="13.85546875" style="1189" customWidth="1"/>
    <col min="11272" max="11272" width="11.140625" style="1189" customWidth="1"/>
    <col min="11273" max="11273" width="16.28515625" style="1189" customWidth="1"/>
    <col min="11274" max="11274" width="8.140625" style="1189" customWidth="1"/>
    <col min="11275" max="11275" width="30.28515625" style="1189" bestFit="1" customWidth="1"/>
    <col min="11276" max="11520" width="8.7109375" style="1189"/>
    <col min="11521" max="11521" width="8.42578125" style="1189" customWidth="1"/>
    <col min="11522" max="11522" width="16.5703125" style="1189" bestFit="1" customWidth="1"/>
    <col min="11523" max="11523" width="14.42578125" style="1189" bestFit="1" customWidth="1"/>
    <col min="11524" max="11525" width="14.42578125" style="1189" customWidth="1"/>
    <col min="11526" max="11526" width="15" style="1189" customWidth="1"/>
    <col min="11527" max="11527" width="13.85546875" style="1189" customWidth="1"/>
    <col min="11528" max="11528" width="11.140625" style="1189" customWidth="1"/>
    <col min="11529" max="11529" width="16.28515625" style="1189" customWidth="1"/>
    <col min="11530" max="11530" width="8.140625" style="1189" customWidth="1"/>
    <col min="11531" max="11531" width="30.28515625" style="1189" bestFit="1" customWidth="1"/>
    <col min="11532" max="11776" width="8.7109375" style="1189"/>
    <col min="11777" max="11777" width="8.42578125" style="1189" customWidth="1"/>
    <col min="11778" max="11778" width="16.5703125" style="1189" bestFit="1" customWidth="1"/>
    <col min="11779" max="11779" width="14.42578125" style="1189" bestFit="1" customWidth="1"/>
    <col min="11780" max="11781" width="14.42578125" style="1189" customWidth="1"/>
    <col min="11782" max="11782" width="15" style="1189" customWidth="1"/>
    <col min="11783" max="11783" width="13.85546875" style="1189" customWidth="1"/>
    <col min="11784" max="11784" width="11.140625" style="1189" customWidth="1"/>
    <col min="11785" max="11785" width="16.28515625" style="1189" customWidth="1"/>
    <col min="11786" max="11786" width="8.140625" style="1189" customWidth="1"/>
    <col min="11787" max="11787" width="30.28515625" style="1189" bestFit="1" customWidth="1"/>
    <col min="11788" max="12032" width="8.7109375" style="1189"/>
    <col min="12033" max="12033" width="8.42578125" style="1189" customWidth="1"/>
    <col min="12034" max="12034" width="16.5703125" style="1189" bestFit="1" customWidth="1"/>
    <col min="12035" max="12035" width="14.42578125" style="1189" bestFit="1" customWidth="1"/>
    <col min="12036" max="12037" width="14.42578125" style="1189" customWidth="1"/>
    <col min="12038" max="12038" width="15" style="1189" customWidth="1"/>
    <col min="12039" max="12039" width="13.85546875" style="1189" customWidth="1"/>
    <col min="12040" max="12040" width="11.140625" style="1189" customWidth="1"/>
    <col min="12041" max="12041" width="16.28515625" style="1189" customWidth="1"/>
    <col min="12042" max="12042" width="8.140625" style="1189" customWidth="1"/>
    <col min="12043" max="12043" width="30.28515625" style="1189" bestFit="1" customWidth="1"/>
    <col min="12044" max="12288" width="8.7109375" style="1189"/>
    <col min="12289" max="12289" width="8.42578125" style="1189" customWidth="1"/>
    <col min="12290" max="12290" width="16.5703125" style="1189" bestFit="1" customWidth="1"/>
    <col min="12291" max="12291" width="14.42578125" style="1189" bestFit="1" customWidth="1"/>
    <col min="12292" max="12293" width="14.42578125" style="1189" customWidth="1"/>
    <col min="12294" max="12294" width="15" style="1189" customWidth="1"/>
    <col min="12295" max="12295" width="13.85546875" style="1189" customWidth="1"/>
    <col min="12296" max="12296" width="11.140625" style="1189" customWidth="1"/>
    <col min="12297" max="12297" width="16.28515625" style="1189" customWidth="1"/>
    <col min="12298" max="12298" width="8.140625" style="1189" customWidth="1"/>
    <col min="12299" max="12299" width="30.28515625" style="1189" bestFit="1" customWidth="1"/>
    <col min="12300" max="12544" width="8.7109375" style="1189"/>
    <col min="12545" max="12545" width="8.42578125" style="1189" customWidth="1"/>
    <col min="12546" max="12546" width="16.5703125" style="1189" bestFit="1" customWidth="1"/>
    <col min="12547" max="12547" width="14.42578125" style="1189" bestFit="1" customWidth="1"/>
    <col min="12548" max="12549" width="14.42578125" style="1189" customWidth="1"/>
    <col min="12550" max="12550" width="15" style="1189" customWidth="1"/>
    <col min="12551" max="12551" width="13.85546875" style="1189" customWidth="1"/>
    <col min="12552" max="12552" width="11.140625" style="1189" customWidth="1"/>
    <col min="12553" max="12553" width="16.28515625" style="1189" customWidth="1"/>
    <col min="12554" max="12554" width="8.140625" style="1189" customWidth="1"/>
    <col min="12555" max="12555" width="30.28515625" style="1189" bestFit="1" customWidth="1"/>
    <col min="12556" max="12800" width="8.7109375" style="1189"/>
    <col min="12801" max="12801" width="8.42578125" style="1189" customWidth="1"/>
    <col min="12802" max="12802" width="16.5703125" style="1189" bestFit="1" customWidth="1"/>
    <col min="12803" max="12803" width="14.42578125" style="1189" bestFit="1" customWidth="1"/>
    <col min="12804" max="12805" width="14.42578125" style="1189" customWidth="1"/>
    <col min="12806" max="12806" width="15" style="1189" customWidth="1"/>
    <col min="12807" max="12807" width="13.85546875" style="1189" customWidth="1"/>
    <col min="12808" max="12808" width="11.140625" style="1189" customWidth="1"/>
    <col min="12809" max="12809" width="16.28515625" style="1189" customWidth="1"/>
    <col min="12810" max="12810" width="8.140625" style="1189" customWidth="1"/>
    <col min="12811" max="12811" width="30.28515625" style="1189" bestFit="1" customWidth="1"/>
    <col min="12812" max="13056" width="8.7109375" style="1189"/>
    <col min="13057" max="13057" width="8.42578125" style="1189" customWidth="1"/>
    <col min="13058" max="13058" width="16.5703125" style="1189" bestFit="1" customWidth="1"/>
    <col min="13059" max="13059" width="14.42578125" style="1189" bestFit="1" customWidth="1"/>
    <col min="13060" max="13061" width="14.42578125" style="1189" customWidth="1"/>
    <col min="13062" max="13062" width="15" style="1189" customWidth="1"/>
    <col min="13063" max="13063" width="13.85546875" style="1189" customWidth="1"/>
    <col min="13064" max="13064" width="11.140625" style="1189" customWidth="1"/>
    <col min="13065" max="13065" width="16.28515625" style="1189" customWidth="1"/>
    <col min="13066" max="13066" width="8.140625" style="1189" customWidth="1"/>
    <col min="13067" max="13067" width="30.28515625" style="1189" bestFit="1" customWidth="1"/>
    <col min="13068" max="13312" width="8.7109375" style="1189"/>
    <col min="13313" max="13313" width="8.42578125" style="1189" customWidth="1"/>
    <col min="13314" max="13314" width="16.5703125" style="1189" bestFit="1" customWidth="1"/>
    <col min="13315" max="13315" width="14.42578125" style="1189" bestFit="1" customWidth="1"/>
    <col min="13316" max="13317" width="14.42578125" style="1189" customWidth="1"/>
    <col min="13318" max="13318" width="15" style="1189" customWidth="1"/>
    <col min="13319" max="13319" width="13.85546875" style="1189" customWidth="1"/>
    <col min="13320" max="13320" width="11.140625" style="1189" customWidth="1"/>
    <col min="13321" max="13321" width="16.28515625" style="1189" customWidth="1"/>
    <col min="13322" max="13322" width="8.140625" style="1189" customWidth="1"/>
    <col min="13323" max="13323" width="30.28515625" style="1189" bestFit="1" customWidth="1"/>
    <col min="13324" max="13568" width="8.7109375" style="1189"/>
    <col min="13569" max="13569" width="8.42578125" style="1189" customWidth="1"/>
    <col min="13570" max="13570" width="16.5703125" style="1189" bestFit="1" customWidth="1"/>
    <col min="13571" max="13571" width="14.42578125" style="1189" bestFit="1" customWidth="1"/>
    <col min="13572" max="13573" width="14.42578125" style="1189" customWidth="1"/>
    <col min="13574" max="13574" width="15" style="1189" customWidth="1"/>
    <col min="13575" max="13575" width="13.85546875" style="1189" customWidth="1"/>
    <col min="13576" max="13576" width="11.140625" style="1189" customWidth="1"/>
    <col min="13577" max="13577" width="16.28515625" style="1189" customWidth="1"/>
    <col min="13578" max="13578" width="8.140625" style="1189" customWidth="1"/>
    <col min="13579" max="13579" width="30.28515625" style="1189" bestFit="1" customWidth="1"/>
    <col min="13580" max="13824" width="8.7109375" style="1189"/>
    <col min="13825" max="13825" width="8.42578125" style="1189" customWidth="1"/>
    <col min="13826" max="13826" width="16.5703125" style="1189" bestFit="1" customWidth="1"/>
    <col min="13827" max="13827" width="14.42578125" style="1189" bestFit="1" customWidth="1"/>
    <col min="13828" max="13829" width="14.42578125" style="1189" customWidth="1"/>
    <col min="13830" max="13830" width="15" style="1189" customWidth="1"/>
    <col min="13831" max="13831" width="13.85546875" style="1189" customWidth="1"/>
    <col min="13832" max="13832" width="11.140625" style="1189" customWidth="1"/>
    <col min="13833" max="13833" width="16.28515625" style="1189" customWidth="1"/>
    <col min="13834" max="13834" width="8.140625" style="1189" customWidth="1"/>
    <col min="13835" max="13835" width="30.28515625" style="1189" bestFit="1" customWidth="1"/>
    <col min="13836" max="14080" width="8.7109375" style="1189"/>
    <col min="14081" max="14081" width="8.42578125" style="1189" customWidth="1"/>
    <col min="14082" max="14082" width="16.5703125" style="1189" bestFit="1" customWidth="1"/>
    <col min="14083" max="14083" width="14.42578125" style="1189" bestFit="1" customWidth="1"/>
    <col min="14084" max="14085" width="14.42578125" style="1189" customWidth="1"/>
    <col min="14086" max="14086" width="15" style="1189" customWidth="1"/>
    <col min="14087" max="14087" width="13.85546875" style="1189" customWidth="1"/>
    <col min="14088" max="14088" width="11.140625" style="1189" customWidth="1"/>
    <col min="14089" max="14089" width="16.28515625" style="1189" customWidth="1"/>
    <col min="14090" max="14090" width="8.140625" style="1189" customWidth="1"/>
    <col min="14091" max="14091" width="30.28515625" style="1189" bestFit="1" customWidth="1"/>
    <col min="14092" max="14336" width="8.7109375" style="1189"/>
    <col min="14337" max="14337" width="8.42578125" style="1189" customWidth="1"/>
    <col min="14338" max="14338" width="16.5703125" style="1189" bestFit="1" customWidth="1"/>
    <col min="14339" max="14339" width="14.42578125" style="1189" bestFit="1" customWidth="1"/>
    <col min="14340" max="14341" width="14.42578125" style="1189" customWidth="1"/>
    <col min="14342" max="14342" width="15" style="1189" customWidth="1"/>
    <col min="14343" max="14343" width="13.85546875" style="1189" customWidth="1"/>
    <col min="14344" max="14344" width="11.140625" style="1189" customWidth="1"/>
    <col min="14345" max="14345" width="16.28515625" style="1189" customWidth="1"/>
    <col min="14346" max="14346" width="8.140625" style="1189" customWidth="1"/>
    <col min="14347" max="14347" width="30.28515625" style="1189" bestFit="1" customWidth="1"/>
    <col min="14348" max="14592" width="8.7109375" style="1189"/>
    <col min="14593" max="14593" width="8.42578125" style="1189" customWidth="1"/>
    <col min="14594" max="14594" width="16.5703125" style="1189" bestFit="1" customWidth="1"/>
    <col min="14595" max="14595" width="14.42578125" style="1189" bestFit="1" customWidth="1"/>
    <col min="14596" max="14597" width="14.42578125" style="1189" customWidth="1"/>
    <col min="14598" max="14598" width="15" style="1189" customWidth="1"/>
    <col min="14599" max="14599" width="13.85546875" style="1189" customWidth="1"/>
    <col min="14600" max="14600" width="11.140625" style="1189" customWidth="1"/>
    <col min="14601" max="14601" width="16.28515625" style="1189" customWidth="1"/>
    <col min="14602" max="14602" width="8.140625" style="1189" customWidth="1"/>
    <col min="14603" max="14603" width="30.28515625" style="1189" bestFit="1" customWidth="1"/>
    <col min="14604" max="14848" width="8.7109375" style="1189"/>
    <col min="14849" max="14849" width="8.42578125" style="1189" customWidth="1"/>
    <col min="14850" max="14850" width="16.5703125" style="1189" bestFit="1" customWidth="1"/>
    <col min="14851" max="14851" width="14.42578125" style="1189" bestFit="1" customWidth="1"/>
    <col min="14852" max="14853" width="14.42578125" style="1189" customWidth="1"/>
    <col min="14854" max="14854" width="15" style="1189" customWidth="1"/>
    <col min="14855" max="14855" width="13.85546875" style="1189" customWidth="1"/>
    <col min="14856" max="14856" width="11.140625" style="1189" customWidth="1"/>
    <col min="14857" max="14857" width="16.28515625" style="1189" customWidth="1"/>
    <col min="14858" max="14858" width="8.140625" style="1189" customWidth="1"/>
    <col min="14859" max="14859" width="30.28515625" style="1189" bestFit="1" customWidth="1"/>
    <col min="14860" max="15104" width="8.7109375" style="1189"/>
    <col min="15105" max="15105" width="8.42578125" style="1189" customWidth="1"/>
    <col min="15106" max="15106" width="16.5703125" style="1189" bestFit="1" customWidth="1"/>
    <col min="15107" max="15107" width="14.42578125" style="1189" bestFit="1" customWidth="1"/>
    <col min="15108" max="15109" width="14.42578125" style="1189" customWidth="1"/>
    <col min="15110" max="15110" width="15" style="1189" customWidth="1"/>
    <col min="15111" max="15111" width="13.85546875" style="1189" customWidth="1"/>
    <col min="15112" max="15112" width="11.140625" style="1189" customWidth="1"/>
    <col min="15113" max="15113" width="16.28515625" style="1189" customWidth="1"/>
    <col min="15114" max="15114" width="8.140625" style="1189" customWidth="1"/>
    <col min="15115" max="15115" width="30.28515625" style="1189" bestFit="1" customWidth="1"/>
    <col min="15116" max="15360" width="8.7109375" style="1189"/>
    <col min="15361" max="15361" width="8.42578125" style="1189" customWidth="1"/>
    <col min="15362" max="15362" width="16.5703125" style="1189" bestFit="1" customWidth="1"/>
    <col min="15363" max="15363" width="14.42578125" style="1189" bestFit="1" customWidth="1"/>
    <col min="15364" max="15365" width="14.42578125" style="1189" customWidth="1"/>
    <col min="15366" max="15366" width="15" style="1189" customWidth="1"/>
    <col min="15367" max="15367" width="13.85546875" style="1189" customWidth="1"/>
    <col min="15368" max="15368" width="11.140625" style="1189" customWidth="1"/>
    <col min="15369" max="15369" width="16.28515625" style="1189" customWidth="1"/>
    <col min="15370" max="15370" width="8.140625" style="1189" customWidth="1"/>
    <col min="15371" max="15371" width="30.28515625" style="1189" bestFit="1" customWidth="1"/>
    <col min="15372" max="15616" width="8.7109375" style="1189"/>
    <col min="15617" max="15617" width="8.42578125" style="1189" customWidth="1"/>
    <col min="15618" max="15618" width="16.5703125" style="1189" bestFit="1" customWidth="1"/>
    <col min="15619" max="15619" width="14.42578125" style="1189" bestFit="1" customWidth="1"/>
    <col min="15620" max="15621" width="14.42578125" style="1189" customWidth="1"/>
    <col min="15622" max="15622" width="15" style="1189" customWidth="1"/>
    <col min="15623" max="15623" width="13.85546875" style="1189" customWidth="1"/>
    <col min="15624" max="15624" width="11.140625" style="1189" customWidth="1"/>
    <col min="15625" max="15625" width="16.28515625" style="1189" customWidth="1"/>
    <col min="15626" max="15626" width="8.140625" style="1189" customWidth="1"/>
    <col min="15627" max="15627" width="30.28515625" style="1189" bestFit="1" customWidth="1"/>
    <col min="15628" max="15872" width="8.7109375" style="1189"/>
    <col min="15873" max="15873" width="8.42578125" style="1189" customWidth="1"/>
    <col min="15874" max="15874" width="16.5703125" style="1189" bestFit="1" customWidth="1"/>
    <col min="15875" max="15875" width="14.42578125" style="1189" bestFit="1" customWidth="1"/>
    <col min="15876" max="15877" width="14.42578125" style="1189" customWidth="1"/>
    <col min="15878" max="15878" width="15" style="1189" customWidth="1"/>
    <col min="15879" max="15879" width="13.85546875" style="1189" customWidth="1"/>
    <col min="15880" max="15880" width="11.140625" style="1189" customWidth="1"/>
    <col min="15881" max="15881" width="16.28515625" style="1189" customWidth="1"/>
    <col min="15882" max="15882" width="8.140625" style="1189" customWidth="1"/>
    <col min="15883" max="15883" width="30.28515625" style="1189" bestFit="1" customWidth="1"/>
    <col min="15884" max="16128" width="8.7109375" style="1189"/>
    <col min="16129" max="16129" width="8.42578125" style="1189" customWidth="1"/>
    <col min="16130" max="16130" width="16.5703125" style="1189" bestFit="1" customWidth="1"/>
    <col min="16131" max="16131" width="14.42578125" style="1189" bestFit="1" customWidth="1"/>
    <col min="16132" max="16133" width="14.42578125" style="1189" customWidth="1"/>
    <col min="16134" max="16134" width="15" style="1189" customWidth="1"/>
    <col min="16135" max="16135" width="13.85546875" style="1189" customWidth="1"/>
    <col min="16136" max="16136" width="11.140625" style="1189" customWidth="1"/>
    <col min="16137" max="16137" width="16.28515625" style="1189" customWidth="1"/>
    <col min="16138" max="16138" width="8.140625" style="1189" customWidth="1"/>
    <col min="16139" max="16139" width="30.28515625" style="1189" bestFit="1" customWidth="1"/>
    <col min="16140" max="16384" width="8.7109375" style="1189"/>
  </cols>
  <sheetData>
    <row r="1" spans="1:11">
      <c r="A1" s="1699" t="s">
        <v>3449</v>
      </c>
      <c r="B1" s="1700"/>
      <c r="C1" s="1700"/>
      <c r="D1" s="1700"/>
      <c r="E1" s="1700"/>
      <c r="F1" s="1700"/>
      <c r="G1" s="1700"/>
      <c r="H1" s="1700"/>
      <c r="I1" s="1700"/>
      <c r="J1" s="1700"/>
      <c r="K1" s="1700"/>
    </row>
    <row r="2" spans="1:11" ht="66.599999999999994" customHeight="1">
      <c r="A2" s="1190" t="s">
        <v>2877</v>
      </c>
      <c r="B2" s="1190" t="s">
        <v>3267</v>
      </c>
      <c r="C2" s="1191" t="s">
        <v>3432</v>
      </c>
      <c r="D2" s="1191" t="s">
        <v>3433</v>
      </c>
      <c r="E2" s="1200" t="s">
        <v>3434</v>
      </c>
      <c r="F2" s="1191" t="s">
        <v>3435</v>
      </c>
      <c r="G2" s="1191" t="s">
        <v>3436</v>
      </c>
      <c r="H2" s="1200" t="s">
        <v>3437</v>
      </c>
      <c r="I2" s="1200" t="s">
        <v>3450</v>
      </c>
      <c r="J2" s="1191" t="s">
        <v>593</v>
      </c>
      <c r="K2" s="1190" t="s">
        <v>19</v>
      </c>
    </row>
    <row r="3" spans="1:11">
      <c r="A3" s="1694" t="s">
        <v>1675</v>
      </c>
      <c r="B3" s="1192" t="s">
        <v>3268</v>
      </c>
      <c r="C3" s="1196">
        <v>76</v>
      </c>
      <c r="D3" s="1196">
        <v>125</v>
      </c>
      <c r="E3" s="1195">
        <f>C3+D3</f>
        <v>201</v>
      </c>
      <c r="F3" s="1196">
        <v>84</v>
      </c>
      <c r="G3" s="1196">
        <v>98</v>
      </c>
      <c r="H3" s="1195">
        <f>F3+G3</f>
        <v>182</v>
      </c>
      <c r="I3" s="1195"/>
      <c r="J3" s="1196">
        <f>E3-H3-I3</f>
        <v>19</v>
      </c>
      <c r="K3" s="1196"/>
    </row>
    <row r="4" spans="1:11">
      <c r="A4" s="1694"/>
      <c r="B4" s="1201" t="s">
        <v>3269</v>
      </c>
      <c r="C4" s="1196">
        <v>52</v>
      </c>
      <c r="D4" s="1196">
        <v>88</v>
      </c>
      <c r="E4" s="1195">
        <f t="shared" ref="E4:E31" si="0">C4+D4</f>
        <v>140</v>
      </c>
      <c r="F4" s="1196">
        <v>62</v>
      </c>
      <c r="G4" s="1196">
        <v>59</v>
      </c>
      <c r="H4" s="1195">
        <f t="shared" ref="H4:H31" si="1">F4+G4</f>
        <v>121</v>
      </c>
      <c r="I4" s="1195"/>
      <c r="J4" s="1196">
        <f t="shared" ref="J4:J31" si="2">E4-H4-I4</f>
        <v>19</v>
      </c>
      <c r="K4" s="1196"/>
    </row>
    <row r="5" spans="1:11">
      <c r="A5" s="1694"/>
      <c r="B5" s="1201" t="s">
        <v>3270</v>
      </c>
      <c r="C5" s="1196">
        <v>24</v>
      </c>
      <c r="D5" s="1196">
        <v>37</v>
      </c>
      <c r="E5" s="1195">
        <f t="shared" si="0"/>
        <v>61</v>
      </c>
      <c r="F5" s="1196">
        <v>22</v>
      </c>
      <c r="G5" s="1196">
        <v>39</v>
      </c>
      <c r="H5" s="1195">
        <f t="shared" si="1"/>
        <v>61</v>
      </c>
      <c r="I5" s="1195"/>
      <c r="J5" s="1196">
        <f t="shared" si="2"/>
        <v>0</v>
      </c>
      <c r="K5" s="1196"/>
    </row>
    <row r="6" spans="1:11">
      <c r="A6" s="1694"/>
      <c r="B6" s="1201" t="s">
        <v>3271</v>
      </c>
      <c r="C6" s="1196">
        <v>10</v>
      </c>
      <c r="D6" s="1196">
        <v>14</v>
      </c>
      <c r="E6" s="1195">
        <f t="shared" si="0"/>
        <v>24</v>
      </c>
      <c r="F6" s="1196">
        <v>10</v>
      </c>
      <c r="G6" s="1196">
        <v>14</v>
      </c>
      <c r="H6" s="1195">
        <f t="shared" si="1"/>
        <v>24</v>
      </c>
      <c r="I6" s="1195"/>
      <c r="J6" s="1196">
        <f t="shared" si="2"/>
        <v>0</v>
      </c>
      <c r="K6" s="1196"/>
    </row>
    <row r="7" spans="1:11">
      <c r="A7" s="1694"/>
      <c r="B7" s="1201" t="s">
        <v>3272</v>
      </c>
      <c r="C7" s="1196">
        <v>2</v>
      </c>
      <c r="D7" s="1196">
        <v>5</v>
      </c>
      <c r="E7" s="1195">
        <f t="shared" si="0"/>
        <v>7</v>
      </c>
      <c r="F7" s="1196">
        <v>2</v>
      </c>
      <c r="G7" s="1196">
        <v>3</v>
      </c>
      <c r="H7" s="1195">
        <f t="shared" si="1"/>
        <v>5</v>
      </c>
      <c r="I7" s="1195"/>
      <c r="J7" s="1196">
        <f t="shared" si="2"/>
        <v>2</v>
      </c>
      <c r="K7" s="1196"/>
    </row>
    <row r="8" spans="1:11" ht="7.5" customHeight="1">
      <c r="A8" s="1192"/>
      <c r="B8" s="1192"/>
      <c r="C8" s="1196"/>
      <c r="D8" s="1196"/>
      <c r="E8" s="1195">
        <f t="shared" si="0"/>
        <v>0</v>
      </c>
      <c r="F8" s="1196">
        <v>0</v>
      </c>
      <c r="G8" s="1196">
        <v>0</v>
      </c>
      <c r="H8" s="1195">
        <f t="shared" si="1"/>
        <v>0</v>
      </c>
      <c r="I8" s="1195"/>
      <c r="J8" s="1196">
        <f t="shared" si="2"/>
        <v>0</v>
      </c>
      <c r="K8" s="1196"/>
    </row>
    <row r="9" spans="1:11">
      <c r="A9" s="1694" t="s">
        <v>2397</v>
      </c>
      <c r="B9" s="1192" t="s">
        <v>3268</v>
      </c>
      <c r="C9" s="1196">
        <v>17</v>
      </c>
      <c r="D9" s="1196">
        <v>39</v>
      </c>
      <c r="E9" s="1195">
        <f t="shared" si="0"/>
        <v>56</v>
      </c>
      <c r="F9" s="1196">
        <v>7</v>
      </c>
      <c r="G9" s="1196">
        <v>39</v>
      </c>
      <c r="H9" s="1195">
        <f t="shared" si="1"/>
        <v>46</v>
      </c>
      <c r="I9" s="1195"/>
      <c r="J9" s="1196">
        <f t="shared" si="2"/>
        <v>10</v>
      </c>
      <c r="K9" s="1196"/>
    </row>
    <row r="10" spans="1:11">
      <c r="A10" s="1694"/>
      <c r="B10" s="1201" t="s">
        <v>3269</v>
      </c>
      <c r="C10" s="1196">
        <v>16</v>
      </c>
      <c r="D10" s="1196">
        <v>33</v>
      </c>
      <c r="E10" s="1195">
        <f t="shared" si="0"/>
        <v>49</v>
      </c>
      <c r="F10" s="1196">
        <v>6</v>
      </c>
      <c r="G10" s="1196">
        <v>33</v>
      </c>
      <c r="H10" s="1195">
        <f t="shared" si="1"/>
        <v>39</v>
      </c>
      <c r="I10" s="1195"/>
      <c r="J10" s="1196">
        <f t="shared" si="2"/>
        <v>10</v>
      </c>
      <c r="K10" s="1196"/>
    </row>
    <row r="11" spans="1:11">
      <c r="A11" s="1694"/>
      <c r="B11" s="1201" t="s">
        <v>3270</v>
      </c>
      <c r="C11" s="1196">
        <v>1</v>
      </c>
      <c r="D11" s="1196">
        <v>6</v>
      </c>
      <c r="E11" s="1195">
        <f t="shared" si="0"/>
        <v>7</v>
      </c>
      <c r="F11" s="1196">
        <v>1</v>
      </c>
      <c r="G11" s="1196">
        <v>6</v>
      </c>
      <c r="H11" s="1195">
        <f t="shared" si="1"/>
        <v>7</v>
      </c>
      <c r="I11" s="1195"/>
      <c r="J11" s="1196">
        <f t="shared" si="2"/>
        <v>0</v>
      </c>
      <c r="K11" s="1196"/>
    </row>
    <row r="12" spans="1:11">
      <c r="A12" s="1694"/>
      <c r="B12" s="1201" t="s">
        <v>3271</v>
      </c>
      <c r="C12" s="1196">
        <v>1</v>
      </c>
      <c r="D12" s="1196">
        <v>4</v>
      </c>
      <c r="E12" s="1195">
        <f t="shared" si="0"/>
        <v>5</v>
      </c>
      <c r="F12" s="1196">
        <v>1</v>
      </c>
      <c r="G12" s="1196">
        <v>2</v>
      </c>
      <c r="H12" s="1195">
        <f t="shared" si="1"/>
        <v>3</v>
      </c>
      <c r="I12" s="1195"/>
      <c r="J12" s="1196">
        <f t="shared" si="2"/>
        <v>2</v>
      </c>
      <c r="K12" s="1196"/>
    </row>
    <row r="13" spans="1:11">
      <c r="A13" s="1694"/>
      <c r="B13" s="1201" t="s">
        <v>3272</v>
      </c>
      <c r="C13" s="1196">
        <v>2</v>
      </c>
      <c r="D13" s="1196">
        <v>6</v>
      </c>
      <c r="E13" s="1195">
        <f t="shared" si="0"/>
        <v>8</v>
      </c>
      <c r="F13" s="1196">
        <v>2</v>
      </c>
      <c r="G13" s="1196">
        <v>5</v>
      </c>
      <c r="H13" s="1195">
        <f t="shared" si="1"/>
        <v>7</v>
      </c>
      <c r="I13" s="1195"/>
      <c r="J13" s="1196">
        <f t="shared" si="2"/>
        <v>1</v>
      </c>
      <c r="K13" s="1196"/>
    </row>
    <row r="14" spans="1:11" ht="7.5" customHeight="1">
      <c r="A14" s="1192"/>
      <c r="B14" s="1192"/>
      <c r="C14" s="1196"/>
      <c r="D14" s="1196"/>
      <c r="E14" s="1195">
        <f t="shared" si="0"/>
        <v>0</v>
      </c>
      <c r="F14" s="1196">
        <v>0</v>
      </c>
      <c r="G14" s="1196">
        <v>0</v>
      </c>
      <c r="H14" s="1195">
        <f t="shared" si="1"/>
        <v>0</v>
      </c>
      <c r="I14" s="1195"/>
      <c r="J14" s="1196">
        <f t="shared" si="2"/>
        <v>0</v>
      </c>
      <c r="K14" s="1196"/>
    </row>
    <row r="15" spans="1:11">
      <c r="A15" s="1694" t="s">
        <v>2398</v>
      </c>
      <c r="B15" s="1192" t="s">
        <v>3268</v>
      </c>
      <c r="C15" s="1196">
        <v>13</v>
      </c>
      <c r="D15" s="1196">
        <v>32</v>
      </c>
      <c r="E15" s="1195">
        <f t="shared" si="0"/>
        <v>45</v>
      </c>
      <c r="F15" s="1196">
        <v>23</v>
      </c>
      <c r="G15" s="1196">
        <v>10</v>
      </c>
      <c r="H15" s="1195">
        <f t="shared" si="1"/>
        <v>33</v>
      </c>
      <c r="I15" s="1195">
        <f>2+2</f>
        <v>4</v>
      </c>
      <c r="J15" s="1196">
        <f t="shared" si="2"/>
        <v>8</v>
      </c>
      <c r="K15" s="1196"/>
    </row>
    <row r="16" spans="1:11">
      <c r="A16" s="1694"/>
      <c r="B16" s="1201" t="s">
        <v>3269</v>
      </c>
      <c r="C16" s="1196">
        <v>9</v>
      </c>
      <c r="D16" s="1196">
        <v>25</v>
      </c>
      <c r="E16" s="1195">
        <f t="shared" si="0"/>
        <v>34</v>
      </c>
      <c r="F16" s="1196">
        <v>20</v>
      </c>
      <c r="G16" s="1196">
        <v>5</v>
      </c>
      <c r="H16" s="1195">
        <f t="shared" si="1"/>
        <v>25</v>
      </c>
      <c r="I16" s="1195">
        <f>1+1</f>
        <v>2</v>
      </c>
      <c r="J16" s="1196">
        <f t="shared" si="2"/>
        <v>7</v>
      </c>
      <c r="K16" s="1196"/>
    </row>
    <row r="17" spans="1:11">
      <c r="A17" s="1694"/>
      <c r="B17" s="1201" t="s">
        <v>3270</v>
      </c>
      <c r="C17" s="1196">
        <v>4</v>
      </c>
      <c r="D17" s="1196">
        <v>7</v>
      </c>
      <c r="E17" s="1195">
        <f t="shared" si="0"/>
        <v>11</v>
      </c>
      <c r="F17" s="1196">
        <v>3</v>
      </c>
      <c r="G17" s="1196">
        <v>5</v>
      </c>
      <c r="H17" s="1195">
        <f t="shared" si="1"/>
        <v>8</v>
      </c>
      <c r="I17" s="1195">
        <f>1+1</f>
        <v>2</v>
      </c>
      <c r="J17" s="1196">
        <f t="shared" si="2"/>
        <v>1</v>
      </c>
      <c r="K17" s="1196"/>
    </row>
    <row r="18" spans="1:11">
      <c r="A18" s="1694"/>
      <c r="B18" s="1201" t="s">
        <v>3271</v>
      </c>
      <c r="C18" s="1196">
        <v>1</v>
      </c>
      <c r="D18" s="1196">
        <v>2</v>
      </c>
      <c r="E18" s="1195">
        <f t="shared" si="0"/>
        <v>3</v>
      </c>
      <c r="F18" s="1196">
        <v>0</v>
      </c>
      <c r="G18" s="1196">
        <v>2</v>
      </c>
      <c r="H18" s="1195">
        <f t="shared" si="1"/>
        <v>2</v>
      </c>
      <c r="I18" s="1195"/>
      <c r="J18" s="1196">
        <f t="shared" si="2"/>
        <v>1</v>
      </c>
      <c r="K18" s="1196"/>
    </row>
    <row r="19" spans="1:11">
      <c r="A19" s="1694"/>
      <c r="B19" s="1201" t="s">
        <v>3272</v>
      </c>
      <c r="C19" s="1196">
        <v>2</v>
      </c>
      <c r="D19" s="1196">
        <v>4</v>
      </c>
      <c r="E19" s="1195">
        <f t="shared" si="0"/>
        <v>6</v>
      </c>
      <c r="F19" s="1196">
        <v>0</v>
      </c>
      <c r="G19" s="1196">
        <v>3</v>
      </c>
      <c r="H19" s="1195">
        <f t="shared" si="1"/>
        <v>3</v>
      </c>
      <c r="I19" s="1195">
        <f>1+1</f>
        <v>2</v>
      </c>
      <c r="J19" s="1196">
        <f t="shared" si="2"/>
        <v>1</v>
      </c>
      <c r="K19" s="1196"/>
    </row>
    <row r="20" spans="1:11" ht="6.95" customHeight="1">
      <c r="A20" s="1192"/>
      <c r="B20" s="1192"/>
      <c r="C20" s="1196"/>
      <c r="D20" s="1196"/>
      <c r="E20" s="1195">
        <f t="shared" si="0"/>
        <v>0</v>
      </c>
      <c r="F20" s="1196">
        <v>0</v>
      </c>
      <c r="G20" s="1196">
        <v>0</v>
      </c>
      <c r="H20" s="1195">
        <f t="shared" si="1"/>
        <v>0</v>
      </c>
      <c r="I20" s="1195"/>
      <c r="J20" s="1196">
        <f t="shared" si="2"/>
        <v>0</v>
      </c>
      <c r="K20" s="1196"/>
    </row>
    <row r="21" spans="1:11">
      <c r="A21" s="1695" t="s">
        <v>2425</v>
      </c>
      <c r="B21" s="1192" t="s">
        <v>3268</v>
      </c>
      <c r="C21" s="1196">
        <v>21</v>
      </c>
      <c r="D21" s="1196">
        <v>44</v>
      </c>
      <c r="E21" s="1195">
        <f t="shared" si="0"/>
        <v>65</v>
      </c>
      <c r="F21" s="1196">
        <v>18</v>
      </c>
      <c r="G21" s="1196">
        <v>35</v>
      </c>
      <c r="H21" s="1195">
        <f t="shared" si="1"/>
        <v>53</v>
      </c>
      <c r="I21" s="1195"/>
      <c r="J21" s="1196">
        <f t="shared" si="2"/>
        <v>12</v>
      </c>
      <c r="K21" s="1196"/>
    </row>
    <row r="22" spans="1:11">
      <c r="A22" s="1696"/>
      <c r="B22" s="1201" t="s">
        <v>3269</v>
      </c>
      <c r="C22" s="1196">
        <v>20</v>
      </c>
      <c r="D22" s="1196">
        <v>39</v>
      </c>
      <c r="E22" s="1195">
        <f t="shared" si="0"/>
        <v>59</v>
      </c>
      <c r="F22" s="1196">
        <v>17</v>
      </c>
      <c r="G22" s="1196">
        <v>30</v>
      </c>
      <c r="H22" s="1195">
        <f t="shared" si="1"/>
        <v>47</v>
      </c>
      <c r="I22" s="1195"/>
      <c r="J22" s="1196">
        <f t="shared" si="2"/>
        <v>12</v>
      </c>
      <c r="K22" s="1196"/>
    </row>
    <row r="23" spans="1:11">
      <c r="A23" s="1696"/>
      <c r="B23" s="1201" t="s">
        <v>3270</v>
      </c>
      <c r="C23" s="1196">
        <v>1</v>
      </c>
      <c r="D23" s="1196">
        <v>5</v>
      </c>
      <c r="E23" s="1195">
        <f t="shared" si="0"/>
        <v>6</v>
      </c>
      <c r="F23" s="1196">
        <v>1</v>
      </c>
      <c r="G23" s="1196">
        <v>5</v>
      </c>
      <c r="H23" s="1195">
        <f t="shared" si="1"/>
        <v>6</v>
      </c>
      <c r="I23" s="1195"/>
      <c r="J23" s="1196">
        <f t="shared" si="2"/>
        <v>0</v>
      </c>
      <c r="K23" s="1196"/>
    </row>
    <row r="24" spans="1:11">
      <c r="A24" s="1696"/>
      <c r="B24" s="1201" t="s">
        <v>3271</v>
      </c>
      <c r="C24" s="1196">
        <v>1</v>
      </c>
      <c r="D24" s="1196">
        <v>2</v>
      </c>
      <c r="E24" s="1195">
        <f t="shared" si="0"/>
        <v>3</v>
      </c>
      <c r="F24" s="1196">
        <v>1</v>
      </c>
      <c r="G24" s="1196">
        <v>2</v>
      </c>
      <c r="H24" s="1195">
        <f t="shared" si="1"/>
        <v>3</v>
      </c>
      <c r="I24" s="1195"/>
      <c r="J24" s="1196">
        <f t="shared" si="2"/>
        <v>0</v>
      </c>
      <c r="K24" s="1196"/>
    </row>
    <row r="25" spans="1:11">
      <c r="A25" s="1696"/>
      <c r="B25" s="1201" t="s">
        <v>3272</v>
      </c>
      <c r="C25" s="1196">
        <v>3</v>
      </c>
      <c r="D25" s="1196">
        <v>5</v>
      </c>
      <c r="E25" s="1195">
        <f t="shared" si="0"/>
        <v>8</v>
      </c>
      <c r="F25" s="1196">
        <v>3</v>
      </c>
      <c r="G25" s="1196">
        <v>5</v>
      </c>
      <c r="H25" s="1195">
        <f t="shared" si="1"/>
        <v>8</v>
      </c>
      <c r="I25" s="1195"/>
      <c r="J25" s="1196">
        <f t="shared" si="2"/>
        <v>0</v>
      </c>
      <c r="K25" s="1196"/>
    </row>
    <row r="26" spans="1:11">
      <c r="A26" s="1696"/>
      <c r="B26" s="1201" t="s">
        <v>3273</v>
      </c>
      <c r="C26" s="1196">
        <v>1</v>
      </c>
      <c r="D26" s="1196">
        <v>10</v>
      </c>
      <c r="E26" s="1195">
        <f t="shared" si="0"/>
        <v>11</v>
      </c>
      <c r="F26" s="1196">
        <v>0</v>
      </c>
      <c r="G26" s="1196">
        <v>0</v>
      </c>
      <c r="H26" s="1195">
        <f t="shared" si="1"/>
        <v>0</v>
      </c>
      <c r="I26" s="1195">
        <v>6</v>
      </c>
      <c r="J26" s="1196">
        <f t="shared" si="2"/>
        <v>5</v>
      </c>
      <c r="K26" s="1196"/>
    </row>
    <row r="27" spans="1:11">
      <c r="A27" s="1696"/>
      <c r="B27" s="1201" t="s">
        <v>3274</v>
      </c>
      <c r="C27" s="1196">
        <v>4</v>
      </c>
      <c r="D27" s="1196">
        <v>8</v>
      </c>
      <c r="E27" s="1195">
        <f t="shared" si="0"/>
        <v>12</v>
      </c>
      <c r="F27" s="1196">
        <v>0</v>
      </c>
      <c r="G27" s="1196">
        <v>0</v>
      </c>
      <c r="H27" s="1195">
        <f t="shared" si="1"/>
        <v>0</v>
      </c>
      <c r="I27" s="1195">
        <v>8</v>
      </c>
      <c r="J27" s="1196">
        <f t="shared" si="2"/>
        <v>4</v>
      </c>
      <c r="K27" s="1196"/>
    </row>
    <row r="28" spans="1:11">
      <c r="A28" s="1697"/>
      <c r="B28" s="1201" t="s">
        <v>3275</v>
      </c>
      <c r="C28" s="1196">
        <v>5</v>
      </c>
      <c r="D28" s="1196">
        <v>4</v>
      </c>
      <c r="E28" s="1195">
        <f t="shared" si="0"/>
        <v>9</v>
      </c>
      <c r="F28" s="1196">
        <v>0</v>
      </c>
      <c r="G28" s="1196">
        <v>0</v>
      </c>
      <c r="H28" s="1195">
        <f t="shared" si="1"/>
        <v>0</v>
      </c>
      <c r="I28" s="1195">
        <v>1</v>
      </c>
      <c r="J28" s="1196">
        <f t="shared" si="2"/>
        <v>8</v>
      </c>
      <c r="K28" s="1196"/>
    </row>
    <row r="29" spans="1:11" ht="9" customHeight="1">
      <c r="A29" s="1198"/>
      <c r="B29" s="1201"/>
      <c r="C29" s="1196"/>
      <c r="D29" s="1196"/>
      <c r="E29" s="1195">
        <f t="shared" si="0"/>
        <v>0</v>
      </c>
      <c r="F29" s="1196">
        <v>0</v>
      </c>
      <c r="G29" s="1196">
        <v>0</v>
      </c>
      <c r="H29" s="1195">
        <f t="shared" si="1"/>
        <v>0</v>
      </c>
      <c r="I29" s="1195"/>
      <c r="J29" s="1196">
        <f t="shared" si="2"/>
        <v>0</v>
      </c>
      <c r="K29" s="1196"/>
    </row>
    <row r="30" spans="1:11">
      <c r="A30" s="1695" t="s">
        <v>3451</v>
      </c>
      <c r="B30" s="1192" t="s">
        <v>3268</v>
      </c>
      <c r="C30" s="1196"/>
      <c r="D30" s="1196">
        <v>1</v>
      </c>
      <c r="E30" s="1195">
        <f t="shared" si="0"/>
        <v>1</v>
      </c>
      <c r="F30" s="1196">
        <v>0</v>
      </c>
      <c r="G30" s="1196">
        <v>0</v>
      </c>
      <c r="H30" s="1195">
        <f t="shared" si="1"/>
        <v>0</v>
      </c>
      <c r="I30" s="1195"/>
      <c r="J30" s="1196">
        <f t="shared" si="2"/>
        <v>1</v>
      </c>
      <c r="K30" s="1196"/>
    </row>
    <row r="31" spans="1:11">
      <c r="A31" s="1697"/>
      <c r="B31" s="1201" t="s">
        <v>3269</v>
      </c>
      <c r="C31" s="1196"/>
      <c r="D31" s="1196">
        <v>1</v>
      </c>
      <c r="E31" s="1195">
        <f t="shared" si="0"/>
        <v>1</v>
      </c>
      <c r="F31" s="1196">
        <v>0</v>
      </c>
      <c r="G31" s="1196">
        <v>0</v>
      </c>
      <c r="H31" s="1195">
        <f t="shared" si="1"/>
        <v>0</v>
      </c>
      <c r="I31" s="1195"/>
      <c r="J31" s="1196">
        <f t="shared" si="2"/>
        <v>1</v>
      </c>
      <c r="K31" s="1196"/>
    </row>
    <row r="32" spans="1:11">
      <c r="A32" s="1693" t="s">
        <v>994</v>
      </c>
      <c r="B32" s="1693"/>
      <c r="C32" s="1188">
        <f t="shared" ref="C32:J32" si="3">C21+C15+C9+C3+C30</f>
        <v>127</v>
      </c>
      <c r="D32" s="1188">
        <f t="shared" si="3"/>
        <v>241</v>
      </c>
      <c r="E32" s="1188">
        <f t="shared" si="3"/>
        <v>368</v>
      </c>
      <c r="F32" s="1188">
        <f>F21+F15+F9+F3+F30</f>
        <v>132</v>
      </c>
      <c r="G32" s="1188">
        <f t="shared" si="3"/>
        <v>182</v>
      </c>
      <c r="H32" s="1188">
        <f t="shared" si="3"/>
        <v>314</v>
      </c>
      <c r="I32" s="1188">
        <f t="shared" si="3"/>
        <v>4</v>
      </c>
      <c r="J32" s="1188">
        <f t="shared" si="3"/>
        <v>50</v>
      </c>
      <c r="K32" s="118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89" bestFit="1" customWidth="1"/>
    <col min="2" max="2" width="19.7109375" style="1189" bestFit="1" customWidth="1"/>
    <col min="3" max="3" width="10.140625" style="1199" bestFit="1" customWidth="1"/>
    <col min="4" max="4" width="14" style="1189" customWidth="1"/>
    <col min="5" max="5" width="14.42578125" style="1189" bestFit="1" customWidth="1"/>
    <col min="6" max="6" width="13" style="1189" bestFit="1" customWidth="1"/>
    <col min="7" max="7" width="70.7109375" style="1189" bestFit="1" customWidth="1"/>
    <col min="8" max="255" width="8.7109375" style="1189"/>
    <col min="256" max="256" width="6.140625" style="1189" bestFit="1" customWidth="1"/>
    <col min="257" max="257" width="19.7109375" style="1189" bestFit="1" customWidth="1"/>
    <col min="258" max="258" width="10.140625" style="1189" bestFit="1" customWidth="1"/>
    <col min="259" max="259" width="14" style="1189" customWidth="1"/>
    <col min="260" max="260" width="14.42578125" style="1189" bestFit="1" customWidth="1"/>
    <col min="261" max="261" width="18.5703125" style="1189" customWidth="1"/>
    <col min="262" max="262" width="13" style="1189" bestFit="1" customWidth="1"/>
    <col min="263" max="263" width="70.7109375" style="1189" bestFit="1" customWidth="1"/>
    <col min="264" max="511" width="8.7109375" style="1189"/>
    <col min="512" max="512" width="6.140625" style="1189" bestFit="1" customWidth="1"/>
    <col min="513" max="513" width="19.7109375" style="1189" bestFit="1" customWidth="1"/>
    <col min="514" max="514" width="10.140625" style="1189" bestFit="1" customWidth="1"/>
    <col min="515" max="515" width="14" style="1189" customWidth="1"/>
    <col min="516" max="516" width="14.42578125" style="1189" bestFit="1" customWidth="1"/>
    <col min="517" max="517" width="18.5703125" style="1189" customWidth="1"/>
    <col min="518" max="518" width="13" style="1189" bestFit="1" customWidth="1"/>
    <col min="519" max="519" width="70.7109375" style="1189" bestFit="1" customWidth="1"/>
    <col min="520" max="767" width="8.7109375" style="1189"/>
    <col min="768" max="768" width="6.140625" style="1189" bestFit="1" customWidth="1"/>
    <col min="769" max="769" width="19.7109375" style="1189" bestFit="1" customWidth="1"/>
    <col min="770" max="770" width="10.140625" style="1189" bestFit="1" customWidth="1"/>
    <col min="771" max="771" width="14" style="1189" customWidth="1"/>
    <col min="772" max="772" width="14.42578125" style="1189" bestFit="1" customWidth="1"/>
    <col min="773" max="773" width="18.5703125" style="1189" customWidth="1"/>
    <col min="774" max="774" width="13" style="1189" bestFit="1" customWidth="1"/>
    <col min="775" max="775" width="70.7109375" style="1189" bestFit="1" customWidth="1"/>
    <col min="776" max="1023" width="8.7109375" style="1189"/>
    <col min="1024" max="1024" width="6.140625" style="1189" bestFit="1" customWidth="1"/>
    <col min="1025" max="1025" width="19.7109375" style="1189" bestFit="1" customWidth="1"/>
    <col min="1026" max="1026" width="10.140625" style="1189" bestFit="1" customWidth="1"/>
    <col min="1027" max="1027" width="14" style="1189" customWidth="1"/>
    <col min="1028" max="1028" width="14.42578125" style="1189" bestFit="1" customWidth="1"/>
    <col min="1029" max="1029" width="18.5703125" style="1189" customWidth="1"/>
    <col min="1030" max="1030" width="13" style="1189" bestFit="1" customWidth="1"/>
    <col min="1031" max="1031" width="70.7109375" style="1189" bestFit="1" customWidth="1"/>
    <col min="1032" max="1279" width="8.7109375" style="1189"/>
    <col min="1280" max="1280" width="6.140625" style="1189" bestFit="1" customWidth="1"/>
    <col min="1281" max="1281" width="19.7109375" style="1189" bestFit="1" customWidth="1"/>
    <col min="1282" max="1282" width="10.140625" style="1189" bestFit="1" customWidth="1"/>
    <col min="1283" max="1283" width="14" style="1189" customWidth="1"/>
    <col min="1284" max="1284" width="14.42578125" style="1189" bestFit="1" customWidth="1"/>
    <col min="1285" max="1285" width="18.5703125" style="1189" customWidth="1"/>
    <col min="1286" max="1286" width="13" style="1189" bestFit="1" customWidth="1"/>
    <col min="1287" max="1287" width="70.7109375" style="1189" bestFit="1" customWidth="1"/>
    <col min="1288" max="1535" width="8.7109375" style="1189"/>
    <col min="1536" max="1536" width="6.140625" style="1189" bestFit="1" customWidth="1"/>
    <col min="1537" max="1537" width="19.7109375" style="1189" bestFit="1" customWidth="1"/>
    <col min="1538" max="1538" width="10.140625" style="1189" bestFit="1" customWidth="1"/>
    <col min="1539" max="1539" width="14" style="1189" customWidth="1"/>
    <col min="1540" max="1540" width="14.42578125" style="1189" bestFit="1" customWidth="1"/>
    <col min="1541" max="1541" width="18.5703125" style="1189" customWidth="1"/>
    <col min="1542" max="1542" width="13" style="1189" bestFit="1" customWidth="1"/>
    <col min="1543" max="1543" width="70.7109375" style="1189" bestFit="1" customWidth="1"/>
    <col min="1544" max="1791" width="8.7109375" style="1189"/>
    <col min="1792" max="1792" width="6.140625" style="1189" bestFit="1" customWidth="1"/>
    <col min="1793" max="1793" width="19.7109375" style="1189" bestFit="1" customWidth="1"/>
    <col min="1794" max="1794" width="10.140625" style="1189" bestFit="1" customWidth="1"/>
    <col min="1795" max="1795" width="14" style="1189" customWidth="1"/>
    <col min="1796" max="1796" width="14.42578125" style="1189" bestFit="1" customWidth="1"/>
    <col min="1797" max="1797" width="18.5703125" style="1189" customWidth="1"/>
    <col min="1798" max="1798" width="13" style="1189" bestFit="1" customWidth="1"/>
    <col min="1799" max="1799" width="70.7109375" style="1189" bestFit="1" customWidth="1"/>
    <col min="1800" max="2047" width="8.7109375" style="1189"/>
    <col min="2048" max="2048" width="6.140625" style="1189" bestFit="1" customWidth="1"/>
    <col min="2049" max="2049" width="19.7109375" style="1189" bestFit="1" customWidth="1"/>
    <col min="2050" max="2050" width="10.140625" style="1189" bestFit="1" customWidth="1"/>
    <col min="2051" max="2051" width="14" style="1189" customWidth="1"/>
    <col min="2052" max="2052" width="14.42578125" style="1189" bestFit="1" customWidth="1"/>
    <col min="2053" max="2053" width="18.5703125" style="1189" customWidth="1"/>
    <col min="2054" max="2054" width="13" style="1189" bestFit="1" customWidth="1"/>
    <col min="2055" max="2055" width="70.7109375" style="1189" bestFit="1" customWidth="1"/>
    <col min="2056" max="2303" width="8.7109375" style="1189"/>
    <col min="2304" max="2304" width="6.140625" style="1189" bestFit="1" customWidth="1"/>
    <col min="2305" max="2305" width="19.7109375" style="1189" bestFit="1" customWidth="1"/>
    <col min="2306" max="2306" width="10.140625" style="1189" bestFit="1" customWidth="1"/>
    <col min="2307" max="2307" width="14" style="1189" customWidth="1"/>
    <col min="2308" max="2308" width="14.42578125" style="1189" bestFit="1" customWidth="1"/>
    <col min="2309" max="2309" width="18.5703125" style="1189" customWidth="1"/>
    <col min="2310" max="2310" width="13" style="1189" bestFit="1" customWidth="1"/>
    <col min="2311" max="2311" width="70.7109375" style="1189" bestFit="1" customWidth="1"/>
    <col min="2312" max="2559" width="8.7109375" style="1189"/>
    <col min="2560" max="2560" width="6.140625" style="1189" bestFit="1" customWidth="1"/>
    <col min="2561" max="2561" width="19.7109375" style="1189" bestFit="1" customWidth="1"/>
    <col min="2562" max="2562" width="10.140625" style="1189" bestFit="1" customWidth="1"/>
    <col min="2563" max="2563" width="14" style="1189" customWidth="1"/>
    <col min="2564" max="2564" width="14.42578125" style="1189" bestFit="1" customWidth="1"/>
    <col min="2565" max="2565" width="18.5703125" style="1189" customWidth="1"/>
    <col min="2566" max="2566" width="13" style="1189" bestFit="1" customWidth="1"/>
    <col min="2567" max="2567" width="70.7109375" style="1189" bestFit="1" customWidth="1"/>
    <col min="2568" max="2815" width="8.7109375" style="1189"/>
    <col min="2816" max="2816" width="6.140625" style="1189" bestFit="1" customWidth="1"/>
    <col min="2817" max="2817" width="19.7109375" style="1189" bestFit="1" customWidth="1"/>
    <col min="2818" max="2818" width="10.140625" style="1189" bestFit="1" customWidth="1"/>
    <col min="2819" max="2819" width="14" style="1189" customWidth="1"/>
    <col min="2820" max="2820" width="14.42578125" style="1189" bestFit="1" customWidth="1"/>
    <col min="2821" max="2821" width="18.5703125" style="1189" customWidth="1"/>
    <col min="2822" max="2822" width="13" style="1189" bestFit="1" customWidth="1"/>
    <col min="2823" max="2823" width="70.7109375" style="1189" bestFit="1" customWidth="1"/>
    <col min="2824" max="3071" width="8.7109375" style="1189"/>
    <col min="3072" max="3072" width="6.140625" style="1189" bestFit="1" customWidth="1"/>
    <col min="3073" max="3073" width="19.7109375" style="1189" bestFit="1" customWidth="1"/>
    <col min="3074" max="3074" width="10.140625" style="1189" bestFit="1" customWidth="1"/>
    <col min="3075" max="3075" width="14" style="1189" customWidth="1"/>
    <col min="3076" max="3076" width="14.42578125" style="1189" bestFit="1" customWidth="1"/>
    <col min="3077" max="3077" width="18.5703125" style="1189" customWidth="1"/>
    <col min="3078" max="3078" width="13" style="1189" bestFit="1" customWidth="1"/>
    <col min="3079" max="3079" width="70.7109375" style="1189" bestFit="1" customWidth="1"/>
    <col min="3080" max="3327" width="8.7109375" style="1189"/>
    <col min="3328" max="3328" width="6.140625" style="1189" bestFit="1" customWidth="1"/>
    <col min="3329" max="3329" width="19.7109375" style="1189" bestFit="1" customWidth="1"/>
    <col min="3330" max="3330" width="10.140625" style="1189" bestFit="1" customWidth="1"/>
    <col min="3331" max="3331" width="14" style="1189" customWidth="1"/>
    <col min="3332" max="3332" width="14.42578125" style="1189" bestFit="1" customWidth="1"/>
    <col min="3333" max="3333" width="18.5703125" style="1189" customWidth="1"/>
    <col min="3334" max="3334" width="13" style="1189" bestFit="1" customWidth="1"/>
    <col min="3335" max="3335" width="70.7109375" style="1189" bestFit="1" customWidth="1"/>
    <col min="3336" max="3583" width="8.7109375" style="1189"/>
    <col min="3584" max="3584" width="6.140625" style="1189" bestFit="1" customWidth="1"/>
    <col min="3585" max="3585" width="19.7109375" style="1189" bestFit="1" customWidth="1"/>
    <col min="3586" max="3586" width="10.140625" style="1189" bestFit="1" customWidth="1"/>
    <col min="3587" max="3587" width="14" style="1189" customWidth="1"/>
    <col min="3588" max="3588" width="14.42578125" style="1189" bestFit="1" customWidth="1"/>
    <col min="3589" max="3589" width="18.5703125" style="1189" customWidth="1"/>
    <col min="3590" max="3590" width="13" style="1189" bestFit="1" customWidth="1"/>
    <col min="3591" max="3591" width="70.7109375" style="1189" bestFit="1" customWidth="1"/>
    <col min="3592" max="3839" width="8.7109375" style="1189"/>
    <col min="3840" max="3840" width="6.140625" style="1189" bestFit="1" customWidth="1"/>
    <col min="3841" max="3841" width="19.7109375" style="1189" bestFit="1" customWidth="1"/>
    <col min="3842" max="3842" width="10.140625" style="1189" bestFit="1" customWidth="1"/>
    <col min="3843" max="3843" width="14" style="1189" customWidth="1"/>
    <col min="3844" max="3844" width="14.42578125" style="1189" bestFit="1" customWidth="1"/>
    <col min="3845" max="3845" width="18.5703125" style="1189" customWidth="1"/>
    <col min="3846" max="3846" width="13" style="1189" bestFit="1" customWidth="1"/>
    <col min="3847" max="3847" width="70.7109375" style="1189" bestFit="1" customWidth="1"/>
    <col min="3848" max="4095" width="8.7109375" style="1189"/>
    <col min="4096" max="4096" width="6.140625" style="1189" bestFit="1" customWidth="1"/>
    <col min="4097" max="4097" width="19.7109375" style="1189" bestFit="1" customWidth="1"/>
    <col min="4098" max="4098" width="10.140625" style="1189" bestFit="1" customWidth="1"/>
    <col min="4099" max="4099" width="14" style="1189" customWidth="1"/>
    <col min="4100" max="4100" width="14.42578125" style="1189" bestFit="1" customWidth="1"/>
    <col min="4101" max="4101" width="18.5703125" style="1189" customWidth="1"/>
    <col min="4102" max="4102" width="13" style="1189" bestFit="1" customWidth="1"/>
    <col min="4103" max="4103" width="70.7109375" style="1189" bestFit="1" customWidth="1"/>
    <col min="4104" max="4351" width="8.7109375" style="1189"/>
    <col min="4352" max="4352" width="6.140625" style="1189" bestFit="1" customWidth="1"/>
    <col min="4353" max="4353" width="19.7109375" style="1189" bestFit="1" customWidth="1"/>
    <col min="4354" max="4354" width="10.140625" style="1189" bestFit="1" customWidth="1"/>
    <col min="4355" max="4355" width="14" style="1189" customWidth="1"/>
    <col min="4356" max="4356" width="14.42578125" style="1189" bestFit="1" customWidth="1"/>
    <col min="4357" max="4357" width="18.5703125" style="1189" customWidth="1"/>
    <col min="4358" max="4358" width="13" style="1189" bestFit="1" customWidth="1"/>
    <col min="4359" max="4359" width="70.7109375" style="1189" bestFit="1" customWidth="1"/>
    <col min="4360" max="4607" width="8.7109375" style="1189"/>
    <col min="4608" max="4608" width="6.140625" style="1189" bestFit="1" customWidth="1"/>
    <col min="4609" max="4609" width="19.7109375" style="1189" bestFit="1" customWidth="1"/>
    <col min="4610" max="4610" width="10.140625" style="1189" bestFit="1" customWidth="1"/>
    <col min="4611" max="4611" width="14" style="1189" customWidth="1"/>
    <col min="4612" max="4612" width="14.42578125" style="1189" bestFit="1" customWidth="1"/>
    <col min="4613" max="4613" width="18.5703125" style="1189" customWidth="1"/>
    <col min="4614" max="4614" width="13" style="1189" bestFit="1" customWidth="1"/>
    <col min="4615" max="4615" width="70.7109375" style="1189" bestFit="1" customWidth="1"/>
    <col min="4616" max="4863" width="8.7109375" style="1189"/>
    <col min="4864" max="4864" width="6.140625" style="1189" bestFit="1" customWidth="1"/>
    <col min="4865" max="4865" width="19.7109375" style="1189" bestFit="1" customWidth="1"/>
    <col min="4866" max="4866" width="10.140625" style="1189" bestFit="1" customWidth="1"/>
    <col min="4867" max="4867" width="14" style="1189" customWidth="1"/>
    <col min="4868" max="4868" width="14.42578125" style="1189" bestFit="1" customWidth="1"/>
    <col min="4869" max="4869" width="18.5703125" style="1189" customWidth="1"/>
    <col min="4870" max="4870" width="13" style="1189" bestFit="1" customWidth="1"/>
    <col min="4871" max="4871" width="70.7109375" style="1189" bestFit="1" customWidth="1"/>
    <col min="4872" max="5119" width="8.7109375" style="1189"/>
    <col min="5120" max="5120" width="6.140625" style="1189" bestFit="1" customWidth="1"/>
    <col min="5121" max="5121" width="19.7109375" style="1189" bestFit="1" customWidth="1"/>
    <col min="5122" max="5122" width="10.140625" style="1189" bestFit="1" customWidth="1"/>
    <col min="5123" max="5123" width="14" style="1189" customWidth="1"/>
    <col min="5124" max="5124" width="14.42578125" style="1189" bestFit="1" customWidth="1"/>
    <col min="5125" max="5125" width="18.5703125" style="1189" customWidth="1"/>
    <col min="5126" max="5126" width="13" style="1189" bestFit="1" customWidth="1"/>
    <col min="5127" max="5127" width="70.7109375" style="1189" bestFit="1" customWidth="1"/>
    <col min="5128" max="5375" width="8.7109375" style="1189"/>
    <col min="5376" max="5376" width="6.140625" style="1189" bestFit="1" customWidth="1"/>
    <col min="5377" max="5377" width="19.7109375" style="1189" bestFit="1" customWidth="1"/>
    <col min="5378" max="5378" width="10.140625" style="1189" bestFit="1" customWidth="1"/>
    <col min="5379" max="5379" width="14" style="1189" customWidth="1"/>
    <col min="5380" max="5380" width="14.42578125" style="1189" bestFit="1" customWidth="1"/>
    <col min="5381" max="5381" width="18.5703125" style="1189" customWidth="1"/>
    <col min="5382" max="5382" width="13" style="1189" bestFit="1" customWidth="1"/>
    <col min="5383" max="5383" width="70.7109375" style="1189" bestFit="1" customWidth="1"/>
    <col min="5384" max="5631" width="8.7109375" style="1189"/>
    <col min="5632" max="5632" width="6.140625" style="1189" bestFit="1" customWidth="1"/>
    <col min="5633" max="5633" width="19.7109375" style="1189" bestFit="1" customWidth="1"/>
    <col min="5634" max="5634" width="10.140625" style="1189" bestFit="1" customWidth="1"/>
    <col min="5635" max="5635" width="14" style="1189" customWidth="1"/>
    <col min="5636" max="5636" width="14.42578125" style="1189" bestFit="1" customWidth="1"/>
    <col min="5637" max="5637" width="18.5703125" style="1189" customWidth="1"/>
    <col min="5638" max="5638" width="13" style="1189" bestFit="1" customWidth="1"/>
    <col min="5639" max="5639" width="70.7109375" style="1189" bestFit="1" customWidth="1"/>
    <col min="5640" max="5887" width="8.7109375" style="1189"/>
    <col min="5888" max="5888" width="6.140625" style="1189" bestFit="1" customWidth="1"/>
    <col min="5889" max="5889" width="19.7109375" style="1189" bestFit="1" customWidth="1"/>
    <col min="5890" max="5890" width="10.140625" style="1189" bestFit="1" customWidth="1"/>
    <col min="5891" max="5891" width="14" style="1189" customWidth="1"/>
    <col min="5892" max="5892" width="14.42578125" style="1189" bestFit="1" customWidth="1"/>
    <col min="5893" max="5893" width="18.5703125" style="1189" customWidth="1"/>
    <col min="5894" max="5894" width="13" style="1189" bestFit="1" customWidth="1"/>
    <col min="5895" max="5895" width="70.7109375" style="1189" bestFit="1" customWidth="1"/>
    <col min="5896" max="6143" width="8.7109375" style="1189"/>
    <col min="6144" max="6144" width="6.140625" style="1189" bestFit="1" customWidth="1"/>
    <col min="6145" max="6145" width="19.7109375" style="1189" bestFit="1" customWidth="1"/>
    <col min="6146" max="6146" width="10.140625" style="1189" bestFit="1" customWidth="1"/>
    <col min="6147" max="6147" width="14" style="1189" customWidth="1"/>
    <col min="6148" max="6148" width="14.42578125" style="1189" bestFit="1" customWidth="1"/>
    <col min="6149" max="6149" width="18.5703125" style="1189" customWidth="1"/>
    <col min="6150" max="6150" width="13" style="1189" bestFit="1" customWidth="1"/>
    <col min="6151" max="6151" width="70.7109375" style="1189" bestFit="1" customWidth="1"/>
    <col min="6152" max="6399" width="8.7109375" style="1189"/>
    <col min="6400" max="6400" width="6.140625" style="1189" bestFit="1" customWidth="1"/>
    <col min="6401" max="6401" width="19.7109375" style="1189" bestFit="1" customWidth="1"/>
    <col min="6402" max="6402" width="10.140625" style="1189" bestFit="1" customWidth="1"/>
    <col min="6403" max="6403" width="14" style="1189" customWidth="1"/>
    <col min="6404" max="6404" width="14.42578125" style="1189" bestFit="1" customWidth="1"/>
    <col min="6405" max="6405" width="18.5703125" style="1189" customWidth="1"/>
    <col min="6406" max="6406" width="13" style="1189" bestFit="1" customWidth="1"/>
    <col min="6407" max="6407" width="70.7109375" style="1189" bestFit="1" customWidth="1"/>
    <col min="6408" max="6655" width="8.7109375" style="1189"/>
    <col min="6656" max="6656" width="6.140625" style="1189" bestFit="1" customWidth="1"/>
    <col min="6657" max="6657" width="19.7109375" style="1189" bestFit="1" customWidth="1"/>
    <col min="6658" max="6658" width="10.140625" style="1189" bestFit="1" customWidth="1"/>
    <col min="6659" max="6659" width="14" style="1189" customWidth="1"/>
    <col min="6660" max="6660" width="14.42578125" style="1189" bestFit="1" customWidth="1"/>
    <col min="6661" max="6661" width="18.5703125" style="1189" customWidth="1"/>
    <col min="6662" max="6662" width="13" style="1189" bestFit="1" customWidth="1"/>
    <col min="6663" max="6663" width="70.7109375" style="1189" bestFit="1" customWidth="1"/>
    <col min="6664" max="6911" width="8.7109375" style="1189"/>
    <col min="6912" max="6912" width="6.140625" style="1189" bestFit="1" customWidth="1"/>
    <col min="6913" max="6913" width="19.7109375" style="1189" bestFit="1" customWidth="1"/>
    <col min="6914" max="6914" width="10.140625" style="1189" bestFit="1" customWidth="1"/>
    <col min="6915" max="6915" width="14" style="1189" customWidth="1"/>
    <col min="6916" max="6916" width="14.42578125" style="1189" bestFit="1" customWidth="1"/>
    <col min="6917" max="6917" width="18.5703125" style="1189" customWidth="1"/>
    <col min="6918" max="6918" width="13" style="1189" bestFit="1" customWidth="1"/>
    <col min="6919" max="6919" width="70.7109375" style="1189" bestFit="1" customWidth="1"/>
    <col min="6920" max="7167" width="8.7109375" style="1189"/>
    <col min="7168" max="7168" width="6.140625" style="1189" bestFit="1" customWidth="1"/>
    <col min="7169" max="7169" width="19.7109375" style="1189" bestFit="1" customWidth="1"/>
    <col min="7170" max="7170" width="10.140625" style="1189" bestFit="1" customWidth="1"/>
    <col min="7171" max="7171" width="14" style="1189" customWidth="1"/>
    <col min="7172" max="7172" width="14.42578125" style="1189" bestFit="1" customWidth="1"/>
    <col min="7173" max="7173" width="18.5703125" style="1189" customWidth="1"/>
    <col min="7174" max="7174" width="13" style="1189" bestFit="1" customWidth="1"/>
    <col min="7175" max="7175" width="70.7109375" style="1189" bestFit="1" customWidth="1"/>
    <col min="7176" max="7423" width="8.7109375" style="1189"/>
    <col min="7424" max="7424" width="6.140625" style="1189" bestFit="1" customWidth="1"/>
    <col min="7425" max="7425" width="19.7109375" style="1189" bestFit="1" customWidth="1"/>
    <col min="7426" max="7426" width="10.140625" style="1189" bestFit="1" customWidth="1"/>
    <col min="7427" max="7427" width="14" style="1189" customWidth="1"/>
    <col min="7428" max="7428" width="14.42578125" style="1189" bestFit="1" customWidth="1"/>
    <col min="7429" max="7429" width="18.5703125" style="1189" customWidth="1"/>
    <col min="7430" max="7430" width="13" style="1189" bestFit="1" customWidth="1"/>
    <col min="7431" max="7431" width="70.7109375" style="1189" bestFit="1" customWidth="1"/>
    <col min="7432" max="7679" width="8.7109375" style="1189"/>
    <col min="7680" max="7680" width="6.140625" style="1189" bestFit="1" customWidth="1"/>
    <col min="7681" max="7681" width="19.7109375" style="1189" bestFit="1" customWidth="1"/>
    <col min="7682" max="7682" width="10.140625" style="1189" bestFit="1" customWidth="1"/>
    <col min="7683" max="7683" width="14" style="1189" customWidth="1"/>
    <col min="7684" max="7684" width="14.42578125" style="1189" bestFit="1" customWidth="1"/>
    <col min="7685" max="7685" width="18.5703125" style="1189" customWidth="1"/>
    <col min="7686" max="7686" width="13" style="1189" bestFit="1" customWidth="1"/>
    <col min="7687" max="7687" width="70.7109375" style="1189" bestFit="1" customWidth="1"/>
    <col min="7688" max="7935" width="8.7109375" style="1189"/>
    <col min="7936" max="7936" width="6.140625" style="1189" bestFit="1" customWidth="1"/>
    <col min="7937" max="7937" width="19.7109375" style="1189" bestFit="1" customWidth="1"/>
    <col min="7938" max="7938" width="10.140625" style="1189" bestFit="1" customWidth="1"/>
    <col min="7939" max="7939" width="14" style="1189" customWidth="1"/>
    <col min="7940" max="7940" width="14.42578125" style="1189" bestFit="1" customWidth="1"/>
    <col min="7941" max="7941" width="18.5703125" style="1189" customWidth="1"/>
    <col min="7942" max="7942" width="13" style="1189" bestFit="1" customWidth="1"/>
    <col min="7943" max="7943" width="70.7109375" style="1189" bestFit="1" customWidth="1"/>
    <col min="7944" max="8191" width="8.7109375" style="1189"/>
    <col min="8192" max="8192" width="6.140625" style="1189" bestFit="1" customWidth="1"/>
    <col min="8193" max="8193" width="19.7109375" style="1189" bestFit="1" customWidth="1"/>
    <col min="8194" max="8194" width="10.140625" style="1189" bestFit="1" customWidth="1"/>
    <col min="8195" max="8195" width="14" style="1189" customWidth="1"/>
    <col min="8196" max="8196" width="14.42578125" style="1189" bestFit="1" customWidth="1"/>
    <col min="8197" max="8197" width="18.5703125" style="1189" customWidth="1"/>
    <col min="8198" max="8198" width="13" style="1189" bestFit="1" customWidth="1"/>
    <col min="8199" max="8199" width="70.7109375" style="1189" bestFit="1" customWidth="1"/>
    <col min="8200" max="8447" width="8.7109375" style="1189"/>
    <col min="8448" max="8448" width="6.140625" style="1189" bestFit="1" customWidth="1"/>
    <col min="8449" max="8449" width="19.7109375" style="1189" bestFit="1" customWidth="1"/>
    <col min="8450" max="8450" width="10.140625" style="1189" bestFit="1" customWidth="1"/>
    <col min="8451" max="8451" width="14" style="1189" customWidth="1"/>
    <col min="8452" max="8452" width="14.42578125" style="1189" bestFit="1" customWidth="1"/>
    <col min="8453" max="8453" width="18.5703125" style="1189" customWidth="1"/>
    <col min="8454" max="8454" width="13" style="1189" bestFit="1" customWidth="1"/>
    <col min="8455" max="8455" width="70.7109375" style="1189" bestFit="1" customWidth="1"/>
    <col min="8456" max="8703" width="8.7109375" style="1189"/>
    <col min="8704" max="8704" width="6.140625" style="1189" bestFit="1" customWidth="1"/>
    <col min="8705" max="8705" width="19.7109375" style="1189" bestFit="1" customWidth="1"/>
    <col min="8706" max="8706" width="10.140625" style="1189" bestFit="1" customWidth="1"/>
    <col min="8707" max="8707" width="14" style="1189" customWidth="1"/>
    <col min="8708" max="8708" width="14.42578125" style="1189" bestFit="1" customWidth="1"/>
    <col min="8709" max="8709" width="18.5703125" style="1189" customWidth="1"/>
    <col min="8710" max="8710" width="13" style="1189" bestFit="1" customWidth="1"/>
    <col min="8711" max="8711" width="70.7109375" style="1189" bestFit="1" customWidth="1"/>
    <col min="8712" max="8959" width="8.7109375" style="1189"/>
    <col min="8960" max="8960" width="6.140625" style="1189" bestFit="1" customWidth="1"/>
    <col min="8961" max="8961" width="19.7109375" style="1189" bestFit="1" customWidth="1"/>
    <col min="8962" max="8962" width="10.140625" style="1189" bestFit="1" customWidth="1"/>
    <col min="8963" max="8963" width="14" style="1189" customWidth="1"/>
    <col min="8964" max="8964" width="14.42578125" style="1189" bestFit="1" customWidth="1"/>
    <col min="8965" max="8965" width="18.5703125" style="1189" customWidth="1"/>
    <col min="8966" max="8966" width="13" style="1189" bestFit="1" customWidth="1"/>
    <col min="8967" max="8967" width="70.7109375" style="1189" bestFit="1" customWidth="1"/>
    <col min="8968" max="9215" width="8.7109375" style="1189"/>
    <col min="9216" max="9216" width="6.140625" style="1189" bestFit="1" customWidth="1"/>
    <col min="9217" max="9217" width="19.7109375" style="1189" bestFit="1" customWidth="1"/>
    <col min="9218" max="9218" width="10.140625" style="1189" bestFit="1" customWidth="1"/>
    <col min="9219" max="9219" width="14" style="1189" customWidth="1"/>
    <col min="9220" max="9220" width="14.42578125" style="1189" bestFit="1" customWidth="1"/>
    <col min="9221" max="9221" width="18.5703125" style="1189" customWidth="1"/>
    <col min="9222" max="9222" width="13" style="1189" bestFit="1" customWidth="1"/>
    <col min="9223" max="9223" width="70.7109375" style="1189" bestFit="1" customWidth="1"/>
    <col min="9224" max="9471" width="8.7109375" style="1189"/>
    <col min="9472" max="9472" width="6.140625" style="1189" bestFit="1" customWidth="1"/>
    <col min="9473" max="9473" width="19.7109375" style="1189" bestFit="1" customWidth="1"/>
    <col min="9474" max="9474" width="10.140625" style="1189" bestFit="1" customWidth="1"/>
    <col min="9475" max="9475" width="14" style="1189" customWidth="1"/>
    <col min="9476" max="9476" width="14.42578125" style="1189" bestFit="1" customWidth="1"/>
    <col min="9477" max="9477" width="18.5703125" style="1189" customWidth="1"/>
    <col min="9478" max="9478" width="13" style="1189" bestFit="1" customWidth="1"/>
    <col min="9479" max="9479" width="70.7109375" style="1189" bestFit="1" customWidth="1"/>
    <col min="9480" max="9727" width="8.7109375" style="1189"/>
    <col min="9728" max="9728" width="6.140625" style="1189" bestFit="1" customWidth="1"/>
    <col min="9729" max="9729" width="19.7109375" style="1189" bestFit="1" customWidth="1"/>
    <col min="9730" max="9730" width="10.140625" style="1189" bestFit="1" customWidth="1"/>
    <col min="9731" max="9731" width="14" style="1189" customWidth="1"/>
    <col min="9732" max="9732" width="14.42578125" style="1189" bestFit="1" customWidth="1"/>
    <col min="9733" max="9733" width="18.5703125" style="1189" customWidth="1"/>
    <col min="9734" max="9734" width="13" style="1189" bestFit="1" customWidth="1"/>
    <col min="9735" max="9735" width="70.7109375" style="1189" bestFit="1" customWidth="1"/>
    <col min="9736" max="9983" width="8.7109375" style="1189"/>
    <col min="9984" max="9984" width="6.140625" style="1189" bestFit="1" customWidth="1"/>
    <col min="9985" max="9985" width="19.7109375" style="1189" bestFit="1" customWidth="1"/>
    <col min="9986" max="9986" width="10.140625" style="1189" bestFit="1" customWidth="1"/>
    <col min="9987" max="9987" width="14" style="1189" customWidth="1"/>
    <col min="9988" max="9988" width="14.42578125" style="1189" bestFit="1" customWidth="1"/>
    <col min="9989" max="9989" width="18.5703125" style="1189" customWidth="1"/>
    <col min="9990" max="9990" width="13" style="1189" bestFit="1" customWidth="1"/>
    <col min="9991" max="9991" width="70.7109375" style="1189" bestFit="1" customWidth="1"/>
    <col min="9992" max="10239" width="8.7109375" style="1189"/>
    <col min="10240" max="10240" width="6.140625" style="1189" bestFit="1" customWidth="1"/>
    <col min="10241" max="10241" width="19.7109375" style="1189" bestFit="1" customWidth="1"/>
    <col min="10242" max="10242" width="10.140625" style="1189" bestFit="1" customWidth="1"/>
    <col min="10243" max="10243" width="14" style="1189" customWidth="1"/>
    <col min="10244" max="10244" width="14.42578125" style="1189" bestFit="1" customWidth="1"/>
    <col min="10245" max="10245" width="18.5703125" style="1189" customWidth="1"/>
    <col min="10246" max="10246" width="13" style="1189" bestFit="1" customWidth="1"/>
    <col min="10247" max="10247" width="70.7109375" style="1189" bestFit="1" customWidth="1"/>
    <col min="10248" max="10495" width="8.7109375" style="1189"/>
    <col min="10496" max="10496" width="6.140625" style="1189" bestFit="1" customWidth="1"/>
    <col min="10497" max="10497" width="19.7109375" style="1189" bestFit="1" customWidth="1"/>
    <col min="10498" max="10498" width="10.140625" style="1189" bestFit="1" customWidth="1"/>
    <col min="10499" max="10499" width="14" style="1189" customWidth="1"/>
    <col min="10500" max="10500" width="14.42578125" style="1189" bestFit="1" customWidth="1"/>
    <col min="10501" max="10501" width="18.5703125" style="1189" customWidth="1"/>
    <col min="10502" max="10502" width="13" style="1189" bestFit="1" customWidth="1"/>
    <col min="10503" max="10503" width="70.7109375" style="1189" bestFit="1" customWidth="1"/>
    <col min="10504" max="10751" width="8.7109375" style="1189"/>
    <col min="10752" max="10752" width="6.140625" style="1189" bestFit="1" customWidth="1"/>
    <col min="10753" max="10753" width="19.7109375" style="1189" bestFit="1" customWidth="1"/>
    <col min="10754" max="10754" width="10.140625" style="1189" bestFit="1" customWidth="1"/>
    <col min="10755" max="10755" width="14" style="1189" customWidth="1"/>
    <col min="10756" max="10756" width="14.42578125" style="1189" bestFit="1" customWidth="1"/>
    <col min="10757" max="10757" width="18.5703125" style="1189" customWidth="1"/>
    <col min="10758" max="10758" width="13" style="1189" bestFit="1" customWidth="1"/>
    <col min="10759" max="10759" width="70.7109375" style="1189" bestFit="1" customWidth="1"/>
    <col min="10760" max="11007" width="8.7109375" style="1189"/>
    <col min="11008" max="11008" width="6.140625" style="1189" bestFit="1" customWidth="1"/>
    <col min="11009" max="11009" width="19.7109375" style="1189" bestFit="1" customWidth="1"/>
    <col min="11010" max="11010" width="10.140625" style="1189" bestFit="1" customWidth="1"/>
    <col min="11011" max="11011" width="14" style="1189" customWidth="1"/>
    <col min="11012" max="11012" width="14.42578125" style="1189" bestFit="1" customWidth="1"/>
    <col min="11013" max="11013" width="18.5703125" style="1189" customWidth="1"/>
    <col min="11014" max="11014" width="13" style="1189" bestFit="1" customWidth="1"/>
    <col min="11015" max="11015" width="70.7109375" style="1189" bestFit="1" customWidth="1"/>
    <col min="11016" max="11263" width="8.7109375" style="1189"/>
    <col min="11264" max="11264" width="6.140625" style="1189" bestFit="1" customWidth="1"/>
    <col min="11265" max="11265" width="19.7109375" style="1189" bestFit="1" customWidth="1"/>
    <col min="11266" max="11266" width="10.140625" style="1189" bestFit="1" customWidth="1"/>
    <col min="11267" max="11267" width="14" style="1189" customWidth="1"/>
    <col min="11268" max="11268" width="14.42578125" style="1189" bestFit="1" customWidth="1"/>
    <col min="11269" max="11269" width="18.5703125" style="1189" customWidth="1"/>
    <col min="11270" max="11270" width="13" style="1189" bestFit="1" customWidth="1"/>
    <col min="11271" max="11271" width="70.7109375" style="1189" bestFit="1" customWidth="1"/>
    <col min="11272" max="11519" width="8.7109375" style="1189"/>
    <col min="11520" max="11520" width="6.140625" style="1189" bestFit="1" customWidth="1"/>
    <col min="11521" max="11521" width="19.7109375" style="1189" bestFit="1" customWidth="1"/>
    <col min="11522" max="11522" width="10.140625" style="1189" bestFit="1" customWidth="1"/>
    <col min="11523" max="11523" width="14" style="1189" customWidth="1"/>
    <col min="11524" max="11524" width="14.42578125" style="1189" bestFit="1" customWidth="1"/>
    <col min="11525" max="11525" width="18.5703125" style="1189" customWidth="1"/>
    <col min="11526" max="11526" width="13" style="1189" bestFit="1" customWidth="1"/>
    <col min="11527" max="11527" width="70.7109375" style="1189" bestFit="1" customWidth="1"/>
    <col min="11528" max="11775" width="8.7109375" style="1189"/>
    <col min="11776" max="11776" width="6.140625" style="1189" bestFit="1" customWidth="1"/>
    <col min="11777" max="11777" width="19.7109375" style="1189" bestFit="1" customWidth="1"/>
    <col min="11778" max="11778" width="10.140625" style="1189" bestFit="1" customWidth="1"/>
    <col min="11779" max="11779" width="14" style="1189" customWidth="1"/>
    <col min="11780" max="11780" width="14.42578125" style="1189" bestFit="1" customWidth="1"/>
    <col min="11781" max="11781" width="18.5703125" style="1189" customWidth="1"/>
    <col min="11782" max="11782" width="13" style="1189" bestFit="1" customWidth="1"/>
    <col min="11783" max="11783" width="70.7109375" style="1189" bestFit="1" customWidth="1"/>
    <col min="11784" max="12031" width="8.7109375" style="1189"/>
    <col min="12032" max="12032" width="6.140625" style="1189" bestFit="1" customWidth="1"/>
    <col min="12033" max="12033" width="19.7109375" style="1189" bestFit="1" customWidth="1"/>
    <col min="12034" max="12034" width="10.140625" style="1189" bestFit="1" customWidth="1"/>
    <col min="12035" max="12035" width="14" style="1189" customWidth="1"/>
    <col min="12036" max="12036" width="14.42578125" style="1189" bestFit="1" customWidth="1"/>
    <col min="12037" max="12037" width="18.5703125" style="1189" customWidth="1"/>
    <col min="12038" max="12038" width="13" style="1189" bestFit="1" customWidth="1"/>
    <col min="12039" max="12039" width="70.7109375" style="1189" bestFit="1" customWidth="1"/>
    <col min="12040" max="12287" width="8.7109375" style="1189"/>
    <col min="12288" max="12288" width="6.140625" style="1189" bestFit="1" customWidth="1"/>
    <col min="12289" max="12289" width="19.7109375" style="1189" bestFit="1" customWidth="1"/>
    <col min="12290" max="12290" width="10.140625" style="1189" bestFit="1" customWidth="1"/>
    <col min="12291" max="12291" width="14" style="1189" customWidth="1"/>
    <col min="12292" max="12292" width="14.42578125" style="1189" bestFit="1" customWidth="1"/>
    <col min="12293" max="12293" width="18.5703125" style="1189" customWidth="1"/>
    <col min="12294" max="12294" width="13" style="1189" bestFit="1" customWidth="1"/>
    <col min="12295" max="12295" width="70.7109375" style="1189" bestFit="1" customWidth="1"/>
    <col min="12296" max="12543" width="8.7109375" style="1189"/>
    <col min="12544" max="12544" width="6.140625" style="1189" bestFit="1" customWidth="1"/>
    <col min="12545" max="12545" width="19.7109375" style="1189" bestFit="1" customWidth="1"/>
    <col min="12546" max="12546" width="10.140625" style="1189" bestFit="1" customWidth="1"/>
    <col min="12547" max="12547" width="14" style="1189" customWidth="1"/>
    <col min="12548" max="12548" width="14.42578125" style="1189" bestFit="1" customWidth="1"/>
    <col min="12549" max="12549" width="18.5703125" style="1189" customWidth="1"/>
    <col min="12550" max="12550" width="13" style="1189" bestFit="1" customWidth="1"/>
    <col min="12551" max="12551" width="70.7109375" style="1189" bestFit="1" customWidth="1"/>
    <col min="12552" max="12799" width="8.7109375" style="1189"/>
    <col min="12800" max="12800" width="6.140625" style="1189" bestFit="1" customWidth="1"/>
    <col min="12801" max="12801" width="19.7109375" style="1189" bestFit="1" customWidth="1"/>
    <col min="12802" max="12802" width="10.140625" style="1189" bestFit="1" customWidth="1"/>
    <col min="12803" max="12803" width="14" style="1189" customWidth="1"/>
    <col min="12804" max="12804" width="14.42578125" style="1189" bestFit="1" customWidth="1"/>
    <col min="12805" max="12805" width="18.5703125" style="1189" customWidth="1"/>
    <col min="12806" max="12806" width="13" style="1189" bestFit="1" customWidth="1"/>
    <col min="12807" max="12807" width="70.7109375" style="1189" bestFit="1" customWidth="1"/>
    <col min="12808" max="13055" width="8.7109375" style="1189"/>
    <col min="13056" max="13056" width="6.140625" style="1189" bestFit="1" customWidth="1"/>
    <col min="13057" max="13057" width="19.7109375" style="1189" bestFit="1" customWidth="1"/>
    <col min="13058" max="13058" width="10.140625" style="1189" bestFit="1" customWidth="1"/>
    <col min="13059" max="13059" width="14" style="1189" customWidth="1"/>
    <col min="13060" max="13060" width="14.42578125" style="1189" bestFit="1" customWidth="1"/>
    <col min="13061" max="13061" width="18.5703125" style="1189" customWidth="1"/>
    <col min="13062" max="13062" width="13" style="1189" bestFit="1" customWidth="1"/>
    <col min="13063" max="13063" width="70.7109375" style="1189" bestFit="1" customWidth="1"/>
    <col min="13064" max="13311" width="8.7109375" style="1189"/>
    <col min="13312" max="13312" width="6.140625" style="1189" bestFit="1" customWidth="1"/>
    <col min="13313" max="13313" width="19.7109375" style="1189" bestFit="1" customWidth="1"/>
    <col min="13314" max="13314" width="10.140625" style="1189" bestFit="1" customWidth="1"/>
    <col min="13315" max="13315" width="14" style="1189" customWidth="1"/>
    <col min="13316" max="13316" width="14.42578125" style="1189" bestFit="1" customWidth="1"/>
    <col min="13317" max="13317" width="18.5703125" style="1189" customWidth="1"/>
    <col min="13318" max="13318" width="13" style="1189" bestFit="1" customWidth="1"/>
    <col min="13319" max="13319" width="70.7109375" style="1189" bestFit="1" customWidth="1"/>
    <col min="13320" max="13567" width="8.7109375" style="1189"/>
    <col min="13568" max="13568" width="6.140625" style="1189" bestFit="1" customWidth="1"/>
    <col min="13569" max="13569" width="19.7109375" style="1189" bestFit="1" customWidth="1"/>
    <col min="13570" max="13570" width="10.140625" style="1189" bestFit="1" customWidth="1"/>
    <col min="13571" max="13571" width="14" style="1189" customWidth="1"/>
    <col min="13572" max="13572" width="14.42578125" style="1189" bestFit="1" customWidth="1"/>
    <col min="13573" max="13573" width="18.5703125" style="1189" customWidth="1"/>
    <col min="13574" max="13574" width="13" style="1189" bestFit="1" customWidth="1"/>
    <col min="13575" max="13575" width="70.7109375" style="1189" bestFit="1" customWidth="1"/>
    <col min="13576" max="13823" width="8.7109375" style="1189"/>
    <col min="13824" max="13824" width="6.140625" style="1189" bestFit="1" customWidth="1"/>
    <col min="13825" max="13825" width="19.7109375" style="1189" bestFit="1" customWidth="1"/>
    <col min="13826" max="13826" width="10.140625" style="1189" bestFit="1" customWidth="1"/>
    <col min="13827" max="13827" width="14" style="1189" customWidth="1"/>
    <col min="13828" max="13828" width="14.42578125" style="1189" bestFit="1" customWidth="1"/>
    <col min="13829" max="13829" width="18.5703125" style="1189" customWidth="1"/>
    <col min="13830" max="13830" width="13" style="1189" bestFit="1" customWidth="1"/>
    <col min="13831" max="13831" width="70.7109375" style="1189" bestFit="1" customWidth="1"/>
    <col min="13832" max="14079" width="8.7109375" style="1189"/>
    <col min="14080" max="14080" width="6.140625" style="1189" bestFit="1" customWidth="1"/>
    <col min="14081" max="14081" width="19.7109375" style="1189" bestFit="1" customWidth="1"/>
    <col min="14082" max="14082" width="10.140625" style="1189" bestFit="1" customWidth="1"/>
    <col min="14083" max="14083" width="14" style="1189" customWidth="1"/>
    <col min="14084" max="14084" width="14.42578125" style="1189" bestFit="1" customWidth="1"/>
    <col min="14085" max="14085" width="18.5703125" style="1189" customWidth="1"/>
    <col min="14086" max="14086" width="13" style="1189" bestFit="1" customWidth="1"/>
    <col min="14087" max="14087" width="70.7109375" style="1189" bestFit="1" customWidth="1"/>
    <col min="14088" max="14335" width="8.7109375" style="1189"/>
    <col min="14336" max="14336" width="6.140625" style="1189" bestFit="1" customWidth="1"/>
    <col min="14337" max="14337" width="19.7109375" style="1189" bestFit="1" customWidth="1"/>
    <col min="14338" max="14338" width="10.140625" style="1189" bestFit="1" customWidth="1"/>
    <col min="14339" max="14339" width="14" style="1189" customWidth="1"/>
    <col min="14340" max="14340" width="14.42578125" style="1189" bestFit="1" customWidth="1"/>
    <col min="14341" max="14341" width="18.5703125" style="1189" customWidth="1"/>
    <col min="14342" max="14342" width="13" style="1189" bestFit="1" customWidth="1"/>
    <col min="14343" max="14343" width="70.7109375" style="1189" bestFit="1" customWidth="1"/>
    <col min="14344" max="14591" width="8.7109375" style="1189"/>
    <col min="14592" max="14592" width="6.140625" style="1189" bestFit="1" customWidth="1"/>
    <col min="14593" max="14593" width="19.7109375" style="1189" bestFit="1" customWidth="1"/>
    <col min="14594" max="14594" width="10.140625" style="1189" bestFit="1" customWidth="1"/>
    <col min="14595" max="14595" width="14" style="1189" customWidth="1"/>
    <col min="14596" max="14596" width="14.42578125" style="1189" bestFit="1" customWidth="1"/>
    <col min="14597" max="14597" width="18.5703125" style="1189" customWidth="1"/>
    <col min="14598" max="14598" width="13" style="1189" bestFit="1" customWidth="1"/>
    <col min="14599" max="14599" width="70.7109375" style="1189" bestFit="1" customWidth="1"/>
    <col min="14600" max="14847" width="8.7109375" style="1189"/>
    <col min="14848" max="14848" width="6.140625" style="1189" bestFit="1" customWidth="1"/>
    <col min="14849" max="14849" width="19.7109375" style="1189" bestFit="1" customWidth="1"/>
    <col min="14850" max="14850" width="10.140625" style="1189" bestFit="1" customWidth="1"/>
    <col min="14851" max="14851" width="14" style="1189" customWidth="1"/>
    <col min="14852" max="14852" width="14.42578125" style="1189" bestFit="1" customWidth="1"/>
    <col min="14853" max="14853" width="18.5703125" style="1189" customWidth="1"/>
    <col min="14854" max="14854" width="13" style="1189" bestFit="1" customWidth="1"/>
    <col min="14855" max="14855" width="70.7109375" style="1189" bestFit="1" customWidth="1"/>
    <col min="14856" max="15103" width="8.7109375" style="1189"/>
    <col min="15104" max="15104" width="6.140625" style="1189" bestFit="1" customWidth="1"/>
    <col min="15105" max="15105" width="19.7109375" style="1189" bestFit="1" customWidth="1"/>
    <col min="15106" max="15106" width="10.140625" style="1189" bestFit="1" customWidth="1"/>
    <col min="15107" max="15107" width="14" style="1189" customWidth="1"/>
    <col min="15108" max="15108" width="14.42578125" style="1189" bestFit="1" customWidth="1"/>
    <col min="15109" max="15109" width="18.5703125" style="1189" customWidth="1"/>
    <col min="15110" max="15110" width="13" style="1189" bestFit="1" customWidth="1"/>
    <col min="15111" max="15111" width="70.7109375" style="1189" bestFit="1" customWidth="1"/>
    <col min="15112" max="15359" width="8.7109375" style="1189"/>
    <col min="15360" max="15360" width="6.140625" style="1189" bestFit="1" customWidth="1"/>
    <col min="15361" max="15361" width="19.7109375" style="1189" bestFit="1" customWidth="1"/>
    <col min="15362" max="15362" width="10.140625" style="1189" bestFit="1" customWidth="1"/>
    <col min="15363" max="15363" width="14" style="1189" customWidth="1"/>
    <col min="15364" max="15364" width="14.42578125" style="1189" bestFit="1" customWidth="1"/>
    <col min="15365" max="15365" width="18.5703125" style="1189" customWidth="1"/>
    <col min="15366" max="15366" width="13" style="1189" bestFit="1" customWidth="1"/>
    <col min="15367" max="15367" width="70.7109375" style="1189" bestFit="1" customWidth="1"/>
    <col min="15368" max="15615" width="8.7109375" style="1189"/>
    <col min="15616" max="15616" width="6.140625" style="1189" bestFit="1" customWidth="1"/>
    <col min="15617" max="15617" width="19.7109375" style="1189" bestFit="1" customWidth="1"/>
    <col min="15618" max="15618" width="10.140625" style="1189" bestFit="1" customWidth="1"/>
    <col min="15619" max="15619" width="14" style="1189" customWidth="1"/>
    <col min="15620" max="15620" width="14.42578125" style="1189" bestFit="1" customWidth="1"/>
    <col min="15621" max="15621" width="18.5703125" style="1189" customWidth="1"/>
    <col min="15622" max="15622" width="13" style="1189" bestFit="1" customWidth="1"/>
    <col min="15623" max="15623" width="70.7109375" style="1189" bestFit="1" customWidth="1"/>
    <col min="15624" max="15871" width="8.7109375" style="1189"/>
    <col min="15872" max="15872" width="6.140625" style="1189" bestFit="1" customWidth="1"/>
    <col min="15873" max="15873" width="19.7109375" style="1189" bestFit="1" customWidth="1"/>
    <col min="15874" max="15874" width="10.140625" style="1189" bestFit="1" customWidth="1"/>
    <col min="15875" max="15875" width="14" style="1189" customWidth="1"/>
    <col min="15876" max="15876" width="14.42578125" style="1189" bestFit="1" customWidth="1"/>
    <col min="15877" max="15877" width="18.5703125" style="1189" customWidth="1"/>
    <col min="15878" max="15878" width="13" style="1189" bestFit="1" customWidth="1"/>
    <col min="15879" max="15879" width="70.7109375" style="1189" bestFit="1" customWidth="1"/>
    <col min="15880" max="16127" width="8.7109375" style="1189"/>
    <col min="16128" max="16128" width="6.140625" style="1189" bestFit="1" customWidth="1"/>
    <col min="16129" max="16129" width="19.7109375" style="1189" bestFit="1" customWidth="1"/>
    <col min="16130" max="16130" width="10.140625" style="1189" bestFit="1" customWidth="1"/>
    <col min="16131" max="16131" width="14" style="1189" customWidth="1"/>
    <col min="16132" max="16132" width="14.42578125" style="1189" bestFit="1" customWidth="1"/>
    <col min="16133" max="16133" width="18.5703125" style="1189" customWidth="1"/>
    <col min="16134" max="16134" width="13" style="1189" bestFit="1" customWidth="1"/>
    <col min="16135" max="16135" width="70.7109375" style="1189" bestFit="1" customWidth="1"/>
    <col min="16136" max="16384" width="8.7109375" style="1189"/>
  </cols>
  <sheetData>
    <row r="1" spans="1:12">
      <c r="A1" s="1693" t="s">
        <v>3452</v>
      </c>
      <c r="B1" s="1693"/>
      <c r="C1" s="1693"/>
      <c r="D1" s="1693"/>
      <c r="E1" s="1693"/>
      <c r="F1" s="1693"/>
      <c r="G1" s="1693"/>
    </row>
    <row r="2" spans="1:12" ht="54.6" customHeight="1">
      <c r="A2" s="1190" t="s">
        <v>2877</v>
      </c>
      <c r="B2" s="1190" t="s">
        <v>3267</v>
      </c>
      <c r="C2" s="1191" t="s">
        <v>2683</v>
      </c>
      <c r="D2" s="1191" t="s">
        <v>3453</v>
      </c>
      <c r="E2" s="1191" t="s">
        <v>3454</v>
      </c>
      <c r="F2" s="1191" t="s">
        <v>593</v>
      </c>
      <c r="G2" s="1190" t="s">
        <v>19</v>
      </c>
    </row>
    <row r="3" spans="1:12" ht="15">
      <c r="A3" s="1694" t="s">
        <v>1675</v>
      </c>
      <c r="B3" s="1192" t="s">
        <v>3438</v>
      </c>
      <c r="C3" s="1202" t="s">
        <v>1857</v>
      </c>
      <c r="D3" s="1194">
        <v>1</v>
      </c>
      <c r="E3" s="1194">
        <v>2</v>
      </c>
      <c r="F3" s="1194">
        <f>D3-E3</f>
        <v>-1</v>
      </c>
      <c r="G3" s="1196" t="s">
        <v>3444</v>
      </c>
    </row>
    <row r="4" spans="1:12" ht="15">
      <c r="A4" s="1694"/>
      <c r="B4" s="1192" t="s">
        <v>3439</v>
      </c>
      <c r="C4" s="1202" t="s">
        <v>3455</v>
      </c>
      <c r="D4" s="1194"/>
      <c r="E4" s="1194">
        <v>0</v>
      </c>
      <c r="F4" s="1194">
        <f t="shared" ref="F4:F43" si="0">D4-E4</f>
        <v>0</v>
      </c>
      <c r="G4" s="1203"/>
    </row>
    <row r="5" spans="1:12" ht="15">
      <c r="A5" s="1694"/>
      <c r="B5" s="1192" t="s">
        <v>3441</v>
      </c>
      <c r="C5" s="1202" t="s">
        <v>3455</v>
      </c>
      <c r="D5" s="1194"/>
      <c r="E5" s="1194">
        <v>2</v>
      </c>
      <c r="F5" s="1194">
        <f t="shared" si="0"/>
        <v>-2</v>
      </c>
      <c r="G5" s="1196" t="s">
        <v>3444</v>
      </c>
    </row>
    <row r="6" spans="1:12" ht="15">
      <c r="A6" s="1694"/>
      <c r="B6" s="1192" t="s">
        <v>3442</v>
      </c>
      <c r="C6" s="1202" t="s">
        <v>3455</v>
      </c>
      <c r="D6" s="1194"/>
      <c r="E6" s="1194">
        <v>0</v>
      </c>
      <c r="F6" s="1194">
        <f t="shared" si="0"/>
        <v>0</v>
      </c>
      <c r="G6" s="1196"/>
    </row>
    <row r="7" spans="1:12" ht="15">
      <c r="A7" s="1694"/>
      <c r="B7" s="1192" t="s">
        <v>3443</v>
      </c>
      <c r="C7" s="1202" t="s">
        <v>3455</v>
      </c>
      <c r="D7" s="1194"/>
      <c r="E7" s="1194">
        <v>0</v>
      </c>
      <c r="F7" s="1194">
        <f t="shared" si="0"/>
        <v>0</v>
      </c>
      <c r="G7" s="1197"/>
    </row>
    <row r="8" spans="1:12" ht="15">
      <c r="A8" s="1694" t="s">
        <v>2397</v>
      </c>
      <c r="B8" s="1192" t="s">
        <v>3438</v>
      </c>
      <c r="C8" s="1202" t="s">
        <v>1857</v>
      </c>
      <c r="D8" s="1194">
        <v>33.5</v>
      </c>
      <c r="E8" s="1194">
        <v>31</v>
      </c>
      <c r="F8" s="1194">
        <f t="shared" si="0"/>
        <v>2.5</v>
      </c>
      <c r="G8" s="1196"/>
      <c r="L8" s="1189">
        <f>6/4</f>
        <v>1.5</v>
      </c>
    </row>
    <row r="9" spans="1:12" ht="15">
      <c r="A9" s="1694"/>
      <c r="B9" s="1192" t="s">
        <v>3439</v>
      </c>
      <c r="C9" s="1202" t="s">
        <v>3455</v>
      </c>
      <c r="D9" s="1194">
        <v>6</v>
      </c>
      <c r="E9" s="1194">
        <v>6</v>
      </c>
      <c r="F9" s="1194">
        <f t="shared" si="0"/>
        <v>0</v>
      </c>
      <c r="G9" s="1197"/>
    </row>
    <row r="10" spans="1:12" ht="15">
      <c r="A10" s="1694"/>
      <c r="B10" s="1192" t="s">
        <v>3441</v>
      </c>
      <c r="C10" s="1202" t="s">
        <v>3455</v>
      </c>
      <c r="D10" s="1194">
        <v>16</v>
      </c>
      <c r="E10" s="1194">
        <v>15</v>
      </c>
      <c r="F10" s="1194">
        <f t="shared" si="0"/>
        <v>1</v>
      </c>
      <c r="G10" s="1196"/>
    </row>
    <row r="11" spans="1:12" ht="15">
      <c r="A11" s="1694"/>
      <c r="B11" s="1192" t="s">
        <v>3442</v>
      </c>
      <c r="C11" s="1202" t="s">
        <v>3455</v>
      </c>
      <c r="D11" s="1194">
        <v>4</v>
      </c>
      <c r="E11" s="1194">
        <v>4</v>
      </c>
      <c r="F11" s="1194">
        <f t="shared" si="0"/>
        <v>0</v>
      </c>
      <c r="G11" s="1196"/>
    </row>
    <row r="12" spans="1:12" ht="15">
      <c r="A12" s="1694"/>
      <c r="B12" s="1192" t="s">
        <v>3445</v>
      </c>
      <c r="C12" s="1202" t="s">
        <v>3455</v>
      </c>
      <c r="D12" s="1194">
        <v>8</v>
      </c>
      <c r="E12" s="1194">
        <v>8</v>
      </c>
      <c r="F12" s="1194">
        <f t="shared" si="0"/>
        <v>0</v>
      </c>
      <c r="G12" s="1197"/>
    </row>
    <row r="13" spans="1:12" ht="15">
      <c r="A13" s="1694"/>
      <c r="B13" s="1192" t="s">
        <v>3448</v>
      </c>
      <c r="C13" s="1202" t="s">
        <v>3455</v>
      </c>
      <c r="D13" s="1194">
        <v>1</v>
      </c>
      <c r="E13" s="1194">
        <v>0</v>
      </c>
      <c r="F13" s="1194">
        <f t="shared" si="0"/>
        <v>1</v>
      </c>
      <c r="G13" s="1203"/>
    </row>
    <row r="14" spans="1:12" ht="15">
      <c r="A14" s="1694"/>
      <c r="B14" s="1192" t="s">
        <v>3456</v>
      </c>
      <c r="C14" s="1202" t="s">
        <v>3455</v>
      </c>
      <c r="D14" s="1194">
        <v>1</v>
      </c>
      <c r="E14" s="1194">
        <v>0</v>
      </c>
      <c r="F14" s="1194">
        <f t="shared" si="0"/>
        <v>1</v>
      </c>
      <c r="G14" s="1203"/>
    </row>
    <row r="15" spans="1:12" ht="15">
      <c r="A15" s="1694"/>
      <c r="B15" s="1192" t="s">
        <v>3457</v>
      </c>
      <c r="C15" s="1202" t="s">
        <v>3455</v>
      </c>
      <c r="D15" s="1194">
        <v>2</v>
      </c>
      <c r="E15" s="1194">
        <v>0</v>
      </c>
      <c r="F15" s="1194">
        <f t="shared" si="0"/>
        <v>2</v>
      </c>
      <c r="G15" s="1203"/>
    </row>
    <row r="16" spans="1:12" ht="15">
      <c r="A16" s="1694"/>
      <c r="B16" s="1192" t="s">
        <v>3458</v>
      </c>
      <c r="C16" s="1202" t="s">
        <v>3455</v>
      </c>
      <c r="D16" s="1194">
        <v>1</v>
      </c>
      <c r="E16" s="1194">
        <v>0</v>
      </c>
      <c r="F16" s="1194">
        <f t="shared" si="0"/>
        <v>1</v>
      </c>
      <c r="G16" s="1203"/>
    </row>
    <row r="17" spans="1:7" ht="15">
      <c r="A17" s="1694" t="s">
        <v>2398</v>
      </c>
      <c r="B17" s="1192" t="s">
        <v>3438</v>
      </c>
      <c r="C17" s="1202" t="s">
        <v>1857</v>
      </c>
      <c r="D17" s="1194">
        <v>33.25</v>
      </c>
      <c r="E17" s="1194">
        <v>31</v>
      </c>
      <c r="F17" s="1194">
        <f t="shared" si="0"/>
        <v>2.25</v>
      </c>
      <c r="G17" s="1196"/>
    </row>
    <row r="18" spans="1:7" ht="15">
      <c r="A18" s="1694"/>
      <c r="B18" s="1192" t="s">
        <v>3439</v>
      </c>
      <c r="C18" s="1202" t="s">
        <v>3455</v>
      </c>
      <c r="D18" s="1194">
        <v>7</v>
      </c>
      <c r="E18" s="1194">
        <v>7</v>
      </c>
      <c r="F18" s="1194">
        <f t="shared" si="0"/>
        <v>0</v>
      </c>
      <c r="G18" s="1196"/>
    </row>
    <row r="19" spans="1:7" ht="15">
      <c r="A19" s="1694"/>
      <c r="B19" s="1192" t="s">
        <v>3441</v>
      </c>
      <c r="C19" s="1202" t="s">
        <v>3455</v>
      </c>
      <c r="D19" s="1194">
        <v>4</v>
      </c>
      <c r="E19" s="1194">
        <v>4</v>
      </c>
      <c r="F19" s="1194">
        <f t="shared" si="0"/>
        <v>0</v>
      </c>
      <c r="G19" s="1196"/>
    </row>
    <row r="20" spans="1:7" ht="15">
      <c r="A20" s="1694"/>
      <c r="B20" s="1192" t="s">
        <v>3442</v>
      </c>
      <c r="C20" s="1202" t="s">
        <v>3455</v>
      </c>
      <c r="D20" s="1194">
        <v>8</v>
      </c>
      <c r="E20" s="1194">
        <v>7</v>
      </c>
      <c r="F20" s="1194">
        <f t="shared" si="0"/>
        <v>1</v>
      </c>
      <c r="G20" s="1196"/>
    </row>
    <row r="21" spans="1:7" ht="15">
      <c r="A21" s="1694"/>
      <c r="B21" s="1192" t="s">
        <v>3443</v>
      </c>
      <c r="C21" s="1202" t="s">
        <v>3455</v>
      </c>
      <c r="D21" s="1194"/>
      <c r="E21" s="1194">
        <v>0</v>
      </c>
      <c r="F21" s="1194">
        <f t="shared" si="0"/>
        <v>0</v>
      </c>
      <c r="G21" s="1196"/>
    </row>
    <row r="22" spans="1:7" ht="15">
      <c r="A22" s="1694"/>
      <c r="B22" s="1192" t="s">
        <v>3445</v>
      </c>
      <c r="C22" s="1202" t="s">
        <v>3455</v>
      </c>
      <c r="D22" s="1194">
        <v>8</v>
      </c>
      <c r="E22" s="1194">
        <v>8</v>
      </c>
      <c r="F22" s="1194">
        <f t="shared" si="0"/>
        <v>0</v>
      </c>
      <c r="G22" s="1197"/>
    </row>
    <row r="23" spans="1:7" ht="15">
      <c r="A23" s="1694"/>
      <c r="B23" s="1192" t="s">
        <v>3447</v>
      </c>
      <c r="C23" s="1202" t="s">
        <v>3455</v>
      </c>
      <c r="D23" s="1194">
        <v>1</v>
      </c>
      <c r="E23" s="1194">
        <v>0</v>
      </c>
      <c r="F23" s="1194">
        <f t="shared" si="0"/>
        <v>1</v>
      </c>
      <c r="G23" s="1203"/>
    </row>
    <row r="24" spans="1:7" ht="15">
      <c r="A24" s="1694"/>
      <c r="B24" s="1192" t="s">
        <v>3448</v>
      </c>
      <c r="C24" s="1202" t="s">
        <v>3455</v>
      </c>
      <c r="D24" s="1194">
        <v>2</v>
      </c>
      <c r="E24" s="1194">
        <v>2</v>
      </c>
      <c r="F24" s="1194">
        <f t="shared" si="0"/>
        <v>0</v>
      </c>
      <c r="G24" s="1197"/>
    </row>
    <row r="25" spans="1:7" ht="15">
      <c r="A25" s="1694"/>
      <c r="B25" s="1192" t="s">
        <v>3457</v>
      </c>
      <c r="C25" s="1202" t="s">
        <v>3455</v>
      </c>
      <c r="D25" s="1194">
        <v>1</v>
      </c>
      <c r="E25" s="1194">
        <v>0</v>
      </c>
      <c r="F25" s="1194">
        <f t="shared" si="0"/>
        <v>1</v>
      </c>
      <c r="G25" s="1203"/>
    </row>
    <row r="26" spans="1:7" ht="15">
      <c r="A26" s="1694"/>
      <c r="B26" s="1192" t="s">
        <v>3459</v>
      </c>
      <c r="C26" s="1202" t="s">
        <v>3455</v>
      </c>
      <c r="D26" s="1194">
        <v>2</v>
      </c>
      <c r="E26" s="1194">
        <v>0</v>
      </c>
      <c r="F26" s="1194">
        <f t="shared" si="0"/>
        <v>2</v>
      </c>
      <c r="G26" s="1203"/>
    </row>
    <row r="27" spans="1:7" ht="15">
      <c r="A27" s="1694" t="s">
        <v>2425</v>
      </c>
      <c r="B27" s="1192" t="s">
        <v>3438</v>
      </c>
      <c r="C27" s="1202" t="s">
        <v>1857</v>
      </c>
      <c r="D27" s="1194">
        <v>31.75</v>
      </c>
      <c r="E27" s="1194">
        <v>28</v>
      </c>
      <c r="F27" s="1194">
        <f t="shared" si="0"/>
        <v>3.75</v>
      </c>
      <c r="G27" s="1196"/>
    </row>
    <row r="28" spans="1:7" ht="15">
      <c r="A28" s="1694"/>
      <c r="B28" s="1192" t="s">
        <v>3439</v>
      </c>
      <c r="C28" s="1202" t="s">
        <v>3455</v>
      </c>
      <c r="D28" s="1194">
        <v>4</v>
      </c>
      <c r="E28" s="1194">
        <v>5</v>
      </c>
      <c r="F28" s="1194">
        <f t="shared" si="0"/>
        <v>-1</v>
      </c>
      <c r="G28" s="1196" t="s">
        <v>3444</v>
      </c>
    </row>
    <row r="29" spans="1:7" ht="15">
      <c r="A29" s="1694"/>
      <c r="B29" s="1192" t="s">
        <v>3441</v>
      </c>
      <c r="C29" s="1202" t="s">
        <v>3455</v>
      </c>
      <c r="D29" s="1194">
        <v>5</v>
      </c>
      <c r="E29" s="1194">
        <v>5</v>
      </c>
      <c r="F29" s="1194">
        <f t="shared" si="0"/>
        <v>0</v>
      </c>
      <c r="G29" s="1196"/>
    </row>
    <row r="30" spans="1:7" ht="15">
      <c r="A30" s="1694"/>
      <c r="B30" s="1192" t="s">
        <v>3442</v>
      </c>
      <c r="C30" s="1202" t="s">
        <v>3455</v>
      </c>
      <c r="D30" s="1194">
        <v>10</v>
      </c>
      <c r="E30" s="1194">
        <v>9</v>
      </c>
      <c r="F30" s="1194">
        <f t="shared" si="0"/>
        <v>1</v>
      </c>
      <c r="G30" s="1196"/>
    </row>
    <row r="31" spans="1:7" ht="15">
      <c r="A31" s="1694"/>
      <c r="B31" s="1192" t="s">
        <v>3445</v>
      </c>
      <c r="C31" s="1202" t="s">
        <v>3455</v>
      </c>
      <c r="D31" s="1194">
        <v>5</v>
      </c>
      <c r="E31" s="1194">
        <v>5</v>
      </c>
      <c r="F31" s="1194">
        <f t="shared" si="0"/>
        <v>0</v>
      </c>
      <c r="G31" s="1196"/>
    </row>
    <row r="32" spans="1:7" ht="15">
      <c r="A32" s="1694"/>
      <c r="B32" s="1192" t="s">
        <v>3447</v>
      </c>
      <c r="C32" s="1202" t="s">
        <v>3455</v>
      </c>
      <c r="D32" s="1194">
        <v>3</v>
      </c>
      <c r="E32" s="1194">
        <v>3</v>
      </c>
      <c r="F32" s="1194">
        <f t="shared" si="0"/>
        <v>0</v>
      </c>
      <c r="G32" s="1197"/>
    </row>
    <row r="33" spans="1:7" ht="15">
      <c r="A33" s="1694"/>
      <c r="B33" s="1192" t="s">
        <v>3448</v>
      </c>
      <c r="C33" s="1202" t="s">
        <v>3455</v>
      </c>
      <c r="D33" s="1194">
        <v>1</v>
      </c>
      <c r="E33" s="1194">
        <v>1</v>
      </c>
      <c r="F33" s="1194">
        <f t="shared" si="0"/>
        <v>0</v>
      </c>
      <c r="G33" s="1197"/>
    </row>
    <row r="34" spans="1:7" ht="15">
      <c r="A34" s="1694"/>
      <c r="B34" s="1192" t="s">
        <v>3456</v>
      </c>
      <c r="C34" s="1202" t="s">
        <v>3455</v>
      </c>
      <c r="D34" s="1194">
        <v>6</v>
      </c>
      <c r="E34" s="1194">
        <v>6</v>
      </c>
      <c r="F34" s="1194">
        <f t="shared" si="0"/>
        <v>0</v>
      </c>
      <c r="G34" s="1197"/>
    </row>
    <row r="35" spans="1:7" ht="15">
      <c r="A35" s="1694"/>
      <c r="B35" s="1192" t="s">
        <v>3474</v>
      </c>
      <c r="C35" s="1202" t="s">
        <v>3455</v>
      </c>
      <c r="D35" s="1194">
        <v>1</v>
      </c>
      <c r="E35" s="1194">
        <v>0</v>
      </c>
      <c r="F35" s="1194">
        <f t="shared" si="0"/>
        <v>1</v>
      </c>
      <c r="G35" s="1197"/>
    </row>
    <row r="36" spans="1:7" ht="15">
      <c r="A36" s="1694"/>
      <c r="B36" s="1192" t="s">
        <v>3460</v>
      </c>
      <c r="C36" s="1202" t="s">
        <v>3455</v>
      </c>
      <c r="D36" s="1194">
        <v>1</v>
      </c>
      <c r="E36" s="1194">
        <v>1</v>
      </c>
      <c r="F36" s="1194">
        <f t="shared" si="0"/>
        <v>0</v>
      </c>
      <c r="G36" s="1197"/>
    </row>
    <row r="37" spans="1:7" ht="15">
      <c r="A37" s="1694"/>
      <c r="B37" s="1192" t="s">
        <v>3446</v>
      </c>
      <c r="C37" s="1202" t="s">
        <v>1857</v>
      </c>
      <c r="D37" s="1194">
        <v>6.5</v>
      </c>
      <c r="E37" s="1194">
        <v>5</v>
      </c>
      <c r="F37" s="1194">
        <f t="shared" si="0"/>
        <v>1.5</v>
      </c>
      <c r="G37" s="1196"/>
    </row>
    <row r="38" spans="1:7" ht="15">
      <c r="A38" s="1694"/>
      <c r="B38" s="1192" t="s">
        <v>3439</v>
      </c>
      <c r="C38" s="1202" t="s">
        <v>3455</v>
      </c>
      <c r="D38" s="1194">
        <v>1</v>
      </c>
      <c r="E38" s="1194">
        <v>1</v>
      </c>
      <c r="F38" s="1194">
        <f t="shared" si="0"/>
        <v>0</v>
      </c>
      <c r="G38" s="1196"/>
    </row>
    <row r="39" spans="1:7" ht="15">
      <c r="A39" s="1694"/>
      <c r="B39" s="1192" t="s">
        <v>3441</v>
      </c>
      <c r="C39" s="1202" t="s">
        <v>3455</v>
      </c>
      <c r="D39" s="1194">
        <v>1</v>
      </c>
      <c r="E39" s="1194">
        <v>1</v>
      </c>
      <c r="F39" s="1194">
        <f t="shared" si="0"/>
        <v>0</v>
      </c>
      <c r="G39" s="1196"/>
    </row>
    <row r="40" spans="1:7" ht="15">
      <c r="A40" s="1694"/>
      <c r="B40" s="1192" t="s">
        <v>3442</v>
      </c>
      <c r="C40" s="1202" t="s">
        <v>3455</v>
      </c>
      <c r="D40" s="1194">
        <v>7</v>
      </c>
      <c r="E40" s="1194">
        <v>5</v>
      </c>
      <c r="F40" s="1194">
        <f t="shared" si="0"/>
        <v>2</v>
      </c>
      <c r="G40" s="1196"/>
    </row>
    <row r="41" spans="1:7" ht="15">
      <c r="A41" s="1694"/>
      <c r="B41" s="1192" t="s">
        <v>3447</v>
      </c>
      <c r="C41" s="1202" t="s">
        <v>3455</v>
      </c>
      <c r="D41" s="1194">
        <v>3</v>
      </c>
      <c r="E41" s="1194">
        <v>3</v>
      </c>
      <c r="F41" s="1194">
        <f t="shared" si="0"/>
        <v>0</v>
      </c>
      <c r="G41" s="1196"/>
    </row>
    <row r="42" spans="1:7" ht="15">
      <c r="A42" s="1694"/>
      <c r="B42" s="1192" t="s">
        <v>3445</v>
      </c>
      <c r="C42" s="1202" t="s">
        <v>3455</v>
      </c>
      <c r="D42" s="1194">
        <v>3</v>
      </c>
      <c r="E42" s="1194">
        <v>2</v>
      </c>
      <c r="F42" s="1194">
        <f t="shared" si="0"/>
        <v>1</v>
      </c>
      <c r="G42" s="1197"/>
    </row>
    <row r="43" spans="1:7" ht="15">
      <c r="A43" s="1694"/>
      <c r="B43" s="1192" t="s">
        <v>3448</v>
      </c>
      <c r="C43" s="1202" t="s">
        <v>3455</v>
      </c>
      <c r="D43" s="1194">
        <v>2</v>
      </c>
      <c r="E43" s="1194">
        <v>2</v>
      </c>
      <c r="F43" s="1194">
        <f t="shared" si="0"/>
        <v>0</v>
      </c>
      <c r="G43" s="1197"/>
    </row>
    <row r="44" spans="1:7">
      <c r="A44" s="1692" t="s">
        <v>994</v>
      </c>
      <c r="B44" s="1692"/>
      <c r="C44" s="1204" t="s">
        <v>1857</v>
      </c>
      <c r="D44" s="1204">
        <f>D3+D8+D17+D27+D37+((D4)/4)+(D29/4)+(D39/4)+(D9/4)+(D18/4)+(D28/4)+(D38/4)</f>
        <v>112</v>
      </c>
      <c r="E44" s="1204">
        <f>E3+E8+E17+E27+E37+((E4)/4)+(E29/4)+(E39/4)+(E9/4)+(E18/4)+(E28/4)+(E38/4)</f>
        <v>103.25</v>
      </c>
      <c r="F44" s="1204">
        <f>F3+F8+F17+F27+F37+((F4)/4)+(F29/4)+(F39/4)+(F9/4)+(F18/4)+(F28/4)+(F38/4)</f>
        <v>8.75</v>
      </c>
      <c r="G44" s="120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75"/>
  <cols>
    <col min="1" max="1" width="10.7109375" style="1189" bestFit="1" customWidth="1"/>
    <col min="2" max="2" width="16.5703125" style="1189" bestFit="1" customWidth="1"/>
    <col min="3" max="3" width="14.42578125" style="1189" bestFit="1" customWidth="1"/>
    <col min="4" max="5" width="15.85546875" style="1189" customWidth="1"/>
    <col min="6" max="6" width="11.85546875" style="1189" customWidth="1"/>
    <col min="7" max="7" width="18.42578125" style="1189" bestFit="1" customWidth="1"/>
    <col min="8" max="256" width="8.7109375" style="1189"/>
    <col min="257" max="257" width="10.7109375" style="1189" bestFit="1" customWidth="1"/>
    <col min="258" max="258" width="16.5703125" style="1189" bestFit="1" customWidth="1"/>
    <col min="259" max="259" width="14.42578125" style="1189" bestFit="1" customWidth="1"/>
    <col min="260" max="261" width="15.85546875" style="1189" customWidth="1"/>
    <col min="262" max="262" width="11.85546875" style="1189" customWidth="1"/>
    <col min="263" max="263" width="18.42578125" style="1189" bestFit="1" customWidth="1"/>
    <col min="264" max="512" width="8.7109375" style="1189"/>
    <col min="513" max="513" width="10.7109375" style="1189" bestFit="1" customWidth="1"/>
    <col min="514" max="514" width="16.5703125" style="1189" bestFit="1" customWidth="1"/>
    <col min="515" max="515" width="14.42578125" style="1189" bestFit="1" customWidth="1"/>
    <col min="516" max="517" width="15.85546875" style="1189" customWidth="1"/>
    <col min="518" max="518" width="11.85546875" style="1189" customWidth="1"/>
    <col min="519" max="519" width="18.42578125" style="1189" bestFit="1" customWidth="1"/>
    <col min="520" max="768" width="8.7109375" style="1189"/>
    <col min="769" max="769" width="10.7109375" style="1189" bestFit="1" customWidth="1"/>
    <col min="770" max="770" width="16.5703125" style="1189" bestFit="1" customWidth="1"/>
    <col min="771" max="771" width="14.42578125" style="1189" bestFit="1" customWidth="1"/>
    <col min="772" max="773" width="15.85546875" style="1189" customWidth="1"/>
    <col min="774" max="774" width="11.85546875" style="1189" customWidth="1"/>
    <col min="775" max="775" width="18.42578125" style="1189" bestFit="1" customWidth="1"/>
    <col min="776" max="1024" width="8.7109375" style="1189"/>
    <col min="1025" max="1025" width="10.7109375" style="1189" bestFit="1" customWidth="1"/>
    <col min="1026" max="1026" width="16.5703125" style="1189" bestFit="1" customWidth="1"/>
    <col min="1027" max="1027" width="14.42578125" style="1189" bestFit="1" customWidth="1"/>
    <col min="1028" max="1029" width="15.85546875" style="1189" customWidth="1"/>
    <col min="1030" max="1030" width="11.85546875" style="1189" customWidth="1"/>
    <col min="1031" max="1031" width="18.42578125" style="1189" bestFit="1" customWidth="1"/>
    <col min="1032" max="1280" width="8.7109375" style="1189"/>
    <col min="1281" max="1281" width="10.7109375" style="1189" bestFit="1" customWidth="1"/>
    <col min="1282" max="1282" width="16.5703125" style="1189" bestFit="1" customWidth="1"/>
    <col min="1283" max="1283" width="14.42578125" style="1189" bestFit="1" customWidth="1"/>
    <col min="1284" max="1285" width="15.85546875" style="1189" customWidth="1"/>
    <col min="1286" max="1286" width="11.85546875" style="1189" customWidth="1"/>
    <col min="1287" max="1287" width="18.42578125" style="1189" bestFit="1" customWidth="1"/>
    <col min="1288" max="1536" width="8.7109375" style="1189"/>
    <col min="1537" max="1537" width="10.7109375" style="1189" bestFit="1" customWidth="1"/>
    <col min="1538" max="1538" width="16.5703125" style="1189" bestFit="1" customWidth="1"/>
    <col min="1539" max="1539" width="14.42578125" style="1189" bestFit="1" customWidth="1"/>
    <col min="1540" max="1541" width="15.85546875" style="1189" customWidth="1"/>
    <col min="1542" max="1542" width="11.85546875" style="1189" customWidth="1"/>
    <col min="1543" max="1543" width="18.42578125" style="1189" bestFit="1" customWidth="1"/>
    <col min="1544" max="1792" width="8.7109375" style="1189"/>
    <col min="1793" max="1793" width="10.7109375" style="1189" bestFit="1" customWidth="1"/>
    <col min="1794" max="1794" width="16.5703125" style="1189" bestFit="1" customWidth="1"/>
    <col min="1795" max="1795" width="14.42578125" style="1189" bestFit="1" customWidth="1"/>
    <col min="1796" max="1797" width="15.85546875" style="1189" customWidth="1"/>
    <col min="1798" max="1798" width="11.85546875" style="1189" customWidth="1"/>
    <col min="1799" max="1799" width="18.42578125" style="1189" bestFit="1" customWidth="1"/>
    <col min="1800" max="2048" width="8.7109375" style="1189"/>
    <col min="2049" max="2049" width="10.7109375" style="1189" bestFit="1" customWidth="1"/>
    <col min="2050" max="2050" width="16.5703125" style="1189" bestFit="1" customWidth="1"/>
    <col min="2051" max="2051" width="14.42578125" style="1189" bestFit="1" customWidth="1"/>
    <col min="2052" max="2053" width="15.85546875" style="1189" customWidth="1"/>
    <col min="2054" max="2054" width="11.85546875" style="1189" customWidth="1"/>
    <col min="2055" max="2055" width="18.42578125" style="1189" bestFit="1" customWidth="1"/>
    <col min="2056" max="2304" width="8.7109375" style="1189"/>
    <col min="2305" max="2305" width="10.7109375" style="1189" bestFit="1" customWidth="1"/>
    <col min="2306" max="2306" width="16.5703125" style="1189" bestFit="1" customWidth="1"/>
    <col min="2307" max="2307" width="14.42578125" style="1189" bestFit="1" customWidth="1"/>
    <col min="2308" max="2309" width="15.85546875" style="1189" customWidth="1"/>
    <col min="2310" max="2310" width="11.85546875" style="1189" customWidth="1"/>
    <col min="2311" max="2311" width="18.42578125" style="1189" bestFit="1" customWidth="1"/>
    <col min="2312" max="2560" width="8.7109375" style="1189"/>
    <col min="2561" max="2561" width="10.7109375" style="1189" bestFit="1" customWidth="1"/>
    <col min="2562" max="2562" width="16.5703125" style="1189" bestFit="1" customWidth="1"/>
    <col min="2563" max="2563" width="14.42578125" style="1189" bestFit="1" customWidth="1"/>
    <col min="2564" max="2565" width="15.85546875" style="1189" customWidth="1"/>
    <col min="2566" max="2566" width="11.85546875" style="1189" customWidth="1"/>
    <col min="2567" max="2567" width="18.42578125" style="1189" bestFit="1" customWidth="1"/>
    <col min="2568" max="2816" width="8.7109375" style="1189"/>
    <col min="2817" max="2817" width="10.7109375" style="1189" bestFit="1" customWidth="1"/>
    <col min="2818" max="2818" width="16.5703125" style="1189" bestFit="1" customWidth="1"/>
    <col min="2819" max="2819" width="14.42578125" style="1189" bestFit="1" customWidth="1"/>
    <col min="2820" max="2821" width="15.85546875" style="1189" customWidth="1"/>
    <col min="2822" max="2822" width="11.85546875" style="1189" customWidth="1"/>
    <col min="2823" max="2823" width="18.42578125" style="1189" bestFit="1" customWidth="1"/>
    <col min="2824" max="3072" width="8.7109375" style="1189"/>
    <col min="3073" max="3073" width="10.7109375" style="1189" bestFit="1" customWidth="1"/>
    <col min="3074" max="3074" width="16.5703125" style="1189" bestFit="1" customWidth="1"/>
    <col min="3075" max="3075" width="14.42578125" style="1189" bestFit="1" customWidth="1"/>
    <col min="3076" max="3077" width="15.85546875" style="1189" customWidth="1"/>
    <col min="3078" max="3078" width="11.85546875" style="1189" customWidth="1"/>
    <col min="3079" max="3079" width="18.42578125" style="1189" bestFit="1" customWidth="1"/>
    <col min="3080" max="3328" width="8.7109375" style="1189"/>
    <col min="3329" max="3329" width="10.7109375" style="1189" bestFit="1" customWidth="1"/>
    <col min="3330" max="3330" width="16.5703125" style="1189" bestFit="1" customWidth="1"/>
    <col min="3331" max="3331" width="14.42578125" style="1189" bestFit="1" customWidth="1"/>
    <col min="3332" max="3333" width="15.85546875" style="1189" customWidth="1"/>
    <col min="3334" max="3334" width="11.85546875" style="1189" customWidth="1"/>
    <col min="3335" max="3335" width="18.42578125" style="1189" bestFit="1" customWidth="1"/>
    <col min="3336" max="3584" width="8.7109375" style="1189"/>
    <col min="3585" max="3585" width="10.7109375" style="1189" bestFit="1" customWidth="1"/>
    <col min="3586" max="3586" width="16.5703125" style="1189" bestFit="1" customWidth="1"/>
    <col min="3587" max="3587" width="14.42578125" style="1189" bestFit="1" customWidth="1"/>
    <col min="3588" max="3589" width="15.85546875" style="1189" customWidth="1"/>
    <col min="3590" max="3590" width="11.85546875" style="1189" customWidth="1"/>
    <col min="3591" max="3591" width="18.42578125" style="1189" bestFit="1" customWidth="1"/>
    <col min="3592" max="3840" width="8.7109375" style="1189"/>
    <col min="3841" max="3841" width="10.7109375" style="1189" bestFit="1" customWidth="1"/>
    <col min="3842" max="3842" width="16.5703125" style="1189" bestFit="1" customWidth="1"/>
    <col min="3843" max="3843" width="14.42578125" style="1189" bestFit="1" customWidth="1"/>
    <col min="3844" max="3845" width="15.85546875" style="1189" customWidth="1"/>
    <col min="3846" max="3846" width="11.85546875" style="1189" customWidth="1"/>
    <col min="3847" max="3847" width="18.42578125" style="1189" bestFit="1" customWidth="1"/>
    <col min="3848" max="4096" width="8.7109375" style="1189"/>
    <col min="4097" max="4097" width="10.7109375" style="1189" bestFit="1" customWidth="1"/>
    <col min="4098" max="4098" width="16.5703125" style="1189" bestFit="1" customWidth="1"/>
    <col min="4099" max="4099" width="14.42578125" style="1189" bestFit="1" customWidth="1"/>
    <col min="4100" max="4101" width="15.85546875" style="1189" customWidth="1"/>
    <col min="4102" max="4102" width="11.85546875" style="1189" customWidth="1"/>
    <col min="4103" max="4103" width="18.42578125" style="1189" bestFit="1" customWidth="1"/>
    <col min="4104" max="4352" width="8.7109375" style="1189"/>
    <col min="4353" max="4353" width="10.7109375" style="1189" bestFit="1" customWidth="1"/>
    <col min="4354" max="4354" width="16.5703125" style="1189" bestFit="1" customWidth="1"/>
    <col min="4355" max="4355" width="14.42578125" style="1189" bestFit="1" customWidth="1"/>
    <col min="4356" max="4357" width="15.85546875" style="1189" customWidth="1"/>
    <col min="4358" max="4358" width="11.85546875" style="1189" customWidth="1"/>
    <col min="4359" max="4359" width="18.42578125" style="1189" bestFit="1" customWidth="1"/>
    <col min="4360" max="4608" width="8.7109375" style="1189"/>
    <col min="4609" max="4609" width="10.7109375" style="1189" bestFit="1" customWidth="1"/>
    <col min="4610" max="4610" width="16.5703125" style="1189" bestFit="1" customWidth="1"/>
    <col min="4611" max="4611" width="14.42578125" style="1189" bestFit="1" customWidth="1"/>
    <col min="4612" max="4613" width="15.85546875" style="1189" customWidth="1"/>
    <col min="4614" max="4614" width="11.85546875" style="1189" customWidth="1"/>
    <col min="4615" max="4615" width="18.42578125" style="1189" bestFit="1" customWidth="1"/>
    <col min="4616" max="4864" width="8.7109375" style="1189"/>
    <col min="4865" max="4865" width="10.7109375" style="1189" bestFit="1" customWidth="1"/>
    <col min="4866" max="4866" width="16.5703125" style="1189" bestFit="1" customWidth="1"/>
    <col min="4867" max="4867" width="14.42578125" style="1189" bestFit="1" customWidth="1"/>
    <col min="4868" max="4869" width="15.85546875" style="1189" customWidth="1"/>
    <col min="4870" max="4870" width="11.85546875" style="1189" customWidth="1"/>
    <col min="4871" max="4871" width="18.42578125" style="1189" bestFit="1" customWidth="1"/>
    <col min="4872" max="5120" width="8.7109375" style="1189"/>
    <col min="5121" max="5121" width="10.7109375" style="1189" bestFit="1" customWidth="1"/>
    <col min="5122" max="5122" width="16.5703125" style="1189" bestFit="1" customWidth="1"/>
    <col min="5123" max="5123" width="14.42578125" style="1189" bestFit="1" customWidth="1"/>
    <col min="5124" max="5125" width="15.85546875" style="1189" customWidth="1"/>
    <col min="5126" max="5126" width="11.85546875" style="1189" customWidth="1"/>
    <col min="5127" max="5127" width="18.42578125" style="1189" bestFit="1" customWidth="1"/>
    <col min="5128" max="5376" width="8.7109375" style="1189"/>
    <col min="5377" max="5377" width="10.7109375" style="1189" bestFit="1" customWidth="1"/>
    <col min="5378" max="5378" width="16.5703125" style="1189" bestFit="1" customWidth="1"/>
    <col min="5379" max="5379" width="14.42578125" style="1189" bestFit="1" customWidth="1"/>
    <col min="5380" max="5381" width="15.85546875" style="1189" customWidth="1"/>
    <col min="5382" max="5382" width="11.85546875" style="1189" customWidth="1"/>
    <col min="5383" max="5383" width="18.42578125" style="1189" bestFit="1" customWidth="1"/>
    <col min="5384" max="5632" width="8.7109375" style="1189"/>
    <col min="5633" max="5633" width="10.7109375" style="1189" bestFit="1" customWidth="1"/>
    <col min="5634" max="5634" width="16.5703125" style="1189" bestFit="1" customWidth="1"/>
    <col min="5635" max="5635" width="14.42578125" style="1189" bestFit="1" customWidth="1"/>
    <col min="5636" max="5637" width="15.85546875" style="1189" customWidth="1"/>
    <col min="5638" max="5638" width="11.85546875" style="1189" customWidth="1"/>
    <col min="5639" max="5639" width="18.42578125" style="1189" bestFit="1" customWidth="1"/>
    <col min="5640" max="5888" width="8.7109375" style="1189"/>
    <col min="5889" max="5889" width="10.7109375" style="1189" bestFit="1" customWidth="1"/>
    <col min="5890" max="5890" width="16.5703125" style="1189" bestFit="1" customWidth="1"/>
    <col min="5891" max="5891" width="14.42578125" style="1189" bestFit="1" customWidth="1"/>
    <col min="5892" max="5893" width="15.85546875" style="1189" customWidth="1"/>
    <col min="5894" max="5894" width="11.85546875" style="1189" customWidth="1"/>
    <col min="5895" max="5895" width="18.42578125" style="1189" bestFit="1" customWidth="1"/>
    <col min="5896" max="6144" width="8.7109375" style="1189"/>
    <col min="6145" max="6145" width="10.7109375" style="1189" bestFit="1" customWidth="1"/>
    <col min="6146" max="6146" width="16.5703125" style="1189" bestFit="1" customWidth="1"/>
    <col min="6147" max="6147" width="14.42578125" style="1189" bestFit="1" customWidth="1"/>
    <col min="6148" max="6149" width="15.85546875" style="1189" customWidth="1"/>
    <col min="6150" max="6150" width="11.85546875" style="1189" customWidth="1"/>
    <col min="6151" max="6151" width="18.42578125" style="1189" bestFit="1" customWidth="1"/>
    <col min="6152" max="6400" width="8.7109375" style="1189"/>
    <col min="6401" max="6401" width="10.7109375" style="1189" bestFit="1" customWidth="1"/>
    <col min="6402" max="6402" width="16.5703125" style="1189" bestFit="1" customWidth="1"/>
    <col min="6403" max="6403" width="14.42578125" style="1189" bestFit="1" customWidth="1"/>
    <col min="6404" max="6405" width="15.85546875" style="1189" customWidth="1"/>
    <col min="6406" max="6406" width="11.85546875" style="1189" customWidth="1"/>
    <col min="6407" max="6407" width="18.42578125" style="1189" bestFit="1" customWidth="1"/>
    <col min="6408" max="6656" width="8.7109375" style="1189"/>
    <col min="6657" max="6657" width="10.7109375" style="1189" bestFit="1" customWidth="1"/>
    <col min="6658" max="6658" width="16.5703125" style="1189" bestFit="1" customWidth="1"/>
    <col min="6659" max="6659" width="14.42578125" style="1189" bestFit="1" customWidth="1"/>
    <col min="6660" max="6661" width="15.85546875" style="1189" customWidth="1"/>
    <col min="6662" max="6662" width="11.85546875" style="1189" customWidth="1"/>
    <col min="6663" max="6663" width="18.42578125" style="1189" bestFit="1" customWidth="1"/>
    <col min="6664" max="6912" width="8.7109375" style="1189"/>
    <col min="6913" max="6913" width="10.7109375" style="1189" bestFit="1" customWidth="1"/>
    <col min="6914" max="6914" width="16.5703125" style="1189" bestFit="1" customWidth="1"/>
    <col min="6915" max="6915" width="14.42578125" style="1189" bestFit="1" customWidth="1"/>
    <col min="6916" max="6917" width="15.85546875" style="1189" customWidth="1"/>
    <col min="6918" max="6918" width="11.85546875" style="1189" customWidth="1"/>
    <col min="6919" max="6919" width="18.42578125" style="1189" bestFit="1" customWidth="1"/>
    <col min="6920" max="7168" width="8.7109375" style="1189"/>
    <col min="7169" max="7169" width="10.7109375" style="1189" bestFit="1" customWidth="1"/>
    <col min="7170" max="7170" width="16.5703125" style="1189" bestFit="1" customWidth="1"/>
    <col min="7171" max="7171" width="14.42578125" style="1189" bestFit="1" customWidth="1"/>
    <col min="7172" max="7173" width="15.85546875" style="1189" customWidth="1"/>
    <col min="7174" max="7174" width="11.85546875" style="1189" customWidth="1"/>
    <col min="7175" max="7175" width="18.42578125" style="1189" bestFit="1" customWidth="1"/>
    <col min="7176" max="7424" width="8.7109375" style="1189"/>
    <col min="7425" max="7425" width="10.7109375" style="1189" bestFit="1" customWidth="1"/>
    <col min="7426" max="7426" width="16.5703125" style="1189" bestFit="1" customWidth="1"/>
    <col min="7427" max="7427" width="14.42578125" style="1189" bestFit="1" customWidth="1"/>
    <col min="7428" max="7429" width="15.85546875" style="1189" customWidth="1"/>
    <col min="7430" max="7430" width="11.85546875" style="1189" customWidth="1"/>
    <col min="7431" max="7431" width="18.42578125" style="1189" bestFit="1" customWidth="1"/>
    <col min="7432" max="7680" width="8.7109375" style="1189"/>
    <col min="7681" max="7681" width="10.7109375" style="1189" bestFit="1" customWidth="1"/>
    <col min="7682" max="7682" width="16.5703125" style="1189" bestFit="1" customWidth="1"/>
    <col min="7683" max="7683" width="14.42578125" style="1189" bestFit="1" customWidth="1"/>
    <col min="7684" max="7685" width="15.85546875" style="1189" customWidth="1"/>
    <col min="7686" max="7686" width="11.85546875" style="1189" customWidth="1"/>
    <col min="7687" max="7687" width="18.42578125" style="1189" bestFit="1" customWidth="1"/>
    <col min="7688" max="7936" width="8.7109375" style="1189"/>
    <col min="7937" max="7937" width="10.7109375" style="1189" bestFit="1" customWidth="1"/>
    <col min="7938" max="7938" width="16.5703125" style="1189" bestFit="1" customWidth="1"/>
    <col min="7939" max="7939" width="14.42578125" style="1189" bestFit="1" customWidth="1"/>
    <col min="7940" max="7941" width="15.85546875" style="1189" customWidth="1"/>
    <col min="7942" max="7942" width="11.85546875" style="1189" customWidth="1"/>
    <col min="7943" max="7943" width="18.42578125" style="1189" bestFit="1" customWidth="1"/>
    <col min="7944" max="8192" width="8.7109375" style="1189"/>
    <col min="8193" max="8193" width="10.7109375" style="1189" bestFit="1" customWidth="1"/>
    <col min="8194" max="8194" width="16.5703125" style="1189" bestFit="1" customWidth="1"/>
    <col min="8195" max="8195" width="14.42578125" style="1189" bestFit="1" customWidth="1"/>
    <col min="8196" max="8197" width="15.85546875" style="1189" customWidth="1"/>
    <col min="8198" max="8198" width="11.85546875" style="1189" customWidth="1"/>
    <col min="8199" max="8199" width="18.42578125" style="1189" bestFit="1" customWidth="1"/>
    <col min="8200" max="8448" width="8.7109375" style="1189"/>
    <col min="8449" max="8449" width="10.7109375" style="1189" bestFit="1" customWidth="1"/>
    <col min="8450" max="8450" width="16.5703125" style="1189" bestFit="1" customWidth="1"/>
    <col min="8451" max="8451" width="14.42578125" style="1189" bestFit="1" customWidth="1"/>
    <col min="8452" max="8453" width="15.85546875" style="1189" customWidth="1"/>
    <col min="8454" max="8454" width="11.85546875" style="1189" customWidth="1"/>
    <col min="8455" max="8455" width="18.42578125" style="1189" bestFit="1" customWidth="1"/>
    <col min="8456" max="8704" width="8.7109375" style="1189"/>
    <col min="8705" max="8705" width="10.7109375" style="1189" bestFit="1" customWidth="1"/>
    <col min="8706" max="8706" width="16.5703125" style="1189" bestFit="1" customWidth="1"/>
    <col min="8707" max="8707" width="14.42578125" style="1189" bestFit="1" customWidth="1"/>
    <col min="8708" max="8709" width="15.85546875" style="1189" customWidth="1"/>
    <col min="8710" max="8710" width="11.85546875" style="1189" customWidth="1"/>
    <col min="8711" max="8711" width="18.42578125" style="1189" bestFit="1" customWidth="1"/>
    <col min="8712" max="8960" width="8.7109375" style="1189"/>
    <col min="8961" max="8961" width="10.7109375" style="1189" bestFit="1" customWidth="1"/>
    <col min="8962" max="8962" width="16.5703125" style="1189" bestFit="1" customWidth="1"/>
    <col min="8963" max="8963" width="14.42578125" style="1189" bestFit="1" customWidth="1"/>
    <col min="8964" max="8965" width="15.85546875" style="1189" customWidth="1"/>
    <col min="8966" max="8966" width="11.85546875" style="1189" customWidth="1"/>
    <col min="8967" max="8967" width="18.42578125" style="1189" bestFit="1" customWidth="1"/>
    <col min="8968" max="9216" width="8.7109375" style="1189"/>
    <col min="9217" max="9217" width="10.7109375" style="1189" bestFit="1" customWidth="1"/>
    <col min="9218" max="9218" width="16.5703125" style="1189" bestFit="1" customWidth="1"/>
    <col min="9219" max="9219" width="14.42578125" style="1189" bestFit="1" customWidth="1"/>
    <col min="9220" max="9221" width="15.85546875" style="1189" customWidth="1"/>
    <col min="9222" max="9222" width="11.85546875" style="1189" customWidth="1"/>
    <col min="9223" max="9223" width="18.42578125" style="1189" bestFit="1" customWidth="1"/>
    <col min="9224" max="9472" width="8.7109375" style="1189"/>
    <col min="9473" max="9473" width="10.7109375" style="1189" bestFit="1" customWidth="1"/>
    <col min="9474" max="9474" width="16.5703125" style="1189" bestFit="1" customWidth="1"/>
    <col min="9475" max="9475" width="14.42578125" style="1189" bestFit="1" customWidth="1"/>
    <col min="9476" max="9477" width="15.85546875" style="1189" customWidth="1"/>
    <col min="9478" max="9478" width="11.85546875" style="1189" customWidth="1"/>
    <col min="9479" max="9479" width="18.42578125" style="1189" bestFit="1" customWidth="1"/>
    <col min="9480" max="9728" width="8.7109375" style="1189"/>
    <col min="9729" max="9729" width="10.7109375" style="1189" bestFit="1" customWidth="1"/>
    <col min="9730" max="9730" width="16.5703125" style="1189" bestFit="1" customWidth="1"/>
    <col min="9731" max="9731" width="14.42578125" style="1189" bestFit="1" customWidth="1"/>
    <col min="9732" max="9733" width="15.85546875" style="1189" customWidth="1"/>
    <col min="9734" max="9734" width="11.85546875" style="1189" customWidth="1"/>
    <col min="9735" max="9735" width="18.42578125" style="1189" bestFit="1" customWidth="1"/>
    <col min="9736" max="9984" width="8.7109375" style="1189"/>
    <col min="9985" max="9985" width="10.7109375" style="1189" bestFit="1" customWidth="1"/>
    <col min="9986" max="9986" width="16.5703125" style="1189" bestFit="1" customWidth="1"/>
    <col min="9987" max="9987" width="14.42578125" style="1189" bestFit="1" customWidth="1"/>
    <col min="9988" max="9989" width="15.85546875" style="1189" customWidth="1"/>
    <col min="9990" max="9990" width="11.85546875" style="1189" customWidth="1"/>
    <col min="9991" max="9991" width="18.42578125" style="1189" bestFit="1" customWidth="1"/>
    <col min="9992" max="10240" width="8.7109375" style="1189"/>
    <col min="10241" max="10241" width="10.7109375" style="1189" bestFit="1" customWidth="1"/>
    <col min="10242" max="10242" width="16.5703125" style="1189" bestFit="1" customWidth="1"/>
    <col min="10243" max="10243" width="14.42578125" style="1189" bestFit="1" customWidth="1"/>
    <col min="10244" max="10245" width="15.85546875" style="1189" customWidth="1"/>
    <col min="10246" max="10246" width="11.85546875" style="1189" customWidth="1"/>
    <col min="10247" max="10247" width="18.42578125" style="1189" bestFit="1" customWidth="1"/>
    <col min="10248" max="10496" width="8.7109375" style="1189"/>
    <col min="10497" max="10497" width="10.7109375" style="1189" bestFit="1" customWidth="1"/>
    <col min="10498" max="10498" width="16.5703125" style="1189" bestFit="1" customWidth="1"/>
    <col min="10499" max="10499" width="14.42578125" style="1189" bestFit="1" customWidth="1"/>
    <col min="10500" max="10501" width="15.85546875" style="1189" customWidth="1"/>
    <col min="10502" max="10502" width="11.85546875" style="1189" customWidth="1"/>
    <col min="10503" max="10503" width="18.42578125" style="1189" bestFit="1" customWidth="1"/>
    <col min="10504" max="10752" width="8.7109375" style="1189"/>
    <col min="10753" max="10753" width="10.7109375" style="1189" bestFit="1" customWidth="1"/>
    <col min="10754" max="10754" width="16.5703125" style="1189" bestFit="1" customWidth="1"/>
    <col min="10755" max="10755" width="14.42578125" style="1189" bestFit="1" customWidth="1"/>
    <col min="10756" max="10757" width="15.85546875" style="1189" customWidth="1"/>
    <col min="10758" max="10758" width="11.85546875" style="1189" customWidth="1"/>
    <col min="10759" max="10759" width="18.42578125" style="1189" bestFit="1" customWidth="1"/>
    <col min="10760" max="11008" width="8.7109375" style="1189"/>
    <col min="11009" max="11009" width="10.7109375" style="1189" bestFit="1" customWidth="1"/>
    <col min="11010" max="11010" width="16.5703125" style="1189" bestFit="1" customWidth="1"/>
    <col min="11011" max="11011" width="14.42578125" style="1189" bestFit="1" customWidth="1"/>
    <col min="11012" max="11013" width="15.85546875" style="1189" customWidth="1"/>
    <col min="11014" max="11014" width="11.85546875" style="1189" customWidth="1"/>
    <col min="11015" max="11015" width="18.42578125" style="1189" bestFit="1" customWidth="1"/>
    <col min="11016" max="11264" width="8.7109375" style="1189"/>
    <col min="11265" max="11265" width="10.7109375" style="1189" bestFit="1" customWidth="1"/>
    <col min="11266" max="11266" width="16.5703125" style="1189" bestFit="1" customWidth="1"/>
    <col min="11267" max="11267" width="14.42578125" style="1189" bestFit="1" customWidth="1"/>
    <col min="11268" max="11269" width="15.85546875" style="1189" customWidth="1"/>
    <col min="11270" max="11270" width="11.85546875" style="1189" customWidth="1"/>
    <col min="11271" max="11271" width="18.42578125" style="1189" bestFit="1" customWidth="1"/>
    <col min="11272" max="11520" width="8.7109375" style="1189"/>
    <col min="11521" max="11521" width="10.7109375" style="1189" bestFit="1" customWidth="1"/>
    <col min="11522" max="11522" width="16.5703125" style="1189" bestFit="1" customWidth="1"/>
    <col min="11523" max="11523" width="14.42578125" style="1189" bestFit="1" customWidth="1"/>
    <col min="11524" max="11525" width="15.85546875" style="1189" customWidth="1"/>
    <col min="11526" max="11526" width="11.85546875" style="1189" customWidth="1"/>
    <col min="11527" max="11527" width="18.42578125" style="1189" bestFit="1" customWidth="1"/>
    <col min="11528" max="11776" width="8.7109375" style="1189"/>
    <col min="11777" max="11777" width="10.7109375" style="1189" bestFit="1" customWidth="1"/>
    <col min="11778" max="11778" width="16.5703125" style="1189" bestFit="1" customWidth="1"/>
    <col min="11779" max="11779" width="14.42578125" style="1189" bestFit="1" customWidth="1"/>
    <col min="11780" max="11781" width="15.85546875" style="1189" customWidth="1"/>
    <col min="11782" max="11782" width="11.85546875" style="1189" customWidth="1"/>
    <col min="11783" max="11783" width="18.42578125" style="1189" bestFit="1" customWidth="1"/>
    <col min="11784" max="12032" width="8.7109375" style="1189"/>
    <col min="12033" max="12033" width="10.7109375" style="1189" bestFit="1" customWidth="1"/>
    <col min="12034" max="12034" width="16.5703125" style="1189" bestFit="1" customWidth="1"/>
    <col min="12035" max="12035" width="14.42578125" style="1189" bestFit="1" customWidth="1"/>
    <col min="12036" max="12037" width="15.85546875" style="1189" customWidth="1"/>
    <col min="12038" max="12038" width="11.85546875" style="1189" customWidth="1"/>
    <col min="12039" max="12039" width="18.42578125" style="1189" bestFit="1" customWidth="1"/>
    <col min="12040" max="12288" width="8.7109375" style="1189"/>
    <col min="12289" max="12289" width="10.7109375" style="1189" bestFit="1" customWidth="1"/>
    <col min="12290" max="12290" width="16.5703125" style="1189" bestFit="1" customWidth="1"/>
    <col min="12291" max="12291" width="14.42578125" style="1189" bestFit="1" customWidth="1"/>
    <col min="12292" max="12293" width="15.85546875" style="1189" customWidth="1"/>
    <col min="12294" max="12294" width="11.85546875" style="1189" customWidth="1"/>
    <col min="12295" max="12295" width="18.42578125" style="1189" bestFit="1" customWidth="1"/>
    <col min="12296" max="12544" width="8.7109375" style="1189"/>
    <col min="12545" max="12545" width="10.7109375" style="1189" bestFit="1" customWidth="1"/>
    <col min="12546" max="12546" width="16.5703125" style="1189" bestFit="1" customWidth="1"/>
    <col min="12547" max="12547" width="14.42578125" style="1189" bestFit="1" customWidth="1"/>
    <col min="12548" max="12549" width="15.85546875" style="1189" customWidth="1"/>
    <col min="12550" max="12550" width="11.85546875" style="1189" customWidth="1"/>
    <col min="12551" max="12551" width="18.42578125" style="1189" bestFit="1" customWidth="1"/>
    <col min="12552" max="12800" width="8.7109375" style="1189"/>
    <col min="12801" max="12801" width="10.7109375" style="1189" bestFit="1" customWidth="1"/>
    <col min="12802" max="12802" width="16.5703125" style="1189" bestFit="1" customWidth="1"/>
    <col min="12803" max="12803" width="14.42578125" style="1189" bestFit="1" customWidth="1"/>
    <col min="12804" max="12805" width="15.85546875" style="1189" customWidth="1"/>
    <col min="12806" max="12806" width="11.85546875" style="1189" customWidth="1"/>
    <col min="12807" max="12807" width="18.42578125" style="1189" bestFit="1" customWidth="1"/>
    <col min="12808" max="13056" width="8.7109375" style="1189"/>
    <col min="13057" max="13057" width="10.7109375" style="1189" bestFit="1" customWidth="1"/>
    <col min="13058" max="13058" width="16.5703125" style="1189" bestFit="1" customWidth="1"/>
    <col min="13059" max="13059" width="14.42578125" style="1189" bestFit="1" customWidth="1"/>
    <col min="13060" max="13061" width="15.85546875" style="1189" customWidth="1"/>
    <col min="13062" max="13062" width="11.85546875" style="1189" customWidth="1"/>
    <col min="13063" max="13063" width="18.42578125" style="1189" bestFit="1" customWidth="1"/>
    <col min="13064" max="13312" width="8.7109375" style="1189"/>
    <col min="13313" max="13313" width="10.7109375" style="1189" bestFit="1" customWidth="1"/>
    <col min="13314" max="13314" width="16.5703125" style="1189" bestFit="1" customWidth="1"/>
    <col min="13315" max="13315" width="14.42578125" style="1189" bestFit="1" customWidth="1"/>
    <col min="13316" max="13317" width="15.85546875" style="1189" customWidth="1"/>
    <col min="13318" max="13318" width="11.85546875" style="1189" customWidth="1"/>
    <col min="13319" max="13319" width="18.42578125" style="1189" bestFit="1" customWidth="1"/>
    <col min="13320" max="13568" width="8.7109375" style="1189"/>
    <col min="13569" max="13569" width="10.7109375" style="1189" bestFit="1" customWidth="1"/>
    <col min="13570" max="13570" width="16.5703125" style="1189" bestFit="1" customWidth="1"/>
    <col min="13571" max="13571" width="14.42578125" style="1189" bestFit="1" customWidth="1"/>
    <col min="13572" max="13573" width="15.85546875" style="1189" customWidth="1"/>
    <col min="13574" max="13574" width="11.85546875" style="1189" customWidth="1"/>
    <col min="13575" max="13575" width="18.42578125" style="1189" bestFit="1" customWidth="1"/>
    <col min="13576" max="13824" width="8.7109375" style="1189"/>
    <col min="13825" max="13825" width="10.7109375" style="1189" bestFit="1" customWidth="1"/>
    <col min="13826" max="13826" width="16.5703125" style="1189" bestFit="1" customWidth="1"/>
    <col min="13827" max="13827" width="14.42578125" style="1189" bestFit="1" customWidth="1"/>
    <col min="13828" max="13829" width="15.85546875" style="1189" customWidth="1"/>
    <col min="13830" max="13830" width="11.85546875" style="1189" customWidth="1"/>
    <col min="13831" max="13831" width="18.42578125" style="1189" bestFit="1" customWidth="1"/>
    <col min="13832" max="14080" width="8.7109375" style="1189"/>
    <col min="14081" max="14081" width="10.7109375" style="1189" bestFit="1" customWidth="1"/>
    <col min="14082" max="14082" width="16.5703125" style="1189" bestFit="1" customWidth="1"/>
    <col min="14083" max="14083" width="14.42578125" style="1189" bestFit="1" customWidth="1"/>
    <col min="14084" max="14085" width="15.85546875" style="1189" customWidth="1"/>
    <col min="14086" max="14086" width="11.85546875" style="1189" customWidth="1"/>
    <col min="14087" max="14087" width="18.42578125" style="1189" bestFit="1" customWidth="1"/>
    <col min="14088" max="14336" width="8.7109375" style="1189"/>
    <col min="14337" max="14337" width="10.7109375" style="1189" bestFit="1" customWidth="1"/>
    <col min="14338" max="14338" width="16.5703125" style="1189" bestFit="1" customWidth="1"/>
    <col min="14339" max="14339" width="14.42578125" style="1189" bestFit="1" customWidth="1"/>
    <col min="14340" max="14341" width="15.85546875" style="1189" customWidth="1"/>
    <col min="14342" max="14342" width="11.85546875" style="1189" customWidth="1"/>
    <col min="14343" max="14343" width="18.42578125" style="1189" bestFit="1" customWidth="1"/>
    <col min="14344" max="14592" width="8.7109375" style="1189"/>
    <col min="14593" max="14593" width="10.7109375" style="1189" bestFit="1" customWidth="1"/>
    <col min="14594" max="14594" width="16.5703125" style="1189" bestFit="1" customWidth="1"/>
    <col min="14595" max="14595" width="14.42578125" style="1189" bestFit="1" customWidth="1"/>
    <col min="14596" max="14597" width="15.85546875" style="1189" customWidth="1"/>
    <col min="14598" max="14598" width="11.85546875" style="1189" customWidth="1"/>
    <col min="14599" max="14599" width="18.42578125" style="1189" bestFit="1" customWidth="1"/>
    <col min="14600" max="14848" width="8.7109375" style="1189"/>
    <col min="14849" max="14849" width="10.7109375" style="1189" bestFit="1" customWidth="1"/>
    <col min="14850" max="14850" width="16.5703125" style="1189" bestFit="1" customWidth="1"/>
    <col min="14851" max="14851" width="14.42578125" style="1189" bestFit="1" customWidth="1"/>
    <col min="14852" max="14853" width="15.85546875" style="1189" customWidth="1"/>
    <col min="14854" max="14854" width="11.85546875" style="1189" customWidth="1"/>
    <col min="14855" max="14855" width="18.42578125" style="1189" bestFit="1" customWidth="1"/>
    <col min="14856" max="15104" width="8.7109375" style="1189"/>
    <col min="15105" max="15105" width="10.7109375" style="1189" bestFit="1" customWidth="1"/>
    <col min="15106" max="15106" width="16.5703125" style="1189" bestFit="1" customWidth="1"/>
    <col min="15107" max="15107" width="14.42578125" style="1189" bestFit="1" customWidth="1"/>
    <col min="15108" max="15109" width="15.85546875" style="1189" customWidth="1"/>
    <col min="15110" max="15110" width="11.85546875" style="1189" customWidth="1"/>
    <col min="15111" max="15111" width="18.42578125" style="1189" bestFit="1" customWidth="1"/>
    <col min="15112" max="15360" width="8.7109375" style="1189"/>
    <col min="15361" max="15361" width="10.7109375" style="1189" bestFit="1" customWidth="1"/>
    <col min="15362" max="15362" width="16.5703125" style="1189" bestFit="1" customWidth="1"/>
    <col min="15363" max="15363" width="14.42578125" style="1189" bestFit="1" customWidth="1"/>
    <col min="15364" max="15365" width="15.85546875" style="1189" customWidth="1"/>
    <col min="15366" max="15366" width="11.85546875" style="1189" customWidth="1"/>
    <col min="15367" max="15367" width="18.42578125" style="1189" bestFit="1" customWidth="1"/>
    <col min="15368" max="15616" width="8.7109375" style="1189"/>
    <col min="15617" max="15617" width="10.7109375" style="1189" bestFit="1" customWidth="1"/>
    <col min="15618" max="15618" width="16.5703125" style="1189" bestFit="1" customWidth="1"/>
    <col min="15619" max="15619" width="14.42578125" style="1189" bestFit="1" customWidth="1"/>
    <col min="15620" max="15621" width="15.85546875" style="1189" customWidth="1"/>
    <col min="15622" max="15622" width="11.85546875" style="1189" customWidth="1"/>
    <col min="15623" max="15623" width="18.42578125" style="1189" bestFit="1" customWidth="1"/>
    <col min="15624" max="15872" width="8.7109375" style="1189"/>
    <col min="15873" max="15873" width="10.7109375" style="1189" bestFit="1" customWidth="1"/>
    <col min="15874" max="15874" width="16.5703125" style="1189" bestFit="1" customWidth="1"/>
    <col min="15875" max="15875" width="14.42578125" style="1189" bestFit="1" customWidth="1"/>
    <col min="15876" max="15877" width="15.85546875" style="1189" customWidth="1"/>
    <col min="15878" max="15878" width="11.85546875" style="1189" customWidth="1"/>
    <col min="15879" max="15879" width="18.42578125" style="1189" bestFit="1" customWidth="1"/>
    <col min="15880" max="16128" width="8.7109375" style="1189"/>
    <col min="16129" max="16129" width="10.7109375" style="1189" bestFit="1" customWidth="1"/>
    <col min="16130" max="16130" width="16.5703125" style="1189" bestFit="1" customWidth="1"/>
    <col min="16131" max="16131" width="14.42578125" style="1189" bestFit="1" customWidth="1"/>
    <col min="16132" max="16133" width="15.85546875" style="1189" customWidth="1"/>
    <col min="16134" max="16134" width="11.85546875" style="1189" customWidth="1"/>
    <col min="16135" max="16135" width="18.42578125" style="1189" bestFit="1" customWidth="1"/>
    <col min="16136" max="16384" width="8.7109375" style="1189"/>
  </cols>
  <sheetData>
    <row r="1" spans="1:7">
      <c r="A1" s="1694" t="s">
        <v>3461</v>
      </c>
      <c r="B1" s="1694"/>
      <c r="C1" s="1694"/>
      <c r="D1" s="1694"/>
      <c r="E1" s="1694"/>
      <c r="F1" s="1694"/>
      <c r="G1" s="1694"/>
    </row>
    <row r="2" spans="1:7" ht="63.75">
      <c r="A2" s="1190" t="s">
        <v>2877</v>
      </c>
      <c r="B2" s="1190" t="s">
        <v>3267</v>
      </c>
      <c r="C2" s="1191" t="s">
        <v>3453</v>
      </c>
      <c r="D2" s="1191" t="s">
        <v>3462</v>
      </c>
      <c r="E2" s="1200" t="s">
        <v>3450</v>
      </c>
      <c r="F2" s="1191" t="s">
        <v>593</v>
      </c>
      <c r="G2" s="1190" t="s">
        <v>19</v>
      </c>
    </row>
    <row r="3" spans="1:7">
      <c r="A3" s="1694" t="s">
        <v>1675</v>
      </c>
      <c r="B3" s="1192" t="s">
        <v>3268</v>
      </c>
      <c r="C3" s="1196">
        <v>1</v>
      </c>
      <c r="D3" s="1196"/>
      <c r="E3" s="1195"/>
      <c r="F3" s="1196">
        <f>C3-D3-E3</f>
        <v>1</v>
      </c>
      <c r="G3" s="1196"/>
    </row>
    <row r="4" spans="1:7">
      <c r="A4" s="1694"/>
      <c r="B4" s="1201" t="s">
        <v>3269</v>
      </c>
      <c r="C4" s="1196">
        <v>1</v>
      </c>
      <c r="D4" s="1196"/>
      <c r="E4" s="1195"/>
      <c r="F4" s="1196">
        <f t="shared" ref="F4:F51" si="0">C4-D4-E4</f>
        <v>1</v>
      </c>
      <c r="G4" s="1196"/>
    </row>
    <row r="5" spans="1:7" ht="7.5" customHeight="1">
      <c r="A5" s="1192"/>
      <c r="B5" s="1192"/>
      <c r="C5" s="1196"/>
      <c r="D5" s="1196"/>
      <c r="E5" s="1195"/>
      <c r="F5" s="1196">
        <f t="shared" si="0"/>
        <v>0</v>
      </c>
      <c r="G5" s="1196"/>
    </row>
    <row r="6" spans="1:7">
      <c r="A6" s="1695" t="s">
        <v>2397</v>
      </c>
      <c r="B6" s="1192" t="s">
        <v>3268</v>
      </c>
      <c r="C6" s="1196">
        <v>35</v>
      </c>
      <c r="D6" s="1196">
        <v>14</v>
      </c>
      <c r="E6" s="1195">
        <v>7</v>
      </c>
      <c r="F6" s="1196">
        <f t="shared" si="0"/>
        <v>14</v>
      </c>
      <c r="G6" s="1196"/>
    </row>
    <row r="7" spans="1:7">
      <c r="A7" s="1696"/>
      <c r="B7" s="1201" t="s">
        <v>3269</v>
      </c>
      <c r="C7" s="1196">
        <v>13</v>
      </c>
      <c r="D7" s="1196">
        <v>14</v>
      </c>
      <c r="E7" s="1195"/>
      <c r="F7" s="1196">
        <f t="shared" si="0"/>
        <v>-1</v>
      </c>
      <c r="G7" s="1196" t="s">
        <v>3463</v>
      </c>
    </row>
    <row r="8" spans="1:7">
      <c r="A8" s="1696"/>
      <c r="B8" s="1201" t="s">
        <v>3270</v>
      </c>
      <c r="C8" s="1196">
        <v>3</v>
      </c>
      <c r="D8" s="1196"/>
      <c r="E8" s="1195">
        <v>2</v>
      </c>
      <c r="F8" s="1196">
        <f t="shared" si="0"/>
        <v>1</v>
      </c>
      <c r="G8" s="1196"/>
    </row>
    <row r="9" spans="1:7">
      <c r="A9" s="1696"/>
      <c r="B9" s="1201" t="s">
        <v>3271</v>
      </c>
      <c r="C9" s="1196">
        <v>1</v>
      </c>
      <c r="D9" s="1196"/>
      <c r="E9" s="1195">
        <v>1</v>
      </c>
      <c r="F9" s="1196">
        <f t="shared" si="0"/>
        <v>0</v>
      </c>
      <c r="G9" s="1196"/>
    </row>
    <row r="10" spans="1:7">
      <c r="A10" s="1696"/>
      <c r="B10" s="1201" t="s">
        <v>3272</v>
      </c>
      <c r="C10" s="1196">
        <v>6</v>
      </c>
      <c r="D10" s="1196">
        <v>4</v>
      </c>
      <c r="E10" s="1195">
        <v>1</v>
      </c>
      <c r="F10" s="1196">
        <f t="shared" si="0"/>
        <v>1</v>
      </c>
      <c r="G10" s="1196"/>
    </row>
    <row r="11" spans="1:7">
      <c r="A11" s="1696"/>
      <c r="B11" s="1205" t="s">
        <v>3464</v>
      </c>
      <c r="C11" s="1196">
        <v>28</v>
      </c>
      <c r="D11" s="1196"/>
      <c r="E11" s="1195"/>
      <c r="F11" s="1196">
        <f t="shared" si="0"/>
        <v>28</v>
      </c>
      <c r="G11" s="1196"/>
    </row>
    <row r="12" spans="1:7">
      <c r="A12" s="1696"/>
      <c r="B12" s="1205" t="s">
        <v>3465</v>
      </c>
      <c r="C12" s="1196">
        <v>9</v>
      </c>
      <c r="D12" s="1196"/>
      <c r="E12" s="1195"/>
      <c r="F12" s="1196">
        <f t="shared" si="0"/>
        <v>9</v>
      </c>
      <c r="G12" s="1196"/>
    </row>
    <row r="13" spans="1:7">
      <c r="A13" s="1696"/>
      <c r="B13" s="1205" t="s">
        <v>3466</v>
      </c>
      <c r="C13" s="1196">
        <v>12</v>
      </c>
      <c r="D13" s="1196"/>
      <c r="E13" s="1195">
        <v>8</v>
      </c>
      <c r="F13" s="1196">
        <f t="shared" si="0"/>
        <v>4</v>
      </c>
      <c r="G13" s="1196"/>
    </row>
    <row r="14" spans="1:7">
      <c r="A14" s="1696"/>
      <c r="B14" s="1205" t="s">
        <v>3467</v>
      </c>
      <c r="C14" s="1196">
        <v>10</v>
      </c>
      <c r="D14" s="1196"/>
      <c r="E14" s="1195"/>
      <c r="F14" s="1196">
        <f t="shared" si="0"/>
        <v>10</v>
      </c>
      <c r="G14" s="1196"/>
    </row>
    <row r="15" spans="1:7">
      <c r="A15" s="1696"/>
      <c r="B15" s="1205" t="s">
        <v>3468</v>
      </c>
      <c r="C15" s="1196">
        <v>17</v>
      </c>
      <c r="D15" s="1196"/>
      <c r="E15" s="1195">
        <v>7</v>
      </c>
      <c r="F15" s="1196">
        <f t="shared" si="0"/>
        <v>10</v>
      </c>
      <c r="G15" s="1196"/>
    </row>
    <row r="16" spans="1:7">
      <c r="A16" s="1696"/>
      <c r="B16" s="1205" t="s">
        <v>3469</v>
      </c>
      <c r="C16" s="1196">
        <v>1</v>
      </c>
      <c r="D16" s="1196"/>
      <c r="E16" s="1195"/>
      <c r="F16" s="1196">
        <f t="shared" si="0"/>
        <v>1</v>
      </c>
      <c r="G16" s="1196"/>
    </row>
    <row r="17" spans="1:7">
      <c r="A17" s="1696"/>
      <c r="B17" s="1205" t="s">
        <v>3470</v>
      </c>
      <c r="C17" s="1196">
        <v>7</v>
      </c>
      <c r="D17" s="1196"/>
      <c r="E17" s="1195">
        <v>2</v>
      </c>
      <c r="F17" s="1196">
        <f t="shared" si="0"/>
        <v>5</v>
      </c>
      <c r="G17" s="1196"/>
    </row>
    <row r="18" spans="1:7">
      <c r="A18" s="1696"/>
      <c r="B18" s="1205" t="s">
        <v>3471</v>
      </c>
      <c r="C18" s="1196">
        <v>1</v>
      </c>
      <c r="D18" s="1196"/>
      <c r="E18" s="1195"/>
      <c r="F18" s="1196">
        <f t="shared" si="0"/>
        <v>1</v>
      </c>
      <c r="G18" s="1196"/>
    </row>
    <row r="19" spans="1:7">
      <c r="A19" s="1696"/>
      <c r="B19" s="1205" t="s">
        <v>3472</v>
      </c>
      <c r="C19" s="1196">
        <v>7</v>
      </c>
      <c r="D19" s="1196"/>
      <c r="E19" s="1195"/>
      <c r="F19" s="1196">
        <f t="shared" si="0"/>
        <v>7</v>
      </c>
      <c r="G19" s="1196"/>
    </row>
    <row r="20" spans="1:7" ht="7.5" customHeight="1">
      <c r="A20" s="1192"/>
      <c r="B20" s="1192"/>
      <c r="C20" s="1196"/>
      <c r="D20" s="1196"/>
      <c r="E20" s="1195"/>
      <c r="F20" s="1196">
        <f t="shared" si="0"/>
        <v>0</v>
      </c>
      <c r="G20" s="1196"/>
    </row>
    <row r="21" spans="1:7">
      <c r="A21" s="1695" t="s">
        <v>2398</v>
      </c>
      <c r="B21" s="1192" t="s">
        <v>3268</v>
      </c>
      <c r="C21" s="1196">
        <v>35</v>
      </c>
      <c r="D21" s="1196">
        <v>12</v>
      </c>
      <c r="E21" s="1195">
        <v>6</v>
      </c>
      <c r="F21" s="1196">
        <f t="shared" si="0"/>
        <v>17</v>
      </c>
      <c r="G21" s="1196"/>
    </row>
    <row r="22" spans="1:7">
      <c r="A22" s="1696"/>
      <c r="B22" s="1201" t="s">
        <v>3269</v>
      </c>
      <c r="C22" s="1196">
        <v>13</v>
      </c>
      <c r="D22" s="1196">
        <v>12</v>
      </c>
      <c r="E22" s="1195"/>
      <c r="F22" s="1196">
        <f t="shared" si="0"/>
        <v>1</v>
      </c>
      <c r="G22" s="1196"/>
    </row>
    <row r="23" spans="1:7">
      <c r="A23" s="1696"/>
      <c r="B23" s="1201" t="s">
        <v>3270</v>
      </c>
      <c r="C23" s="1196">
        <v>1</v>
      </c>
      <c r="D23" s="1196"/>
      <c r="E23" s="1195">
        <v>1</v>
      </c>
      <c r="F23" s="1196">
        <f t="shared" si="0"/>
        <v>0</v>
      </c>
      <c r="G23" s="1196"/>
    </row>
    <row r="24" spans="1:7">
      <c r="A24" s="1696"/>
      <c r="B24" s="1201" t="s">
        <v>3271</v>
      </c>
      <c r="C24" s="1196"/>
      <c r="D24" s="1196"/>
      <c r="E24" s="1195"/>
      <c r="F24" s="1196">
        <f t="shared" si="0"/>
        <v>0</v>
      </c>
      <c r="G24" s="1196"/>
    </row>
    <row r="25" spans="1:7">
      <c r="A25" s="1696"/>
      <c r="B25" s="1201" t="s">
        <v>3272</v>
      </c>
      <c r="C25" s="1196">
        <v>5</v>
      </c>
      <c r="D25" s="1196">
        <v>2</v>
      </c>
      <c r="E25" s="1195">
        <v>1</v>
      </c>
      <c r="F25" s="1196">
        <f t="shared" si="0"/>
        <v>2</v>
      </c>
      <c r="G25" s="1196"/>
    </row>
    <row r="26" spans="1:7">
      <c r="A26" s="1696"/>
      <c r="B26" s="1205" t="s">
        <v>3464</v>
      </c>
      <c r="C26" s="1196">
        <v>31</v>
      </c>
      <c r="D26" s="1196"/>
      <c r="E26" s="1195"/>
      <c r="F26" s="1196">
        <f t="shared" si="0"/>
        <v>31</v>
      </c>
      <c r="G26" s="1196"/>
    </row>
    <row r="27" spans="1:7">
      <c r="A27" s="1696"/>
      <c r="B27" s="1205" t="s">
        <v>3465</v>
      </c>
      <c r="C27" s="1196">
        <v>13</v>
      </c>
      <c r="D27" s="1196"/>
      <c r="E27" s="1195"/>
      <c r="F27" s="1196">
        <f t="shared" si="0"/>
        <v>13</v>
      </c>
      <c r="G27" s="1196"/>
    </row>
    <row r="28" spans="1:7">
      <c r="A28" s="1696"/>
      <c r="B28" s="1205" t="s">
        <v>3466</v>
      </c>
      <c r="C28" s="1196">
        <v>15</v>
      </c>
      <c r="D28" s="1196"/>
      <c r="E28" s="1195">
        <v>7</v>
      </c>
      <c r="F28" s="1196">
        <f t="shared" si="0"/>
        <v>8</v>
      </c>
      <c r="G28" s="1196"/>
    </row>
    <row r="29" spans="1:7">
      <c r="A29" s="1696"/>
      <c r="B29" s="1205" t="s">
        <v>3467</v>
      </c>
      <c r="C29" s="1196">
        <v>7</v>
      </c>
      <c r="D29" s="1196"/>
      <c r="E29" s="1195"/>
      <c r="F29" s="1196">
        <f t="shared" si="0"/>
        <v>7</v>
      </c>
      <c r="G29" s="1196"/>
    </row>
    <row r="30" spans="1:7">
      <c r="A30" s="1696"/>
      <c r="B30" s="1205" t="s">
        <v>3468</v>
      </c>
      <c r="C30" s="1196">
        <v>18</v>
      </c>
      <c r="D30" s="1196"/>
      <c r="E30" s="1195">
        <v>7</v>
      </c>
      <c r="F30" s="1196">
        <f t="shared" si="0"/>
        <v>11</v>
      </c>
      <c r="G30" s="1196"/>
    </row>
    <row r="31" spans="1:7">
      <c r="A31" s="1696"/>
      <c r="B31" s="1205" t="s">
        <v>3469</v>
      </c>
      <c r="C31" s="1196">
        <v>2</v>
      </c>
      <c r="D31" s="1196"/>
      <c r="E31" s="1195"/>
      <c r="F31" s="1196">
        <f t="shared" si="0"/>
        <v>2</v>
      </c>
      <c r="G31" s="1196"/>
    </row>
    <row r="32" spans="1:7">
      <c r="A32" s="1696"/>
      <c r="B32" s="1205" t="s">
        <v>3470</v>
      </c>
      <c r="C32" s="1196">
        <v>5</v>
      </c>
      <c r="D32" s="1196"/>
      <c r="E32" s="1195">
        <v>1</v>
      </c>
      <c r="F32" s="1196">
        <f t="shared" si="0"/>
        <v>4</v>
      </c>
      <c r="G32" s="1196"/>
    </row>
    <row r="33" spans="1:7">
      <c r="A33" s="1696"/>
      <c r="B33" s="1205" t="s">
        <v>3471</v>
      </c>
      <c r="C33" s="1196">
        <v>5</v>
      </c>
      <c r="D33" s="1196"/>
      <c r="E33" s="1195"/>
      <c r="F33" s="1196">
        <f t="shared" si="0"/>
        <v>5</v>
      </c>
      <c r="G33" s="1196"/>
    </row>
    <row r="34" spans="1:7">
      <c r="A34" s="1696"/>
      <c r="B34" s="1205" t="s">
        <v>3472</v>
      </c>
      <c r="C34" s="1196">
        <v>16</v>
      </c>
      <c r="D34" s="1196"/>
      <c r="E34" s="1195">
        <v>6</v>
      </c>
      <c r="F34" s="1196">
        <f t="shared" si="0"/>
        <v>10</v>
      </c>
      <c r="G34" s="1196"/>
    </row>
    <row r="35" spans="1:7" ht="6.95" customHeight="1">
      <c r="A35" s="1192"/>
      <c r="B35" s="1192"/>
      <c r="C35" s="1196"/>
      <c r="D35" s="1196"/>
      <c r="E35" s="1195"/>
      <c r="F35" s="1196">
        <f t="shared" si="0"/>
        <v>0</v>
      </c>
      <c r="G35" s="1196"/>
    </row>
    <row r="36" spans="1:7">
      <c r="A36" s="1694" t="s">
        <v>2425</v>
      </c>
      <c r="B36" s="1192" t="s">
        <v>3268</v>
      </c>
      <c r="C36" s="1196">
        <v>41</v>
      </c>
      <c r="D36" s="1196">
        <v>15</v>
      </c>
      <c r="E36" s="1195">
        <v>7</v>
      </c>
      <c r="F36" s="1196">
        <f t="shared" si="0"/>
        <v>19</v>
      </c>
      <c r="G36" s="1196"/>
    </row>
    <row r="37" spans="1:7">
      <c r="A37" s="1694"/>
      <c r="B37" s="1201" t="s">
        <v>3269</v>
      </c>
      <c r="C37" s="1196">
        <v>27</v>
      </c>
      <c r="D37" s="1196">
        <v>15</v>
      </c>
      <c r="E37" s="1195"/>
      <c r="F37" s="1196">
        <f t="shared" si="0"/>
        <v>12</v>
      </c>
      <c r="G37" s="1196"/>
    </row>
    <row r="38" spans="1:7">
      <c r="A38" s="1694"/>
      <c r="B38" s="1201" t="s">
        <v>3270</v>
      </c>
      <c r="C38" s="1196">
        <v>1</v>
      </c>
      <c r="D38" s="1196"/>
      <c r="E38" s="1195">
        <v>1</v>
      </c>
      <c r="F38" s="1196">
        <f t="shared" si="0"/>
        <v>0</v>
      </c>
      <c r="G38" s="1196"/>
    </row>
    <row r="39" spans="1:7">
      <c r="A39" s="1694"/>
      <c r="B39" s="1201" t="s">
        <v>3271</v>
      </c>
      <c r="C39" s="1196">
        <v>1</v>
      </c>
      <c r="D39" s="1196"/>
      <c r="E39" s="1195"/>
      <c r="F39" s="1196">
        <f t="shared" si="0"/>
        <v>1</v>
      </c>
      <c r="G39" s="1196"/>
    </row>
    <row r="40" spans="1:7">
      <c r="A40" s="1694"/>
      <c r="B40" s="1201" t="s">
        <v>3272</v>
      </c>
      <c r="C40" s="1196">
        <v>9</v>
      </c>
      <c r="D40" s="1196">
        <v>5</v>
      </c>
      <c r="E40" s="1195"/>
      <c r="F40" s="1196">
        <f t="shared" si="0"/>
        <v>4</v>
      </c>
      <c r="G40" s="1196"/>
    </row>
    <row r="41" spans="1:7">
      <c r="A41" s="1694"/>
      <c r="B41" s="1205" t="s">
        <v>3464</v>
      </c>
      <c r="C41" s="1196">
        <v>10</v>
      </c>
      <c r="D41" s="1196"/>
      <c r="E41" s="1195"/>
      <c r="F41" s="1196">
        <f t="shared" si="0"/>
        <v>10</v>
      </c>
      <c r="G41" s="1196"/>
    </row>
    <row r="42" spans="1:7">
      <c r="A42" s="1694"/>
      <c r="B42" s="1205" t="s">
        <v>3465</v>
      </c>
      <c r="C42" s="1196">
        <v>5</v>
      </c>
      <c r="D42" s="1196"/>
      <c r="E42" s="1195"/>
      <c r="F42" s="1196">
        <f t="shared" si="0"/>
        <v>5</v>
      </c>
      <c r="G42" s="1196"/>
    </row>
    <row r="43" spans="1:7">
      <c r="A43" s="1694"/>
      <c r="B43" s="1205" t="s">
        <v>3466</v>
      </c>
      <c r="C43" s="1196">
        <v>24</v>
      </c>
      <c r="D43" s="1196"/>
      <c r="E43" s="1195">
        <v>9</v>
      </c>
      <c r="F43" s="1196">
        <f t="shared" si="0"/>
        <v>15</v>
      </c>
      <c r="G43" s="1196"/>
    </row>
    <row r="44" spans="1:7">
      <c r="A44" s="1694"/>
      <c r="B44" s="1205" t="s">
        <v>3467</v>
      </c>
      <c r="C44" s="1196">
        <v>5</v>
      </c>
      <c r="D44" s="1196"/>
      <c r="E44" s="1195"/>
      <c r="F44" s="1196">
        <f t="shared" si="0"/>
        <v>5</v>
      </c>
      <c r="G44" s="1196"/>
    </row>
    <row r="45" spans="1:7">
      <c r="A45" s="1694"/>
      <c r="B45" s="1205" t="s">
        <v>3468</v>
      </c>
      <c r="C45" s="1196">
        <v>8</v>
      </c>
      <c r="D45" s="1196"/>
      <c r="E45" s="1195">
        <v>7</v>
      </c>
      <c r="F45" s="1196">
        <f t="shared" si="0"/>
        <v>1</v>
      </c>
      <c r="G45" s="1196"/>
    </row>
    <row r="46" spans="1:7">
      <c r="A46" s="1694"/>
      <c r="B46" s="1205" t="s">
        <v>3469</v>
      </c>
      <c r="C46" s="1196"/>
      <c r="D46" s="1196"/>
      <c r="E46" s="1195"/>
      <c r="F46" s="1196">
        <f t="shared" si="0"/>
        <v>0</v>
      </c>
      <c r="G46" s="1196"/>
    </row>
    <row r="47" spans="1:7">
      <c r="A47" s="1694"/>
      <c r="B47" s="1205" t="s">
        <v>3470</v>
      </c>
      <c r="C47" s="1196">
        <v>5</v>
      </c>
      <c r="D47" s="1196"/>
      <c r="E47" s="1195">
        <v>1</v>
      </c>
      <c r="F47" s="1196">
        <f t="shared" si="0"/>
        <v>4</v>
      </c>
      <c r="G47" s="1196"/>
    </row>
    <row r="48" spans="1:7">
      <c r="A48" s="1694"/>
      <c r="B48" s="1205" t="s">
        <v>3471</v>
      </c>
      <c r="C48" s="1196">
        <v>3</v>
      </c>
      <c r="D48" s="1196"/>
      <c r="E48" s="1195"/>
      <c r="F48" s="1196">
        <f t="shared" si="0"/>
        <v>3</v>
      </c>
      <c r="G48" s="1206" t="s">
        <v>3473</v>
      </c>
    </row>
    <row r="49" spans="1:7">
      <c r="A49" s="1694"/>
      <c r="B49" s="1205" t="s">
        <v>3472</v>
      </c>
      <c r="C49" s="1196">
        <v>12</v>
      </c>
      <c r="D49" s="1196"/>
      <c r="E49" s="1195"/>
      <c r="F49" s="1196">
        <f t="shared" si="0"/>
        <v>12</v>
      </c>
      <c r="G49" s="1196"/>
    </row>
    <row r="50" spans="1:7">
      <c r="A50" s="1694"/>
      <c r="B50" s="1201" t="s">
        <v>3273</v>
      </c>
      <c r="C50" s="1196">
        <v>6</v>
      </c>
      <c r="D50" s="1196"/>
      <c r="E50" s="1195"/>
      <c r="F50" s="1196">
        <f t="shared" si="0"/>
        <v>6</v>
      </c>
      <c r="G50" s="1196"/>
    </row>
    <row r="51" spans="1:7">
      <c r="A51" s="1694"/>
      <c r="B51" s="1201" t="s">
        <v>3274</v>
      </c>
      <c r="C51" s="1196">
        <v>1</v>
      </c>
      <c r="D51" s="1196"/>
      <c r="E51" s="1195"/>
      <c r="F51" s="1196">
        <f t="shared" si="0"/>
        <v>1</v>
      </c>
      <c r="G51" s="1196"/>
    </row>
    <row r="52" spans="1:7">
      <c r="A52" s="1694" t="s">
        <v>994</v>
      </c>
      <c r="B52" s="1694"/>
      <c r="C52" s="1192">
        <f>C36+C21+C6+C3</f>
        <v>112</v>
      </c>
      <c r="D52" s="1192">
        <f>D36+D21+D6+D3</f>
        <v>41</v>
      </c>
      <c r="E52" s="1188">
        <f>E36+E21+E6+E3</f>
        <v>20</v>
      </c>
      <c r="F52" s="1192">
        <f>F36+F21+F6+F3</f>
        <v>51</v>
      </c>
      <c r="G52" s="119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5"/>
  <cols>
    <col min="3" max="3" width="19.5703125" bestFit="1" customWidth="1"/>
    <col min="4" max="4" width="67.85546875" bestFit="1" customWidth="1"/>
    <col min="7" max="7" width="9.5703125" bestFit="1" customWidth="1"/>
  </cols>
  <sheetData>
    <row r="3" spans="3:7" ht="29.1" customHeight="1">
      <c r="C3" s="10" t="s">
        <v>574</v>
      </c>
      <c r="D3" s="1523" t="s">
        <v>3356</v>
      </c>
      <c r="E3" s="1523"/>
      <c r="F3" s="1523"/>
      <c r="G3" s="1523"/>
    </row>
    <row r="4" spans="3:7">
      <c r="C4" s="10" t="s">
        <v>3352</v>
      </c>
      <c r="D4" s="1522" t="s">
        <v>3353</v>
      </c>
      <c r="E4" s="1522"/>
      <c r="F4" s="1522"/>
      <c r="G4" s="1522"/>
    </row>
    <row r="5" spans="3:7">
      <c r="C5" s="10" t="s">
        <v>3354</v>
      </c>
      <c r="D5" s="1522" t="s">
        <v>3355</v>
      </c>
      <c r="E5" s="1522"/>
      <c r="F5" s="1522"/>
      <c r="G5" s="1522"/>
    </row>
    <row r="6" spans="3:7">
      <c r="C6" s="1522" t="s">
        <v>3357</v>
      </c>
      <c r="D6" s="1522"/>
      <c r="E6" s="10" t="s">
        <v>3358</v>
      </c>
      <c r="F6" s="10" t="s">
        <v>3359</v>
      </c>
      <c r="G6" s="10" t="s">
        <v>3360</v>
      </c>
    </row>
    <row r="7" spans="3:7">
      <c r="C7" s="1710" t="s">
        <v>3361</v>
      </c>
      <c r="D7" s="1710"/>
      <c r="E7" s="33">
        <v>137</v>
      </c>
      <c r="F7" s="33">
        <v>20</v>
      </c>
      <c r="G7" s="1165">
        <v>46402</v>
      </c>
    </row>
    <row r="8" spans="3:7">
      <c r="C8" s="1710" t="s">
        <v>3362</v>
      </c>
      <c r="D8" s="1710"/>
      <c r="E8" s="33">
        <v>33</v>
      </c>
      <c r="F8" s="33">
        <v>22</v>
      </c>
      <c r="G8" s="1165">
        <v>46461</v>
      </c>
    </row>
    <row r="9" spans="3:7">
      <c r="C9" s="1710" t="s">
        <v>3363</v>
      </c>
      <c r="D9" s="1710"/>
      <c r="E9" s="33">
        <v>3.4</v>
      </c>
      <c r="F9" s="33">
        <v>18</v>
      </c>
      <c r="G9" s="1165">
        <v>46341</v>
      </c>
    </row>
    <row r="10" spans="3:7">
      <c r="C10" s="12"/>
      <c r="D10" s="12"/>
      <c r="E10" s="998">
        <f>SUM(E7:E9)</f>
        <v>173.4</v>
      </c>
      <c r="F10" s="12"/>
      <c r="G10" s="12"/>
    </row>
    <row r="11" spans="3:7">
      <c r="C11" s="1711" t="s">
        <v>3364</v>
      </c>
      <c r="D11" s="1538"/>
      <c r="E11" s="1711" t="s">
        <v>3365</v>
      </c>
      <c r="F11" s="1538"/>
      <c r="G11" s="1538"/>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5"/>
  <cols>
    <col min="2" max="2" width="7.5703125" bestFit="1" customWidth="1"/>
    <col min="3" max="3" width="7.85546875" bestFit="1" customWidth="1"/>
    <col min="4" max="4" width="9.5703125" customWidth="1"/>
    <col min="5" max="5" width="15.140625" bestFit="1" customWidth="1"/>
    <col min="6" max="6" width="11.7109375" bestFit="1" customWidth="1"/>
    <col min="7" max="7" width="12.42578125" bestFit="1" customWidth="1"/>
    <col min="8" max="8" width="9.42578125" style="2" bestFit="1" customWidth="1"/>
    <col min="9" max="9" width="8.5703125" style="2" hidden="1" customWidth="1"/>
    <col min="10" max="10" width="9.42578125" style="2" hidden="1" customWidth="1"/>
    <col min="11" max="11" width="8.5703125" style="2" hidden="1" customWidth="1"/>
    <col min="12" max="12" width="9.42578125" style="2" hidden="1" customWidth="1"/>
    <col min="13" max="13" width="12.5703125" style="2" bestFit="1" customWidth="1"/>
    <col min="14" max="15" width="10.42578125" customWidth="1"/>
    <col min="16" max="16" width="70.85546875" customWidth="1"/>
  </cols>
  <sheetData>
    <row r="1" spans="2:16">
      <c r="B1" s="645" t="s">
        <v>37</v>
      </c>
    </row>
    <row r="2" spans="2:16">
      <c r="B2" s="645" t="s">
        <v>1772</v>
      </c>
    </row>
    <row r="3" spans="2:16">
      <c r="B3" s="645" t="s">
        <v>2181</v>
      </c>
    </row>
    <row r="5" spans="2:16" ht="30">
      <c r="B5" s="10" t="s">
        <v>2179</v>
      </c>
      <c r="C5" s="752" t="s">
        <v>2380</v>
      </c>
      <c r="D5" s="752" t="s">
        <v>2381</v>
      </c>
      <c r="E5" s="752" t="s">
        <v>2382</v>
      </c>
      <c r="F5" s="752" t="s">
        <v>2383</v>
      </c>
      <c r="G5" s="752"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522" t="s">
        <v>1918</v>
      </c>
      <c r="C9" s="1522" t="s">
        <v>1433</v>
      </c>
      <c r="D9" s="1523" t="s">
        <v>2367</v>
      </c>
      <c r="E9" s="1523" t="s">
        <v>44</v>
      </c>
      <c r="F9" s="1522" t="s">
        <v>45</v>
      </c>
      <c r="G9" s="1522" t="s">
        <v>627</v>
      </c>
      <c r="H9" s="1622" t="s">
        <v>2180</v>
      </c>
      <c r="I9" s="1691"/>
      <c r="J9" s="1691"/>
      <c r="K9" s="1691"/>
      <c r="L9" s="1691"/>
      <c r="M9" s="1623"/>
      <c r="N9" s="1622" t="s">
        <v>21</v>
      </c>
      <c r="O9" s="1623"/>
      <c r="P9" s="1522" t="s">
        <v>1764</v>
      </c>
    </row>
    <row r="10" spans="2:16">
      <c r="B10" s="1522"/>
      <c r="C10" s="1522"/>
      <c r="D10" s="1523" t="s">
        <v>2367</v>
      </c>
      <c r="E10" s="1523" t="s">
        <v>44</v>
      </c>
      <c r="F10" s="1522" t="s">
        <v>45</v>
      </c>
      <c r="G10" s="1522" t="s">
        <v>627</v>
      </c>
      <c r="H10" s="752" t="s">
        <v>2369</v>
      </c>
      <c r="I10" s="752" t="s">
        <v>2370</v>
      </c>
      <c r="J10" s="752" t="s">
        <v>2369</v>
      </c>
      <c r="K10" s="752" t="s">
        <v>2370</v>
      </c>
      <c r="L10" s="752" t="s">
        <v>2369</v>
      </c>
      <c r="M10" s="752" t="s">
        <v>2370</v>
      </c>
      <c r="N10" s="9" t="s">
        <v>2369</v>
      </c>
      <c r="O10" s="9" t="s">
        <v>2370</v>
      </c>
      <c r="P10" s="1522"/>
    </row>
    <row r="11" spans="2:16">
      <c r="B11" s="13"/>
      <c r="C11" s="12"/>
      <c r="D11" s="12"/>
      <c r="E11" s="12"/>
      <c r="F11" s="12"/>
      <c r="G11" s="12"/>
      <c r="H11" s="13"/>
      <c r="I11" s="13"/>
      <c r="J11" s="13"/>
      <c r="K11" s="13"/>
      <c r="L11" s="13"/>
      <c r="M11" s="13"/>
      <c r="N11" s="12"/>
      <c r="O11" s="12"/>
      <c r="P11" s="12"/>
    </row>
    <row r="12" spans="2:16">
      <c r="B12" s="13">
        <v>1</v>
      </c>
      <c r="C12" s="1525" t="s">
        <v>2371</v>
      </c>
      <c r="D12" s="792" t="s">
        <v>1654</v>
      </c>
      <c r="E12" s="793" t="s">
        <v>76</v>
      </c>
      <c r="F12" s="801" t="s">
        <v>210</v>
      </c>
      <c r="G12" s="795" t="s">
        <v>2372</v>
      </c>
      <c r="H12" s="796">
        <v>45900</v>
      </c>
      <c r="I12" s="796">
        <v>45904</v>
      </c>
      <c r="J12" s="796">
        <v>45902</v>
      </c>
      <c r="K12" s="796">
        <v>45905</v>
      </c>
      <c r="L12" s="796">
        <v>45904</v>
      </c>
      <c r="M12" s="797">
        <v>45909</v>
      </c>
      <c r="N12" s="800">
        <v>45900</v>
      </c>
      <c r="O12" s="800">
        <v>45924</v>
      </c>
      <c r="P12" s="855"/>
    </row>
    <row r="13" spans="2:16">
      <c r="B13" s="13">
        <f t="shared" ref="B13:B30" si="0">B12+1</f>
        <v>2</v>
      </c>
      <c r="C13" s="1525"/>
      <c r="D13" s="809" t="s">
        <v>2423</v>
      </c>
      <c r="E13" s="810" t="s">
        <v>1269</v>
      </c>
      <c r="F13" s="794" t="s">
        <v>2426</v>
      </c>
      <c r="G13" s="795" t="s">
        <v>2372</v>
      </c>
      <c r="H13" s="799">
        <v>45909</v>
      </c>
      <c r="I13" s="799">
        <f>H13+5</f>
        <v>45914</v>
      </c>
      <c r="J13" s="799">
        <f>H13+3</f>
        <v>45912</v>
      </c>
      <c r="K13" s="799">
        <f>J13+4</f>
        <v>45916</v>
      </c>
      <c r="L13" s="799">
        <f>J13+2</f>
        <v>45914</v>
      </c>
      <c r="M13" s="799">
        <f>L13+6</f>
        <v>45920</v>
      </c>
      <c r="N13" s="800">
        <v>45907</v>
      </c>
      <c r="O13" s="800">
        <v>45920</v>
      </c>
      <c r="P13" s="853"/>
    </row>
    <row r="14" spans="2:16">
      <c r="B14" s="13">
        <f t="shared" si="0"/>
        <v>3</v>
      </c>
      <c r="C14" s="1525"/>
      <c r="D14" s="921" t="s">
        <v>1660</v>
      </c>
      <c r="E14" s="922" t="s">
        <v>53</v>
      </c>
      <c r="F14" s="920" t="s">
        <v>2736</v>
      </c>
      <c r="G14" s="795" t="s">
        <v>2372</v>
      </c>
      <c r="H14" s="799">
        <v>45920</v>
      </c>
      <c r="I14" s="799">
        <f>H14+4</f>
        <v>45924</v>
      </c>
      <c r="J14" s="799">
        <f>H14+2</f>
        <v>45922</v>
      </c>
      <c r="K14" s="799">
        <f>J14+3</f>
        <v>45925</v>
      </c>
      <c r="L14" s="799">
        <f>J14+2</f>
        <v>45924</v>
      </c>
      <c r="M14" s="799">
        <f>L14+3</f>
        <v>45927</v>
      </c>
      <c r="N14" s="800">
        <v>45930</v>
      </c>
      <c r="O14" s="12"/>
      <c r="P14" s="892" t="s">
        <v>2737</v>
      </c>
    </row>
    <row r="15" spans="2:16">
      <c r="B15" s="13">
        <f t="shared" si="0"/>
        <v>4</v>
      </c>
      <c r="C15" s="1525"/>
      <c r="D15" s="792" t="s">
        <v>1657</v>
      </c>
      <c r="E15" s="793" t="s">
        <v>76</v>
      </c>
      <c r="F15" s="920" t="s">
        <v>2736</v>
      </c>
      <c r="G15" s="795" t="s">
        <v>2372</v>
      </c>
      <c r="H15" s="799">
        <v>45897</v>
      </c>
      <c r="I15" s="799">
        <v>45902</v>
      </c>
      <c r="J15" s="799">
        <v>45899</v>
      </c>
      <c r="K15" s="799">
        <v>45903</v>
      </c>
      <c r="L15" s="799">
        <v>45902</v>
      </c>
      <c r="M15" s="799">
        <v>45907</v>
      </c>
      <c r="N15" s="800">
        <v>45926</v>
      </c>
      <c r="O15" s="12"/>
      <c r="P15" s="892" t="s">
        <v>1408</v>
      </c>
    </row>
    <row r="16" spans="2:16">
      <c r="B16" s="13">
        <f t="shared" si="0"/>
        <v>5</v>
      </c>
      <c r="C16" s="1525"/>
      <c r="D16" s="792" t="s">
        <v>2373</v>
      </c>
      <c r="E16" s="793" t="s">
        <v>1361</v>
      </c>
      <c r="F16" s="794" t="s">
        <v>897</v>
      </c>
      <c r="G16" s="795" t="s">
        <v>2372</v>
      </c>
      <c r="H16" s="799">
        <v>45907</v>
      </c>
      <c r="I16" s="799">
        <f>H16+5</f>
        <v>45912</v>
      </c>
      <c r="J16" s="799">
        <f>H16+3</f>
        <v>45910</v>
      </c>
      <c r="K16" s="799">
        <f>J16+4</f>
        <v>45914</v>
      </c>
      <c r="L16" s="799">
        <f>J16+2</f>
        <v>45912</v>
      </c>
      <c r="M16" s="799">
        <f>L16+6</f>
        <v>45918</v>
      </c>
      <c r="N16" s="800">
        <v>45910</v>
      </c>
      <c r="O16" s="12"/>
      <c r="P16" s="857" t="s">
        <v>1408</v>
      </c>
    </row>
    <row r="17" spans="2:16">
      <c r="B17" s="13">
        <f t="shared" si="0"/>
        <v>6</v>
      </c>
      <c r="C17" s="1525"/>
      <c r="D17" s="792" t="s">
        <v>2374</v>
      </c>
      <c r="E17" s="793" t="s">
        <v>1277</v>
      </c>
      <c r="F17" s="794" t="s">
        <v>897</v>
      </c>
      <c r="G17" s="795" t="s">
        <v>2372</v>
      </c>
      <c r="H17" s="799">
        <v>45918</v>
      </c>
      <c r="I17" s="799">
        <f>H17+5</f>
        <v>45923</v>
      </c>
      <c r="J17" s="799">
        <f>H17+3</f>
        <v>45921</v>
      </c>
      <c r="K17" s="799">
        <f>J17+4</f>
        <v>45925</v>
      </c>
      <c r="L17" s="799">
        <f>J17+2</f>
        <v>45923</v>
      </c>
      <c r="M17" s="799">
        <f>L17+6</f>
        <v>45929</v>
      </c>
      <c r="N17" s="800">
        <v>45911</v>
      </c>
      <c r="O17" s="12"/>
      <c r="P17" s="892" t="s">
        <v>2821</v>
      </c>
    </row>
    <row r="18" spans="2:16">
      <c r="B18" s="13">
        <f t="shared" si="0"/>
        <v>7</v>
      </c>
      <c r="C18" s="1525"/>
      <c r="D18" s="921" t="s">
        <v>1116</v>
      </c>
      <c r="E18" s="922" t="s">
        <v>62</v>
      </c>
      <c r="F18" s="920" t="s">
        <v>1765</v>
      </c>
      <c r="G18" s="795" t="s">
        <v>2372</v>
      </c>
      <c r="H18" s="799">
        <v>45902</v>
      </c>
      <c r="I18" s="799">
        <f>H18+3</f>
        <v>45905</v>
      </c>
      <c r="J18" s="799">
        <f>H18+2</f>
        <v>45904</v>
      </c>
      <c r="K18" s="799">
        <f>J18+3</f>
        <v>45907</v>
      </c>
      <c r="L18" s="799">
        <f>J18+1</f>
        <v>45905</v>
      </c>
      <c r="M18" s="799">
        <f>L18+4</f>
        <v>45909</v>
      </c>
      <c r="N18" s="800">
        <v>45925</v>
      </c>
      <c r="O18" s="12"/>
      <c r="P18" s="892" t="s">
        <v>2737</v>
      </c>
    </row>
    <row r="19" spans="2:16" ht="30">
      <c r="B19" s="13">
        <f t="shared" si="0"/>
        <v>8</v>
      </c>
      <c r="C19" s="1525"/>
      <c r="D19" s="792" t="s">
        <v>894</v>
      </c>
      <c r="E19" s="793" t="s">
        <v>53</v>
      </c>
      <c r="F19" s="794"/>
      <c r="G19" s="795" t="s">
        <v>2375</v>
      </c>
      <c r="H19" s="799">
        <v>45908</v>
      </c>
      <c r="I19" s="799">
        <f>H19+3</f>
        <v>45911</v>
      </c>
      <c r="J19" s="799">
        <f>H19+2</f>
        <v>45910</v>
      </c>
      <c r="K19" s="799">
        <f>J19+3</f>
        <v>45913</v>
      </c>
      <c r="L19" s="799">
        <f>J19+1</f>
        <v>45911</v>
      </c>
      <c r="M19" s="799">
        <f>L19+4</f>
        <v>45915</v>
      </c>
      <c r="N19" s="12"/>
      <c r="O19" s="12"/>
      <c r="P19" s="12"/>
    </row>
    <row r="20" spans="2:16">
      <c r="B20" s="13">
        <f t="shared" si="0"/>
        <v>9</v>
      </c>
      <c r="C20" s="1525"/>
      <c r="D20" s="792" t="s">
        <v>974</v>
      </c>
      <c r="E20" s="793" t="s">
        <v>62</v>
      </c>
      <c r="F20" s="794"/>
      <c r="G20" s="798" t="s">
        <v>2375</v>
      </c>
      <c r="H20" s="799">
        <v>45914</v>
      </c>
      <c r="I20" s="799">
        <f>H20+3</f>
        <v>45917</v>
      </c>
      <c r="J20" s="799">
        <f>H20+2</f>
        <v>45916</v>
      </c>
      <c r="K20" s="799">
        <f>J20+3</f>
        <v>45919</v>
      </c>
      <c r="L20" s="799">
        <f>J20+1</f>
        <v>45917</v>
      </c>
      <c r="M20" s="799">
        <f>L20+4</f>
        <v>45921</v>
      </c>
      <c r="N20" s="12"/>
      <c r="O20" s="12"/>
      <c r="P20" s="12"/>
    </row>
    <row r="21" spans="2:16">
      <c r="B21" s="13">
        <f t="shared" si="0"/>
        <v>10</v>
      </c>
      <c r="C21" s="1525"/>
      <c r="D21" s="792" t="s">
        <v>814</v>
      </c>
      <c r="E21" s="793" t="s">
        <v>62</v>
      </c>
      <c r="F21" s="794"/>
      <c r="G21" s="798" t="s">
        <v>2375</v>
      </c>
      <c r="H21" s="799">
        <v>45920</v>
      </c>
      <c r="I21" s="799">
        <f>H21+3</f>
        <v>45923</v>
      </c>
      <c r="J21" s="799">
        <f>H21+2</f>
        <v>45922</v>
      </c>
      <c r="K21" s="799">
        <f>J21+3</f>
        <v>45925</v>
      </c>
      <c r="L21" s="799">
        <f>J21+1</f>
        <v>45923</v>
      </c>
      <c r="M21" s="799">
        <f>L21+4</f>
        <v>45927</v>
      </c>
      <c r="N21" s="12"/>
      <c r="O21" s="12"/>
      <c r="P21" s="12"/>
    </row>
    <row r="22" spans="2:16">
      <c r="B22" s="13">
        <f t="shared" si="0"/>
        <v>11</v>
      </c>
      <c r="C22" s="1525" t="s">
        <v>2376</v>
      </c>
      <c r="D22" s="858" t="s">
        <v>2724</v>
      </c>
      <c r="E22" s="859" t="s">
        <v>62</v>
      </c>
      <c r="F22" s="860" t="s">
        <v>1765</v>
      </c>
      <c r="G22" s="795" t="s">
        <v>2372</v>
      </c>
      <c r="H22" s="796">
        <v>45905</v>
      </c>
      <c r="I22" s="796">
        <v>45909</v>
      </c>
      <c r="J22" s="796">
        <v>45907</v>
      </c>
      <c r="K22" s="796">
        <v>45910</v>
      </c>
      <c r="L22" s="796">
        <v>45909</v>
      </c>
      <c r="M22" s="797">
        <v>45912</v>
      </c>
      <c r="N22" s="800">
        <v>45925</v>
      </c>
      <c r="O22" s="12"/>
      <c r="P22" s="857" t="s">
        <v>1408</v>
      </c>
    </row>
    <row r="23" spans="2:16" ht="30">
      <c r="B23" s="13">
        <f t="shared" si="0"/>
        <v>12</v>
      </c>
      <c r="C23" s="1525"/>
      <c r="D23" s="792" t="s">
        <v>2378</v>
      </c>
      <c r="E23" s="793" t="s">
        <v>76</v>
      </c>
      <c r="F23" s="794"/>
      <c r="G23" s="795" t="s">
        <v>2375</v>
      </c>
      <c r="H23" s="796">
        <v>45911</v>
      </c>
      <c r="I23" s="796">
        <v>45915</v>
      </c>
      <c r="J23" s="796">
        <v>45913</v>
      </c>
      <c r="K23" s="796">
        <v>45916</v>
      </c>
      <c r="L23" s="796">
        <v>45915</v>
      </c>
      <c r="M23" s="797">
        <v>45918</v>
      </c>
      <c r="N23" s="12"/>
      <c r="O23" s="12"/>
      <c r="P23" s="12"/>
    </row>
    <row r="24" spans="2:16" ht="30">
      <c r="B24" s="13">
        <f t="shared" si="0"/>
        <v>13</v>
      </c>
      <c r="C24" s="1525"/>
      <c r="D24" s="792" t="s">
        <v>2379</v>
      </c>
      <c r="E24" s="793" t="s">
        <v>76</v>
      </c>
      <c r="F24" s="794"/>
      <c r="G24" s="795" t="s">
        <v>2375</v>
      </c>
      <c r="H24" s="796">
        <v>45920</v>
      </c>
      <c r="I24" s="796">
        <v>45924</v>
      </c>
      <c r="J24" s="796">
        <v>45922</v>
      </c>
      <c r="K24" s="796">
        <v>45925</v>
      </c>
      <c r="L24" s="796">
        <v>45924</v>
      </c>
      <c r="M24" s="797">
        <v>45928</v>
      </c>
      <c r="N24" s="12"/>
      <c r="O24" s="12"/>
      <c r="P24" s="12"/>
    </row>
    <row r="25" spans="2:16" ht="30">
      <c r="B25" s="13">
        <f t="shared" si="0"/>
        <v>14</v>
      </c>
      <c r="C25" s="1525"/>
      <c r="D25" s="792" t="s">
        <v>746</v>
      </c>
      <c r="E25" s="793" t="s">
        <v>53</v>
      </c>
      <c r="F25" s="794"/>
      <c r="G25" s="795" t="s">
        <v>2375</v>
      </c>
      <c r="H25" s="796">
        <v>45908</v>
      </c>
      <c r="I25" s="796">
        <f>H25+4</f>
        <v>45912</v>
      </c>
      <c r="J25" s="796">
        <v>45910</v>
      </c>
      <c r="K25" s="796">
        <f>J25+3</f>
        <v>45913</v>
      </c>
      <c r="L25" s="796">
        <v>45912</v>
      </c>
      <c r="M25" s="797">
        <f>L25+3</f>
        <v>45915</v>
      </c>
      <c r="N25" s="12"/>
      <c r="O25" s="12"/>
      <c r="P25" s="798"/>
    </row>
    <row r="26" spans="2:16" ht="30">
      <c r="B26" s="13">
        <f t="shared" si="0"/>
        <v>15</v>
      </c>
      <c r="C26" s="1525"/>
      <c r="D26" s="792" t="s">
        <v>761</v>
      </c>
      <c r="E26" s="793" t="s">
        <v>62</v>
      </c>
      <c r="F26" s="794"/>
      <c r="G26" s="795" t="s">
        <v>2375</v>
      </c>
      <c r="H26" s="796">
        <v>45915</v>
      </c>
      <c r="I26" s="796">
        <v>45919</v>
      </c>
      <c r="J26" s="796">
        <v>45917</v>
      </c>
      <c r="K26" s="796">
        <v>45920</v>
      </c>
      <c r="L26" s="796">
        <v>45919</v>
      </c>
      <c r="M26" s="796">
        <v>45922</v>
      </c>
      <c r="N26" s="12"/>
      <c r="O26" s="12"/>
      <c r="P26" s="798"/>
    </row>
    <row r="27" spans="2:16" ht="30">
      <c r="B27" s="13">
        <f t="shared" si="0"/>
        <v>16</v>
      </c>
      <c r="C27" s="1525"/>
      <c r="D27" s="792" t="s">
        <v>554</v>
      </c>
      <c r="E27" s="793" t="s">
        <v>76</v>
      </c>
      <c r="F27" s="794"/>
      <c r="G27" s="795" t="s">
        <v>2375</v>
      </c>
      <c r="H27" s="796">
        <v>45922</v>
      </c>
      <c r="I27" s="796">
        <v>45926</v>
      </c>
      <c r="J27" s="796">
        <v>45924</v>
      </c>
      <c r="K27" s="796">
        <v>45927</v>
      </c>
      <c r="L27" s="796">
        <v>45926</v>
      </c>
      <c r="M27" s="796">
        <v>45929</v>
      </c>
      <c r="N27" s="12"/>
      <c r="O27" s="12"/>
      <c r="P27" s="798"/>
    </row>
    <row r="28" spans="2:16" ht="30">
      <c r="B28" s="13">
        <f t="shared" si="0"/>
        <v>17</v>
      </c>
      <c r="C28" s="1525"/>
      <c r="D28" s="792" t="s">
        <v>134</v>
      </c>
      <c r="E28" s="793" t="s">
        <v>76</v>
      </c>
      <c r="F28" s="794"/>
      <c r="G28" s="795" t="s">
        <v>2375</v>
      </c>
      <c r="H28" s="796">
        <v>45908</v>
      </c>
      <c r="I28" s="799">
        <f>H28+4</f>
        <v>45912</v>
      </c>
      <c r="J28" s="799">
        <f>H28+2</f>
        <v>45910</v>
      </c>
      <c r="K28" s="799">
        <f>J28+3</f>
        <v>45913</v>
      </c>
      <c r="L28" s="799">
        <f>J28+2</f>
        <v>45912</v>
      </c>
      <c r="M28" s="799">
        <f>L28+3</f>
        <v>45915</v>
      </c>
      <c r="N28" s="12"/>
      <c r="O28" s="12"/>
      <c r="P28" s="798"/>
    </row>
    <row r="29" spans="2:16" ht="30">
      <c r="B29" s="13">
        <f t="shared" si="0"/>
        <v>18</v>
      </c>
      <c r="C29" s="1525"/>
      <c r="D29" s="792" t="s">
        <v>118</v>
      </c>
      <c r="E29" s="793" t="s">
        <v>53</v>
      </c>
      <c r="F29" s="794"/>
      <c r="G29" s="795" t="s">
        <v>2375</v>
      </c>
      <c r="H29" s="799">
        <v>45915</v>
      </c>
      <c r="I29" s="799">
        <f>H29+4</f>
        <v>45919</v>
      </c>
      <c r="J29" s="799">
        <f>H29+2</f>
        <v>45917</v>
      </c>
      <c r="K29" s="799">
        <f>J29+3</f>
        <v>45920</v>
      </c>
      <c r="L29" s="799">
        <f>J29+2</f>
        <v>45919</v>
      </c>
      <c r="M29" s="799">
        <f>L29+3</f>
        <v>45922</v>
      </c>
      <c r="N29" s="12"/>
      <c r="O29" s="12"/>
      <c r="P29" s="12"/>
    </row>
    <row r="30" spans="2:16" ht="30">
      <c r="B30" s="13">
        <f t="shared" si="0"/>
        <v>19</v>
      </c>
      <c r="C30" s="1525"/>
      <c r="D30" s="792" t="s">
        <v>151</v>
      </c>
      <c r="E30" s="793" t="s">
        <v>76</v>
      </c>
      <c r="F30" s="794"/>
      <c r="G30" s="795" t="s">
        <v>2375</v>
      </c>
      <c r="H30" s="799">
        <v>45922</v>
      </c>
      <c r="I30" s="799">
        <f>H30+4</f>
        <v>45926</v>
      </c>
      <c r="J30" s="799">
        <f>H30+2</f>
        <v>45924</v>
      </c>
      <c r="K30" s="799">
        <f>J30+3</f>
        <v>45927</v>
      </c>
      <c r="L30" s="799">
        <f>J30+2</f>
        <v>45926</v>
      </c>
      <c r="M30" s="799">
        <f>L30+3</f>
        <v>45929</v>
      </c>
      <c r="N30" s="12"/>
      <c r="O30" s="12"/>
      <c r="P30" s="12"/>
    </row>
    <row r="32" spans="2:16">
      <c r="C32" s="645" t="s">
        <v>2385</v>
      </c>
    </row>
    <row r="33" spans="3:16">
      <c r="C33" s="645" t="s">
        <v>2181</v>
      </c>
    </row>
    <row r="35" spans="3:16" ht="30">
      <c r="C35" s="10" t="s">
        <v>2179</v>
      </c>
      <c r="D35" s="752" t="s">
        <v>2380</v>
      </c>
      <c r="E35" s="752" t="s">
        <v>2381</v>
      </c>
      <c r="F35" s="752" t="s">
        <v>2382</v>
      </c>
      <c r="G35" s="752" t="s">
        <v>2383</v>
      </c>
      <c r="H35" s="752"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45" customHeight="1">
      <c r="C39" s="1522" t="s">
        <v>1918</v>
      </c>
      <c r="D39" s="1715" t="s">
        <v>2367</v>
      </c>
      <c r="E39" s="1715" t="s">
        <v>44</v>
      </c>
      <c r="F39" s="1717" t="s">
        <v>45</v>
      </c>
      <c r="G39" s="1717" t="s">
        <v>627</v>
      </c>
      <c r="H39" s="1622" t="s">
        <v>2180</v>
      </c>
      <c r="I39" s="1691"/>
      <c r="J39" s="1691"/>
      <c r="K39" s="1691"/>
      <c r="L39" s="1691"/>
      <c r="M39" s="1623"/>
      <c r="N39" s="1622" t="s">
        <v>21</v>
      </c>
      <c r="O39" s="1623"/>
      <c r="P39" s="10" t="s">
        <v>1764</v>
      </c>
    </row>
    <row r="40" spans="3:16" ht="14.45" customHeight="1">
      <c r="C40" s="1522"/>
      <c r="D40" s="1716"/>
      <c r="E40" s="1716"/>
      <c r="F40" s="1718"/>
      <c r="G40" s="1718"/>
      <c r="H40" s="752" t="s">
        <v>570</v>
      </c>
      <c r="I40" s="752" t="s">
        <v>570</v>
      </c>
      <c r="J40" s="752" t="s">
        <v>2369</v>
      </c>
      <c r="K40" s="752" t="s">
        <v>2370</v>
      </c>
      <c r="L40" s="752" t="s">
        <v>2369</v>
      </c>
      <c r="M40" s="752" t="s">
        <v>2370</v>
      </c>
      <c r="N40" s="752" t="s">
        <v>2369</v>
      </c>
      <c r="O40" s="752" t="s">
        <v>2370</v>
      </c>
      <c r="P40" s="10"/>
    </row>
    <row r="41" spans="3:16" s="802" customFormat="1">
      <c r="C41" s="33">
        <v>1</v>
      </c>
      <c r="D41" s="805" t="s">
        <v>2387</v>
      </c>
      <c r="E41" s="794" t="s">
        <v>1269</v>
      </c>
      <c r="F41" s="794"/>
      <c r="G41" s="795"/>
      <c r="H41" s="796">
        <v>45904</v>
      </c>
      <c r="I41" s="796">
        <v>45915</v>
      </c>
      <c r="J41" s="796">
        <v>45907</v>
      </c>
      <c r="K41" s="796">
        <v>45912</v>
      </c>
      <c r="L41" s="796">
        <v>45909</v>
      </c>
      <c r="M41" s="797">
        <v>45915</v>
      </c>
      <c r="N41" s="803"/>
      <c r="O41" s="803"/>
      <c r="P41" s="1712" t="s">
        <v>2822</v>
      </c>
    </row>
    <row r="42" spans="3:16" s="802" customFormat="1">
      <c r="C42" s="33">
        <f>C41+1</f>
        <v>2</v>
      </c>
      <c r="D42" s="805" t="s">
        <v>2388</v>
      </c>
      <c r="E42" s="794" t="s">
        <v>1277</v>
      </c>
      <c r="F42" s="794"/>
      <c r="G42" s="794"/>
      <c r="H42" s="799">
        <v>45914</v>
      </c>
      <c r="I42" s="799">
        <v>45925</v>
      </c>
      <c r="J42" s="799">
        <f>H42+3</f>
        <v>45917</v>
      </c>
      <c r="K42" s="799">
        <f>J42+5</f>
        <v>45922</v>
      </c>
      <c r="L42" s="799">
        <f>J42+2</f>
        <v>45919</v>
      </c>
      <c r="M42" s="799">
        <f>L42+6</f>
        <v>45925</v>
      </c>
      <c r="N42" s="804"/>
      <c r="O42" s="804"/>
      <c r="P42" s="1713"/>
    </row>
    <row r="43" spans="3:16" s="802" customFormat="1">
      <c r="C43" s="33">
        <f>C42+1</f>
        <v>3</v>
      </c>
      <c r="D43" s="805" t="s">
        <v>2389</v>
      </c>
      <c r="E43" s="794" t="s">
        <v>1277</v>
      </c>
      <c r="F43" s="794"/>
      <c r="G43" s="795"/>
      <c r="H43" s="799">
        <v>45910</v>
      </c>
      <c r="I43" s="799">
        <v>45921</v>
      </c>
      <c r="J43" s="799">
        <f>H43+3</f>
        <v>45913</v>
      </c>
      <c r="K43" s="799">
        <f>J43+5</f>
        <v>45918</v>
      </c>
      <c r="L43" s="799">
        <f>J43+2</f>
        <v>45915</v>
      </c>
      <c r="M43" s="799">
        <f>L43+6</f>
        <v>45921</v>
      </c>
      <c r="N43" s="804"/>
      <c r="O43" s="804"/>
      <c r="P43" s="1714"/>
    </row>
    <row r="45" spans="3:16">
      <c r="C45" s="645" t="s">
        <v>2391</v>
      </c>
    </row>
    <row r="46" spans="3:16">
      <c r="C46" s="645" t="s">
        <v>2181</v>
      </c>
    </row>
    <row r="48" spans="3:16" ht="30">
      <c r="C48" s="10" t="s">
        <v>2179</v>
      </c>
      <c r="D48" s="752" t="s">
        <v>2380</v>
      </c>
      <c r="E48" s="752" t="s">
        <v>2381</v>
      </c>
      <c r="F48" s="752" t="s">
        <v>2382</v>
      </c>
      <c r="G48" s="752" t="s">
        <v>2383</v>
      </c>
      <c r="H48" s="752" t="s">
        <v>994</v>
      </c>
    </row>
    <row r="49" spans="3:16">
      <c r="C49" s="13" t="s">
        <v>2180</v>
      </c>
      <c r="D49" s="13"/>
      <c r="E49" s="13"/>
      <c r="F49" s="13">
        <v>1</v>
      </c>
      <c r="G49" s="13"/>
      <c r="H49" s="13">
        <f>SUM(D49:G49)</f>
        <v>1</v>
      </c>
    </row>
    <row r="50" spans="3:16">
      <c r="C50" s="13" t="s">
        <v>21</v>
      </c>
      <c r="D50" s="13"/>
      <c r="E50" s="13"/>
      <c r="F50" s="13"/>
      <c r="G50" s="13"/>
      <c r="H50" s="13"/>
    </row>
    <row r="52" spans="3:16">
      <c r="C52" s="1522" t="s">
        <v>1918</v>
      </c>
      <c r="D52" s="1523" t="s">
        <v>2367</v>
      </c>
      <c r="E52" s="1523" t="s">
        <v>44</v>
      </c>
      <c r="F52" s="1522" t="s">
        <v>45</v>
      </c>
      <c r="G52" s="1522" t="s">
        <v>627</v>
      </c>
      <c r="H52" s="1622" t="s">
        <v>2180</v>
      </c>
      <c r="I52" s="1691"/>
      <c r="J52" s="1691"/>
      <c r="K52" s="1691"/>
      <c r="L52" s="1691"/>
      <c r="M52" s="1623"/>
      <c r="N52" s="1622" t="s">
        <v>21</v>
      </c>
      <c r="O52" s="1623"/>
      <c r="P52" s="10" t="s">
        <v>1764</v>
      </c>
    </row>
    <row r="53" spans="3:16">
      <c r="C53" s="1522"/>
      <c r="D53" s="1523" t="s">
        <v>2367</v>
      </c>
      <c r="E53" s="1523" t="s">
        <v>44</v>
      </c>
      <c r="F53" s="1522" t="s">
        <v>45</v>
      </c>
      <c r="G53" s="1522" t="s">
        <v>627</v>
      </c>
      <c r="H53" s="752" t="s">
        <v>2369</v>
      </c>
      <c r="I53" s="752" t="s">
        <v>2370</v>
      </c>
      <c r="J53" s="752" t="s">
        <v>2369</v>
      </c>
      <c r="K53" s="752" t="s">
        <v>2370</v>
      </c>
      <c r="L53" s="752" t="s">
        <v>2369</v>
      </c>
      <c r="M53" s="752" t="s">
        <v>2370</v>
      </c>
      <c r="N53" s="752" t="s">
        <v>2369</v>
      </c>
      <c r="O53" s="752" t="s">
        <v>2370</v>
      </c>
      <c r="P53" s="10"/>
    </row>
    <row r="54" spans="3:16" s="367" customFormat="1" ht="57" customHeight="1">
      <c r="C54" s="33">
        <v>1</v>
      </c>
      <c r="D54" s="805" t="s">
        <v>2392</v>
      </c>
      <c r="E54" s="794" t="s">
        <v>2393</v>
      </c>
      <c r="F54" s="794"/>
      <c r="G54" s="795"/>
      <c r="H54" s="796">
        <v>45908</v>
      </c>
      <c r="I54" s="796">
        <v>45915</v>
      </c>
      <c r="J54" s="796">
        <v>45881</v>
      </c>
      <c r="K54" s="796">
        <v>45916</v>
      </c>
      <c r="L54" s="796">
        <v>45914</v>
      </c>
      <c r="M54" s="797">
        <v>45921</v>
      </c>
      <c r="N54" s="796"/>
      <c r="O54" s="796"/>
      <c r="P54" s="806"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ColWidth="8.7109375" defaultRowHeight="15"/>
  <cols>
    <col min="1" max="1" width="8.7109375" style="988"/>
    <col min="2" max="2" width="4.5703125" style="997" bestFit="1" customWidth="1"/>
    <col min="3" max="3" width="7.42578125" style="997" customWidth="1"/>
    <col min="4" max="4" width="11" style="997" hidden="1" customWidth="1"/>
    <col min="5" max="5" width="7.42578125" style="997" customWidth="1"/>
    <col min="6" max="6" width="10.85546875" style="997" bestFit="1" customWidth="1"/>
    <col min="7" max="7" width="10.5703125" style="988" bestFit="1" customWidth="1"/>
    <col min="8" max="8" width="9.85546875" style="997" customWidth="1"/>
    <col min="9" max="9" width="2" style="988" customWidth="1"/>
    <col min="10" max="11" width="8.7109375" style="988"/>
    <col min="12" max="12" width="11.5703125" style="988" hidden="1" customWidth="1"/>
    <col min="13" max="13" width="8.7109375" style="988" customWidth="1"/>
    <col min="14" max="14" width="8.7109375" style="988"/>
    <col min="15" max="15" width="10.5703125" style="988" bestFit="1" customWidth="1"/>
    <col min="16" max="16" width="8.5703125" style="988" customWidth="1"/>
    <col min="17" max="17" width="2.85546875" style="988" customWidth="1"/>
    <col min="18" max="19" width="8.7109375" style="988"/>
    <col min="20" max="20" width="8.7109375" style="988" hidden="1" customWidth="1"/>
    <col min="21" max="21" width="8.7109375" style="988" customWidth="1"/>
    <col min="22" max="16384" width="8.7109375" style="988"/>
  </cols>
  <sheetData>
    <row r="1" spans="2:22">
      <c r="B1" s="1719" t="s">
        <v>3075</v>
      </c>
      <c r="C1" s="1719"/>
      <c r="D1" s="1719"/>
      <c r="E1" s="1719"/>
      <c r="F1" s="1719"/>
      <c r="G1" s="1719"/>
      <c r="H1" s="1719"/>
      <c r="J1" s="1720" t="s">
        <v>3076</v>
      </c>
      <c r="K1" s="1720"/>
      <c r="L1" s="1720"/>
      <c r="M1" s="1720"/>
      <c r="N1" s="1720"/>
      <c r="O1" s="1720"/>
      <c r="P1" s="1720"/>
      <c r="R1" s="1719" t="s">
        <v>3077</v>
      </c>
      <c r="S1" s="1719"/>
      <c r="T1" s="1719"/>
      <c r="U1" s="1719"/>
      <c r="V1" s="1719"/>
    </row>
    <row r="2" spans="2:22" ht="20.45" customHeight="1">
      <c r="B2" s="1720" t="s">
        <v>1782</v>
      </c>
      <c r="C2" s="1720" t="s">
        <v>3078</v>
      </c>
      <c r="D2" s="1721" t="s">
        <v>3258</v>
      </c>
      <c r="E2" s="1721" t="s">
        <v>3266</v>
      </c>
      <c r="F2" s="1721" t="s">
        <v>3080</v>
      </c>
      <c r="G2" s="1027" t="s">
        <v>3246</v>
      </c>
      <c r="H2" s="1720" t="s">
        <v>19</v>
      </c>
      <c r="J2" s="1720" t="s">
        <v>1782</v>
      </c>
      <c r="K2" s="1720" t="s">
        <v>3078</v>
      </c>
      <c r="L2" s="1721" t="s">
        <v>3258</v>
      </c>
      <c r="M2" s="1721" t="s">
        <v>3266</v>
      </c>
      <c r="N2" s="1721" t="s">
        <v>3080</v>
      </c>
      <c r="O2" s="1027" t="s">
        <v>3246</v>
      </c>
      <c r="P2" s="1720" t="s">
        <v>19</v>
      </c>
      <c r="R2" s="1720" t="s">
        <v>1782</v>
      </c>
      <c r="S2" s="1720" t="s">
        <v>3078</v>
      </c>
      <c r="T2" s="1721" t="s">
        <v>3079</v>
      </c>
      <c r="U2" s="1721" t="s">
        <v>3266</v>
      </c>
      <c r="V2" s="1721" t="s">
        <v>3080</v>
      </c>
    </row>
    <row r="3" spans="2:22" ht="20.45" customHeight="1">
      <c r="B3" s="1720"/>
      <c r="C3" s="1720"/>
      <c r="D3" s="1720"/>
      <c r="E3" s="1721"/>
      <c r="F3" s="1721"/>
      <c r="G3" s="989"/>
      <c r="H3" s="1720"/>
      <c r="J3" s="1720"/>
      <c r="K3" s="1720"/>
      <c r="L3" s="1720"/>
      <c r="M3" s="1721"/>
      <c r="N3" s="1721"/>
      <c r="O3" s="989"/>
      <c r="P3" s="1720"/>
      <c r="R3" s="1720"/>
      <c r="S3" s="1720"/>
      <c r="T3" s="1720"/>
      <c r="U3" s="1721"/>
      <c r="V3" s="1721"/>
    </row>
    <row r="4" spans="2:22">
      <c r="B4" s="990">
        <v>1</v>
      </c>
      <c r="C4" s="990" t="s">
        <v>1675</v>
      </c>
      <c r="D4" s="990">
        <v>201</v>
      </c>
      <c r="E4" s="1722">
        <f>370+64</f>
        <v>434</v>
      </c>
      <c r="F4" s="990">
        <v>186</v>
      </c>
      <c r="G4" s="990"/>
      <c r="H4" s="1029"/>
      <c r="J4" s="990">
        <v>1</v>
      </c>
      <c r="K4" s="990" t="s">
        <v>1675</v>
      </c>
      <c r="L4" s="990">
        <v>1</v>
      </c>
      <c r="M4" s="1722">
        <v>129</v>
      </c>
      <c r="N4" s="990">
        <v>2</v>
      </c>
      <c r="O4" s="990"/>
      <c r="P4" s="1028"/>
      <c r="R4" s="991">
        <v>1</v>
      </c>
      <c r="S4" s="991" t="s">
        <v>1868</v>
      </c>
      <c r="T4" s="991">
        <v>13</v>
      </c>
      <c r="U4" s="991">
        <v>14</v>
      </c>
      <c r="V4" s="991">
        <v>10</v>
      </c>
    </row>
    <row r="5" spans="2:22">
      <c r="B5" s="991">
        <f>B4+1</f>
        <v>2</v>
      </c>
      <c r="C5" s="990" t="s">
        <v>2397</v>
      </c>
      <c r="D5" s="990">
        <v>57</v>
      </c>
      <c r="E5" s="1722"/>
      <c r="F5" s="990">
        <v>49</v>
      </c>
      <c r="G5" s="990"/>
      <c r="H5" s="1029"/>
      <c r="J5" s="990">
        <f>J4+1</f>
        <v>2</v>
      </c>
      <c r="K5" s="990" t="s">
        <v>2397</v>
      </c>
      <c r="L5" s="990">
        <v>20</v>
      </c>
      <c r="M5" s="1722"/>
      <c r="N5" s="990">
        <v>18.75</v>
      </c>
      <c r="O5" s="990"/>
      <c r="P5" s="1028"/>
      <c r="R5" s="1723" t="s">
        <v>994</v>
      </c>
      <c r="S5" s="1723"/>
      <c r="T5" s="993">
        <f>SUM(T1:T4)</f>
        <v>13</v>
      </c>
      <c r="U5" s="993">
        <f>SUM(U1:U4)</f>
        <v>14</v>
      </c>
      <c r="V5" s="993">
        <f>SUM(V1:V4)</f>
        <v>10</v>
      </c>
    </row>
    <row r="6" spans="2:22">
      <c r="B6" s="991">
        <f>B5+1</f>
        <v>3</v>
      </c>
      <c r="C6" s="990" t="s">
        <v>2398</v>
      </c>
      <c r="D6" s="990">
        <v>44</v>
      </c>
      <c r="E6" s="1722"/>
      <c r="F6" s="990">
        <v>38</v>
      </c>
      <c r="G6" s="990"/>
      <c r="H6" s="1029"/>
      <c r="J6" s="990">
        <f>J5+1</f>
        <v>3</v>
      </c>
      <c r="K6" s="990" t="s">
        <v>2398</v>
      </c>
      <c r="L6" s="990">
        <v>21</v>
      </c>
      <c r="M6" s="1722"/>
      <c r="N6" s="990">
        <v>16.75</v>
      </c>
      <c r="O6" s="990"/>
      <c r="P6" s="1028"/>
    </row>
    <row r="7" spans="2:22">
      <c r="B7" s="991">
        <f>B6+1</f>
        <v>4</v>
      </c>
      <c r="C7" s="990" t="s">
        <v>2425</v>
      </c>
      <c r="D7" s="990">
        <v>63</v>
      </c>
      <c r="E7" s="1722"/>
      <c r="F7" s="990">
        <v>54</v>
      </c>
      <c r="G7" s="990"/>
      <c r="H7" s="991"/>
      <c r="J7" s="990">
        <f>J6+1</f>
        <v>4</v>
      </c>
      <c r="K7" s="990" t="s">
        <v>2425</v>
      </c>
      <c r="L7" s="990">
        <f>22+7</f>
        <v>29</v>
      </c>
      <c r="M7" s="1722"/>
      <c r="N7" s="990">
        <v>26</v>
      </c>
      <c r="O7" s="990"/>
      <c r="P7" s="990"/>
    </row>
    <row r="8" spans="2:22">
      <c r="B8" s="1723" t="s">
        <v>994</v>
      </c>
      <c r="C8" s="1723"/>
      <c r="D8" s="993">
        <f t="shared" ref="D8:F8" si="0">SUM(D4:D7)</f>
        <v>365</v>
      </c>
      <c r="E8" s="993">
        <f t="shared" si="0"/>
        <v>434</v>
      </c>
      <c r="F8" s="993">
        <f t="shared" si="0"/>
        <v>327</v>
      </c>
      <c r="G8" s="993"/>
      <c r="H8" s="991"/>
      <c r="J8" s="1724" t="s">
        <v>994</v>
      </c>
      <c r="K8" s="1724"/>
      <c r="L8" s="993">
        <f>SUM(L4:L7)</f>
        <v>71</v>
      </c>
      <c r="M8" s="993">
        <f>SUM(M4:M7)</f>
        <v>129</v>
      </c>
      <c r="N8" s="993">
        <f>SUM(N4:N7)</f>
        <v>63.5</v>
      </c>
      <c r="O8" s="993"/>
      <c r="P8" s="993"/>
    </row>
    <row r="10" spans="2:22">
      <c r="B10" s="1719" t="s">
        <v>3075</v>
      </c>
      <c r="C10" s="1719"/>
      <c r="D10" s="1719"/>
      <c r="E10" s="1719"/>
      <c r="F10" s="1719"/>
      <c r="G10" s="1719"/>
      <c r="H10" s="1719"/>
      <c r="J10" s="1725" t="s">
        <v>3081</v>
      </c>
      <c r="K10" s="1726"/>
      <c r="L10" s="1726"/>
      <c r="M10" s="1726"/>
      <c r="N10" s="1726"/>
      <c r="O10" s="1726"/>
      <c r="P10" s="1727"/>
      <c r="R10" s="1719" t="s">
        <v>3082</v>
      </c>
      <c r="S10" s="1719"/>
      <c r="T10" s="1719"/>
      <c r="U10" s="1719"/>
      <c r="V10" s="1719"/>
    </row>
    <row r="11" spans="2:22" ht="20.45" customHeight="1">
      <c r="B11" s="1720" t="s">
        <v>1782</v>
      </c>
      <c r="C11" s="1720" t="s">
        <v>2877</v>
      </c>
      <c r="D11" s="1721" t="s">
        <v>3258</v>
      </c>
      <c r="E11" s="1721" t="s">
        <v>3266</v>
      </c>
      <c r="F11" s="1721" t="s">
        <v>3080</v>
      </c>
      <c r="G11" s="1027" t="s">
        <v>3246</v>
      </c>
      <c r="H11" s="1720" t="s">
        <v>19</v>
      </c>
      <c r="J11" s="1720" t="s">
        <v>1782</v>
      </c>
      <c r="K11" s="1721" t="s">
        <v>2877</v>
      </c>
      <c r="L11" s="1721" t="s">
        <v>3258</v>
      </c>
      <c r="M11" s="1721" t="s">
        <v>3266</v>
      </c>
      <c r="N11" s="1721" t="s">
        <v>3080</v>
      </c>
      <c r="O11" s="1027" t="s">
        <v>3246</v>
      </c>
      <c r="P11" s="1720" t="s">
        <v>19</v>
      </c>
      <c r="R11" s="1720" t="s">
        <v>1782</v>
      </c>
      <c r="S11" s="1720" t="s">
        <v>2877</v>
      </c>
      <c r="T11" s="1721" t="s">
        <v>3079</v>
      </c>
      <c r="U11" s="1721" t="s">
        <v>3266</v>
      </c>
      <c r="V11" s="1721" t="s">
        <v>3080</v>
      </c>
    </row>
    <row r="12" spans="2:22" ht="20.45" customHeight="1">
      <c r="B12" s="1720"/>
      <c r="C12" s="1720"/>
      <c r="D12" s="1720"/>
      <c r="E12" s="1721"/>
      <c r="F12" s="1721"/>
      <c r="G12" s="989">
        <v>38</v>
      </c>
      <c r="H12" s="1720"/>
      <c r="J12" s="1720"/>
      <c r="K12" s="1720"/>
      <c r="L12" s="1720"/>
      <c r="M12" s="1721"/>
      <c r="N12" s="1721"/>
      <c r="O12" s="989"/>
      <c r="P12" s="1720"/>
      <c r="R12" s="1720"/>
      <c r="S12" s="1720"/>
      <c r="T12" s="1720"/>
      <c r="U12" s="1721"/>
      <c r="V12" s="1721"/>
    </row>
    <row r="13" spans="2:22">
      <c r="B13" s="990">
        <v>1</v>
      </c>
      <c r="C13" s="994" t="s">
        <v>1675</v>
      </c>
      <c r="D13" s="994">
        <v>11</v>
      </c>
      <c r="E13" s="1722">
        <f>101+115</f>
        <v>216</v>
      </c>
      <c r="F13" s="994"/>
      <c r="G13" s="994"/>
      <c r="H13" s="991"/>
      <c r="J13" s="990">
        <v>1</v>
      </c>
      <c r="K13" s="990" t="s">
        <v>2863</v>
      </c>
      <c r="L13" s="994"/>
      <c r="M13" s="1728">
        <v>100</v>
      </c>
      <c r="N13" s="994"/>
      <c r="O13" s="994"/>
      <c r="P13" s="994"/>
      <c r="R13" s="991">
        <v>1</v>
      </c>
      <c r="S13" s="991" t="s">
        <v>1868</v>
      </c>
      <c r="T13" s="991">
        <v>13</v>
      </c>
      <c r="U13" s="991">
        <v>14</v>
      </c>
      <c r="V13" s="991"/>
    </row>
    <row r="14" spans="2:22">
      <c r="B14" s="990"/>
      <c r="C14" s="990" t="s">
        <v>2863</v>
      </c>
      <c r="D14" s="990">
        <v>201</v>
      </c>
      <c r="E14" s="1722"/>
      <c r="F14" s="990">
        <v>171</v>
      </c>
      <c r="G14" s="990"/>
      <c r="H14" s="1153"/>
      <c r="J14" s="1150"/>
      <c r="K14" s="1150" t="s">
        <v>2864</v>
      </c>
      <c r="L14" s="990"/>
      <c r="M14" s="1729"/>
      <c r="N14" s="990"/>
      <c r="O14" s="990"/>
      <c r="P14" s="990"/>
      <c r="R14" s="992" t="s">
        <v>994</v>
      </c>
      <c r="S14" s="992"/>
      <c r="T14" s="993">
        <f>SUM(T10:T13)</f>
        <v>13</v>
      </c>
      <c r="U14" s="993">
        <f>SUM(U10:U13)</f>
        <v>14</v>
      </c>
      <c r="V14" s="993"/>
    </row>
    <row r="15" spans="2:22">
      <c r="B15" s="990"/>
      <c r="C15" s="990" t="s">
        <v>2864</v>
      </c>
      <c r="D15" s="990">
        <v>140</v>
      </c>
      <c r="E15" s="1722"/>
      <c r="F15" s="990">
        <v>110</v>
      </c>
      <c r="G15" s="990"/>
      <c r="H15" s="991"/>
      <c r="I15" s="1155"/>
      <c r="J15" s="990"/>
      <c r="K15" s="990" t="s">
        <v>3083</v>
      </c>
      <c r="L15" s="1152"/>
      <c r="M15" s="1729"/>
      <c r="N15" s="990"/>
      <c r="O15" s="990"/>
      <c r="P15" s="990"/>
    </row>
    <row r="16" spans="2:22">
      <c r="B16" s="990"/>
      <c r="C16" s="990" t="s">
        <v>3083</v>
      </c>
      <c r="D16" s="990">
        <v>61</v>
      </c>
      <c r="E16" s="1722"/>
      <c r="F16" s="990">
        <v>61</v>
      </c>
      <c r="G16" s="990"/>
      <c r="H16" s="991"/>
      <c r="I16" s="1155"/>
      <c r="J16" s="1155"/>
      <c r="K16" s="1155"/>
      <c r="L16" s="1152"/>
      <c r="M16" s="1729"/>
      <c r="N16" s="990"/>
      <c r="O16" s="990"/>
      <c r="P16" s="990"/>
    </row>
    <row r="17" spans="2:16">
      <c r="B17" s="990"/>
      <c r="C17" s="990" t="s">
        <v>3084</v>
      </c>
      <c r="D17" s="990">
        <v>25</v>
      </c>
      <c r="E17" s="1722"/>
      <c r="F17" s="990">
        <v>22</v>
      </c>
      <c r="G17" s="990"/>
      <c r="H17" s="1154"/>
      <c r="J17" s="1151"/>
      <c r="K17" s="1151" t="s">
        <v>3084</v>
      </c>
      <c r="L17" s="990"/>
      <c r="M17" s="1729"/>
      <c r="N17" s="990"/>
      <c r="O17" s="990"/>
      <c r="P17" s="990"/>
    </row>
    <row r="18" spans="2:16">
      <c r="B18" s="990"/>
      <c r="C18" s="990" t="s">
        <v>2865</v>
      </c>
      <c r="D18" s="990">
        <v>6</v>
      </c>
      <c r="E18" s="1722"/>
      <c r="F18" s="990">
        <v>4</v>
      </c>
      <c r="G18" s="990"/>
      <c r="H18" s="991"/>
      <c r="J18" s="990"/>
      <c r="K18" s="990" t="s">
        <v>2865</v>
      </c>
      <c r="L18" s="990"/>
      <c r="M18" s="1729"/>
      <c r="N18" s="990"/>
      <c r="O18" s="990"/>
      <c r="P18" s="990"/>
    </row>
    <row r="19" spans="2:16">
      <c r="B19" s="991">
        <f>B13+1</f>
        <v>2</v>
      </c>
      <c r="C19" s="994" t="s">
        <v>2397</v>
      </c>
      <c r="D19" s="994"/>
      <c r="E19" s="1722"/>
      <c r="F19" s="994"/>
      <c r="G19" s="995"/>
      <c r="H19" s="991"/>
      <c r="J19" s="991">
        <f>J13+1</f>
        <v>2</v>
      </c>
      <c r="K19" s="994" t="s">
        <v>2397</v>
      </c>
      <c r="L19" s="994"/>
      <c r="M19" s="1729"/>
      <c r="N19" s="994"/>
      <c r="O19" s="995"/>
      <c r="P19" s="994"/>
    </row>
    <row r="20" spans="2:16">
      <c r="B20" s="991"/>
      <c r="C20" s="990" t="s">
        <v>2863</v>
      </c>
      <c r="D20" s="990">
        <v>57</v>
      </c>
      <c r="E20" s="1722"/>
      <c r="F20" s="990">
        <v>34</v>
      </c>
      <c r="G20" s="991"/>
      <c r="H20" s="991"/>
      <c r="J20" s="991"/>
      <c r="K20" s="990" t="s">
        <v>2863</v>
      </c>
      <c r="L20" s="990"/>
      <c r="M20" s="1729"/>
      <c r="N20" s="991">
        <v>14</v>
      </c>
      <c r="O20" s="991"/>
      <c r="P20" s="990"/>
    </row>
    <row r="21" spans="2:16">
      <c r="B21" s="991"/>
      <c r="C21" s="990" t="s">
        <v>2864</v>
      </c>
      <c r="D21" s="990" t="s">
        <v>3338</v>
      </c>
      <c r="E21" s="1722"/>
      <c r="F21" s="990">
        <v>31</v>
      </c>
      <c r="G21" s="991"/>
      <c r="H21" s="991"/>
      <c r="J21" s="991"/>
      <c r="K21" s="990" t="s">
        <v>2864</v>
      </c>
      <c r="L21" s="990"/>
      <c r="M21" s="1729"/>
      <c r="N21" s="991">
        <v>14</v>
      </c>
      <c r="O21" s="991"/>
      <c r="P21" s="990"/>
    </row>
    <row r="22" spans="2:16">
      <c r="B22" s="991"/>
      <c r="C22" s="990" t="s">
        <v>3083</v>
      </c>
      <c r="D22" s="990">
        <v>21</v>
      </c>
      <c r="E22" s="1722"/>
      <c r="F22" s="990">
        <v>3</v>
      </c>
      <c r="G22" s="991"/>
      <c r="H22" s="991"/>
      <c r="J22" s="991"/>
      <c r="K22" s="990" t="s">
        <v>3083</v>
      </c>
      <c r="L22" s="990"/>
      <c r="M22" s="1729"/>
      <c r="N22" s="991"/>
      <c r="O22" s="991"/>
      <c r="P22" s="990"/>
    </row>
    <row r="23" spans="2:16">
      <c r="B23" s="991"/>
      <c r="C23" s="990" t="s">
        <v>3084</v>
      </c>
      <c r="D23" s="990">
        <v>22</v>
      </c>
      <c r="E23" s="1722"/>
      <c r="F23" s="990">
        <v>2</v>
      </c>
      <c r="G23" s="991"/>
      <c r="H23" s="991"/>
      <c r="J23" s="991"/>
      <c r="K23" s="990" t="s">
        <v>3084</v>
      </c>
      <c r="L23" s="990"/>
      <c r="M23" s="1729"/>
      <c r="N23" s="991"/>
      <c r="O23" s="991"/>
      <c r="P23" s="990"/>
    </row>
    <row r="24" spans="2:16">
      <c r="B24" s="991"/>
      <c r="C24" s="990" t="s">
        <v>2865</v>
      </c>
      <c r="D24" s="990">
        <v>9</v>
      </c>
      <c r="E24" s="1722"/>
      <c r="F24" s="990">
        <v>2</v>
      </c>
      <c r="G24" s="991"/>
      <c r="H24" s="991"/>
      <c r="J24" s="991"/>
      <c r="K24" s="990" t="s">
        <v>2865</v>
      </c>
      <c r="L24" s="990"/>
      <c r="M24" s="1729"/>
      <c r="N24" s="991">
        <v>4</v>
      </c>
      <c r="O24" s="991"/>
      <c r="P24" s="990"/>
    </row>
    <row r="25" spans="2:16">
      <c r="B25" s="991"/>
      <c r="C25" s="996" t="s">
        <v>3085</v>
      </c>
      <c r="D25" s="990"/>
      <c r="E25" s="1722"/>
      <c r="F25" s="990"/>
      <c r="G25" s="991"/>
      <c r="H25" s="991"/>
      <c r="J25" s="991"/>
      <c r="K25" s="996" t="s">
        <v>3085</v>
      </c>
      <c r="L25" s="990"/>
      <c r="M25" s="1729"/>
      <c r="N25" s="990"/>
      <c r="O25" s="991"/>
      <c r="P25" s="990"/>
    </row>
    <row r="26" spans="2:16">
      <c r="B26" s="991"/>
      <c r="C26" s="996" t="s">
        <v>3086</v>
      </c>
      <c r="D26" s="990"/>
      <c r="E26" s="1722"/>
      <c r="F26" s="990"/>
      <c r="G26" s="991"/>
      <c r="H26" s="991"/>
      <c r="J26" s="991"/>
      <c r="K26" s="996" t="s">
        <v>3086</v>
      </c>
      <c r="L26" s="990"/>
      <c r="M26" s="1729"/>
      <c r="N26" s="990"/>
      <c r="O26" s="991"/>
      <c r="P26" s="990"/>
    </row>
    <row r="27" spans="2:16">
      <c r="B27" s="991">
        <f>B19+1</f>
        <v>3</v>
      </c>
      <c r="C27" s="994" t="s">
        <v>2398</v>
      </c>
      <c r="D27" s="994"/>
      <c r="E27" s="1722"/>
      <c r="F27" s="994"/>
      <c r="G27" s="995"/>
      <c r="H27" s="991"/>
      <c r="J27" s="991">
        <f>J19+1</f>
        <v>3</v>
      </c>
      <c r="K27" s="994" t="s">
        <v>2398</v>
      </c>
      <c r="L27" s="994"/>
      <c r="M27" s="1729"/>
      <c r="N27" s="994"/>
      <c r="O27" s="995"/>
      <c r="P27" s="994"/>
    </row>
    <row r="28" spans="2:16">
      <c r="B28" s="991"/>
      <c r="C28" s="990" t="s">
        <v>2863</v>
      </c>
      <c r="D28" s="990">
        <v>44</v>
      </c>
      <c r="E28" s="1722"/>
      <c r="F28" s="990">
        <v>33</v>
      </c>
      <c r="G28" s="991"/>
      <c r="H28" s="991"/>
      <c r="J28" s="991"/>
      <c r="K28" s="990" t="s">
        <v>2863</v>
      </c>
      <c r="L28" s="990"/>
      <c r="M28" s="1729"/>
      <c r="N28" s="991">
        <v>12</v>
      </c>
      <c r="O28" s="991"/>
      <c r="P28" s="990"/>
    </row>
    <row r="29" spans="2:16">
      <c r="B29" s="991"/>
      <c r="C29" s="990" t="s">
        <v>2864</v>
      </c>
      <c r="D29" s="990">
        <v>33</v>
      </c>
      <c r="E29" s="1722"/>
      <c r="F29" s="990">
        <v>25</v>
      </c>
      <c r="G29" s="991"/>
      <c r="H29" s="991"/>
      <c r="J29" s="991"/>
      <c r="K29" s="990" t="s">
        <v>2864</v>
      </c>
      <c r="L29" s="990"/>
      <c r="M29" s="1729"/>
      <c r="N29" s="991">
        <v>12</v>
      </c>
      <c r="O29" s="991"/>
      <c r="P29" s="990"/>
    </row>
    <row r="30" spans="2:16">
      <c r="B30" s="991"/>
      <c r="C30" s="990" t="s">
        <v>3083</v>
      </c>
      <c r="D30" s="990">
        <v>11</v>
      </c>
      <c r="E30" s="1722"/>
      <c r="F30" s="990">
        <v>8</v>
      </c>
      <c r="G30" s="991"/>
      <c r="H30" s="991"/>
      <c r="J30" s="991"/>
      <c r="K30" s="990" t="s">
        <v>3083</v>
      </c>
      <c r="L30" s="990"/>
      <c r="M30" s="1729"/>
      <c r="N30" s="991"/>
      <c r="O30" s="991"/>
      <c r="P30" s="990"/>
    </row>
    <row r="31" spans="2:16">
      <c r="B31" s="991"/>
      <c r="C31" s="990" t="s">
        <v>3084</v>
      </c>
      <c r="D31" s="990">
        <v>3</v>
      </c>
      <c r="E31" s="1722"/>
      <c r="F31" s="990">
        <v>2</v>
      </c>
      <c r="G31" s="991"/>
      <c r="H31" s="991"/>
      <c r="J31" s="991"/>
      <c r="K31" s="990" t="s">
        <v>3084</v>
      </c>
      <c r="L31" s="990"/>
      <c r="M31" s="1729"/>
      <c r="N31" s="991"/>
      <c r="O31" s="991"/>
      <c r="P31" s="990"/>
    </row>
    <row r="32" spans="2:16">
      <c r="B32" s="991"/>
      <c r="C32" s="990" t="s">
        <v>2865</v>
      </c>
      <c r="D32" s="990">
        <v>6</v>
      </c>
      <c r="E32" s="1722"/>
      <c r="F32" s="990">
        <v>3</v>
      </c>
      <c r="G32" s="991"/>
      <c r="H32" s="991"/>
      <c r="J32" s="991"/>
      <c r="K32" s="990" t="s">
        <v>2865</v>
      </c>
      <c r="L32" s="990"/>
      <c r="M32" s="1729"/>
      <c r="N32" s="991">
        <v>2</v>
      </c>
      <c r="O32" s="991"/>
      <c r="P32" s="990"/>
    </row>
    <row r="33" spans="2:16">
      <c r="B33" s="991"/>
      <c r="C33" s="996" t="s">
        <v>3085</v>
      </c>
      <c r="D33" s="990"/>
      <c r="E33" s="1722"/>
      <c r="F33" s="990"/>
      <c r="G33" s="991"/>
      <c r="H33" s="991"/>
      <c r="J33" s="991"/>
      <c r="K33" s="996" t="s">
        <v>3085</v>
      </c>
      <c r="L33" s="990"/>
      <c r="M33" s="1729"/>
      <c r="N33" s="991"/>
      <c r="O33" s="991"/>
      <c r="P33" s="990"/>
    </row>
    <row r="34" spans="2:16">
      <c r="B34" s="991"/>
      <c r="C34" s="996" t="s">
        <v>3086</v>
      </c>
      <c r="D34" s="990"/>
      <c r="E34" s="1722"/>
      <c r="F34" s="990"/>
      <c r="G34" s="991"/>
      <c r="H34" s="991"/>
      <c r="J34" s="991"/>
      <c r="K34" s="996" t="s">
        <v>3086</v>
      </c>
      <c r="L34" s="990"/>
      <c r="M34" s="1729"/>
      <c r="N34" s="991"/>
      <c r="O34" s="991"/>
      <c r="P34" s="990"/>
    </row>
    <row r="35" spans="2:16">
      <c r="B35" s="991">
        <f>B27+1</f>
        <v>4</v>
      </c>
      <c r="C35" s="994" t="s">
        <v>2425</v>
      </c>
      <c r="D35" s="994"/>
      <c r="E35" s="1722"/>
      <c r="F35" s="994"/>
      <c r="G35" s="995"/>
      <c r="H35" s="991"/>
      <c r="J35" s="991">
        <f>J27+1</f>
        <v>4</v>
      </c>
      <c r="K35" s="994" t="s">
        <v>2425</v>
      </c>
      <c r="L35" s="994"/>
      <c r="M35" s="1729"/>
      <c r="N35" s="994"/>
      <c r="O35" s="995"/>
      <c r="P35" s="994"/>
    </row>
    <row r="36" spans="2:16">
      <c r="B36" s="991"/>
      <c r="C36" s="990" t="s">
        <v>2863</v>
      </c>
      <c r="D36" s="990">
        <v>63</v>
      </c>
      <c r="E36" s="1722"/>
      <c r="F36" s="991">
        <v>36</v>
      </c>
      <c r="G36" s="991"/>
      <c r="H36" s="991"/>
      <c r="J36" s="991"/>
      <c r="K36" s="990" t="s">
        <v>2863</v>
      </c>
      <c r="L36" s="990"/>
      <c r="M36" s="1729"/>
      <c r="N36" s="991">
        <v>15</v>
      </c>
      <c r="O36" s="991"/>
      <c r="P36" s="990"/>
    </row>
    <row r="37" spans="2:16" ht="195">
      <c r="B37" s="1147" t="s">
        <v>3331</v>
      </c>
      <c r="C37" s="1148">
        <v>46090</v>
      </c>
      <c r="D37" s="1148">
        <f>C37</f>
        <v>46090</v>
      </c>
      <c r="E37" s="1722"/>
      <c r="F37" s="991">
        <v>36</v>
      </c>
      <c r="G37" s="991" t="s">
        <v>3332</v>
      </c>
      <c r="H37" s="991"/>
      <c r="J37" s="991"/>
      <c r="K37" s="990" t="s">
        <v>2863</v>
      </c>
      <c r="L37" s="990"/>
      <c r="M37" s="1729"/>
      <c r="N37" s="991">
        <v>15</v>
      </c>
      <c r="O37" s="991"/>
      <c r="P37" s="990"/>
    </row>
    <row r="38" spans="2:16">
      <c r="B38" s="991"/>
      <c r="C38" s="990" t="s">
        <v>3083</v>
      </c>
      <c r="D38" s="990">
        <v>6</v>
      </c>
      <c r="E38" s="1722"/>
      <c r="F38" s="991">
        <v>5</v>
      </c>
      <c r="G38" s="991"/>
      <c r="H38" s="991"/>
      <c r="J38" s="991"/>
      <c r="K38" s="990" t="s">
        <v>3083</v>
      </c>
      <c r="L38" s="990"/>
      <c r="M38" s="1729"/>
      <c r="N38" s="991"/>
      <c r="O38" s="991"/>
      <c r="P38" s="990"/>
    </row>
    <row r="39" spans="2:16">
      <c r="B39" s="991"/>
      <c r="C39" s="990" t="s">
        <v>3084</v>
      </c>
      <c r="D39" s="990">
        <v>3</v>
      </c>
      <c r="E39" s="1722"/>
      <c r="F39" s="991">
        <v>3</v>
      </c>
      <c r="G39" s="991"/>
      <c r="H39" s="991"/>
      <c r="J39" s="991"/>
      <c r="K39" s="990" t="s">
        <v>3084</v>
      </c>
      <c r="L39" s="990"/>
      <c r="M39" s="1729"/>
      <c r="N39" s="991"/>
      <c r="O39" s="991"/>
      <c r="P39" s="990"/>
    </row>
    <row r="40" spans="2:16">
      <c r="B40" s="991"/>
      <c r="C40" s="990" t="s">
        <v>2865</v>
      </c>
      <c r="D40" s="990">
        <v>9</v>
      </c>
      <c r="E40" s="1722"/>
      <c r="F40" s="990">
        <v>5</v>
      </c>
      <c r="G40" s="991"/>
      <c r="H40" s="991"/>
      <c r="J40" s="991"/>
      <c r="K40" s="990" t="s">
        <v>2865</v>
      </c>
      <c r="L40" s="990"/>
      <c r="M40" s="1729"/>
      <c r="N40" s="991">
        <v>5</v>
      </c>
      <c r="O40" s="991"/>
      <c r="P40" s="990"/>
    </row>
    <row r="41" spans="2:16">
      <c r="B41" s="991"/>
      <c r="C41" s="990" t="s">
        <v>3087</v>
      </c>
      <c r="D41" s="990">
        <v>11</v>
      </c>
      <c r="E41" s="1722"/>
      <c r="F41" s="990"/>
      <c r="G41" s="991"/>
      <c r="H41" s="991"/>
      <c r="J41" s="991"/>
      <c r="K41" s="990" t="s">
        <v>3087</v>
      </c>
      <c r="L41" s="990"/>
      <c r="M41" s="1729"/>
      <c r="N41" s="991"/>
      <c r="O41" s="991"/>
      <c r="P41" s="990"/>
    </row>
    <row r="42" spans="2:16">
      <c r="B42" s="991"/>
      <c r="C42" s="990" t="s">
        <v>3088</v>
      </c>
      <c r="D42" s="990">
        <v>10</v>
      </c>
      <c r="E42" s="1722"/>
      <c r="F42" s="990"/>
      <c r="G42" s="991"/>
      <c r="H42" s="991"/>
      <c r="J42" s="991"/>
      <c r="K42" s="990" t="s">
        <v>3088</v>
      </c>
      <c r="L42" s="990"/>
      <c r="M42" s="1729"/>
      <c r="N42" s="991"/>
      <c r="O42" s="991"/>
      <c r="P42" s="990"/>
    </row>
    <row r="43" spans="2:16">
      <c r="B43" s="991"/>
      <c r="C43" s="990" t="s">
        <v>3089</v>
      </c>
      <c r="D43" s="990">
        <v>9</v>
      </c>
      <c r="E43" s="1722"/>
      <c r="F43" s="990"/>
      <c r="G43" s="991"/>
      <c r="H43" s="991"/>
      <c r="J43" s="991"/>
      <c r="K43" s="990" t="s">
        <v>3089</v>
      </c>
      <c r="L43" s="990"/>
      <c r="M43" s="1729"/>
      <c r="N43" s="991"/>
      <c r="O43" s="991"/>
      <c r="P43" s="990"/>
    </row>
    <row r="44" spans="2:16">
      <c r="B44" s="991"/>
      <c r="C44" s="996" t="s">
        <v>3085</v>
      </c>
      <c r="D44" s="990"/>
      <c r="E44" s="1722"/>
      <c r="F44" s="990"/>
      <c r="G44" s="991"/>
      <c r="H44" s="991"/>
      <c r="J44" s="991"/>
      <c r="K44" s="996" t="s">
        <v>3085</v>
      </c>
      <c r="L44" s="990"/>
      <c r="M44" s="1729"/>
      <c r="N44" s="991"/>
      <c r="O44" s="991"/>
      <c r="P44" s="990"/>
    </row>
    <row r="45" spans="2:16">
      <c r="B45" s="991"/>
      <c r="C45" s="996" t="s">
        <v>3086</v>
      </c>
      <c r="D45" s="990"/>
      <c r="E45" s="1722"/>
      <c r="F45" s="990"/>
      <c r="G45" s="991"/>
      <c r="H45" s="991"/>
      <c r="J45" s="991"/>
      <c r="K45" s="996" t="s">
        <v>3086</v>
      </c>
      <c r="L45" s="990"/>
      <c r="M45" s="1730"/>
      <c r="N45" s="991"/>
      <c r="O45" s="991"/>
      <c r="P45" s="990"/>
    </row>
    <row r="46" spans="2:16">
      <c r="B46" s="1723" t="s">
        <v>994</v>
      </c>
      <c r="C46" s="1723"/>
      <c r="D46" s="993">
        <f>D36+D28+D20+D14</f>
        <v>365</v>
      </c>
      <c r="E46" s="993">
        <f>E13</f>
        <v>216</v>
      </c>
      <c r="F46" s="993">
        <f>F36+F28+F20+F14</f>
        <v>274</v>
      </c>
      <c r="G46" s="993">
        <f>G36+G28+G20+G14</f>
        <v>0</v>
      </c>
      <c r="H46" s="991"/>
      <c r="J46" s="1723" t="s">
        <v>994</v>
      </c>
      <c r="K46" s="1723"/>
      <c r="L46" s="993">
        <f>L36+L28+L20+L14</f>
        <v>0</v>
      </c>
      <c r="M46" s="993">
        <f>M13</f>
        <v>100</v>
      </c>
      <c r="N46" s="993">
        <f>N36+N28+N20+N14</f>
        <v>41</v>
      </c>
      <c r="O46" s="993">
        <f>O36+O28+O20+O14</f>
        <v>0</v>
      </c>
      <c r="P46" s="99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ColWidth="8.7109375" defaultRowHeight="15"/>
  <cols>
    <col min="1" max="1" width="5.28515625" style="743" customWidth="1"/>
    <col min="2" max="2" width="24.85546875" style="699" customWidth="1"/>
    <col min="3" max="3" width="8.7109375" style="699"/>
    <col min="4" max="4" width="11.5703125" style="699" hidden="1" customWidth="1"/>
    <col min="5" max="5" width="10.140625" style="699" hidden="1" customWidth="1"/>
    <col min="6" max="6" width="9.7109375" style="699" hidden="1" customWidth="1"/>
    <col min="7" max="7" width="0" style="699" hidden="1" customWidth="1"/>
    <col min="8" max="9" width="10.5703125" style="699" hidden="1" customWidth="1"/>
    <col min="10" max="10" width="0" style="699" hidden="1" customWidth="1"/>
    <col min="11" max="11" width="11.140625" style="699" hidden="1" customWidth="1"/>
    <col min="12" max="12" width="9.7109375" style="699" hidden="1" customWidth="1"/>
    <col min="13" max="13" width="10.28515625" style="699" hidden="1" customWidth="1"/>
    <col min="14" max="14" width="0" style="699" hidden="1" customWidth="1"/>
    <col min="15" max="15" width="10.42578125" style="699" hidden="1" customWidth="1"/>
    <col min="16" max="16" width="9.7109375" style="699" hidden="1" customWidth="1"/>
    <col min="17" max="18" width="0" style="699" hidden="1" customWidth="1"/>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698"/>
      <c r="T2" s="698"/>
    </row>
    <row r="3" spans="1:20" ht="15.75">
      <c r="A3" s="745" t="s">
        <v>1863</v>
      </c>
      <c r="B3" s="700"/>
      <c r="C3" s="697"/>
      <c r="D3" s="701"/>
      <c r="E3" s="701"/>
      <c r="F3" s="697"/>
      <c r="G3" s="697"/>
      <c r="H3" s="697"/>
      <c r="I3" s="697"/>
      <c r="J3" s="697"/>
      <c r="K3" s="697"/>
      <c r="L3" s="697"/>
      <c r="M3" s="701"/>
      <c r="N3" s="697"/>
      <c r="O3" s="697"/>
      <c r="P3" s="697"/>
      <c r="Q3" s="936"/>
      <c r="R3" s="938"/>
      <c r="S3" s="939"/>
      <c r="T3" s="940"/>
    </row>
    <row r="4" spans="1:20" ht="15.75">
      <c r="A4" s="744" t="s">
        <v>1864</v>
      </c>
      <c r="B4" s="697"/>
      <c r="C4" s="697"/>
      <c r="D4" s="701" t="s">
        <v>1834</v>
      </c>
      <c r="E4" s="701"/>
      <c r="F4" s="736">
        <f>'TB-605'!E1</f>
        <v>46246</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ht="15.75">
      <c r="A6" s="1735" t="s">
        <v>2371</v>
      </c>
      <c r="B6" s="1735"/>
      <c r="C6" s="1735"/>
      <c r="D6" s="1735"/>
      <c r="E6" s="1735"/>
      <c r="F6" s="1735"/>
      <c r="G6" s="1735"/>
      <c r="H6" s="1735"/>
      <c r="I6" s="1735"/>
      <c r="J6" s="1735"/>
      <c r="K6" s="1735"/>
      <c r="L6" s="1735"/>
      <c r="M6" s="1735"/>
      <c r="N6" s="1735"/>
      <c r="O6" s="1735"/>
      <c r="P6" s="1735"/>
      <c r="Q6" s="1735"/>
      <c r="R6" s="1735"/>
      <c r="S6" s="1735"/>
      <c r="T6" s="1735"/>
    </row>
    <row r="7" spans="1:20">
      <c r="A7" s="1731" t="s">
        <v>1865</v>
      </c>
      <c r="B7" s="1731"/>
      <c r="C7" s="1731"/>
      <c r="D7" s="1731"/>
      <c r="E7" s="1731"/>
      <c r="F7" s="1731"/>
      <c r="G7" s="1731"/>
      <c r="H7" s="1731"/>
      <c r="I7" s="1731"/>
      <c r="J7" s="1731"/>
      <c r="K7" s="1731"/>
      <c r="L7" s="1731"/>
      <c r="M7" s="1731"/>
      <c r="N7" s="1731"/>
      <c r="O7" s="1731"/>
      <c r="P7" s="1731"/>
      <c r="Q7" s="1731"/>
      <c r="R7" s="1731"/>
      <c r="S7" s="1731"/>
      <c r="T7" s="1731"/>
    </row>
    <row r="8" spans="1:20" ht="15" customHeight="1">
      <c r="A8" s="1732" t="s">
        <v>996</v>
      </c>
      <c r="B8" s="1732" t="s">
        <v>1835</v>
      </c>
      <c r="C8" s="1732" t="s">
        <v>589</v>
      </c>
      <c r="D8" s="1732" t="s">
        <v>1836</v>
      </c>
      <c r="E8" s="1732"/>
      <c r="F8" s="1732"/>
      <c r="G8" s="1732"/>
      <c r="H8" s="1732"/>
      <c r="I8" s="1732"/>
      <c r="J8" s="1732"/>
      <c r="K8" s="1732"/>
      <c r="L8" s="1732"/>
      <c r="M8" s="1732"/>
      <c r="N8" s="1732"/>
      <c r="O8" s="1732"/>
      <c r="P8" s="1732" t="s">
        <v>1837</v>
      </c>
      <c r="Q8" s="1732"/>
      <c r="R8" s="1732"/>
      <c r="S8" s="1732" t="s">
        <v>3280</v>
      </c>
      <c r="T8" s="1732" t="s">
        <v>19</v>
      </c>
    </row>
    <row r="9" spans="1:20" ht="30.75" customHeight="1">
      <c r="A9" s="1732"/>
      <c r="B9" s="1732"/>
      <c r="C9" s="1732"/>
      <c r="D9" s="1733" t="s">
        <v>1839</v>
      </c>
      <c r="E9" s="1733"/>
      <c r="F9" s="1733"/>
      <c r="G9" s="1732" t="s">
        <v>1840</v>
      </c>
      <c r="H9" s="1732"/>
      <c r="I9" s="1732"/>
      <c r="J9" s="1732" t="s">
        <v>1841</v>
      </c>
      <c r="K9" s="1732"/>
      <c r="L9" s="1732"/>
      <c r="M9" s="1736" t="s">
        <v>1842</v>
      </c>
      <c r="N9" s="1736"/>
      <c r="O9" s="1736"/>
      <c r="P9" s="1732"/>
      <c r="Q9" s="1732"/>
      <c r="R9" s="1732"/>
      <c r="S9" s="1732"/>
      <c r="T9" s="1732"/>
    </row>
    <row r="10" spans="1:20" ht="27" customHeight="1">
      <c r="A10" s="1732"/>
      <c r="B10" s="1732"/>
      <c r="C10" s="1732"/>
      <c r="D10" s="929" t="s">
        <v>1843</v>
      </c>
      <c r="E10" s="929" t="s">
        <v>1844</v>
      </c>
      <c r="F10" s="929" t="s">
        <v>1845</v>
      </c>
      <c r="G10" s="704" t="s">
        <v>1843</v>
      </c>
      <c r="H10" s="704" t="s">
        <v>1844</v>
      </c>
      <c r="I10" s="704" t="s">
        <v>1845</v>
      </c>
      <c r="J10" s="704" t="s">
        <v>1843</v>
      </c>
      <c r="K10" s="704" t="s">
        <v>1844</v>
      </c>
      <c r="L10" s="704" t="s">
        <v>1845</v>
      </c>
      <c r="M10" s="704" t="s">
        <v>1843</v>
      </c>
      <c r="N10" s="704" t="s">
        <v>1844</v>
      </c>
      <c r="O10" s="704" t="s">
        <v>1845</v>
      </c>
      <c r="P10" s="704" t="s">
        <v>1843</v>
      </c>
      <c r="Q10" s="704" t="s">
        <v>1844</v>
      </c>
      <c r="R10" s="704" t="s">
        <v>1845</v>
      </c>
      <c r="S10" s="1732"/>
      <c r="T10" s="1732"/>
    </row>
    <row r="11" spans="1:20">
      <c r="A11" s="706">
        <v>1</v>
      </c>
      <c r="B11" s="705" t="s">
        <v>1846</v>
      </c>
      <c r="C11" s="706" t="s">
        <v>1847</v>
      </c>
      <c r="D11" s="708"/>
      <c r="E11" s="708"/>
      <c r="F11" s="708"/>
      <c r="G11" s="708"/>
      <c r="H11" s="708"/>
      <c r="I11" s="708"/>
      <c r="J11" s="708"/>
      <c r="K11" s="708"/>
      <c r="L11" s="708"/>
      <c r="M11" s="707"/>
      <c r="N11" s="708"/>
      <c r="O11" s="708"/>
      <c r="P11" s="708"/>
      <c r="Q11" s="709"/>
      <c r="R11" s="709"/>
      <c r="S11" s="710"/>
      <c r="T11" s="738"/>
    </row>
    <row r="12" spans="1:20">
      <c r="A12" s="704">
        <v>1.1000000000000001</v>
      </c>
      <c r="B12" s="711" t="s">
        <v>1866</v>
      </c>
      <c r="C12" s="704" t="s">
        <v>1847</v>
      </c>
      <c r="D12" s="930">
        <v>8697</v>
      </c>
      <c r="E12" s="930"/>
      <c r="F12" s="930">
        <f>D12+E12</f>
        <v>8697</v>
      </c>
      <c r="G12" s="712">
        <v>0</v>
      </c>
      <c r="H12" s="712">
        <v>0</v>
      </c>
      <c r="I12" s="712">
        <f>G12+H12</f>
        <v>0</v>
      </c>
      <c r="J12" s="712">
        <v>0</v>
      </c>
      <c r="K12" s="712">
        <v>0</v>
      </c>
      <c r="L12" s="712">
        <f>J12+K12</f>
        <v>0</v>
      </c>
      <c r="M12" s="712">
        <f>D12+G12-J12</f>
        <v>8697</v>
      </c>
      <c r="N12" s="713">
        <f>E12+H12-K12</f>
        <v>0</v>
      </c>
      <c r="O12" s="713">
        <f>M12+N12</f>
        <v>8697</v>
      </c>
      <c r="P12" s="713">
        <v>7172</v>
      </c>
      <c r="Q12" s="714"/>
      <c r="R12" s="714">
        <f>P12+Q12</f>
        <v>7172</v>
      </c>
      <c r="S12" s="715">
        <v>5000</v>
      </c>
      <c r="T12" s="739"/>
    </row>
    <row r="13" spans="1:20">
      <c r="A13" s="704"/>
      <c r="B13" s="711"/>
      <c r="C13" s="704"/>
      <c r="D13" s="930"/>
      <c r="E13" s="930"/>
      <c r="F13" s="930">
        <f t="shared" ref="F13:F39" si="0">D13+E13</f>
        <v>0</v>
      </c>
      <c r="G13" s="712"/>
      <c r="H13" s="712"/>
      <c r="I13" s="712">
        <f t="shared" ref="I13:I39" si="1">G13+H13</f>
        <v>0</v>
      </c>
      <c r="J13" s="712"/>
      <c r="K13" s="712"/>
      <c r="L13" s="712">
        <f t="shared" ref="L13:L39" si="2">J13+K13</f>
        <v>0</v>
      </c>
      <c r="M13" s="712">
        <f t="shared" ref="M13:N39" si="3">D13+G13-J13</f>
        <v>0</v>
      </c>
      <c r="N13" s="713">
        <f t="shared" si="3"/>
        <v>0</v>
      </c>
      <c r="O13" s="713">
        <f t="shared" ref="O13:O39" si="4">M13+N13</f>
        <v>0</v>
      </c>
      <c r="P13" s="713"/>
      <c r="Q13" s="714"/>
      <c r="R13" s="714">
        <f t="shared" ref="R13:R39" si="5">P13+Q13</f>
        <v>0</v>
      </c>
      <c r="S13" s="715">
        <f t="shared" ref="S13:S39" si="6">O13-R13</f>
        <v>0</v>
      </c>
      <c r="T13" s="739"/>
    </row>
    <row r="14" spans="1:20">
      <c r="A14" s="706">
        <v>2</v>
      </c>
      <c r="B14" s="705" t="s">
        <v>1848</v>
      </c>
      <c r="C14" s="706" t="s">
        <v>1849</v>
      </c>
      <c r="D14" s="707"/>
      <c r="E14" s="707"/>
      <c r="F14" s="707"/>
      <c r="G14" s="707"/>
      <c r="H14" s="707"/>
      <c r="I14" s="707"/>
      <c r="J14" s="707"/>
      <c r="K14" s="707"/>
      <c r="L14" s="707"/>
      <c r="M14" s="707"/>
      <c r="N14" s="708"/>
      <c r="O14" s="708"/>
      <c r="P14" s="708"/>
      <c r="Q14" s="716"/>
      <c r="R14" s="716"/>
      <c r="S14" s="717"/>
      <c r="T14" s="738"/>
    </row>
    <row r="15" spans="1:20">
      <c r="A15" s="704">
        <v>2.1</v>
      </c>
      <c r="B15" s="711" t="s">
        <v>1867</v>
      </c>
      <c r="C15" s="704" t="s">
        <v>1849</v>
      </c>
      <c r="D15" s="932">
        <f>SUM(D16:D21)</f>
        <v>213.14999999999998</v>
      </c>
      <c r="E15" s="932">
        <f>SUM(E16:E21)</f>
        <v>0</v>
      </c>
      <c r="F15" s="932">
        <f>SUM(F16:F21)</f>
        <v>213.14999999999998</v>
      </c>
      <c r="G15" s="719">
        <v>0</v>
      </c>
      <c r="H15" s="719">
        <v>0</v>
      </c>
      <c r="I15" s="718">
        <f>SUM(I16:I21)</f>
        <v>0</v>
      </c>
      <c r="J15" s="718">
        <f>SUM(J16:J21)</f>
        <v>18.372651000000001</v>
      </c>
      <c r="K15" s="719">
        <v>0</v>
      </c>
      <c r="L15" s="718">
        <f>SUM(L16:L21)</f>
        <v>18.372651000000001</v>
      </c>
      <c r="M15" s="718">
        <f>SUM(M16:M21)</f>
        <v>194.77734900000002</v>
      </c>
      <c r="N15" s="720">
        <f t="shared" si="3"/>
        <v>0</v>
      </c>
      <c r="O15" s="720">
        <f t="shared" si="4"/>
        <v>194.77734900000002</v>
      </c>
      <c r="P15" s="718">
        <f>SUM(P16:P21)</f>
        <v>68.852000000000004</v>
      </c>
      <c r="Q15" s="721">
        <v>0</v>
      </c>
      <c r="R15" s="722">
        <f t="shared" si="5"/>
        <v>68.852000000000004</v>
      </c>
      <c r="S15" s="723">
        <f>SUM(S16:S21)</f>
        <v>352.28699999999998</v>
      </c>
      <c r="T15" s="739"/>
    </row>
    <row r="16" spans="1:20">
      <c r="A16" s="704"/>
      <c r="B16" s="746" t="s">
        <v>1850</v>
      </c>
      <c r="C16" s="704" t="s">
        <v>1849</v>
      </c>
      <c r="D16" s="952">
        <v>8.2240000000000002</v>
      </c>
      <c r="E16" s="952">
        <v>0</v>
      </c>
      <c r="F16" s="952">
        <f t="shared" si="0"/>
        <v>8.2240000000000002</v>
      </c>
      <c r="G16" s="953">
        <v>0</v>
      </c>
      <c r="H16" s="953">
        <v>0</v>
      </c>
      <c r="I16" s="953">
        <f t="shared" si="1"/>
        <v>0</v>
      </c>
      <c r="J16" s="953">
        <v>0.52438099999999999</v>
      </c>
      <c r="K16" s="953">
        <v>0</v>
      </c>
      <c r="L16" s="953">
        <f t="shared" si="2"/>
        <v>0.52438099999999999</v>
      </c>
      <c r="M16" s="953">
        <f t="shared" si="3"/>
        <v>7.6996190000000002</v>
      </c>
      <c r="N16" s="951">
        <f t="shared" si="3"/>
        <v>0</v>
      </c>
      <c r="O16" s="951">
        <f t="shared" si="4"/>
        <v>7.6996190000000002</v>
      </c>
      <c r="P16" s="951">
        <v>1.649</v>
      </c>
      <c r="Q16" s="791"/>
      <c r="R16" s="791">
        <f t="shared" si="5"/>
        <v>1.649</v>
      </c>
      <c r="S16" s="954">
        <v>7.9219999999999997</v>
      </c>
      <c r="T16" s="739"/>
    </row>
    <row r="17" spans="1:20">
      <c r="A17" s="704"/>
      <c r="B17" s="746" t="s">
        <v>1851</v>
      </c>
      <c r="C17" s="704" t="s">
        <v>1849</v>
      </c>
      <c r="D17" s="952">
        <v>42.155999999999999</v>
      </c>
      <c r="E17" s="952">
        <v>0</v>
      </c>
      <c r="F17" s="952">
        <f t="shared" si="0"/>
        <v>42.155999999999999</v>
      </c>
      <c r="G17" s="953">
        <v>0</v>
      </c>
      <c r="H17" s="953">
        <v>0</v>
      </c>
      <c r="I17" s="953">
        <f t="shared" si="1"/>
        <v>0</v>
      </c>
      <c r="J17" s="953">
        <v>0</v>
      </c>
      <c r="K17" s="953">
        <v>0</v>
      </c>
      <c r="L17" s="953">
        <f t="shared" si="2"/>
        <v>0</v>
      </c>
      <c r="M17" s="953">
        <f t="shared" si="3"/>
        <v>42.155999999999999</v>
      </c>
      <c r="N17" s="951">
        <f t="shared" si="3"/>
        <v>0</v>
      </c>
      <c r="O17" s="951">
        <f t="shared" si="4"/>
        <v>42.155999999999999</v>
      </c>
      <c r="P17" s="951">
        <v>10.271000000000001</v>
      </c>
      <c r="Q17" s="791"/>
      <c r="R17" s="791">
        <f t="shared" si="5"/>
        <v>10.271000000000001</v>
      </c>
      <c r="S17" s="954">
        <v>52.061</v>
      </c>
      <c r="T17" s="739"/>
    </row>
    <row r="18" spans="1:20">
      <c r="A18" s="704"/>
      <c r="B18" s="746" t="s">
        <v>1852</v>
      </c>
      <c r="C18" s="704" t="s">
        <v>1849</v>
      </c>
      <c r="D18" s="952">
        <v>117.2</v>
      </c>
      <c r="E18" s="952">
        <v>0</v>
      </c>
      <c r="F18" s="952">
        <f t="shared" si="0"/>
        <v>117.2</v>
      </c>
      <c r="G18" s="953">
        <v>0</v>
      </c>
      <c r="H18" s="953">
        <v>0</v>
      </c>
      <c r="I18" s="953">
        <f t="shared" si="1"/>
        <v>0</v>
      </c>
      <c r="J18" s="953">
        <v>14.70049</v>
      </c>
      <c r="K18" s="953">
        <v>0</v>
      </c>
      <c r="L18" s="953">
        <f t="shared" si="2"/>
        <v>14.70049</v>
      </c>
      <c r="M18" s="953">
        <f t="shared" si="3"/>
        <v>102.49951</v>
      </c>
      <c r="N18" s="951">
        <f t="shared" si="3"/>
        <v>0</v>
      </c>
      <c r="O18" s="951">
        <f t="shared" si="4"/>
        <v>102.49951</v>
      </c>
      <c r="P18" s="951">
        <v>46.856000000000002</v>
      </c>
      <c r="Q18" s="791"/>
      <c r="R18" s="791">
        <f t="shared" si="5"/>
        <v>46.856000000000002</v>
      </c>
      <c r="S18" s="954">
        <v>133.68700000000001</v>
      </c>
      <c r="T18" s="739"/>
    </row>
    <row r="19" spans="1:20">
      <c r="A19" s="704"/>
      <c r="B19" s="746" t="s">
        <v>1853</v>
      </c>
      <c r="C19" s="704" t="s">
        <v>1849</v>
      </c>
      <c r="D19" s="952">
        <v>18.97</v>
      </c>
      <c r="E19" s="952">
        <v>0</v>
      </c>
      <c r="F19" s="952">
        <f t="shared" si="0"/>
        <v>18.97</v>
      </c>
      <c r="G19" s="953">
        <v>0</v>
      </c>
      <c r="H19" s="953">
        <v>0</v>
      </c>
      <c r="I19" s="953">
        <f t="shared" si="1"/>
        <v>0</v>
      </c>
      <c r="J19" s="953">
        <v>0</v>
      </c>
      <c r="K19" s="953">
        <v>0</v>
      </c>
      <c r="L19" s="953">
        <f t="shared" si="2"/>
        <v>0</v>
      </c>
      <c r="M19" s="953">
        <f t="shared" si="3"/>
        <v>18.97</v>
      </c>
      <c r="N19" s="951">
        <f t="shared" si="3"/>
        <v>0</v>
      </c>
      <c r="O19" s="951">
        <f t="shared" si="4"/>
        <v>18.97</v>
      </c>
      <c r="P19" s="951">
        <v>0.13400000000000001</v>
      </c>
      <c r="Q19" s="791"/>
      <c r="R19" s="791">
        <f t="shared" si="5"/>
        <v>0.13400000000000001</v>
      </c>
      <c r="S19" s="954">
        <v>48.517000000000003</v>
      </c>
      <c r="T19" s="739"/>
    </row>
    <row r="20" spans="1:20">
      <c r="A20" s="704"/>
      <c r="B20" s="746" t="s">
        <v>1854</v>
      </c>
      <c r="C20" s="704" t="s">
        <v>1849</v>
      </c>
      <c r="D20" s="952">
        <v>13.324999999999999</v>
      </c>
      <c r="E20" s="952">
        <v>0</v>
      </c>
      <c r="F20" s="952">
        <f t="shared" si="0"/>
        <v>13.324999999999999</v>
      </c>
      <c r="G20" s="953">
        <v>0</v>
      </c>
      <c r="H20" s="953">
        <v>0</v>
      </c>
      <c r="I20" s="953">
        <f t="shared" si="1"/>
        <v>0</v>
      </c>
      <c r="J20" s="953">
        <v>0.46</v>
      </c>
      <c r="K20" s="953">
        <v>0</v>
      </c>
      <c r="L20" s="953">
        <f t="shared" si="2"/>
        <v>0.46</v>
      </c>
      <c r="M20" s="953">
        <f t="shared" si="3"/>
        <v>12.864999999999998</v>
      </c>
      <c r="N20" s="951">
        <f t="shared" si="3"/>
        <v>0</v>
      </c>
      <c r="O20" s="951">
        <f t="shared" si="4"/>
        <v>12.864999999999998</v>
      </c>
      <c r="P20" s="951">
        <v>3.82</v>
      </c>
      <c r="Q20" s="791"/>
      <c r="R20" s="791">
        <f t="shared" si="5"/>
        <v>3.82</v>
      </c>
      <c r="S20" s="954">
        <v>54.777000000000001</v>
      </c>
      <c r="T20" s="739"/>
    </row>
    <row r="21" spans="1:20">
      <c r="A21" s="704"/>
      <c r="B21" s="746" t="s">
        <v>1855</v>
      </c>
      <c r="C21" s="704" t="s">
        <v>1849</v>
      </c>
      <c r="D21" s="952">
        <v>13.275</v>
      </c>
      <c r="E21" s="952">
        <v>0</v>
      </c>
      <c r="F21" s="952">
        <f t="shared" si="0"/>
        <v>13.275</v>
      </c>
      <c r="G21" s="953">
        <v>0</v>
      </c>
      <c r="H21" s="953">
        <v>0</v>
      </c>
      <c r="I21" s="953">
        <f t="shared" si="1"/>
        <v>0</v>
      </c>
      <c r="J21" s="953">
        <v>2.6877800000000001</v>
      </c>
      <c r="K21" s="953">
        <v>0</v>
      </c>
      <c r="L21" s="953">
        <f t="shared" si="2"/>
        <v>2.6877800000000001</v>
      </c>
      <c r="M21" s="953">
        <f t="shared" si="3"/>
        <v>10.58722</v>
      </c>
      <c r="N21" s="951">
        <f t="shared" si="3"/>
        <v>0</v>
      </c>
      <c r="O21" s="951">
        <f t="shared" si="4"/>
        <v>10.58722</v>
      </c>
      <c r="P21" s="951">
        <v>6.1219999999999999</v>
      </c>
      <c r="Q21" s="791"/>
      <c r="R21" s="791">
        <f t="shared" si="5"/>
        <v>6.1219999999999999</v>
      </c>
      <c r="S21" s="954">
        <v>55.323</v>
      </c>
      <c r="T21" s="739"/>
    </row>
    <row r="22" spans="1:20" hidden="1">
      <c r="A22" s="704"/>
      <c r="B22" s="711"/>
      <c r="C22" s="704"/>
      <c r="D22" s="930"/>
      <c r="E22" s="931"/>
      <c r="F22" s="931"/>
      <c r="G22" s="713"/>
      <c r="H22" s="713"/>
      <c r="I22" s="713"/>
      <c r="J22" s="713"/>
      <c r="K22" s="713"/>
      <c r="L22" s="713"/>
      <c r="M22" s="712"/>
      <c r="N22" s="713"/>
      <c r="O22" s="713"/>
      <c r="P22" s="713"/>
      <c r="Q22" s="714"/>
      <c r="R22" s="714"/>
      <c r="S22" s="728"/>
      <c r="T22" s="739"/>
    </row>
    <row r="23" spans="1:20" hidden="1">
      <c r="A23" s="742">
        <v>3</v>
      </c>
      <c r="B23" s="729" t="s">
        <v>1856</v>
      </c>
      <c r="C23" s="730" t="s">
        <v>1857</v>
      </c>
      <c r="D23" s="731"/>
      <c r="E23" s="731"/>
      <c r="F23" s="731">
        <f t="shared" si="0"/>
        <v>0</v>
      </c>
      <c r="G23" s="731"/>
      <c r="H23" s="731"/>
      <c r="I23" s="731">
        <f t="shared" si="1"/>
        <v>0</v>
      </c>
      <c r="J23" s="731"/>
      <c r="K23" s="731"/>
      <c r="L23" s="731">
        <f t="shared" si="2"/>
        <v>0</v>
      </c>
      <c r="M23" s="707">
        <f t="shared" si="3"/>
        <v>0</v>
      </c>
      <c r="N23" s="708">
        <f t="shared" si="3"/>
        <v>0</v>
      </c>
      <c r="O23" s="708">
        <f t="shared" si="4"/>
        <v>0</v>
      </c>
      <c r="P23" s="731"/>
      <c r="Q23" s="716"/>
      <c r="R23" s="716">
        <f t="shared" si="5"/>
        <v>0</v>
      </c>
      <c r="S23" s="732">
        <f t="shared" si="6"/>
        <v>0</v>
      </c>
      <c r="T23" s="740"/>
    </row>
    <row r="24" spans="1:20" hidden="1">
      <c r="A24" s="737">
        <v>3.1</v>
      </c>
      <c r="B24" s="733" t="s">
        <v>1675</v>
      </c>
      <c r="C24" s="734" t="s">
        <v>1857</v>
      </c>
      <c r="D24" s="934">
        <f>70+10</f>
        <v>80</v>
      </c>
      <c r="E24" s="935">
        <v>0</v>
      </c>
      <c r="F24" s="935">
        <f t="shared" si="0"/>
        <v>80</v>
      </c>
      <c r="G24" s="735">
        <v>0</v>
      </c>
      <c r="H24" s="735">
        <v>0</v>
      </c>
      <c r="I24" s="735">
        <f t="shared" si="1"/>
        <v>0</v>
      </c>
      <c r="J24" s="735">
        <v>34</v>
      </c>
      <c r="K24" s="735">
        <v>0</v>
      </c>
      <c r="L24" s="735">
        <f t="shared" si="2"/>
        <v>34</v>
      </c>
      <c r="M24" s="712">
        <f t="shared" si="3"/>
        <v>46</v>
      </c>
      <c r="N24" s="713">
        <f t="shared" si="3"/>
        <v>0</v>
      </c>
      <c r="O24" s="713">
        <f t="shared" si="4"/>
        <v>46</v>
      </c>
      <c r="P24" s="713">
        <v>13</v>
      </c>
      <c r="Q24" s="713"/>
      <c r="R24" s="713">
        <f t="shared" si="5"/>
        <v>13</v>
      </c>
      <c r="S24" s="714">
        <f t="shared" si="6"/>
        <v>33</v>
      </c>
      <c r="T24" s="741"/>
    </row>
    <row r="25" spans="1:20" hidden="1">
      <c r="A25" s="737">
        <v>3.2</v>
      </c>
      <c r="B25" s="733" t="s">
        <v>2397</v>
      </c>
      <c r="C25" s="734" t="s">
        <v>1857</v>
      </c>
      <c r="D25" s="934">
        <f>20+14</f>
        <v>34</v>
      </c>
      <c r="E25" s="935"/>
      <c r="F25" s="935">
        <f t="shared" si="0"/>
        <v>34</v>
      </c>
      <c r="G25" s="735"/>
      <c r="H25" s="735"/>
      <c r="I25" s="735"/>
      <c r="J25" s="735">
        <v>5</v>
      </c>
      <c r="K25" s="735"/>
      <c r="L25" s="735">
        <f t="shared" si="2"/>
        <v>5</v>
      </c>
      <c r="M25" s="712">
        <f t="shared" si="3"/>
        <v>29</v>
      </c>
      <c r="N25" s="713"/>
      <c r="O25" s="713">
        <f t="shared" si="4"/>
        <v>29</v>
      </c>
      <c r="P25" s="713">
        <v>3</v>
      </c>
      <c r="Q25" s="713"/>
      <c r="R25" s="713">
        <f t="shared" si="5"/>
        <v>3</v>
      </c>
      <c r="S25" s="714">
        <f t="shared" si="6"/>
        <v>26</v>
      </c>
      <c r="T25" s="741"/>
    </row>
    <row r="26" spans="1:20" hidden="1">
      <c r="A26" s="737">
        <v>3.3</v>
      </c>
      <c r="B26" s="733" t="s">
        <v>2398</v>
      </c>
      <c r="C26" s="734" t="s">
        <v>1857</v>
      </c>
      <c r="D26" s="934">
        <f>12+20</f>
        <v>32</v>
      </c>
      <c r="E26" s="935"/>
      <c r="F26" s="935">
        <f t="shared" si="0"/>
        <v>32</v>
      </c>
      <c r="G26" s="735"/>
      <c r="H26" s="735"/>
      <c r="I26" s="735"/>
      <c r="J26" s="735">
        <v>5</v>
      </c>
      <c r="K26" s="735"/>
      <c r="L26" s="735">
        <f t="shared" si="2"/>
        <v>5</v>
      </c>
      <c r="M26" s="712">
        <f t="shared" si="3"/>
        <v>27</v>
      </c>
      <c r="N26" s="713"/>
      <c r="O26" s="713">
        <f t="shared" si="4"/>
        <v>27</v>
      </c>
      <c r="P26" s="713">
        <v>6</v>
      </c>
      <c r="Q26" s="713"/>
      <c r="R26" s="713">
        <f t="shared" si="5"/>
        <v>6</v>
      </c>
      <c r="S26" s="714">
        <f t="shared" si="6"/>
        <v>21</v>
      </c>
      <c r="T26" s="741"/>
    </row>
    <row r="27" spans="1:20" hidden="1">
      <c r="A27" s="737">
        <v>3.4</v>
      </c>
      <c r="B27" s="733" t="s">
        <v>2425</v>
      </c>
      <c r="C27" s="734" t="s">
        <v>1857</v>
      </c>
      <c r="D27" s="934">
        <f>15+10</f>
        <v>25</v>
      </c>
      <c r="E27" s="935"/>
      <c r="F27" s="935">
        <f t="shared" si="0"/>
        <v>25</v>
      </c>
      <c r="G27" s="735"/>
      <c r="H27" s="735"/>
      <c r="I27" s="735"/>
      <c r="J27" s="735">
        <v>2</v>
      </c>
      <c r="K27" s="735"/>
      <c r="L27" s="735">
        <f t="shared" si="2"/>
        <v>2</v>
      </c>
      <c r="M27" s="712">
        <f t="shared" si="3"/>
        <v>23</v>
      </c>
      <c r="N27" s="713"/>
      <c r="O27" s="713">
        <f t="shared" si="4"/>
        <v>23</v>
      </c>
      <c r="P27" s="713">
        <v>1</v>
      </c>
      <c r="Q27" s="713"/>
      <c r="R27" s="713">
        <f t="shared" si="5"/>
        <v>1</v>
      </c>
      <c r="S27" s="714">
        <f t="shared" si="6"/>
        <v>22</v>
      </c>
      <c r="T27" s="741"/>
    </row>
    <row r="28" spans="1:20" hidden="1">
      <c r="A28" s="737">
        <v>3.5</v>
      </c>
      <c r="B28" s="733" t="s">
        <v>1868</v>
      </c>
      <c r="C28" s="734" t="s">
        <v>1857</v>
      </c>
      <c r="D28" s="934">
        <v>10</v>
      </c>
      <c r="E28" s="935"/>
      <c r="F28" s="935">
        <f t="shared" si="0"/>
        <v>10</v>
      </c>
      <c r="G28" s="735"/>
      <c r="H28" s="735"/>
      <c r="I28" s="735">
        <f t="shared" si="1"/>
        <v>0</v>
      </c>
      <c r="J28" s="735"/>
      <c r="K28" s="735"/>
      <c r="L28" s="735">
        <f t="shared" si="2"/>
        <v>0</v>
      </c>
      <c r="M28" s="712">
        <f t="shared" si="3"/>
        <v>10</v>
      </c>
      <c r="N28" s="713">
        <f t="shared" si="3"/>
        <v>0</v>
      </c>
      <c r="O28" s="713">
        <f t="shared" si="4"/>
        <v>10</v>
      </c>
      <c r="P28" s="735">
        <v>0</v>
      </c>
      <c r="Q28" s="714"/>
      <c r="R28" s="713">
        <f t="shared" si="5"/>
        <v>0</v>
      </c>
      <c r="S28" s="714">
        <f t="shared" si="6"/>
        <v>10</v>
      </c>
      <c r="T28" s="741"/>
    </row>
    <row r="29" spans="1:20" hidden="1">
      <c r="A29" s="742">
        <v>4</v>
      </c>
      <c r="B29" s="729" t="s">
        <v>2834</v>
      </c>
      <c r="C29" s="730" t="s">
        <v>1857</v>
      </c>
      <c r="D29" s="934"/>
      <c r="E29" s="935"/>
      <c r="F29" s="935">
        <f t="shared" ref="F29:F36" si="7">D29+E29</f>
        <v>0</v>
      </c>
      <c r="G29" s="731"/>
      <c r="H29" s="731"/>
      <c r="I29" s="731">
        <f t="shared" ref="I29:I30" si="8">G29+H29</f>
        <v>0</v>
      </c>
      <c r="J29" s="731"/>
      <c r="K29" s="731"/>
      <c r="L29" s="731">
        <f t="shared" ref="L29:L30" si="9">J29+K29</f>
        <v>0</v>
      </c>
      <c r="M29" s="707">
        <f t="shared" ref="M29:M36" si="10">D29+G29-J29</f>
        <v>0</v>
      </c>
      <c r="N29" s="708">
        <f t="shared" ref="N29:N30" si="11">E29+H29-K29</f>
        <v>0</v>
      </c>
      <c r="O29" s="708">
        <f t="shared" ref="O29:O36" si="12">M29+N29</f>
        <v>0</v>
      </c>
      <c r="P29" s="731"/>
      <c r="Q29" s="716"/>
      <c r="R29" s="716">
        <f t="shared" ref="R29:R36" si="13">P29+Q29</f>
        <v>0</v>
      </c>
      <c r="S29" s="732">
        <f t="shared" ref="S29:S36" si="14">O29-R29</f>
        <v>0</v>
      </c>
      <c r="T29" s="740"/>
    </row>
    <row r="30" spans="1:20" hidden="1">
      <c r="A30" s="737">
        <v>3.1</v>
      </c>
      <c r="B30" s="733" t="s">
        <v>2398</v>
      </c>
      <c r="C30" s="734"/>
      <c r="D30" s="934"/>
      <c r="E30" s="935">
        <v>0</v>
      </c>
      <c r="F30" s="935">
        <f t="shared" si="7"/>
        <v>0</v>
      </c>
      <c r="G30" s="735">
        <v>0</v>
      </c>
      <c r="H30" s="735">
        <v>0</v>
      </c>
      <c r="I30" s="735">
        <f t="shared" si="8"/>
        <v>0</v>
      </c>
      <c r="J30" s="735"/>
      <c r="K30" s="735">
        <v>0</v>
      </c>
      <c r="L30" s="735">
        <f t="shared" si="9"/>
        <v>0</v>
      </c>
      <c r="M30" s="712">
        <f t="shared" si="10"/>
        <v>0</v>
      </c>
      <c r="N30" s="713">
        <f t="shared" si="11"/>
        <v>0</v>
      </c>
      <c r="O30" s="713">
        <f t="shared" si="12"/>
        <v>0</v>
      </c>
      <c r="P30" s="713"/>
      <c r="Q30" s="713"/>
      <c r="R30" s="713">
        <f t="shared" si="13"/>
        <v>0</v>
      </c>
      <c r="S30" s="714">
        <f t="shared" si="14"/>
        <v>0</v>
      </c>
      <c r="T30" s="741"/>
    </row>
    <row r="31" spans="1:20" hidden="1">
      <c r="A31" s="737"/>
      <c r="B31" s="733" t="s">
        <v>2863</v>
      </c>
      <c r="C31" s="734" t="s">
        <v>1857</v>
      </c>
      <c r="D31" s="934">
        <v>20</v>
      </c>
      <c r="E31" s="935"/>
      <c r="F31" s="935">
        <f t="shared" si="7"/>
        <v>20</v>
      </c>
      <c r="G31" s="735"/>
      <c r="H31" s="735"/>
      <c r="I31" s="735"/>
      <c r="J31" s="735"/>
      <c r="K31" s="735"/>
      <c r="L31" s="735"/>
      <c r="M31" s="712">
        <f t="shared" si="10"/>
        <v>20</v>
      </c>
      <c r="N31" s="713"/>
      <c r="O31" s="713">
        <f t="shared" si="12"/>
        <v>20</v>
      </c>
      <c r="P31" s="713"/>
      <c r="Q31" s="713"/>
      <c r="R31" s="713">
        <f t="shared" si="13"/>
        <v>0</v>
      </c>
      <c r="S31" s="714">
        <f t="shared" si="14"/>
        <v>20</v>
      </c>
      <c r="T31" s="741"/>
    </row>
    <row r="32" spans="1:20" hidden="1">
      <c r="A32" s="737"/>
      <c r="B32" s="733" t="s">
        <v>2864</v>
      </c>
      <c r="C32" s="734" t="s">
        <v>1857</v>
      </c>
      <c r="D32" s="934">
        <v>20</v>
      </c>
      <c r="E32" s="935"/>
      <c r="F32" s="935">
        <f t="shared" si="7"/>
        <v>20</v>
      </c>
      <c r="G32" s="735"/>
      <c r="H32" s="735"/>
      <c r="I32" s="735"/>
      <c r="J32" s="735"/>
      <c r="K32" s="735"/>
      <c r="L32" s="735"/>
      <c r="M32" s="712">
        <f t="shared" si="10"/>
        <v>20</v>
      </c>
      <c r="N32" s="713"/>
      <c r="O32" s="713">
        <f t="shared" si="12"/>
        <v>20</v>
      </c>
      <c r="P32" s="713"/>
      <c r="Q32" s="713"/>
      <c r="R32" s="713">
        <f t="shared" si="13"/>
        <v>0</v>
      </c>
      <c r="S32" s="714">
        <f t="shared" si="14"/>
        <v>20</v>
      </c>
      <c r="T32" s="741"/>
    </row>
    <row r="33" spans="1:20" hidden="1">
      <c r="A33" s="737">
        <v>3.2</v>
      </c>
      <c r="B33" s="733" t="s">
        <v>1675</v>
      </c>
      <c r="C33" s="734"/>
      <c r="D33" s="934"/>
      <c r="E33" s="935"/>
      <c r="F33" s="935">
        <f t="shared" si="7"/>
        <v>0</v>
      </c>
      <c r="G33" s="735"/>
      <c r="H33" s="735"/>
      <c r="I33" s="735"/>
      <c r="J33" s="735"/>
      <c r="K33" s="735"/>
      <c r="L33" s="735"/>
      <c r="M33" s="712">
        <f t="shared" si="10"/>
        <v>0</v>
      </c>
      <c r="N33" s="713"/>
      <c r="O33" s="713">
        <f t="shared" si="12"/>
        <v>0</v>
      </c>
      <c r="P33" s="713"/>
      <c r="Q33" s="713"/>
      <c r="R33" s="713">
        <f t="shared" si="13"/>
        <v>0</v>
      </c>
      <c r="S33" s="714">
        <f t="shared" si="14"/>
        <v>0</v>
      </c>
      <c r="T33" s="741"/>
    </row>
    <row r="34" spans="1:20" hidden="1">
      <c r="A34" s="737"/>
      <c r="B34" s="733" t="s">
        <v>2863</v>
      </c>
      <c r="C34" s="734" t="s">
        <v>1857</v>
      </c>
      <c r="D34" s="934">
        <v>81</v>
      </c>
      <c r="E34" s="935"/>
      <c r="F34" s="935">
        <f t="shared" si="7"/>
        <v>81</v>
      </c>
      <c r="G34" s="735"/>
      <c r="H34" s="735"/>
      <c r="I34" s="735"/>
      <c r="J34" s="735"/>
      <c r="K34" s="735"/>
      <c r="L34" s="735"/>
      <c r="M34" s="712">
        <f t="shared" si="10"/>
        <v>81</v>
      </c>
      <c r="N34" s="713"/>
      <c r="O34" s="713">
        <f t="shared" si="12"/>
        <v>81</v>
      </c>
      <c r="P34" s="713"/>
      <c r="Q34" s="713"/>
      <c r="R34" s="713">
        <f t="shared" si="13"/>
        <v>0</v>
      </c>
      <c r="S34" s="714">
        <f t="shared" si="14"/>
        <v>81</v>
      </c>
    </row>
    <row r="35" spans="1:20" hidden="1">
      <c r="A35" s="737"/>
      <c r="B35" s="733" t="s">
        <v>2864</v>
      </c>
      <c r="C35" s="734" t="s">
        <v>1857</v>
      </c>
      <c r="D35" s="934">
        <v>61</v>
      </c>
      <c r="E35" s="935"/>
      <c r="F35" s="935">
        <f t="shared" si="7"/>
        <v>61</v>
      </c>
      <c r="G35" s="735"/>
      <c r="H35" s="735"/>
      <c r="I35" s="735"/>
      <c r="J35" s="735"/>
      <c r="K35" s="735"/>
      <c r="L35" s="735"/>
      <c r="M35" s="712">
        <f t="shared" si="10"/>
        <v>61</v>
      </c>
      <c r="N35" s="713"/>
      <c r="O35" s="713">
        <f t="shared" si="12"/>
        <v>61</v>
      </c>
      <c r="P35" s="713"/>
      <c r="Q35" s="713"/>
      <c r="R35" s="713">
        <f t="shared" si="13"/>
        <v>0</v>
      </c>
      <c r="S35" s="714">
        <f t="shared" si="14"/>
        <v>61</v>
      </c>
    </row>
    <row r="36" spans="1:20" hidden="1">
      <c r="A36" s="737"/>
      <c r="B36" s="733" t="s">
        <v>2865</v>
      </c>
      <c r="C36" s="734" t="s">
        <v>1857</v>
      </c>
      <c r="D36" s="934">
        <v>1</v>
      </c>
      <c r="E36" s="935"/>
      <c r="F36" s="935">
        <f t="shared" si="7"/>
        <v>1</v>
      </c>
      <c r="G36" s="735"/>
      <c r="H36" s="735"/>
      <c r="I36" s="735"/>
      <c r="J36" s="735"/>
      <c r="K36" s="735"/>
      <c r="L36" s="735"/>
      <c r="M36" s="712">
        <f t="shared" si="10"/>
        <v>1</v>
      </c>
      <c r="N36" s="713"/>
      <c r="O36" s="713">
        <f t="shared" si="12"/>
        <v>1</v>
      </c>
      <c r="P36" s="713"/>
      <c r="Q36" s="713"/>
      <c r="R36" s="713">
        <f t="shared" si="13"/>
        <v>0</v>
      </c>
      <c r="S36" s="714">
        <f t="shared" si="14"/>
        <v>1</v>
      </c>
    </row>
    <row r="37" spans="1:20" hidden="1">
      <c r="A37" s="742">
        <v>5</v>
      </c>
      <c r="B37" s="729" t="s">
        <v>1858</v>
      </c>
      <c r="C37" s="730"/>
      <c r="D37" s="730"/>
      <c r="E37" s="730"/>
      <c r="F37" s="731">
        <f t="shared" si="0"/>
        <v>0</v>
      </c>
      <c r="G37" s="731"/>
      <c r="H37" s="731"/>
      <c r="I37" s="731">
        <f t="shared" si="1"/>
        <v>0</v>
      </c>
      <c r="J37" s="731"/>
      <c r="K37" s="731"/>
      <c r="L37" s="731">
        <f t="shared" si="2"/>
        <v>0</v>
      </c>
      <c r="M37" s="707">
        <f t="shared" si="3"/>
        <v>0</v>
      </c>
      <c r="N37" s="708">
        <f t="shared" si="3"/>
        <v>0</v>
      </c>
      <c r="O37" s="708">
        <f t="shared" si="4"/>
        <v>0</v>
      </c>
      <c r="P37" s="731"/>
      <c r="Q37" s="716"/>
      <c r="R37" s="716">
        <f t="shared" si="5"/>
        <v>0</v>
      </c>
      <c r="S37" s="716">
        <f t="shared" si="6"/>
        <v>0</v>
      </c>
    </row>
    <row r="38" spans="1:20" hidden="1">
      <c r="A38" s="737">
        <v>5.0999999999999996</v>
      </c>
      <c r="B38" s="733" t="s">
        <v>1859</v>
      </c>
      <c r="C38" s="734" t="s">
        <v>1860</v>
      </c>
      <c r="D38" s="934">
        <v>51</v>
      </c>
      <c r="E38" s="935">
        <v>0</v>
      </c>
      <c r="F38" s="935">
        <f t="shared" si="0"/>
        <v>51</v>
      </c>
      <c r="G38" s="735">
        <v>0</v>
      </c>
      <c r="H38" s="735">
        <v>0</v>
      </c>
      <c r="I38" s="735">
        <f t="shared" si="1"/>
        <v>0</v>
      </c>
      <c r="J38" s="735">
        <v>0</v>
      </c>
      <c r="K38" s="735">
        <v>0</v>
      </c>
      <c r="L38" s="735">
        <f t="shared" si="2"/>
        <v>0</v>
      </c>
      <c r="M38" s="712">
        <f t="shared" si="3"/>
        <v>51</v>
      </c>
      <c r="N38" s="713">
        <f t="shared" si="3"/>
        <v>0</v>
      </c>
      <c r="O38" s="713">
        <f t="shared" si="4"/>
        <v>51</v>
      </c>
      <c r="P38" s="713">
        <v>3</v>
      </c>
      <c r="Q38" s="713">
        <v>0</v>
      </c>
      <c r="R38" s="713">
        <f t="shared" si="5"/>
        <v>3</v>
      </c>
      <c r="S38" s="714">
        <f t="shared" si="6"/>
        <v>48</v>
      </c>
    </row>
    <row r="39" spans="1:20" hidden="1">
      <c r="A39" s="737">
        <v>5.2</v>
      </c>
      <c r="B39" s="733" t="s">
        <v>1861</v>
      </c>
      <c r="C39" s="734" t="s">
        <v>608</v>
      </c>
      <c r="D39" s="934">
        <v>130</v>
      </c>
      <c r="E39" s="935">
        <v>0</v>
      </c>
      <c r="F39" s="935">
        <f t="shared" si="0"/>
        <v>130</v>
      </c>
      <c r="G39" s="735">
        <v>0</v>
      </c>
      <c r="H39" s="735">
        <v>0</v>
      </c>
      <c r="I39" s="735">
        <f t="shared" si="1"/>
        <v>0</v>
      </c>
      <c r="J39" s="735">
        <v>46</v>
      </c>
      <c r="K39" s="735">
        <v>0</v>
      </c>
      <c r="L39" s="735">
        <f t="shared" si="2"/>
        <v>46</v>
      </c>
      <c r="M39" s="712">
        <f t="shared" si="3"/>
        <v>84</v>
      </c>
      <c r="N39" s="713">
        <f t="shared" si="3"/>
        <v>0</v>
      </c>
      <c r="O39" s="713">
        <f t="shared" si="4"/>
        <v>84</v>
      </c>
      <c r="P39" s="713">
        <v>4</v>
      </c>
      <c r="Q39" s="713"/>
      <c r="R39" s="713">
        <f t="shared" si="5"/>
        <v>4</v>
      </c>
      <c r="S39" s="714">
        <f t="shared" si="6"/>
        <v>80</v>
      </c>
    </row>
    <row r="40" spans="1:20" hidden="1"/>
    <row r="42" spans="1:20" ht="15.75">
      <c r="A42" s="1734" t="s">
        <v>2376</v>
      </c>
      <c r="B42" s="1734"/>
      <c r="C42" s="1734"/>
      <c r="D42" s="1734"/>
      <c r="E42" s="1734"/>
      <c r="F42" s="1734"/>
      <c r="G42" s="1734"/>
      <c r="H42" s="1734"/>
      <c r="I42" s="1734"/>
      <c r="J42" s="1734"/>
      <c r="K42" s="1734"/>
      <c r="L42" s="1734"/>
      <c r="M42" s="1734"/>
      <c r="N42" s="1734"/>
      <c r="O42" s="1734"/>
      <c r="P42" s="1734"/>
      <c r="Q42" s="1734"/>
      <c r="R42" s="1734"/>
      <c r="S42" s="1734"/>
      <c r="T42" s="1734"/>
    </row>
    <row r="43" spans="1:20">
      <c r="A43" s="1731" t="s">
        <v>1865</v>
      </c>
      <c r="B43" s="1731"/>
      <c r="C43" s="1731"/>
      <c r="D43" s="1731"/>
      <c r="E43" s="1731"/>
      <c r="F43" s="1731"/>
      <c r="G43" s="1731"/>
      <c r="H43" s="1731"/>
      <c r="I43" s="1731"/>
      <c r="J43" s="1731"/>
      <c r="K43" s="1731"/>
      <c r="L43" s="1731"/>
      <c r="M43" s="1731"/>
      <c r="N43" s="1731"/>
      <c r="O43" s="1731"/>
      <c r="P43" s="1731"/>
      <c r="Q43" s="1731"/>
      <c r="R43" s="1731"/>
      <c r="S43" s="1731"/>
      <c r="T43" s="1731"/>
    </row>
    <row r="44" spans="1:20">
      <c r="A44" s="1732" t="s">
        <v>996</v>
      </c>
      <c r="B44" s="1732" t="s">
        <v>1835</v>
      </c>
      <c r="C44" s="1732" t="s">
        <v>589</v>
      </c>
      <c r="D44" s="1732" t="s">
        <v>1836</v>
      </c>
      <c r="E44" s="1732"/>
      <c r="F44" s="1732"/>
      <c r="G44" s="1732"/>
      <c r="H44" s="1732"/>
      <c r="I44" s="1732"/>
      <c r="J44" s="1732"/>
      <c r="K44" s="1732"/>
      <c r="L44" s="1732"/>
      <c r="M44" s="1732"/>
      <c r="N44" s="1732"/>
      <c r="O44" s="1732"/>
      <c r="P44" s="1732" t="s">
        <v>1837</v>
      </c>
      <c r="Q44" s="1732"/>
      <c r="R44" s="1732"/>
      <c r="S44" s="1732" t="s">
        <v>3280</v>
      </c>
      <c r="T44" s="1732" t="s">
        <v>19</v>
      </c>
    </row>
    <row r="45" spans="1:20">
      <c r="A45" s="1732"/>
      <c r="B45" s="1732"/>
      <c r="C45" s="1732"/>
      <c r="D45" s="1733" t="s">
        <v>1839</v>
      </c>
      <c r="E45" s="1733"/>
      <c r="F45" s="1733"/>
      <c r="G45" s="1732" t="s">
        <v>1840</v>
      </c>
      <c r="H45" s="1732"/>
      <c r="I45" s="1732"/>
      <c r="J45" s="1732" t="s">
        <v>1841</v>
      </c>
      <c r="K45" s="1732"/>
      <c r="L45" s="1732"/>
      <c r="M45" s="1736" t="s">
        <v>1842</v>
      </c>
      <c r="N45" s="1736"/>
      <c r="O45" s="1736"/>
      <c r="P45" s="1732"/>
      <c r="Q45" s="1732"/>
      <c r="R45" s="1732"/>
      <c r="S45" s="1732"/>
      <c r="T45" s="1732"/>
    </row>
    <row r="46" spans="1:20" ht="25.5">
      <c r="A46" s="1732"/>
      <c r="B46" s="1732"/>
      <c r="C46" s="1732"/>
      <c r="D46" s="929" t="s">
        <v>1843</v>
      </c>
      <c r="E46" s="929" t="s">
        <v>1844</v>
      </c>
      <c r="F46" s="929" t="s">
        <v>1845</v>
      </c>
      <c r="G46" s="704" t="s">
        <v>1843</v>
      </c>
      <c r="H46" s="704" t="s">
        <v>1844</v>
      </c>
      <c r="I46" s="704" t="s">
        <v>1845</v>
      </c>
      <c r="J46" s="704" t="s">
        <v>1843</v>
      </c>
      <c r="K46" s="704" t="s">
        <v>1844</v>
      </c>
      <c r="L46" s="704" t="s">
        <v>1845</v>
      </c>
      <c r="M46" s="704" t="s">
        <v>1843</v>
      </c>
      <c r="N46" s="704" t="s">
        <v>1844</v>
      </c>
      <c r="O46" s="704" t="s">
        <v>1845</v>
      </c>
      <c r="P46" s="704" t="s">
        <v>1843</v>
      </c>
      <c r="Q46" s="704" t="s">
        <v>1844</v>
      </c>
      <c r="R46" s="704" t="s">
        <v>1845</v>
      </c>
      <c r="S46" s="1732"/>
      <c r="T46" s="1732"/>
    </row>
    <row r="47" spans="1:20">
      <c r="A47" s="706">
        <v>1</v>
      </c>
      <c r="B47" s="705" t="s">
        <v>1846</v>
      </c>
      <c r="C47" s="706" t="s">
        <v>1847</v>
      </c>
      <c r="D47" s="708"/>
      <c r="E47" s="708"/>
      <c r="F47" s="708"/>
      <c r="G47" s="708"/>
      <c r="H47" s="708"/>
      <c r="I47" s="708"/>
      <c r="J47" s="708"/>
      <c r="K47" s="708"/>
      <c r="L47" s="708"/>
      <c r="M47" s="707"/>
      <c r="N47" s="708"/>
      <c r="O47" s="708"/>
      <c r="P47" s="708"/>
      <c r="Q47" s="709"/>
      <c r="R47" s="709"/>
      <c r="S47" s="710"/>
      <c r="T47" s="738"/>
    </row>
    <row r="48" spans="1:20">
      <c r="A48" s="704">
        <v>1.1000000000000001</v>
      </c>
      <c r="B48" s="711" t="s">
        <v>1866</v>
      </c>
      <c r="C48" s="704" t="s">
        <v>1847</v>
      </c>
      <c r="D48" s="930">
        <v>8697</v>
      </c>
      <c r="E48" s="930"/>
      <c r="F48" s="930">
        <f>D48+E48</f>
        <v>8697</v>
      </c>
      <c r="G48" s="712">
        <v>0</v>
      </c>
      <c r="H48" s="712">
        <v>0</v>
      </c>
      <c r="I48" s="712">
        <f>G48+H48</f>
        <v>0</v>
      </c>
      <c r="J48" s="712">
        <v>0</v>
      </c>
      <c r="K48" s="712">
        <v>0</v>
      </c>
      <c r="L48" s="712">
        <f>J48+K48</f>
        <v>0</v>
      </c>
      <c r="M48" s="712">
        <f>D48+G48-J48</f>
        <v>8697</v>
      </c>
      <c r="N48" s="713">
        <f>E48+H48-K48</f>
        <v>0</v>
      </c>
      <c r="O48" s="713">
        <f>M48+N48</f>
        <v>8697</v>
      </c>
      <c r="P48" s="713">
        <v>7172</v>
      </c>
      <c r="Q48" s="714"/>
      <c r="R48" s="714">
        <f>P48+Q48</f>
        <v>7172</v>
      </c>
      <c r="S48" s="715">
        <v>3150</v>
      </c>
      <c r="T48" s="739"/>
    </row>
    <row r="49" spans="1:20">
      <c r="A49" s="704"/>
      <c r="B49" s="711"/>
      <c r="C49" s="704"/>
      <c r="D49" s="930"/>
      <c r="E49" s="930"/>
      <c r="F49" s="930">
        <f t="shared" ref="F49" si="15">D49+E49</f>
        <v>0</v>
      </c>
      <c r="G49" s="712"/>
      <c r="H49" s="712"/>
      <c r="I49" s="712">
        <f t="shared" ref="I49" si="16">G49+H49</f>
        <v>0</v>
      </c>
      <c r="J49" s="712"/>
      <c r="K49" s="712"/>
      <c r="L49" s="712">
        <f t="shared" ref="L49" si="17">J49+K49</f>
        <v>0</v>
      </c>
      <c r="M49" s="712">
        <f t="shared" ref="M49" si="18">D49+G49-J49</f>
        <v>0</v>
      </c>
      <c r="N49" s="713">
        <f t="shared" ref="N49" si="19">E49+H49-K49</f>
        <v>0</v>
      </c>
      <c r="O49" s="713">
        <f t="shared" ref="O49" si="20">M49+N49</f>
        <v>0</v>
      </c>
      <c r="P49" s="713"/>
      <c r="Q49" s="714"/>
      <c r="R49" s="714">
        <f t="shared" ref="R49" si="21">P49+Q49</f>
        <v>0</v>
      </c>
      <c r="S49" s="715">
        <f t="shared" ref="S49" si="22">O49-R49</f>
        <v>0</v>
      </c>
      <c r="T49" s="739"/>
    </row>
    <row r="50" spans="1:20">
      <c r="A50" s="706">
        <v>2</v>
      </c>
      <c r="B50" s="705" t="s">
        <v>1848</v>
      </c>
      <c r="C50" s="706" t="s">
        <v>1849</v>
      </c>
      <c r="D50" s="707"/>
      <c r="E50" s="707"/>
      <c r="F50" s="707"/>
      <c r="G50" s="707"/>
      <c r="H50" s="707"/>
      <c r="I50" s="707"/>
      <c r="J50" s="707"/>
      <c r="K50" s="707"/>
      <c r="L50" s="707"/>
      <c r="M50" s="707"/>
      <c r="N50" s="708"/>
      <c r="O50" s="708"/>
      <c r="P50" s="708"/>
      <c r="Q50" s="716"/>
      <c r="R50" s="716"/>
      <c r="S50" s="717"/>
      <c r="T50" s="738"/>
    </row>
    <row r="51" spans="1:20">
      <c r="A51" s="704">
        <v>2.1</v>
      </c>
      <c r="B51" s="711" t="s">
        <v>1867</v>
      </c>
      <c r="C51" s="704" t="s">
        <v>1849</v>
      </c>
      <c r="D51" s="932">
        <f>SUM(D52:D57)</f>
        <v>213.14999999999998</v>
      </c>
      <c r="E51" s="932">
        <f>SUM(E52:E57)</f>
        <v>0</v>
      </c>
      <c r="F51" s="932">
        <f>SUM(F52:F57)</f>
        <v>213.14999999999998</v>
      </c>
      <c r="G51" s="719">
        <v>0</v>
      </c>
      <c r="H51" s="719">
        <v>0</v>
      </c>
      <c r="I51" s="718">
        <f>SUM(I52:I57)</f>
        <v>0</v>
      </c>
      <c r="J51" s="718">
        <f>SUM(J52:J57)</f>
        <v>18.372651000000001</v>
      </c>
      <c r="K51" s="719">
        <v>0</v>
      </c>
      <c r="L51" s="718">
        <f>SUM(L52:L57)</f>
        <v>18.372651000000001</v>
      </c>
      <c r="M51" s="718">
        <f>SUM(M52:M57)</f>
        <v>194.77734900000002</v>
      </c>
      <c r="N51" s="720">
        <f t="shared" ref="N51:N57" si="23">E51+H51-K51</f>
        <v>0</v>
      </c>
      <c r="O51" s="720">
        <f t="shared" ref="O51:O57" si="24">M51+N51</f>
        <v>194.77734900000002</v>
      </c>
      <c r="P51" s="718">
        <f>SUM(P52:P57)</f>
        <v>68.852000000000004</v>
      </c>
      <c r="Q51" s="721">
        <v>0</v>
      </c>
      <c r="R51" s="722">
        <f t="shared" ref="R51:R57" si="25">P51+Q51</f>
        <v>68.852000000000004</v>
      </c>
      <c r="S51" s="723">
        <f>SUM(S52:S57)</f>
        <v>337.9450809999999</v>
      </c>
      <c r="T51" s="739"/>
    </row>
    <row r="52" spans="1:20">
      <c r="A52" s="704"/>
      <c r="B52" s="746" t="s">
        <v>1850</v>
      </c>
      <c r="C52" s="704" t="s">
        <v>1849</v>
      </c>
      <c r="D52" s="952">
        <v>8.2240000000000002</v>
      </c>
      <c r="E52" s="952">
        <v>0</v>
      </c>
      <c r="F52" s="952">
        <f t="shared" ref="F52:F57" si="26">D52+E52</f>
        <v>8.2240000000000002</v>
      </c>
      <c r="G52" s="953">
        <v>0</v>
      </c>
      <c r="H52" s="953">
        <v>0</v>
      </c>
      <c r="I52" s="953">
        <f t="shared" ref="I52:I57" si="27">G52+H52</f>
        <v>0</v>
      </c>
      <c r="J52" s="953">
        <v>0.52438099999999999</v>
      </c>
      <c r="K52" s="953">
        <v>0</v>
      </c>
      <c r="L52" s="953">
        <f t="shared" ref="L52:L57" si="28">J52+K52</f>
        <v>0.52438099999999999</v>
      </c>
      <c r="M52" s="953">
        <f t="shared" ref="M52:M57" si="29">D52+G52-J52</f>
        <v>7.6996190000000002</v>
      </c>
      <c r="N52" s="951">
        <f t="shared" si="23"/>
        <v>0</v>
      </c>
      <c r="O52" s="951">
        <f t="shared" si="24"/>
        <v>7.6996190000000002</v>
      </c>
      <c r="P52" s="951">
        <v>1.649</v>
      </c>
      <c r="Q52" s="791"/>
      <c r="R52" s="791">
        <f t="shared" si="25"/>
        <v>1.649</v>
      </c>
      <c r="S52" s="954">
        <v>6.5645429999999969</v>
      </c>
      <c r="T52" s="739"/>
    </row>
    <row r="53" spans="1:20">
      <c r="A53" s="704"/>
      <c r="B53" s="746" t="s">
        <v>1851</v>
      </c>
      <c r="C53" s="704" t="s">
        <v>1849</v>
      </c>
      <c r="D53" s="952">
        <v>42.155999999999999</v>
      </c>
      <c r="E53" s="952">
        <v>0</v>
      </c>
      <c r="F53" s="952">
        <f t="shared" si="26"/>
        <v>42.155999999999999</v>
      </c>
      <c r="G53" s="953">
        <v>0</v>
      </c>
      <c r="H53" s="953">
        <v>0</v>
      </c>
      <c r="I53" s="953">
        <f t="shared" si="27"/>
        <v>0</v>
      </c>
      <c r="J53" s="953">
        <v>0</v>
      </c>
      <c r="K53" s="953">
        <v>0</v>
      </c>
      <c r="L53" s="953">
        <f t="shared" si="28"/>
        <v>0</v>
      </c>
      <c r="M53" s="953">
        <f t="shared" si="29"/>
        <v>42.155999999999999</v>
      </c>
      <c r="N53" s="951">
        <f t="shared" si="23"/>
        <v>0</v>
      </c>
      <c r="O53" s="951">
        <f t="shared" si="24"/>
        <v>42.155999999999999</v>
      </c>
      <c r="P53" s="951">
        <v>10.271000000000001</v>
      </c>
      <c r="Q53" s="791"/>
      <c r="R53" s="791">
        <f t="shared" si="25"/>
        <v>10.271000000000001</v>
      </c>
      <c r="S53" s="954">
        <v>63.800619000000019</v>
      </c>
      <c r="T53" s="739"/>
    </row>
    <row r="54" spans="1:20">
      <c r="A54" s="704"/>
      <c r="B54" s="746" t="s">
        <v>1852</v>
      </c>
      <c r="C54" s="704" t="s">
        <v>1849</v>
      </c>
      <c r="D54" s="952">
        <v>117.2</v>
      </c>
      <c r="E54" s="952">
        <v>0</v>
      </c>
      <c r="F54" s="952">
        <f t="shared" si="26"/>
        <v>117.2</v>
      </c>
      <c r="G54" s="953">
        <v>0</v>
      </c>
      <c r="H54" s="953">
        <v>0</v>
      </c>
      <c r="I54" s="953">
        <f t="shared" si="27"/>
        <v>0</v>
      </c>
      <c r="J54" s="953">
        <v>14.70049</v>
      </c>
      <c r="K54" s="953">
        <v>0</v>
      </c>
      <c r="L54" s="953">
        <f t="shared" si="28"/>
        <v>14.70049</v>
      </c>
      <c r="M54" s="953">
        <f t="shared" si="29"/>
        <v>102.49951</v>
      </c>
      <c r="N54" s="951">
        <f t="shared" si="23"/>
        <v>0</v>
      </c>
      <c r="O54" s="951">
        <f t="shared" si="24"/>
        <v>102.49951</v>
      </c>
      <c r="P54" s="951">
        <v>46.856000000000002</v>
      </c>
      <c r="Q54" s="791"/>
      <c r="R54" s="791">
        <f t="shared" si="25"/>
        <v>46.856000000000002</v>
      </c>
      <c r="S54" s="954">
        <v>217.02913599999988</v>
      </c>
      <c r="T54" s="739"/>
    </row>
    <row r="55" spans="1:20">
      <c r="A55" s="704"/>
      <c r="B55" s="746" t="s">
        <v>1853</v>
      </c>
      <c r="C55" s="704" t="s">
        <v>1849</v>
      </c>
      <c r="D55" s="952">
        <v>18.97</v>
      </c>
      <c r="E55" s="952">
        <v>0</v>
      </c>
      <c r="F55" s="952">
        <f t="shared" si="26"/>
        <v>18.97</v>
      </c>
      <c r="G55" s="953">
        <v>0</v>
      </c>
      <c r="H55" s="953">
        <v>0</v>
      </c>
      <c r="I55" s="953">
        <f t="shared" si="27"/>
        <v>0</v>
      </c>
      <c r="J55" s="953">
        <v>0</v>
      </c>
      <c r="K55" s="953">
        <v>0</v>
      </c>
      <c r="L55" s="953">
        <f t="shared" si="28"/>
        <v>0</v>
      </c>
      <c r="M55" s="953">
        <f t="shared" si="29"/>
        <v>18.97</v>
      </c>
      <c r="N55" s="951">
        <f t="shared" si="23"/>
        <v>0</v>
      </c>
      <c r="O55" s="951">
        <f t="shared" si="24"/>
        <v>18.97</v>
      </c>
      <c r="P55" s="951">
        <v>0.13400000000000001</v>
      </c>
      <c r="Q55" s="791"/>
      <c r="R55" s="791">
        <f t="shared" si="25"/>
        <v>0.13400000000000001</v>
      </c>
      <c r="S55" s="954">
        <v>19.873999999999999</v>
      </c>
      <c r="T55" s="739"/>
    </row>
    <row r="56" spans="1:20">
      <c r="A56" s="704"/>
      <c r="B56" s="746" t="s">
        <v>1854</v>
      </c>
      <c r="C56" s="704" t="s">
        <v>1849</v>
      </c>
      <c r="D56" s="952">
        <v>13.324999999999999</v>
      </c>
      <c r="E56" s="952">
        <v>0</v>
      </c>
      <c r="F56" s="952">
        <f t="shared" si="26"/>
        <v>13.324999999999999</v>
      </c>
      <c r="G56" s="953">
        <v>0</v>
      </c>
      <c r="H56" s="953">
        <v>0</v>
      </c>
      <c r="I56" s="953">
        <f t="shared" si="27"/>
        <v>0</v>
      </c>
      <c r="J56" s="953">
        <v>0.46</v>
      </c>
      <c r="K56" s="953">
        <v>0</v>
      </c>
      <c r="L56" s="953">
        <f t="shared" si="28"/>
        <v>0.46</v>
      </c>
      <c r="M56" s="953">
        <f t="shared" si="29"/>
        <v>12.864999999999998</v>
      </c>
      <c r="N56" s="951">
        <f t="shared" si="23"/>
        <v>0</v>
      </c>
      <c r="O56" s="951">
        <f t="shared" si="24"/>
        <v>12.864999999999998</v>
      </c>
      <c r="P56" s="951">
        <v>3.82</v>
      </c>
      <c r="Q56" s="791"/>
      <c r="R56" s="791">
        <f t="shared" si="25"/>
        <v>3.82</v>
      </c>
      <c r="S56" s="954">
        <v>16.450118</v>
      </c>
      <c r="T56" s="739"/>
    </row>
    <row r="57" spans="1:20">
      <c r="A57" s="704"/>
      <c r="B57" s="746" t="s">
        <v>1855</v>
      </c>
      <c r="C57" s="704" t="s">
        <v>1849</v>
      </c>
      <c r="D57" s="952">
        <v>13.275</v>
      </c>
      <c r="E57" s="952">
        <v>0</v>
      </c>
      <c r="F57" s="952">
        <f t="shared" si="26"/>
        <v>13.275</v>
      </c>
      <c r="G57" s="953">
        <v>0</v>
      </c>
      <c r="H57" s="953">
        <v>0</v>
      </c>
      <c r="I57" s="953">
        <f t="shared" si="27"/>
        <v>0</v>
      </c>
      <c r="J57" s="953">
        <v>2.6877800000000001</v>
      </c>
      <c r="K57" s="953">
        <v>0</v>
      </c>
      <c r="L57" s="953">
        <f t="shared" si="28"/>
        <v>2.6877800000000001</v>
      </c>
      <c r="M57" s="953">
        <f t="shared" si="29"/>
        <v>10.58722</v>
      </c>
      <c r="N57" s="951">
        <f t="shared" si="23"/>
        <v>0</v>
      </c>
      <c r="O57" s="951">
        <f t="shared" si="24"/>
        <v>10.58722</v>
      </c>
      <c r="P57" s="951">
        <v>6.1219999999999999</v>
      </c>
      <c r="Q57" s="791"/>
      <c r="R57" s="791">
        <f t="shared" si="25"/>
        <v>6.1219999999999999</v>
      </c>
      <c r="S57" s="954">
        <v>14.226665000000047</v>
      </c>
      <c r="T57" s="739"/>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ColWidth="8.7109375" defaultRowHeight="15"/>
  <cols>
    <col min="1" max="1" width="5.28515625" style="743" customWidth="1"/>
    <col min="2" max="2" width="24.85546875" style="699" customWidth="1"/>
    <col min="3" max="3" width="8.7109375" style="699"/>
    <col min="4" max="4" width="11.5703125" style="699" customWidth="1"/>
    <col min="5" max="5" width="10.140625" style="699" customWidth="1"/>
    <col min="6" max="6" width="9.7109375" style="699" customWidth="1"/>
    <col min="7" max="7" width="8.7109375" style="699"/>
    <col min="8" max="9" width="10.5703125" style="699" customWidth="1"/>
    <col min="10" max="10" width="8.7109375" style="699"/>
    <col min="11" max="11" width="11.140625" style="699" customWidth="1"/>
    <col min="12" max="12" width="9.7109375" style="699" customWidth="1"/>
    <col min="13" max="13" width="10.28515625" style="699" customWidth="1"/>
    <col min="14" max="14" width="8.7109375" style="699"/>
    <col min="15" max="15" width="10.42578125" style="699" customWidth="1"/>
    <col min="16" max="16" width="9.7109375" style="699" bestFit="1" customWidth="1"/>
    <col min="17" max="18" width="8.7109375" style="699"/>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936" t="s">
        <v>3103</v>
      </c>
      <c r="T2" s="938"/>
    </row>
    <row r="3" spans="1:20" ht="15.75">
      <c r="A3" s="745" t="s">
        <v>1863</v>
      </c>
      <c r="B3" s="700"/>
      <c r="C3" s="697"/>
      <c r="D3" s="701"/>
      <c r="E3" s="701"/>
      <c r="F3" s="697"/>
      <c r="G3" s="697"/>
      <c r="H3" s="697"/>
      <c r="I3" s="697"/>
      <c r="J3" s="697"/>
      <c r="K3" s="697"/>
      <c r="L3" s="697"/>
      <c r="M3" s="701"/>
      <c r="N3" s="697"/>
      <c r="O3" s="697"/>
      <c r="P3" s="697"/>
      <c r="Q3" s="701"/>
      <c r="R3" s="701"/>
      <c r="S3" s="702"/>
      <c r="T3" s="698"/>
    </row>
    <row r="4" spans="1:20" ht="15.75">
      <c r="A4" s="744" t="s">
        <v>1864</v>
      </c>
      <c r="B4" s="697"/>
      <c r="C4" s="697"/>
      <c r="D4" s="701" t="s">
        <v>1834</v>
      </c>
      <c r="E4" s="701"/>
      <c r="F4" s="736">
        <f>'TB-605'!E1</f>
        <v>46246</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c r="A6" s="1736" t="s">
        <v>1865</v>
      </c>
      <c r="B6" s="1736"/>
      <c r="C6" s="1736"/>
      <c r="D6" s="1736"/>
      <c r="E6" s="1736"/>
      <c r="F6" s="1736"/>
      <c r="G6" s="1736"/>
      <c r="H6" s="1736"/>
      <c r="I6" s="1736"/>
      <c r="J6" s="1736"/>
      <c r="K6" s="1736"/>
      <c r="L6" s="1736"/>
      <c r="M6" s="1736"/>
      <c r="N6" s="1736"/>
      <c r="O6" s="1736"/>
      <c r="P6" s="1736"/>
      <c r="Q6" s="1736"/>
      <c r="R6" s="1736"/>
      <c r="S6" s="1736"/>
      <c r="T6" s="1736"/>
    </row>
    <row r="7" spans="1:20" ht="15" customHeight="1">
      <c r="A7" s="1732" t="s">
        <v>996</v>
      </c>
      <c r="B7" s="1732" t="s">
        <v>1835</v>
      </c>
      <c r="C7" s="1732" t="s">
        <v>589</v>
      </c>
      <c r="D7" s="1732" t="s">
        <v>1836</v>
      </c>
      <c r="E7" s="1732"/>
      <c r="F7" s="1732"/>
      <c r="G7" s="1732"/>
      <c r="H7" s="1732"/>
      <c r="I7" s="1732"/>
      <c r="J7" s="1732"/>
      <c r="K7" s="1732"/>
      <c r="L7" s="1732"/>
      <c r="M7" s="1732"/>
      <c r="N7" s="1732"/>
      <c r="O7" s="1732"/>
      <c r="P7" s="1732" t="s">
        <v>1837</v>
      </c>
      <c r="Q7" s="1732"/>
      <c r="R7" s="1732"/>
      <c r="S7" s="1732" t="s">
        <v>1838</v>
      </c>
      <c r="T7" s="1732" t="s">
        <v>19</v>
      </c>
    </row>
    <row r="8" spans="1:20" ht="30.75" customHeight="1">
      <c r="A8" s="1732"/>
      <c r="B8" s="1732"/>
      <c r="C8" s="1732"/>
      <c r="D8" s="1733" t="s">
        <v>1839</v>
      </c>
      <c r="E8" s="1733"/>
      <c r="F8" s="1733"/>
      <c r="G8" s="1732" t="s">
        <v>1840</v>
      </c>
      <c r="H8" s="1732"/>
      <c r="I8" s="1732"/>
      <c r="J8" s="1732" t="s">
        <v>1841</v>
      </c>
      <c r="K8" s="1732"/>
      <c r="L8" s="1732"/>
      <c r="M8" s="1736" t="s">
        <v>1842</v>
      </c>
      <c r="N8" s="1736"/>
      <c r="O8" s="1736"/>
      <c r="P8" s="1732"/>
      <c r="Q8" s="1732"/>
      <c r="R8" s="1732"/>
      <c r="S8" s="1732"/>
      <c r="T8" s="1732"/>
    </row>
    <row r="9" spans="1:20" ht="27" customHeight="1">
      <c r="A9" s="1732"/>
      <c r="B9" s="1732"/>
      <c r="C9" s="1732"/>
      <c r="D9" s="929" t="s">
        <v>1843</v>
      </c>
      <c r="E9" s="929" t="s">
        <v>1844</v>
      </c>
      <c r="F9" s="929" t="s">
        <v>1845</v>
      </c>
      <c r="G9" s="704" t="s">
        <v>1843</v>
      </c>
      <c r="H9" s="704" t="s">
        <v>1844</v>
      </c>
      <c r="I9" s="704" t="s">
        <v>1845</v>
      </c>
      <c r="J9" s="704" t="s">
        <v>1843</v>
      </c>
      <c r="K9" s="704" t="s">
        <v>1844</v>
      </c>
      <c r="L9" s="704" t="s">
        <v>1845</v>
      </c>
      <c r="M9" s="704" t="s">
        <v>1843</v>
      </c>
      <c r="N9" s="704" t="s">
        <v>1844</v>
      </c>
      <c r="O9" s="704" t="s">
        <v>1845</v>
      </c>
      <c r="P9" s="704" t="s">
        <v>1843</v>
      </c>
      <c r="Q9" s="704" t="s">
        <v>1844</v>
      </c>
      <c r="R9" s="704" t="s">
        <v>1845</v>
      </c>
      <c r="S9" s="1732"/>
      <c r="T9" s="1732"/>
    </row>
    <row r="10" spans="1:20">
      <c r="A10" s="706">
        <v>1</v>
      </c>
      <c r="B10" s="705" t="s">
        <v>1846</v>
      </c>
      <c r="C10" s="706" t="s">
        <v>1847</v>
      </c>
      <c r="D10" s="708"/>
      <c r="E10" s="708"/>
      <c r="F10" s="708"/>
      <c r="G10" s="708"/>
      <c r="H10" s="708"/>
      <c r="I10" s="708"/>
      <c r="J10" s="708"/>
      <c r="K10" s="708"/>
      <c r="L10" s="708"/>
      <c r="M10" s="707"/>
      <c r="N10" s="708"/>
      <c r="O10" s="708"/>
      <c r="P10" s="708"/>
      <c r="Q10" s="709"/>
      <c r="R10" s="709"/>
      <c r="S10" s="710"/>
      <c r="T10" s="738"/>
    </row>
    <row r="11" spans="1:20">
      <c r="A11" s="704">
        <v>1.1000000000000001</v>
      </c>
      <c r="B11" s="711" t="s">
        <v>1866</v>
      </c>
      <c r="C11" s="704" t="s">
        <v>1847</v>
      </c>
      <c r="D11" s="930">
        <f>800+5500</f>
        <v>6300</v>
      </c>
      <c r="E11" s="930"/>
      <c r="F11" s="930">
        <f>D11+E11</f>
        <v>6300</v>
      </c>
      <c r="G11" s="712">
        <v>0</v>
      </c>
      <c r="H11" s="712">
        <v>0</v>
      </c>
      <c r="I11" s="712">
        <f>G11+H11</f>
        <v>0</v>
      </c>
      <c r="J11" s="712">
        <v>0</v>
      </c>
      <c r="K11" s="712">
        <v>0</v>
      </c>
      <c r="L11" s="712">
        <f>J11+K11</f>
        <v>0</v>
      </c>
      <c r="M11" s="712">
        <f>D11+G11-J11</f>
        <v>6300</v>
      </c>
      <c r="N11" s="713">
        <f>E11+H11-K11</f>
        <v>0</v>
      </c>
      <c r="O11" s="713">
        <f>M11+N11</f>
        <v>6300</v>
      </c>
      <c r="P11" s="713">
        <v>5539</v>
      </c>
      <c r="Q11" s="714"/>
      <c r="R11" s="714">
        <f>P11+Q11</f>
        <v>5539</v>
      </c>
      <c r="S11" s="715">
        <f>O11-R11</f>
        <v>761</v>
      </c>
      <c r="T11" s="739"/>
    </row>
    <row r="12" spans="1:20">
      <c r="A12" s="704"/>
      <c r="B12" s="711"/>
      <c r="C12" s="704"/>
      <c r="D12" s="930"/>
      <c r="E12" s="930"/>
      <c r="F12" s="930">
        <f t="shared" ref="F12:F30" si="0">D12+E12</f>
        <v>0</v>
      </c>
      <c r="G12" s="712"/>
      <c r="H12" s="712"/>
      <c r="I12" s="712">
        <f t="shared" ref="I12:I30" si="1">G12+H12</f>
        <v>0</v>
      </c>
      <c r="J12" s="712"/>
      <c r="K12" s="712"/>
      <c r="L12" s="712">
        <f t="shared" ref="L12:L30" si="2">J12+K12</f>
        <v>0</v>
      </c>
      <c r="M12" s="712">
        <f t="shared" ref="M12:N30" si="3">D12+G12-J12</f>
        <v>0</v>
      </c>
      <c r="N12" s="713">
        <f t="shared" si="3"/>
        <v>0</v>
      </c>
      <c r="O12" s="713">
        <f t="shared" ref="O12:O30" si="4">M12+N12</f>
        <v>0</v>
      </c>
      <c r="P12" s="713"/>
      <c r="Q12" s="714"/>
      <c r="R12" s="714">
        <f t="shared" ref="R12:R30" si="5">P12+Q12</f>
        <v>0</v>
      </c>
      <c r="S12" s="715">
        <f t="shared" ref="S12:S30" si="6">O12-R12</f>
        <v>0</v>
      </c>
      <c r="T12" s="739"/>
    </row>
    <row r="13" spans="1:20">
      <c r="A13" s="706">
        <v>2</v>
      </c>
      <c r="B13" s="705" t="s">
        <v>1848</v>
      </c>
      <c r="C13" s="706"/>
      <c r="D13" s="707"/>
      <c r="E13" s="707"/>
      <c r="F13" s="707"/>
      <c r="G13" s="707"/>
      <c r="H13" s="707"/>
      <c r="I13" s="707"/>
      <c r="J13" s="707"/>
      <c r="K13" s="707"/>
      <c r="L13" s="707"/>
      <c r="M13" s="707"/>
      <c r="N13" s="708"/>
      <c r="O13" s="708"/>
      <c r="P13" s="708"/>
      <c r="Q13" s="716"/>
      <c r="R13" s="716"/>
      <c r="S13" s="717"/>
      <c r="T13" s="738"/>
    </row>
    <row r="14" spans="1:20">
      <c r="A14" s="704">
        <v>2.1</v>
      </c>
      <c r="B14" s="711" t="s">
        <v>1867</v>
      </c>
      <c r="C14" s="704" t="s">
        <v>1849</v>
      </c>
      <c r="D14" s="932">
        <f>SUM(D15:D20)</f>
        <v>200.24</v>
      </c>
      <c r="E14" s="932">
        <f t="shared" ref="E14:S14" si="7">SUM(E15:E20)</f>
        <v>0</v>
      </c>
      <c r="F14" s="932">
        <f t="shared" si="7"/>
        <v>200.24</v>
      </c>
      <c r="G14" s="718">
        <f t="shared" si="7"/>
        <v>18.372651000000001</v>
      </c>
      <c r="H14" s="718">
        <f t="shared" si="7"/>
        <v>0</v>
      </c>
      <c r="I14" s="718">
        <f t="shared" si="7"/>
        <v>18.372651000000001</v>
      </c>
      <c r="J14" s="718">
        <f t="shared" si="7"/>
        <v>0</v>
      </c>
      <c r="K14" s="718">
        <f t="shared" si="7"/>
        <v>0</v>
      </c>
      <c r="L14" s="718">
        <f t="shared" si="7"/>
        <v>0</v>
      </c>
      <c r="M14" s="718">
        <f t="shared" si="7"/>
        <v>218.61265100000003</v>
      </c>
      <c r="N14" s="718">
        <f t="shared" si="7"/>
        <v>0</v>
      </c>
      <c r="O14" s="718">
        <f t="shared" si="7"/>
        <v>218.61265100000003</v>
      </c>
      <c r="P14" s="718">
        <f t="shared" si="7"/>
        <v>59.653846000000001</v>
      </c>
      <c r="Q14" s="718">
        <f t="shared" si="7"/>
        <v>0</v>
      </c>
      <c r="R14" s="718">
        <f t="shared" si="7"/>
        <v>59.653846000000001</v>
      </c>
      <c r="S14" s="718">
        <f t="shared" si="7"/>
        <v>158.95880500000001</v>
      </c>
      <c r="T14" s="739"/>
    </row>
    <row r="15" spans="1:20">
      <c r="A15" s="704"/>
      <c r="B15" s="746" t="s">
        <v>1850</v>
      </c>
      <c r="C15" s="704" t="s">
        <v>1849</v>
      </c>
      <c r="D15" s="933">
        <v>4.08</v>
      </c>
      <c r="E15" s="933">
        <v>0</v>
      </c>
      <c r="F15" s="933">
        <f t="shared" si="0"/>
        <v>4.08</v>
      </c>
      <c r="G15" s="724">
        <f>(43.056+31.325)/1000+0.45</f>
        <v>0.52438099999999999</v>
      </c>
      <c r="H15" s="724">
        <v>0</v>
      </c>
      <c r="I15" s="724">
        <f t="shared" si="1"/>
        <v>0.52438099999999999</v>
      </c>
      <c r="J15" s="724">
        <v>0</v>
      </c>
      <c r="K15" s="724">
        <v>0</v>
      </c>
      <c r="L15" s="724">
        <f t="shared" si="2"/>
        <v>0</v>
      </c>
      <c r="M15" s="724">
        <f t="shared" si="3"/>
        <v>4.6043810000000001</v>
      </c>
      <c r="N15" s="725">
        <f t="shared" si="3"/>
        <v>0</v>
      </c>
      <c r="O15" s="725">
        <f t="shared" si="4"/>
        <v>4.6043810000000001</v>
      </c>
      <c r="P15" s="725">
        <v>1.5443609999999997</v>
      </c>
      <c r="Q15" s="791"/>
      <c r="R15" s="726">
        <f t="shared" si="5"/>
        <v>1.5443609999999997</v>
      </c>
      <c r="S15" s="727">
        <f t="shared" si="6"/>
        <v>3.0600200000000006</v>
      </c>
      <c r="T15" s="739"/>
    </row>
    <row r="16" spans="1:20">
      <c r="A16" s="704"/>
      <c r="B16" s="746" t="s">
        <v>1851</v>
      </c>
      <c r="C16" s="704" t="s">
        <v>1849</v>
      </c>
      <c r="D16" s="933">
        <v>27.86</v>
      </c>
      <c r="E16" s="933">
        <v>0</v>
      </c>
      <c r="F16" s="933">
        <f t="shared" si="0"/>
        <v>27.86</v>
      </c>
      <c r="G16" s="724">
        <v>0</v>
      </c>
      <c r="H16" s="724">
        <v>0</v>
      </c>
      <c r="I16" s="724">
        <f t="shared" si="1"/>
        <v>0</v>
      </c>
      <c r="J16" s="724">
        <v>0</v>
      </c>
      <c r="K16" s="724">
        <v>0</v>
      </c>
      <c r="L16" s="724">
        <f t="shared" si="2"/>
        <v>0</v>
      </c>
      <c r="M16" s="724">
        <f t="shared" si="3"/>
        <v>27.86</v>
      </c>
      <c r="N16" s="725">
        <f t="shared" si="3"/>
        <v>0</v>
      </c>
      <c r="O16" s="725">
        <f t="shared" si="4"/>
        <v>27.86</v>
      </c>
      <c r="P16" s="725">
        <v>3.9520959999999996</v>
      </c>
      <c r="Q16" s="791"/>
      <c r="R16" s="726">
        <f t="shared" si="5"/>
        <v>3.9520959999999996</v>
      </c>
      <c r="S16" s="727">
        <f t="shared" si="6"/>
        <v>23.907903999999998</v>
      </c>
      <c r="T16" s="739"/>
    </row>
    <row r="17" spans="1:20">
      <c r="A17" s="704"/>
      <c r="B17" s="746" t="s">
        <v>1852</v>
      </c>
      <c r="C17" s="704" t="s">
        <v>1849</v>
      </c>
      <c r="D17" s="933">
        <v>140.46</v>
      </c>
      <c r="E17" s="933">
        <v>0</v>
      </c>
      <c r="F17" s="933">
        <f t="shared" si="0"/>
        <v>140.46</v>
      </c>
      <c r="G17" s="724">
        <f>(1336.709+524.26+220.193+209.328)/1000+12.41</f>
        <v>14.70049</v>
      </c>
      <c r="H17" s="724">
        <v>0</v>
      </c>
      <c r="I17" s="724">
        <f t="shared" si="1"/>
        <v>14.70049</v>
      </c>
      <c r="J17" s="724">
        <v>0</v>
      </c>
      <c r="K17" s="724">
        <v>0</v>
      </c>
      <c r="L17" s="724">
        <f t="shared" si="2"/>
        <v>0</v>
      </c>
      <c r="M17" s="724">
        <f t="shared" si="3"/>
        <v>155.16049000000001</v>
      </c>
      <c r="N17" s="725">
        <f t="shared" si="3"/>
        <v>0</v>
      </c>
      <c r="O17" s="725">
        <f t="shared" si="4"/>
        <v>155.16049000000001</v>
      </c>
      <c r="P17" s="725">
        <v>45.109664000000002</v>
      </c>
      <c r="Q17" s="791"/>
      <c r="R17" s="726">
        <f t="shared" si="5"/>
        <v>45.109664000000002</v>
      </c>
      <c r="S17" s="727">
        <f t="shared" si="6"/>
        <v>110.050826</v>
      </c>
      <c r="T17" s="739"/>
    </row>
    <row r="18" spans="1:20">
      <c r="A18" s="704"/>
      <c r="B18" s="746" t="s">
        <v>1853</v>
      </c>
      <c r="C18" s="704" t="s">
        <v>1849</v>
      </c>
      <c r="D18" s="933">
        <v>8.0299999999999994</v>
      </c>
      <c r="E18" s="933">
        <v>0</v>
      </c>
      <c r="F18" s="933">
        <f t="shared" si="0"/>
        <v>8.0299999999999994</v>
      </c>
      <c r="G18" s="724">
        <v>0</v>
      </c>
      <c r="H18" s="724">
        <v>0</v>
      </c>
      <c r="I18" s="724">
        <f t="shared" si="1"/>
        <v>0</v>
      </c>
      <c r="J18" s="724">
        <v>0</v>
      </c>
      <c r="K18" s="724">
        <v>0</v>
      </c>
      <c r="L18" s="724">
        <f t="shared" si="2"/>
        <v>0</v>
      </c>
      <c r="M18" s="724">
        <f t="shared" si="3"/>
        <v>8.0299999999999994</v>
      </c>
      <c r="N18" s="725">
        <f t="shared" si="3"/>
        <v>0</v>
      </c>
      <c r="O18" s="725">
        <f t="shared" si="4"/>
        <v>8.0299999999999994</v>
      </c>
      <c r="P18" s="725">
        <v>0</v>
      </c>
      <c r="Q18" s="791"/>
      <c r="R18" s="726">
        <f t="shared" si="5"/>
        <v>0</v>
      </c>
      <c r="S18" s="727">
        <f t="shared" si="6"/>
        <v>8.0299999999999994</v>
      </c>
      <c r="T18" s="739"/>
    </row>
    <row r="19" spans="1:20">
      <c r="A19" s="704"/>
      <c r="B19" s="746" t="s">
        <v>1854</v>
      </c>
      <c r="C19" s="704" t="s">
        <v>1849</v>
      </c>
      <c r="D19" s="933">
        <v>10.06</v>
      </c>
      <c r="E19" s="933">
        <v>0</v>
      </c>
      <c r="F19" s="933">
        <f t="shared" si="0"/>
        <v>10.06</v>
      </c>
      <c r="G19" s="724">
        <v>0.46</v>
      </c>
      <c r="H19" s="724">
        <v>0</v>
      </c>
      <c r="I19" s="724">
        <f t="shared" si="1"/>
        <v>0.46</v>
      </c>
      <c r="J19" s="724">
        <v>0</v>
      </c>
      <c r="K19" s="724">
        <v>0</v>
      </c>
      <c r="L19" s="724">
        <f t="shared" si="2"/>
        <v>0</v>
      </c>
      <c r="M19" s="724">
        <f t="shared" si="3"/>
        <v>10.520000000000001</v>
      </c>
      <c r="N19" s="725">
        <f t="shared" si="3"/>
        <v>0</v>
      </c>
      <c r="O19" s="725">
        <f t="shared" si="4"/>
        <v>10.520000000000001</v>
      </c>
      <c r="P19" s="725">
        <v>2.4704770000000003</v>
      </c>
      <c r="Q19" s="791"/>
      <c r="R19" s="726">
        <f t="shared" si="5"/>
        <v>2.4704770000000003</v>
      </c>
      <c r="S19" s="727">
        <f t="shared" si="6"/>
        <v>8.0495230000000006</v>
      </c>
      <c r="T19" s="739"/>
    </row>
    <row r="20" spans="1:20">
      <c r="A20" s="704"/>
      <c r="B20" s="746" t="s">
        <v>1855</v>
      </c>
      <c r="C20" s="704" t="s">
        <v>1849</v>
      </c>
      <c r="D20" s="933">
        <v>9.75</v>
      </c>
      <c r="E20" s="933">
        <v>0</v>
      </c>
      <c r="F20" s="933">
        <f t="shared" si="0"/>
        <v>9.75</v>
      </c>
      <c r="G20" s="724">
        <f>(243.89+243.89)/1000+2.2</f>
        <v>2.6877800000000001</v>
      </c>
      <c r="H20" s="724">
        <v>0</v>
      </c>
      <c r="I20" s="724">
        <f t="shared" si="1"/>
        <v>2.6877800000000001</v>
      </c>
      <c r="J20" s="724">
        <v>0</v>
      </c>
      <c r="K20" s="724">
        <v>0</v>
      </c>
      <c r="L20" s="724">
        <f t="shared" si="2"/>
        <v>0</v>
      </c>
      <c r="M20" s="724">
        <f t="shared" si="3"/>
        <v>12.43778</v>
      </c>
      <c r="N20" s="725">
        <f t="shared" si="3"/>
        <v>0</v>
      </c>
      <c r="O20" s="725">
        <f t="shared" si="4"/>
        <v>12.43778</v>
      </c>
      <c r="P20" s="725">
        <v>6.5772480000000009</v>
      </c>
      <c r="Q20" s="791"/>
      <c r="R20" s="726">
        <f t="shared" si="5"/>
        <v>6.5772480000000009</v>
      </c>
      <c r="S20" s="727">
        <f t="shared" si="6"/>
        <v>5.8605319999999992</v>
      </c>
      <c r="T20" s="739"/>
    </row>
    <row r="21" spans="1:20">
      <c r="A21" s="704"/>
      <c r="B21" s="711"/>
      <c r="C21" s="704"/>
      <c r="D21" s="930"/>
      <c r="E21" s="931"/>
      <c r="F21" s="931"/>
      <c r="G21" s="713"/>
      <c r="H21" s="713"/>
      <c r="I21" s="713"/>
      <c r="J21" s="713"/>
      <c r="K21" s="713"/>
      <c r="L21" s="713"/>
      <c r="M21" s="712"/>
      <c r="N21" s="713"/>
      <c r="O21" s="713"/>
      <c r="P21" s="713"/>
      <c r="Q21" s="714"/>
      <c r="R21" s="714"/>
      <c r="S21" s="728"/>
      <c r="T21" s="739"/>
    </row>
    <row r="22" spans="1:20">
      <c r="A22" s="742">
        <v>3</v>
      </c>
      <c r="B22" s="729" t="s">
        <v>1856</v>
      </c>
      <c r="C22" s="730" t="s">
        <v>1857</v>
      </c>
      <c r="D22" s="731"/>
      <c r="E22" s="731"/>
      <c r="F22" s="731">
        <f t="shared" si="0"/>
        <v>0</v>
      </c>
      <c r="G22" s="731"/>
      <c r="H22" s="731"/>
      <c r="I22" s="731">
        <f t="shared" si="1"/>
        <v>0</v>
      </c>
      <c r="J22" s="731"/>
      <c r="K22" s="731"/>
      <c r="L22" s="731">
        <f t="shared" si="2"/>
        <v>0</v>
      </c>
      <c r="M22" s="707">
        <f t="shared" si="3"/>
        <v>0</v>
      </c>
      <c r="N22" s="708">
        <f t="shared" si="3"/>
        <v>0</v>
      </c>
      <c r="O22" s="708">
        <f t="shared" si="4"/>
        <v>0</v>
      </c>
      <c r="P22" s="731"/>
      <c r="Q22" s="716"/>
      <c r="R22" s="716">
        <f t="shared" si="5"/>
        <v>0</v>
      </c>
      <c r="S22" s="732">
        <f t="shared" si="6"/>
        <v>0</v>
      </c>
      <c r="T22" s="740"/>
    </row>
    <row r="23" spans="1:20">
      <c r="A23" s="737">
        <v>3.1</v>
      </c>
      <c r="B23" s="733" t="s">
        <v>1675</v>
      </c>
      <c r="C23" s="734" t="s">
        <v>1857</v>
      </c>
      <c r="D23" s="934"/>
      <c r="E23" s="935">
        <v>0</v>
      </c>
      <c r="F23" s="935">
        <f t="shared" si="0"/>
        <v>0</v>
      </c>
      <c r="G23" s="735">
        <f>19+15</f>
        <v>34</v>
      </c>
      <c r="H23" s="735">
        <v>0</v>
      </c>
      <c r="I23" s="735">
        <f t="shared" si="1"/>
        <v>34</v>
      </c>
      <c r="J23" s="735"/>
      <c r="K23" s="735">
        <v>0</v>
      </c>
      <c r="L23" s="735">
        <f t="shared" si="2"/>
        <v>0</v>
      </c>
      <c r="M23" s="712">
        <f t="shared" si="3"/>
        <v>34</v>
      </c>
      <c r="N23" s="713">
        <f t="shared" si="3"/>
        <v>0</v>
      </c>
      <c r="O23" s="713">
        <f t="shared" si="4"/>
        <v>34</v>
      </c>
      <c r="P23" s="713">
        <v>18</v>
      </c>
      <c r="Q23" s="713"/>
      <c r="R23" s="713">
        <f t="shared" si="5"/>
        <v>18</v>
      </c>
      <c r="S23" s="714">
        <f t="shared" si="6"/>
        <v>16</v>
      </c>
      <c r="T23" s="741"/>
    </row>
    <row r="24" spans="1:20">
      <c r="A24" s="737">
        <v>3.2</v>
      </c>
      <c r="B24" s="733" t="s">
        <v>2397</v>
      </c>
      <c r="C24" s="734" t="s">
        <v>1857</v>
      </c>
      <c r="D24" s="934"/>
      <c r="E24" s="935"/>
      <c r="F24" s="935">
        <f t="shared" si="0"/>
        <v>0</v>
      </c>
      <c r="G24" s="735">
        <f>1+4</f>
        <v>5</v>
      </c>
      <c r="H24" s="735"/>
      <c r="I24" s="735">
        <f t="shared" si="1"/>
        <v>5</v>
      </c>
      <c r="J24" s="735"/>
      <c r="K24" s="735"/>
      <c r="L24" s="735"/>
      <c r="M24" s="712">
        <f t="shared" si="3"/>
        <v>5</v>
      </c>
      <c r="N24" s="713"/>
      <c r="O24" s="713">
        <f t="shared" si="4"/>
        <v>5</v>
      </c>
      <c r="P24" s="713">
        <v>2</v>
      </c>
      <c r="Q24" s="713"/>
      <c r="R24" s="713">
        <f t="shared" si="5"/>
        <v>2</v>
      </c>
      <c r="S24" s="714">
        <f t="shared" si="6"/>
        <v>3</v>
      </c>
      <c r="T24" s="741"/>
    </row>
    <row r="25" spans="1:20">
      <c r="A25" s="737">
        <v>3.3</v>
      </c>
      <c r="B25" s="733" t="s">
        <v>2398</v>
      </c>
      <c r="C25" s="734" t="s">
        <v>1857</v>
      </c>
      <c r="D25" s="934"/>
      <c r="E25" s="935"/>
      <c r="F25" s="935">
        <f t="shared" si="0"/>
        <v>0</v>
      </c>
      <c r="G25" s="735">
        <f>1+4</f>
        <v>5</v>
      </c>
      <c r="H25" s="735"/>
      <c r="I25" s="735">
        <f t="shared" si="1"/>
        <v>5</v>
      </c>
      <c r="J25" s="735"/>
      <c r="K25" s="735"/>
      <c r="L25" s="735"/>
      <c r="M25" s="712">
        <f t="shared" si="3"/>
        <v>5</v>
      </c>
      <c r="N25" s="713"/>
      <c r="O25" s="713">
        <f t="shared" si="4"/>
        <v>5</v>
      </c>
      <c r="P25" s="713">
        <v>1</v>
      </c>
      <c r="Q25" s="713"/>
      <c r="R25" s="713">
        <f t="shared" si="5"/>
        <v>1</v>
      </c>
      <c r="S25" s="714">
        <f t="shared" si="6"/>
        <v>4</v>
      </c>
      <c r="T25" s="741"/>
    </row>
    <row r="26" spans="1:20">
      <c r="A26" s="737">
        <v>3.4</v>
      </c>
      <c r="B26" s="733" t="s">
        <v>2425</v>
      </c>
      <c r="C26" s="734" t="s">
        <v>1857</v>
      </c>
      <c r="D26" s="934"/>
      <c r="E26" s="935"/>
      <c r="F26" s="935">
        <f t="shared" si="0"/>
        <v>0</v>
      </c>
      <c r="G26" s="735">
        <v>2</v>
      </c>
      <c r="H26" s="735"/>
      <c r="I26" s="735">
        <f t="shared" si="1"/>
        <v>2</v>
      </c>
      <c r="J26" s="735"/>
      <c r="K26" s="735"/>
      <c r="L26" s="735"/>
      <c r="M26" s="712">
        <f t="shared" si="3"/>
        <v>2</v>
      </c>
      <c r="N26" s="713"/>
      <c r="O26" s="713">
        <f t="shared" si="4"/>
        <v>2</v>
      </c>
      <c r="P26" s="713">
        <v>1</v>
      </c>
      <c r="Q26" s="713"/>
      <c r="R26" s="713">
        <f t="shared" si="5"/>
        <v>1</v>
      </c>
      <c r="S26" s="714">
        <f t="shared" si="6"/>
        <v>1</v>
      </c>
      <c r="T26" s="741"/>
    </row>
    <row r="27" spans="1:20">
      <c r="A27" s="737">
        <v>3.5</v>
      </c>
      <c r="B27" s="733" t="s">
        <v>1868</v>
      </c>
      <c r="C27" s="734" t="s">
        <v>1857</v>
      </c>
      <c r="D27" s="934"/>
      <c r="E27" s="935"/>
      <c r="F27" s="935">
        <f t="shared" si="0"/>
        <v>0</v>
      </c>
      <c r="G27" s="735"/>
      <c r="H27" s="735"/>
      <c r="I27" s="735">
        <f t="shared" si="1"/>
        <v>0</v>
      </c>
      <c r="J27" s="735"/>
      <c r="K27" s="735"/>
      <c r="L27" s="735">
        <f t="shared" si="2"/>
        <v>0</v>
      </c>
      <c r="M27" s="712">
        <f t="shared" si="3"/>
        <v>0</v>
      </c>
      <c r="N27" s="713">
        <f t="shared" si="3"/>
        <v>0</v>
      </c>
      <c r="O27" s="713">
        <f t="shared" si="4"/>
        <v>0</v>
      </c>
      <c r="P27" s="735">
        <v>0</v>
      </c>
      <c r="Q27" s="714"/>
      <c r="R27" s="713">
        <f t="shared" si="5"/>
        <v>0</v>
      </c>
      <c r="S27" s="714">
        <f t="shared" si="6"/>
        <v>0</v>
      </c>
      <c r="T27" s="741"/>
    </row>
    <row r="28" spans="1:20">
      <c r="A28" s="742">
        <v>4</v>
      </c>
      <c r="B28" s="729" t="s">
        <v>1858</v>
      </c>
      <c r="C28" s="730"/>
      <c r="D28" s="731"/>
      <c r="E28" s="731"/>
      <c r="F28" s="731">
        <f t="shared" si="0"/>
        <v>0</v>
      </c>
      <c r="G28" s="731"/>
      <c r="H28" s="731"/>
      <c r="I28" s="731">
        <f t="shared" si="1"/>
        <v>0</v>
      </c>
      <c r="J28" s="731"/>
      <c r="K28" s="731"/>
      <c r="L28" s="731">
        <f t="shared" si="2"/>
        <v>0</v>
      </c>
      <c r="M28" s="707">
        <f t="shared" si="3"/>
        <v>0</v>
      </c>
      <c r="N28" s="708">
        <f t="shared" si="3"/>
        <v>0</v>
      </c>
      <c r="O28" s="708">
        <f t="shared" si="4"/>
        <v>0</v>
      </c>
      <c r="P28" s="731"/>
      <c r="Q28" s="716"/>
      <c r="R28" s="716">
        <f t="shared" si="5"/>
        <v>0</v>
      </c>
      <c r="S28" s="716">
        <f t="shared" si="6"/>
        <v>0</v>
      </c>
      <c r="T28" s="740"/>
    </row>
    <row r="29" spans="1:20">
      <c r="A29" s="737">
        <v>4.0999999999999996</v>
      </c>
      <c r="B29" s="733" t="s">
        <v>1859</v>
      </c>
      <c r="C29" s="734" t="s">
        <v>1860</v>
      </c>
      <c r="D29" s="934"/>
      <c r="E29" s="935">
        <v>0</v>
      </c>
      <c r="F29" s="935">
        <f t="shared" ref="F29" si="8">D29+E29</f>
        <v>0</v>
      </c>
      <c r="G29" s="735">
        <v>0</v>
      </c>
      <c r="H29" s="735">
        <v>0</v>
      </c>
      <c r="I29" s="735">
        <f t="shared" si="1"/>
        <v>0</v>
      </c>
      <c r="J29" s="735">
        <v>0</v>
      </c>
      <c r="K29" s="735">
        <v>0</v>
      </c>
      <c r="L29" s="735">
        <f t="shared" si="2"/>
        <v>0</v>
      </c>
      <c r="M29" s="712">
        <f t="shared" si="3"/>
        <v>0</v>
      </c>
      <c r="N29" s="713">
        <f t="shared" si="3"/>
        <v>0</v>
      </c>
      <c r="O29" s="713">
        <f t="shared" si="4"/>
        <v>0</v>
      </c>
      <c r="P29" s="713">
        <v>0</v>
      </c>
      <c r="Q29" s="713">
        <v>0</v>
      </c>
      <c r="R29" s="713">
        <f t="shared" si="5"/>
        <v>0</v>
      </c>
      <c r="S29" s="714">
        <f t="shared" si="6"/>
        <v>0</v>
      </c>
      <c r="T29" s="741"/>
    </row>
    <row r="30" spans="1:20">
      <c r="A30" s="737">
        <v>4.2</v>
      </c>
      <c r="B30" s="733" t="s">
        <v>1861</v>
      </c>
      <c r="C30" s="734" t="s">
        <v>608</v>
      </c>
      <c r="D30" s="934"/>
      <c r="E30" s="935">
        <v>0</v>
      </c>
      <c r="F30" s="935">
        <f t="shared" si="0"/>
        <v>0</v>
      </c>
      <c r="G30" s="735">
        <v>46</v>
      </c>
      <c r="H30" s="735">
        <v>0</v>
      </c>
      <c r="I30" s="735">
        <f t="shared" si="1"/>
        <v>46</v>
      </c>
      <c r="J30" s="735"/>
      <c r="K30" s="735">
        <v>0</v>
      </c>
      <c r="L30" s="735">
        <f t="shared" si="2"/>
        <v>0</v>
      </c>
      <c r="M30" s="712">
        <f t="shared" si="3"/>
        <v>46</v>
      </c>
      <c r="N30" s="713">
        <f t="shared" si="3"/>
        <v>0</v>
      </c>
      <c r="O30" s="713">
        <f t="shared" si="4"/>
        <v>46</v>
      </c>
      <c r="P30" s="713">
        <v>11</v>
      </c>
      <c r="Q30" s="713">
        <v>0</v>
      </c>
      <c r="R30" s="713">
        <f t="shared" si="5"/>
        <v>11</v>
      </c>
      <c r="S30" s="714">
        <f t="shared" si="6"/>
        <v>35</v>
      </c>
      <c r="T30" s="741"/>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85546875" defaultRowHeight="12.95" customHeight="1"/>
  <cols>
    <col min="1" max="1" width="5.140625" style="160" customWidth="1"/>
    <col min="2" max="2" width="7.85546875" style="160" customWidth="1"/>
    <col min="3" max="3" width="16" style="160" customWidth="1"/>
    <col min="4" max="4" width="12.5703125" style="160" customWidth="1"/>
    <col min="5" max="5" width="15.140625" style="160" customWidth="1"/>
    <col min="6" max="6" width="21" style="160" customWidth="1"/>
    <col min="7" max="7" width="22.140625" style="162" customWidth="1"/>
    <col min="8" max="9" width="17" style="160" customWidth="1"/>
    <col min="10" max="16384" width="7.8554687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515" t="s">
        <v>40</v>
      </c>
      <c r="B4" s="1739" t="s">
        <v>1209</v>
      </c>
      <c r="C4" s="1517" t="s">
        <v>43</v>
      </c>
      <c r="D4" s="1517" t="s">
        <v>44</v>
      </c>
      <c r="E4" s="1517" t="s">
        <v>45</v>
      </c>
      <c r="F4" s="1519" t="s">
        <v>1210</v>
      </c>
      <c r="G4" s="1737" t="s">
        <v>609</v>
      </c>
      <c r="H4" s="1518" t="s">
        <v>49</v>
      </c>
      <c r="I4" s="1738" t="s">
        <v>1215</v>
      </c>
    </row>
    <row r="5" spans="1:9" s="159" customFormat="1" ht="12">
      <c r="A5" s="1515"/>
      <c r="B5" s="1740"/>
      <c r="C5" s="1517"/>
      <c r="D5" s="1517"/>
      <c r="E5" s="1517"/>
      <c r="F5" s="1520"/>
      <c r="G5" s="1737"/>
      <c r="H5" s="1518"/>
      <c r="I5" s="173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5" customHeight="1">
      <c r="A13" s="134">
        <v>6</v>
      </c>
      <c r="B13" s="134">
        <v>4</v>
      </c>
      <c r="C13" s="132" t="s">
        <v>75</v>
      </c>
      <c r="D13" s="134" t="s">
        <v>76</v>
      </c>
      <c r="E13" s="134" t="s">
        <v>54</v>
      </c>
      <c r="F13" s="129" t="s">
        <v>1211</v>
      </c>
      <c r="G13" s="134" t="s">
        <v>110</v>
      </c>
      <c r="H13" s="131" t="s">
        <v>58</v>
      </c>
    </row>
    <row r="14" spans="1:9" ht="12.95" customHeight="1">
      <c r="A14" s="134">
        <v>7</v>
      </c>
      <c r="B14" s="134">
        <v>5</v>
      </c>
      <c r="C14" s="132" t="s">
        <v>71</v>
      </c>
      <c r="D14" s="134" t="s">
        <v>62</v>
      </c>
      <c r="E14" s="134" t="s">
        <v>54</v>
      </c>
      <c r="F14" s="129" t="s">
        <v>1211</v>
      </c>
      <c r="G14" s="134" t="s">
        <v>110</v>
      </c>
      <c r="H14" s="131" t="s">
        <v>58</v>
      </c>
    </row>
    <row r="15" spans="1:9" ht="12.95" customHeight="1">
      <c r="A15" s="134">
        <v>8</v>
      </c>
      <c r="B15" s="134">
        <v>6</v>
      </c>
      <c r="C15" s="132" t="s">
        <v>66</v>
      </c>
      <c r="D15" s="134" t="s">
        <v>53</v>
      </c>
      <c r="E15" s="134" t="s">
        <v>54</v>
      </c>
      <c r="F15" s="129" t="s">
        <v>1211</v>
      </c>
      <c r="G15" s="134" t="s">
        <v>110</v>
      </c>
      <c r="H15" s="131" t="s">
        <v>58</v>
      </c>
    </row>
    <row r="16" spans="1:9" ht="12.95" customHeight="1">
      <c r="A16" s="134">
        <v>9</v>
      </c>
      <c r="B16" s="134">
        <v>7</v>
      </c>
      <c r="C16" s="132" t="s">
        <v>98</v>
      </c>
      <c r="D16" s="134" t="s">
        <v>62</v>
      </c>
      <c r="E16" s="134" t="s">
        <v>92</v>
      </c>
      <c r="F16" s="134" t="s">
        <v>1218</v>
      </c>
      <c r="G16" s="134" t="s">
        <v>104</v>
      </c>
      <c r="H16" s="134" t="s">
        <v>1242</v>
      </c>
    </row>
    <row r="17" spans="1:8" ht="12.95" customHeight="1">
      <c r="A17" s="134">
        <v>10</v>
      </c>
      <c r="B17" s="134">
        <v>8</v>
      </c>
      <c r="C17" s="132" t="s">
        <v>91</v>
      </c>
      <c r="D17" s="134" t="s">
        <v>62</v>
      </c>
      <c r="E17" s="134" t="s">
        <v>92</v>
      </c>
      <c r="F17" s="134" t="s">
        <v>1218</v>
      </c>
      <c r="G17" s="134" t="s">
        <v>104</v>
      </c>
      <c r="H17" s="134" t="s">
        <v>1242</v>
      </c>
    </row>
    <row r="18" spans="1:8" ht="12.95" customHeight="1">
      <c r="A18" s="134">
        <v>11</v>
      </c>
      <c r="B18" s="134">
        <v>9</v>
      </c>
      <c r="C18" s="132" t="s">
        <v>105</v>
      </c>
      <c r="D18" s="134" t="s">
        <v>62</v>
      </c>
      <c r="E18" s="134" t="s">
        <v>54</v>
      </c>
      <c r="F18" s="134" t="s">
        <v>1211</v>
      </c>
      <c r="G18" s="134" t="s">
        <v>115</v>
      </c>
      <c r="H18" s="134" t="s">
        <v>1243</v>
      </c>
    </row>
    <row r="19" spans="1:8" ht="12.95" customHeight="1">
      <c r="A19" s="134">
        <v>12</v>
      </c>
      <c r="B19" s="134">
        <v>10</v>
      </c>
      <c r="C19" s="132" t="s">
        <v>95</v>
      </c>
      <c r="D19" s="134" t="s">
        <v>76</v>
      </c>
      <c r="E19" s="134" t="s">
        <v>54</v>
      </c>
      <c r="F19" s="134" t="s">
        <v>1211</v>
      </c>
      <c r="G19" s="134" t="s">
        <v>115</v>
      </c>
      <c r="H19" s="134" t="s">
        <v>1243</v>
      </c>
    </row>
    <row r="20" spans="1:8" ht="12.95" customHeight="1">
      <c r="A20" s="134">
        <v>13</v>
      </c>
      <c r="B20" s="134">
        <v>11</v>
      </c>
      <c r="C20" s="132" t="s">
        <v>83</v>
      </c>
      <c r="D20" s="134" t="s">
        <v>62</v>
      </c>
      <c r="E20" s="134" t="s">
        <v>54</v>
      </c>
      <c r="F20" s="134" t="s">
        <v>1211</v>
      </c>
      <c r="G20" s="134" t="s">
        <v>115</v>
      </c>
      <c r="H20" s="134" t="s">
        <v>1243</v>
      </c>
    </row>
    <row r="21" spans="1:8" ht="12.95" customHeight="1">
      <c r="A21" s="134">
        <v>14</v>
      </c>
      <c r="B21" s="134">
        <v>12</v>
      </c>
      <c r="C21" s="132" t="s">
        <v>106</v>
      </c>
      <c r="D21" s="134" t="s">
        <v>107</v>
      </c>
      <c r="E21" s="134" t="s">
        <v>54</v>
      </c>
      <c r="F21" s="134" t="s">
        <v>1211</v>
      </c>
      <c r="G21" s="134" t="s">
        <v>126</v>
      </c>
      <c r="H21" s="534" t="s">
        <v>1679</v>
      </c>
    </row>
    <row r="22" spans="1:8" ht="12.95" customHeight="1">
      <c r="A22" s="134">
        <v>15</v>
      </c>
      <c r="B22" s="134">
        <v>13</v>
      </c>
      <c r="C22" s="132" t="s">
        <v>79</v>
      </c>
      <c r="D22" s="134" t="s">
        <v>76</v>
      </c>
      <c r="E22" s="134" t="s">
        <v>54</v>
      </c>
      <c r="F22" s="134" t="s">
        <v>1211</v>
      </c>
      <c r="G22" s="134" t="s">
        <v>126</v>
      </c>
      <c r="H22" s="534" t="s">
        <v>1679</v>
      </c>
    </row>
    <row r="23" spans="1:8" ht="12.95" customHeight="1">
      <c r="A23" s="134">
        <v>16</v>
      </c>
      <c r="B23" s="134">
        <v>14</v>
      </c>
      <c r="C23" s="132" t="s">
        <v>61</v>
      </c>
      <c r="D23" s="134" t="s">
        <v>62</v>
      </c>
      <c r="E23" s="134" t="s">
        <v>54</v>
      </c>
      <c r="F23" s="134" t="s">
        <v>1211</v>
      </c>
      <c r="G23" s="134" t="s">
        <v>126</v>
      </c>
      <c r="H23" s="534" t="s">
        <v>1679</v>
      </c>
    </row>
    <row r="24" spans="1:8" ht="12.95" customHeight="1">
      <c r="A24" s="134">
        <v>17</v>
      </c>
      <c r="B24" s="134">
        <v>15</v>
      </c>
      <c r="C24" s="132" t="s">
        <v>101</v>
      </c>
      <c r="D24" s="134" t="s">
        <v>76</v>
      </c>
      <c r="E24" s="134" t="s">
        <v>54</v>
      </c>
      <c r="F24" s="134" t="s">
        <v>1211</v>
      </c>
      <c r="G24" s="134" t="s">
        <v>126</v>
      </c>
      <c r="H24" s="534" t="s">
        <v>1679</v>
      </c>
    </row>
    <row r="25" spans="1:8" ht="12.95" customHeight="1">
      <c r="A25" s="134">
        <v>18</v>
      </c>
      <c r="B25" s="134">
        <v>16</v>
      </c>
      <c r="C25" s="132" t="s">
        <v>68</v>
      </c>
      <c r="D25" s="134" t="s">
        <v>62</v>
      </c>
      <c r="E25" s="134" t="s">
        <v>54</v>
      </c>
      <c r="F25" s="134" t="s">
        <v>1211</v>
      </c>
      <c r="G25" s="134" t="s">
        <v>117</v>
      </c>
      <c r="H25" s="534" t="s">
        <v>1679</v>
      </c>
    </row>
    <row r="26" spans="1:8" ht="12.95" customHeight="1">
      <c r="A26" s="134">
        <v>19</v>
      </c>
      <c r="B26" s="134">
        <v>17</v>
      </c>
      <c r="C26" s="132" t="s">
        <v>94</v>
      </c>
      <c r="D26" s="134" t="s">
        <v>62</v>
      </c>
      <c r="E26" s="134" t="s">
        <v>54</v>
      </c>
      <c r="F26" s="134" t="s">
        <v>1211</v>
      </c>
      <c r="G26" s="134" t="s">
        <v>132</v>
      </c>
      <c r="H26" s="134" t="s">
        <v>74</v>
      </c>
    </row>
    <row r="27" spans="1:8" ht="12.95" customHeight="1">
      <c r="A27" s="134">
        <v>20</v>
      </c>
      <c r="B27" s="134">
        <v>18</v>
      </c>
      <c r="C27" s="132" t="s">
        <v>118</v>
      </c>
      <c r="D27" s="134" t="s">
        <v>76</v>
      </c>
      <c r="E27" s="134" t="s">
        <v>54</v>
      </c>
      <c r="F27" s="134" t="s">
        <v>1211</v>
      </c>
      <c r="G27" s="134" t="s">
        <v>132</v>
      </c>
      <c r="H27" s="134" t="s">
        <v>1244</v>
      </c>
    </row>
    <row r="28" spans="1:8" ht="12.95" customHeight="1">
      <c r="A28" s="134">
        <v>21</v>
      </c>
      <c r="B28" s="134">
        <v>19</v>
      </c>
      <c r="C28" s="132" t="s">
        <v>122</v>
      </c>
      <c r="D28" s="134" t="s">
        <v>76</v>
      </c>
      <c r="E28" s="134" t="s">
        <v>54</v>
      </c>
      <c r="F28" s="134" t="s">
        <v>1211</v>
      </c>
      <c r="G28" s="134" t="s">
        <v>1245</v>
      </c>
      <c r="H28" s="134" t="s">
        <v>237</v>
      </c>
    </row>
    <row r="29" spans="1:8" ht="12.95" customHeight="1">
      <c r="A29" s="134">
        <v>22</v>
      </c>
      <c r="B29" s="134">
        <v>20</v>
      </c>
      <c r="C29" s="132" t="s">
        <v>129</v>
      </c>
      <c r="D29" s="134" t="s">
        <v>76</v>
      </c>
      <c r="E29" s="134" t="s">
        <v>54</v>
      </c>
      <c r="F29" s="134" t="s">
        <v>1211</v>
      </c>
      <c r="G29" s="134" t="s">
        <v>1245</v>
      </c>
      <c r="H29" s="134" t="s">
        <v>237</v>
      </c>
    </row>
    <row r="30" spans="1:8" ht="12.95" customHeight="1">
      <c r="A30" s="134">
        <v>23</v>
      </c>
      <c r="B30" s="134">
        <v>21</v>
      </c>
      <c r="C30" s="132" t="s">
        <v>116</v>
      </c>
      <c r="D30" s="134" t="s">
        <v>62</v>
      </c>
      <c r="E30" s="134" t="s">
        <v>54</v>
      </c>
      <c r="F30" s="134" t="s">
        <v>1211</v>
      </c>
      <c r="G30" s="134" t="s">
        <v>138</v>
      </c>
      <c r="H30" s="134" t="s">
        <v>58</v>
      </c>
    </row>
    <row r="31" spans="1:8" ht="12.95" customHeight="1">
      <c r="A31" s="134">
        <v>24</v>
      </c>
      <c r="B31" s="134">
        <v>22</v>
      </c>
      <c r="C31" s="132" t="s">
        <v>123</v>
      </c>
      <c r="D31" s="134" t="s">
        <v>76</v>
      </c>
      <c r="E31" s="134" t="s">
        <v>54</v>
      </c>
      <c r="F31" s="134" t="s">
        <v>1211</v>
      </c>
      <c r="G31" s="134" t="s">
        <v>138</v>
      </c>
      <c r="H31" s="134" t="s">
        <v>58</v>
      </c>
    </row>
    <row r="32" spans="1:8" ht="12.95" customHeight="1">
      <c r="A32" s="134">
        <v>25</v>
      </c>
      <c r="B32" s="134">
        <v>23</v>
      </c>
      <c r="C32" s="132" t="s">
        <v>102</v>
      </c>
      <c r="D32" s="134" t="s">
        <v>53</v>
      </c>
      <c r="E32" s="134" t="s">
        <v>92</v>
      </c>
      <c r="F32" s="134" t="s">
        <v>1218</v>
      </c>
      <c r="G32" s="134" t="s">
        <v>138</v>
      </c>
      <c r="H32" s="131" t="s">
        <v>58</v>
      </c>
    </row>
    <row r="33" spans="1:8" ht="12.95" customHeight="1">
      <c r="A33" s="134">
        <v>26</v>
      </c>
      <c r="B33" s="134">
        <v>24</v>
      </c>
      <c r="C33" s="132" t="s">
        <v>139</v>
      </c>
      <c r="D33" s="134" t="s">
        <v>140</v>
      </c>
      <c r="E33" s="134" t="s">
        <v>131</v>
      </c>
      <c r="F33" s="134" t="s">
        <v>1211</v>
      </c>
      <c r="G33" s="134" t="s">
        <v>141</v>
      </c>
      <c r="H33" s="134" t="s">
        <v>85</v>
      </c>
    </row>
    <row r="34" spans="1:8" ht="12.95" customHeight="1">
      <c r="A34" s="134">
        <v>27</v>
      </c>
      <c r="B34" s="134">
        <v>25</v>
      </c>
      <c r="C34" s="132" t="s">
        <v>133</v>
      </c>
      <c r="D34" s="134" t="s">
        <v>62</v>
      </c>
      <c r="E34" s="134" t="s">
        <v>54</v>
      </c>
      <c r="F34" s="134" t="s">
        <v>1211</v>
      </c>
      <c r="G34" s="134" t="s">
        <v>149</v>
      </c>
      <c r="H34" s="134" t="s">
        <v>74</v>
      </c>
    </row>
    <row r="35" spans="1:8" ht="12.95" customHeight="1">
      <c r="A35" s="134">
        <v>28</v>
      </c>
      <c r="B35" s="134">
        <v>26</v>
      </c>
      <c r="C35" s="132" t="s">
        <v>134</v>
      </c>
      <c r="D35" s="134" t="s">
        <v>62</v>
      </c>
      <c r="E35" s="134" t="s">
        <v>54</v>
      </c>
      <c r="F35" s="134" t="s">
        <v>1211</v>
      </c>
      <c r="G35" s="134" t="s">
        <v>153</v>
      </c>
      <c r="H35" s="134" t="s">
        <v>1244</v>
      </c>
    </row>
    <row r="36" spans="1:8" ht="12.95" customHeight="1">
      <c r="A36" s="134">
        <v>29</v>
      </c>
      <c r="B36" s="134">
        <v>27</v>
      </c>
      <c r="C36" s="217" t="s">
        <v>156</v>
      </c>
      <c r="D36" s="218" t="s">
        <v>62</v>
      </c>
      <c r="E36" s="134" t="s">
        <v>92</v>
      </c>
      <c r="F36" s="134" t="s">
        <v>1218</v>
      </c>
      <c r="G36" s="134" t="s">
        <v>171</v>
      </c>
      <c r="H36" s="534" t="s">
        <v>1679</v>
      </c>
    </row>
    <row r="37" spans="1:8" ht="12.95" customHeight="1">
      <c r="A37" s="134">
        <v>30</v>
      </c>
      <c r="B37" s="134">
        <v>28</v>
      </c>
      <c r="C37" s="217" t="s">
        <v>169</v>
      </c>
      <c r="D37" s="134" t="s">
        <v>76</v>
      </c>
      <c r="E37" s="134" t="s">
        <v>92</v>
      </c>
      <c r="F37" s="134" t="s">
        <v>1218</v>
      </c>
      <c r="G37" s="134" t="s">
        <v>171</v>
      </c>
      <c r="H37" s="534" t="s">
        <v>1679</v>
      </c>
    </row>
    <row r="38" spans="1:8" ht="12.95" customHeight="1">
      <c r="A38" s="134">
        <v>31</v>
      </c>
      <c r="B38" s="134">
        <v>29</v>
      </c>
      <c r="C38" s="217" t="s">
        <v>154</v>
      </c>
      <c r="D38" s="218" t="s">
        <v>62</v>
      </c>
      <c r="E38" s="134" t="s">
        <v>54</v>
      </c>
      <c r="F38" s="134" t="s">
        <v>1211</v>
      </c>
      <c r="G38" s="134" t="s">
        <v>165</v>
      </c>
      <c r="H38" s="134" t="s">
        <v>74</v>
      </c>
    </row>
    <row r="39" spans="1:8" ht="12.95" customHeight="1">
      <c r="A39" s="134">
        <v>32</v>
      </c>
      <c r="B39" s="134">
        <v>30</v>
      </c>
      <c r="C39" s="132" t="s">
        <v>146</v>
      </c>
      <c r="D39" s="134" t="s">
        <v>62</v>
      </c>
      <c r="E39" s="134" t="s">
        <v>54</v>
      </c>
      <c r="F39" s="134" t="s">
        <v>1211</v>
      </c>
      <c r="G39" s="134" t="s">
        <v>165</v>
      </c>
      <c r="H39" s="134" t="s">
        <v>74</v>
      </c>
    </row>
    <row r="40" spans="1:8" ht="12.95" customHeight="1">
      <c r="A40" s="134">
        <v>33</v>
      </c>
      <c r="B40" s="134">
        <v>31</v>
      </c>
      <c r="C40" s="217" t="s">
        <v>163</v>
      </c>
      <c r="D40" s="218" t="s">
        <v>76</v>
      </c>
      <c r="E40" s="134" t="s">
        <v>54</v>
      </c>
      <c r="F40" s="134" t="s">
        <v>1211</v>
      </c>
      <c r="G40" s="134" t="s">
        <v>165</v>
      </c>
      <c r="H40" s="134" t="s">
        <v>237</v>
      </c>
    </row>
    <row r="41" spans="1:8" ht="12.95" customHeight="1">
      <c r="A41" s="134">
        <v>34</v>
      </c>
      <c r="B41" s="134">
        <v>32</v>
      </c>
      <c r="C41" s="217" t="s">
        <v>121</v>
      </c>
      <c r="D41" s="218" t="s">
        <v>62</v>
      </c>
      <c r="E41" s="134" t="s">
        <v>54</v>
      </c>
      <c r="F41" s="134" t="s">
        <v>1211</v>
      </c>
      <c r="G41" s="134" t="s">
        <v>172</v>
      </c>
      <c r="H41" s="534" t="s">
        <v>1679</v>
      </c>
    </row>
    <row r="42" spans="1:8" ht="12.95" customHeight="1">
      <c r="A42" s="134">
        <v>35</v>
      </c>
      <c r="B42" s="134">
        <v>33</v>
      </c>
      <c r="C42" s="217" t="s">
        <v>166</v>
      </c>
      <c r="D42" s="218" t="s">
        <v>167</v>
      </c>
      <c r="E42" s="134" t="s">
        <v>131</v>
      </c>
      <c r="F42" s="134" t="s">
        <v>1211</v>
      </c>
      <c r="G42" s="134" t="s">
        <v>174</v>
      </c>
      <c r="H42" s="134" t="s">
        <v>85</v>
      </c>
    </row>
    <row r="43" spans="1:8" ht="12.95" customHeight="1">
      <c r="A43" s="134">
        <v>36</v>
      </c>
      <c r="B43" s="134">
        <v>34</v>
      </c>
      <c r="C43" s="217" t="s">
        <v>168</v>
      </c>
      <c r="D43" s="218" t="s">
        <v>167</v>
      </c>
      <c r="E43" s="134" t="s">
        <v>131</v>
      </c>
      <c r="F43" s="134" t="s">
        <v>1211</v>
      </c>
      <c r="G43" s="134" t="s">
        <v>174</v>
      </c>
      <c r="H43" s="134" t="s">
        <v>85</v>
      </c>
    </row>
    <row r="44" spans="1:8" ht="12.95" customHeight="1">
      <c r="A44" s="134"/>
      <c r="B44" s="527" t="s">
        <v>181</v>
      </c>
      <c r="C44" s="134"/>
      <c r="D44" s="134"/>
      <c r="E44" s="134"/>
      <c r="F44" s="134"/>
      <c r="G44" s="134"/>
      <c r="H44" s="134"/>
    </row>
    <row r="45" spans="1:8" ht="12.95" customHeight="1">
      <c r="A45" s="134">
        <v>37</v>
      </c>
      <c r="B45" s="134">
        <v>1</v>
      </c>
      <c r="C45" s="132" t="s">
        <v>178</v>
      </c>
      <c r="D45" s="134" t="s">
        <v>62</v>
      </c>
      <c r="E45" s="134" t="s">
        <v>54</v>
      </c>
      <c r="F45" s="134" t="s">
        <v>1211</v>
      </c>
      <c r="G45" s="134" t="s">
        <v>183</v>
      </c>
      <c r="H45" s="134" t="s">
        <v>1244</v>
      </c>
    </row>
    <row r="46" spans="1:8" ht="12.95" customHeight="1">
      <c r="A46" s="134">
        <v>38</v>
      </c>
      <c r="B46" s="134">
        <v>2</v>
      </c>
      <c r="C46" s="132" t="s">
        <v>136</v>
      </c>
      <c r="D46" s="134" t="s">
        <v>76</v>
      </c>
      <c r="E46" s="134" t="s">
        <v>92</v>
      </c>
      <c r="F46" s="134" t="s">
        <v>1218</v>
      </c>
      <c r="G46" s="134" t="s">
        <v>184</v>
      </c>
      <c r="H46" s="134" t="s">
        <v>58</v>
      </c>
    </row>
    <row r="47" spans="1:8" ht="12.95" customHeight="1">
      <c r="A47" s="134">
        <v>39</v>
      </c>
      <c r="B47" s="134">
        <v>3</v>
      </c>
      <c r="C47" s="132" t="s">
        <v>162</v>
      </c>
      <c r="D47" s="134" t="s">
        <v>62</v>
      </c>
      <c r="E47" s="134" t="s">
        <v>54</v>
      </c>
      <c r="F47" s="134" t="s">
        <v>1211</v>
      </c>
      <c r="G47" s="134" t="s">
        <v>184</v>
      </c>
      <c r="H47" s="134" t="s">
        <v>58</v>
      </c>
    </row>
    <row r="48" spans="1:8" ht="12.95" customHeight="1">
      <c r="A48" s="134">
        <v>40</v>
      </c>
      <c r="B48" s="134">
        <v>4</v>
      </c>
      <c r="C48" s="132" t="s">
        <v>148</v>
      </c>
      <c r="D48" s="134" t="s">
        <v>112</v>
      </c>
      <c r="E48" s="134" t="s">
        <v>54</v>
      </c>
      <c r="F48" s="134" t="s">
        <v>1211</v>
      </c>
      <c r="G48" s="134" t="s">
        <v>184</v>
      </c>
      <c r="H48" s="134" t="s">
        <v>58</v>
      </c>
    </row>
    <row r="49" spans="1:8" ht="12.95" customHeight="1">
      <c r="A49" s="134">
        <v>41</v>
      </c>
      <c r="B49" s="134">
        <v>5</v>
      </c>
      <c r="C49" s="132" t="s">
        <v>170</v>
      </c>
      <c r="D49" s="134" t="s">
        <v>53</v>
      </c>
      <c r="E49" s="134" t="s">
        <v>92</v>
      </c>
      <c r="F49" s="134" t="s">
        <v>1218</v>
      </c>
      <c r="G49" s="134" t="s">
        <v>184</v>
      </c>
      <c r="H49" s="134" t="s">
        <v>58</v>
      </c>
    </row>
    <row r="50" spans="1:8" ht="12.95" customHeight="1">
      <c r="A50" s="134">
        <v>42</v>
      </c>
      <c r="B50" s="134">
        <v>6</v>
      </c>
      <c r="C50" s="132" t="s">
        <v>180</v>
      </c>
      <c r="D50" s="134" t="s">
        <v>53</v>
      </c>
      <c r="E50" s="134" t="s">
        <v>92</v>
      </c>
      <c r="F50" s="134" t="s">
        <v>1218</v>
      </c>
      <c r="G50" s="134" t="s">
        <v>184</v>
      </c>
      <c r="H50" s="134" t="s">
        <v>58</v>
      </c>
    </row>
    <row r="51" spans="1:8" ht="12.95" customHeight="1">
      <c r="A51" s="134">
        <v>43</v>
      </c>
      <c r="B51" s="134">
        <v>7</v>
      </c>
      <c r="C51" s="132" t="s">
        <v>135</v>
      </c>
      <c r="D51" s="134" t="s">
        <v>76</v>
      </c>
      <c r="E51" s="134" t="s">
        <v>131</v>
      </c>
      <c r="F51" s="134" t="s">
        <v>1211</v>
      </c>
      <c r="G51" s="134" t="s">
        <v>184</v>
      </c>
      <c r="H51" s="134" t="s">
        <v>1243</v>
      </c>
    </row>
    <row r="52" spans="1:8" ht="12.95" customHeight="1">
      <c r="A52" s="134">
        <v>44</v>
      </c>
      <c r="B52" s="134">
        <v>8</v>
      </c>
      <c r="C52" s="132" t="s">
        <v>173</v>
      </c>
      <c r="D52" s="134" t="s">
        <v>76</v>
      </c>
      <c r="E52" s="134" t="s">
        <v>131</v>
      </c>
      <c r="F52" s="134" t="s">
        <v>1211</v>
      </c>
      <c r="G52" s="134" t="s">
        <v>184</v>
      </c>
      <c r="H52" s="134" t="s">
        <v>1243</v>
      </c>
    </row>
    <row r="53" spans="1:8" ht="12.95" customHeight="1">
      <c r="A53" s="134">
        <v>45</v>
      </c>
      <c r="B53" s="134">
        <v>9</v>
      </c>
      <c r="C53" s="132" t="s">
        <v>185</v>
      </c>
      <c r="D53" s="134" t="s">
        <v>186</v>
      </c>
      <c r="E53" s="134" t="s">
        <v>131</v>
      </c>
      <c r="F53" s="134" t="s">
        <v>1211</v>
      </c>
      <c r="G53" s="134" t="s">
        <v>197</v>
      </c>
      <c r="H53" s="134" t="s">
        <v>1243</v>
      </c>
    </row>
    <row r="54" spans="1:8" ht="12.95" customHeight="1">
      <c r="A54" s="134">
        <v>46</v>
      </c>
      <c r="B54" s="134">
        <v>10</v>
      </c>
      <c r="C54" s="132" t="s">
        <v>191</v>
      </c>
      <c r="D54" s="134" t="s">
        <v>53</v>
      </c>
      <c r="E54" s="134" t="s">
        <v>131</v>
      </c>
      <c r="F54" s="134" t="s">
        <v>1211</v>
      </c>
      <c r="G54" s="134" t="s">
        <v>202</v>
      </c>
      <c r="H54" s="134" t="s">
        <v>85</v>
      </c>
    </row>
    <row r="55" spans="1:8" ht="12.95" customHeight="1">
      <c r="A55" s="134">
        <v>47</v>
      </c>
      <c r="B55" s="134">
        <v>11</v>
      </c>
      <c r="C55" s="132" t="s">
        <v>147</v>
      </c>
      <c r="D55" s="134" t="s">
        <v>76</v>
      </c>
      <c r="E55" s="134" t="s">
        <v>54</v>
      </c>
      <c r="F55" s="134" t="s">
        <v>1211</v>
      </c>
      <c r="G55" s="134" t="s">
        <v>199</v>
      </c>
      <c r="H55" s="134" t="s">
        <v>237</v>
      </c>
    </row>
    <row r="56" spans="1:8" ht="12.95" customHeight="1">
      <c r="A56" s="134">
        <v>48</v>
      </c>
      <c r="B56" s="134">
        <v>12</v>
      </c>
      <c r="C56" s="217" t="s">
        <v>151</v>
      </c>
      <c r="D56" s="218" t="s">
        <v>76</v>
      </c>
      <c r="E56" s="134" t="s">
        <v>54</v>
      </c>
      <c r="F56" s="134" t="s">
        <v>1211</v>
      </c>
      <c r="G56" s="134" t="s">
        <v>199</v>
      </c>
      <c r="H56" s="134" t="s">
        <v>237</v>
      </c>
    </row>
    <row r="57" spans="1:8" ht="12.95" customHeight="1">
      <c r="A57" s="134">
        <v>49</v>
      </c>
      <c r="B57" s="134">
        <v>13</v>
      </c>
      <c r="C57" s="132" t="s">
        <v>188</v>
      </c>
      <c r="D57" s="134" t="s">
        <v>76</v>
      </c>
      <c r="E57" s="134" t="s">
        <v>54</v>
      </c>
      <c r="F57" s="134" t="s">
        <v>1211</v>
      </c>
      <c r="G57" s="134" t="s">
        <v>199</v>
      </c>
      <c r="H57" s="134" t="s">
        <v>237</v>
      </c>
    </row>
    <row r="58" spans="1:8" ht="12.95" customHeight="1">
      <c r="A58" s="134">
        <v>50</v>
      </c>
      <c r="B58" s="134">
        <v>14</v>
      </c>
      <c r="C58" s="132" t="s">
        <v>201</v>
      </c>
      <c r="D58" s="134" t="s">
        <v>62</v>
      </c>
      <c r="E58" s="134" t="s">
        <v>54</v>
      </c>
      <c r="F58" s="134" t="s">
        <v>1211</v>
      </c>
      <c r="G58" s="134" t="s">
        <v>205</v>
      </c>
      <c r="H58" s="134" t="s">
        <v>120</v>
      </c>
    </row>
    <row r="59" spans="1:8" ht="12.95" customHeight="1">
      <c r="A59" s="134">
        <v>51</v>
      </c>
      <c r="B59" s="134">
        <v>15</v>
      </c>
      <c r="C59" s="132" t="s">
        <v>206</v>
      </c>
      <c r="D59" s="134" t="s">
        <v>143</v>
      </c>
      <c r="E59" s="134" t="s">
        <v>131</v>
      </c>
      <c r="F59" s="134" t="s">
        <v>1211</v>
      </c>
      <c r="G59" s="134" t="s">
        <v>213</v>
      </c>
      <c r="H59" s="134" t="s">
        <v>85</v>
      </c>
    </row>
    <row r="60" spans="1:8" ht="12.95" customHeight="1">
      <c r="A60" s="134">
        <v>52</v>
      </c>
      <c r="B60" s="134">
        <v>16</v>
      </c>
      <c r="C60" s="132" t="s">
        <v>182</v>
      </c>
      <c r="D60" s="134" t="s">
        <v>62</v>
      </c>
      <c r="E60" s="134" t="s">
        <v>54</v>
      </c>
      <c r="F60" s="134" t="s">
        <v>1211</v>
      </c>
      <c r="G60" s="134" t="s">
        <v>217</v>
      </c>
      <c r="H60" s="134" t="s">
        <v>74</v>
      </c>
    </row>
    <row r="61" spans="1:8" ht="12.95" customHeight="1">
      <c r="A61" s="134">
        <v>53</v>
      </c>
      <c r="B61" s="134">
        <v>17</v>
      </c>
      <c r="C61" s="132" t="s">
        <v>193</v>
      </c>
      <c r="D61" s="134" t="s">
        <v>76</v>
      </c>
      <c r="E61" s="219" t="s">
        <v>54</v>
      </c>
      <c r="F61" s="134" t="s">
        <v>1211</v>
      </c>
      <c r="G61" s="134" t="s">
        <v>217</v>
      </c>
      <c r="H61" s="134" t="s">
        <v>74</v>
      </c>
    </row>
    <row r="62" spans="1:8" ht="12.95" customHeight="1">
      <c r="A62" s="134">
        <v>54</v>
      </c>
      <c r="B62" s="134">
        <v>18</v>
      </c>
      <c r="C62" s="217" t="s">
        <v>175</v>
      </c>
      <c r="D62" s="134" t="s">
        <v>76</v>
      </c>
      <c r="E62" s="134" t="s">
        <v>54</v>
      </c>
      <c r="F62" s="134" t="s">
        <v>1211</v>
      </c>
      <c r="G62" s="134" t="s">
        <v>217</v>
      </c>
      <c r="H62" s="134" t="s">
        <v>74</v>
      </c>
    </row>
    <row r="63" spans="1:8" ht="12.95" customHeight="1">
      <c r="A63" s="134">
        <v>55</v>
      </c>
      <c r="B63" s="134">
        <v>19</v>
      </c>
      <c r="C63" s="132" t="s">
        <v>144</v>
      </c>
      <c r="D63" s="134" t="s">
        <v>76</v>
      </c>
      <c r="E63" s="134" t="s">
        <v>54</v>
      </c>
      <c r="F63" s="154" t="s">
        <v>1218</v>
      </c>
      <c r="G63" s="134" t="s">
        <v>217</v>
      </c>
      <c r="H63" s="134" t="s">
        <v>74</v>
      </c>
    </row>
    <row r="64" spans="1:8" ht="12.95" customHeight="1">
      <c r="A64" s="134">
        <v>56</v>
      </c>
      <c r="B64" s="134">
        <v>20</v>
      </c>
      <c r="C64" s="132" t="s">
        <v>111</v>
      </c>
      <c r="D64" s="134" t="s">
        <v>112</v>
      </c>
      <c r="E64" s="134" t="s">
        <v>54</v>
      </c>
      <c r="F64" s="154" t="s">
        <v>1218</v>
      </c>
      <c r="G64" s="134" t="s">
        <v>217</v>
      </c>
      <c r="H64" s="134" t="s">
        <v>74</v>
      </c>
    </row>
    <row r="65" spans="1:8" ht="12.95" customHeight="1">
      <c r="A65" s="134">
        <v>57</v>
      </c>
      <c r="B65" s="134">
        <v>21</v>
      </c>
      <c r="C65" s="132" t="s">
        <v>72</v>
      </c>
      <c r="D65" s="129" t="s">
        <v>62</v>
      </c>
      <c r="E65" s="134" t="s">
        <v>54</v>
      </c>
      <c r="F65" s="154" t="s">
        <v>1211</v>
      </c>
      <c r="G65" s="134" t="s">
        <v>217</v>
      </c>
      <c r="H65" s="134" t="s">
        <v>74</v>
      </c>
    </row>
    <row r="66" spans="1:8" ht="12.95" customHeight="1">
      <c r="A66" s="134">
        <v>58</v>
      </c>
      <c r="B66" s="134">
        <v>22</v>
      </c>
      <c r="C66" s="217" t="s">
        <v>164</v>
      </c>
      <c r="D66" s="218" t="s">
        <v>62</v>
      </c>
      <c r="E66" s="134" t="s">
        <v>54</v>
      </c>
      <c r="F66" s="154" t="s">
        <v>1211</v>
      </c>
      <c r="G66" s="134" t="s">
        <v>217</v>
      </c>
      <c r="H66" s="134" t="s">
        <v>74</v>
      </c>
    </row>
    <row r="67" spans="1:8" ht="12.95" customHeight="1">
      <c r="A67" s="134">
        <v>59</v>
      </c>
      <c r="B67" s="134">
        <v>23</v>
      </c>
      <c r="C67" s="132" t="s">
        <v>187</v>
      </c>
      <c r="D67" s="134" t="s">
        <v>76</v>
      </c>
      <c r="E67" s="134" t="s">
        <v>54</v>
      </c>
      <c r="F67" s="134" t="s">
        <v>1211</v>
      </c>
      <c r="G67" s="134" t="s">
        <v>217</v>
      </c>
      <c r="H67" s="534" t="s">
        <v>1679</v>
      </c>
    </row>
    <row r="68" spans="1:8" ht="12.95" customHeight="1">
      <c r="A68" s="134">
        <v>60</v>
      </c>
      <c r="B68" s="134">
        <v>24</v>
      </c>
      <c r="C68" s="132" t="s">
        <v>125</v>
      </c>
      <c r="D68" s="134" t="s">
        <v>62</v>
      </c>
      <c r="E68" s="134" t="s">
        <v>54</v>
      </c>
      <c r="F68" s="134" t="s">
        <v>1211</v>
      </c>
      <c r="G68" s="134" t="s">
        <v>217</v>
      </c>
      <c r="H68" s="134" t="s">
        <v>1242</v>
      </c>
    </row>
    <row r="69" spans="1:8" ht="12.95" customHeight="1">
      <c r="A69" s="134">
        <v>61</v>
      </c>
      <c r="B69" s="134">
        <v>25</v>
      </c>
      <c r="C69" s="132" t="s">
        <v>130</v>
      </c>
      <c r="D69" s="134" t="s">
        <v>76</v>
      </c>
      <c r="E69" s="134" t="s">
        <v>131</v>
      </c>
      <c r="F69" s="134" t="s">
        <v>1211</v>
      </c>
      <c r="G69" s="134" t="s">
        <v>217</v>
      </c>
      <c r="H69" s="134" t="s">
        <v>1242</v>
      </c>
    </row>
    <row r="70" spans="1:8" ht="12.95" customHeight="1">
      <c r="A70" s="134">
        <v>62</v>
      </c>
      <c r="B70" s="134">
        <v>26</v>
      </c>
      <c r="C70" s="132" t="s">
        <v>142</v>
      </c>
      <c r="D70" s="134" t="s">
        <v>143</v>
      </c>
      <c r="E70" s="134" t="s">
        <v>131</v>
      </c>
      <c r="F70" s="134" t="s">
        <v>1211</v>
      </c>
      <c r="G70" s="134" t="s">
        <v>217</v>
      </c>
      <c r="H70" s="134" t="s">
        <v>1242</v>
      </c>
    </row>
    <row r="71" spans="1:8" ht="12.95" customHeight="1">
      <c r="A71" s="134">
        <v>63</v>
      </c>
      <c r="B71" s="134">
        <v>27</v>
      </c>
      <c r="C71" s="132" t="s">
        <v>211</v>
      </c>
      <c r="D71" s="134" t="s">
        <v>212</v>
      </c>
      <c r="E71" s="134" t="s">
        <v>92</v>
      </c>
      <c r="F71" s="134" t="s">
        <v>1218</v>
      </c>
      <c r="G71" s="134" t="s">
        <v>230</v>
      </c>
      <c r="H71" s="534" t="s">
        <v>1679</v>
      </c>
    </row>
    <row r="72" spans="1:8" ht="12.95" customHeight="1">
      <c r="A72" s="134">
        <v>64</v>
      </c>
      <c r="B72" s="134">
        <v>28</v>
      </c>
      <c r="C72" s="132" t="s">
        <v>195</v>
      </c>
      <c r="D72" s="134" t="s">
        <v>62</v>
      </c>
      <c r="E72" s="134" t="s">
        <v>92</v>
      </c>
      <c r="F72" s="134" t="s">
        <v>1218</v>
      </c>
      <c r="G72" s="134" t="s">
        <v>230</v>
      </c>
      <c r="H72" s="534" t="s">
        <v>1679</v>
      </c>
    </row>
    <row r="73" spans="1:8" ht="12.95" customHeight="1">
      <c r="A73" s="134">
        <v>65</v>
      </c>
      <c r="B73" s="134">
        <v>29</v>
      </c>
      <c r="C73" s="132" t="s">
        <v>220</v>
      </c>
      <c r="D73" s="134" t="s">
        <v>186</v>
      </c>
      <c r="E73" s="134" t="s">
        <v>131</v>
      </c>
      <c r="F73" s="134" t="s">
        <v>1211</v>
      </c>
      <c r="G73" s="134" t="s">
        <v>221</v>
      </c>
      <c r="H73" s="134" t="s">
        <v>85</v>
      </c>
    </row>
    <row r="74" spans="1:8" ht="12.95" customHeight="1">
      <c r="A74" s="134">
        <v>66</v>
      </c>
      <c r="B74" s="134">
        <v>30</v>
      </c>
      <c r="C74" s="132" t="s">
        <v>159</v>
      </c>
      <c r="D74" s="134" t="s">
        <v>62</v>
      </c>
      <c r="E74" s="134" t="s">
        <v>54</v>
      </c>
      <c r="F74" s="134" t="s">
        <v>1211</v>
      </c>
      <c r="G74" s="134" t="s">
        <v>228</v>
      </c>
      <c r="H74" s="134" t="s">
        <v>120</v>
      </c>
    </row>
    <row r="75" spans="1:8" ht="12.95" customHeight="1">
      <c r="A75" s="134">
        <v>67</v>
      </c>
      <c r="B75" s="134">
        <v>31</v>
      </c>
      <c r="C75" s="132" t="s">
        <v>114</v>
      </c>
      <c r="D75" s="134" t="s">
        <v>76</v>
      </c>
      <c r="E75" s="134" t="s">
        <v>54</v>
      </c>
      <c r="F75" s="134" t="s">
        <v>1211</v>
      </c>
      <c r="G75" s="134" t="s">
        <v>233</v>
      </c>
      <c r="H75" s="134" t="s">
        <v>1242</v>
      </c>
    </row>
    <row r="76" spans="1:8" ht="12.95" customHeight="1">
      <c r="A76" s="134">
        <v>68</v>
      </c>
      <c r="B76" s="134">
        <v>32</v>
      </c>
      <c r="C76" s="217" t="s">
        <v>155</v>
      </c>
      <c r="D76" s="218" t="s">
        <v>143</v>
      </c>
      <c r="E76" s="134" t="s">
        <v>131</v>
      </c>
      <c r="F76" s="134" t="s">
        <v>1211</v>
      </c>
      <c r="G76" s="134" t="s">
        <v>233</v>
      </c>
      <c r="H76" s="134" t="s">
        <v>1242</v>
      </c>
    </row>
    <row r="77" spans="1:8" ht="12.95" customHeight="1">
      <c r="A77" s="134">
        <v>69</v>
      </c>
      <c r="B77" s="134">
        <v>33</v>
      </c>
      <c r="C77" s="132" t="s">
        <v>109</v>
      </c>
      <c r="D77" s="134" t="s">
        <v>107</v>
      </c>
      <c r="E77" s="134" t="s">
        <v>92</v>
      </c>
      <c r="F77" s="134" t="s">
        <v>1218</v>
      </c>
      <c r="G77" s="134" t="s">
        <v>233</v>
      </c>
      <c r="H77" s="134" t="s">
        <v>1242</v>
      </c>
    </row>
    <row r="78" spans="1:8" ht="12.95" customHeight="1">
      <c r="A78" s="134">
        <v>70</v>
      </c>
      <c r="B78" s="134">
        <v>34</v>
      </c>
      <c r="C78" s="132" t="s">
        <v>216</v>
      </c>
      <c r="D78" s="134" t="s">
        <v>76</v>
      </c>
      <c r="E78" s="134" t="s">
        <v>210</v>
      </c>
      <c r="F78" s="134" t="s">
        <v>1211</v>
      </c>
      <c r="G78" s="134" t="s">
        <v>233</v>
      </c>
      <c r="H78" s="134" t="s">
        <v>58</v>
      </c>
    </row>
    <row r="79" spans="1:8" ht="12.95" customHeight="1">
      <c r="A79" s="134">
        <v>71</v>
      </c>
      <c r="B79" s="134">
        <v>35</v>
      </c>
      <c r="C79" s="178" t="s">
        <v>226</v>
      </c>
      <c r="D79" s="137" t="s">
        <v>227</v>
      </c>
      <c r="E79" s="137" t="s">
        <v>54</v>
      </c>
      <c r="F79" s="134" t="s">
        <v>1211</v>
      </c>
      <c r="G79" s="134" t="s">
        <v>233</v>
      </c>
      <c r="H79" s="137" t="s">
        <v>58</v>
      </c>
    </row>
    <row r="80" spans="1:8" ht="12.95" customHeight="1">
      <c r="A80" s="134">
        <v>72</v>
      </c>
      <c r="B80" s="134">
        <v>36</v>
      </c>
      <c r="C80" s="132" t="s">
        <v>215</v>
      </c>
      <c r="D80" s="134" t="s">
        <v>186</v>
      </c>
      <c r="E80" s="134" t="s">
        <v>210</v>
      </c>
      <c r="F80" s="134" t="s">
        <v>1211</v>
      </c>
      <c r="G80" s="134" t="s">
        <v>233</v>
      </c>
      <c r="H80" s="134" t="s">
        <v>58</v>
      </c>
    </row>
    <row r="81" spans="1:12" ht="12.95" customHeight="1">
      <c r="A81" s="134">
        <v>73</v>
      </c>
      <c r="B81" s="134">
        <v>37</v>
      </c>
      <c r="C81" s="132" t="s">
        <v>204</v>
      </c>
      <c r="D81" s="220" t="s">
        <v>62</v>
      </c>
      <c r="E81" s="134" t="s">
        <v>54</v>
      </c>
      <c r="F81" s="134" t="s">
        <v>1211</v>
      </c>
      <c r="G81" s="134" t="s">
        <v>233</v>
      </c>
      <c r="H81" s="131" t="s">
        <v>58</v>
      </c>
    </row>
    <row r="82" spans="1:12" ht="12.95" customHeight="1">
      <c r="A82" s="134">
        <v>74</v>
      </c>
      <c r="B82" s="134">
        <v>38</v>
      </c>
      <c r="C82" s="132" t="s">
        <v>198</v>
      </c>
      <c r="D82" s="134" t="s">
        <v>62</v>
      </c>
      <c r="E82" s="134" t="s">
        <v>54</v>
      </c>
      <c r="F82" s="134" t="s">
        <v>1211</v>
      </c>
      <c r="G82" s="134" t="s">
        <v>233</v>
      </c>
      <c r="H82" s="134" t="s">
        <v>58</v>
      </c>
    </row>
    <row r="83" spans="1:12" ht="12.95" customHeight="1">
      <c r="A83" s="134">
        <v>75</v>
      </c>
      <c r="B83" s="134">
        <v>39</v>
      </c>
      <c r="C83" s="132" t="s">
        <v>127</v>
      </c>
      <c r="D83" s="134" t="s">
        <v>76</v>
      </c>
      <c r="E83" s="134" t="s">
        <v>92</v>
      </c>
      <c r="F83" s="134" t="s">
        <v>1218</v>
      </c>
      <c r="G83" s="134" t="s">
        <v>233</v>
      </c>
      <c r="H83" s="534" t="s">
        <v>1679</v>
      </c>
    </row>
    <row r="84" spans="1:12" ht="12.95" customHeight="1">
      <c r="A84" s="134">
        <v>76</v>
      </c>
      <c r="B84" s="134">
        <v>40</v>
      </c>
      <c r="C84" s="132" t="s">
        <v>229</v>
      </c>
      <c r="D84" s="219" t="s">
        <v>143</v>
      </c>
      <c r="E84" s="219" t="s">
        <v>131</v>
      </c>
      <c r="F84" s="134" t="s">
        <v>1211</v>
      </c>
      <c r="G84" s="134" t="s">
        <v>233</v>
      </c>
      <c r="H84" s="534" t="s">
        <v>1679</v>
      </c>
    </row>
    <row r="85" spans="1:12" ht="12.95" customHeight="1">
      <c r="A85" s="134">
        <v>77</v>
      </c>
      <c r="B85" s="134">
        <v>41</v>
      </c>
      <c r="C85" s="217" t="s">
        <v>150</v>
      </c>
      <c r="D85" s="218" t="s">
        <v>62</v>
      </c>
      <c r="E85" s="134" t="s">
        <v>92</v>
      </c>
      <c r="F85" s="134" t="s">
        <v>1218</v>
      </c>
      <c r="G85" s="134" t="s">
        <v>231</v>
      </c>
      <c r="H85" s="534" t="s">
        <v>1679</v>
      </c>
    </row>
    <row r="86" spans="1:12" ht="12.95" customHeight="1">
      <c r="A86" s="134">
        <v>78</v>
      </c>
      <c r="B86" s="134">
        <v>42</v>
      </c>
      <c r="C86" s="132" t="s">
        <v>137</v>
      </c>
      <c r="D86" s="134" t="s">
        <v>76</v>
      </c>
      <c r="E86" s="134" t="s">
        <v>92</v>
      </c>
      <c r="F86" s="134" t="s">
        <v>1218</v>
      </c>
      <c r="G86" s="134" t="s">
        <v>231</v>
      </c>
      <c r="H86" s="534" t="s">
        <v>1679</v>
      </c>
    </row>
    <row r="87" spans="1:12" ht="12.95" customHeight="1">
      <c r="A87" s="134">
        <v>79</v>
      </c>
      <c r="B87" s="134">
        <v>43</v>
      </c>
      <c r="C87" s="132" t="s">
        <v>224</v>
      </c>
      <c r="D87" s="134" t="s">
        <v>62</v>
      </c>
      <c r="E87" s="134" t="s">
        <v>131</v>
      </c>
      <c r="F87" s="134" t="s">
        <v>1211</v>
      </c>
      <c r="G87" s="134" t="s">
        <v>233</v>
      </c>
      <c r="H87" s="134" t="s">
        <v>85</v>
      </c>
    </row>
    <row r="88" spans="1:12" ht="12.95" customHeight="1">
      <c r="A88" s="134">
        <v>80</v>
      </c>
      <c r="B88" s="134">
        <v>44</v>
      </c>
      <c r="C88" s="132" t="s">
        <v>214</v>
      </c>
      <c r="D88" s="134" t="s">
        <v>53</v>
      </c>
      <c r="E88" s="134" t="s">
        <v>131</v>
      </c>
      <c r="F88" s="134" t="s">
        <v>1211</v>
      </c>
      <c r="G88" s="134" t="s">
        <v>233</v>
      </c>
      <c r="H88" s="134" t="s">
        <v>85</v>
      </c>
      <c r="L88" s="160">
        <f>126+84</f>
        <v>210</v>
      </c>
    </row>
    <row r="89" spans="1:12" ht="12.95" customHeight="1">
      <c r="A89" s="134">
        <v>81</v>
      </c>
      <c r="B89" s="134">
        <v>45</v>
      </c>
      <c r="C89" s="217" t="s">
        <v>177</v>
      </c>
      <c r="D89" s="154" t="s">
        <v>62</v>
      </c>
      <c r="E89" s="154" t="s">
        <v>92</v>
      </c>
      <c r="F89" s="154" t="s">
        <v>1211</v>
      </c>
      <c r="G89" s="134" t="s">
        <v>233</v>
      </c>
      <c r="H89" s="534" t="s">
        <v>1679</v>
      </c>
    </row>
    <row r="90" spans="1:12" ht="12.95" customHeight="1">
      <c r="A90" s="134">
        <v>82</v>
      </c>
      <c r="B90" s="134">
        <v>46</v>
      </c>
      <c r="C90" s="217" t="s">
        <v>200</v>
      </c>
      <c r="D90" s="134" t="s">
        <v>76</v>
      </c>
      <c r="E90" s="134" t="s">
        <v>54</v>
      </c>
      <c r="F90" s="134" t="s">
        <v>1211</v>
      </c>
      <c r="G90" s="134" t="s">
        <v>213</v>
      </c>
      <c r="H90" s="134" t="s">
        <v>237</v>
      </c>
    </row>
    <row r="91" spans="1:12" ht="12.95" customHeight="1">
      <c r="A91" s="134">
        <v>83</v>
      </c>
      <c r="B91" s="134">
        <v>47</v>
      </c>
      <c r="C91" s="217" t="s">
        <v>219</v>
      </c>
      <c r="D91" s="134" t="s">
        <v>53</v>
      </c>
      <c r="E91" s="134" t="s">
        <v>54</v>
      </c>
      <c r="F91" s="134" t="s">
        <v>1211</v>
      </c>
      <c r="G91" s="134" t="s">
        <v>235</v>
      </c>
      <c r="H91" s="134" t="s">
        <v>1242</v>
      </c>
    </row>
    <row r="92" spans="1:12" ht="12.95" customHeight="1">
      <c r="A92" s="134">
        <v>84</v>
      </c>
      <c r="B92" s="134">
        <v>48</v>
      </c>
      <c r="C92" s="217" t="s">
        <v>232</v>
      </c>
      <c r="D92" s="134" t="s">
        <v>62</v>
      </c>
      <c r="E92" s="134" t="s">
        <v>131</v>
      </c>
      <c r="F92" s="134" t="s">
        <v>1211</v>
      </c>
      <c r="G92" s="134" t="s">
        <v>240</v>
      </c>
      <c r="H92" s="134" t="s">
        <v>85</v>
      </c>
    </row>
    <row r="93" spans="1:12" ht="12.95" customHeight="1">
      <c r="A93" s="134">
        <v>85</v>
      </c>
      <c r="B93" s="134">
        <v>49</v>
      </c>
      <c r="C93" s="217" t="s">
        <v>238</v>
      </c>
      <c r="D93" s="134" t="s">
        <v>62</v>
      </c>
      <c r="E93" s="134" t="s">
        <v>92</v>
      </c>
      <c r="F93" s="134" t="s">
        <v>1218</v>
      </c>
      <c r="G93" s="134" t="s">
        <v>815</v>
      </c>
      <c r="H93" s="134" t="s">
        <v>1242</v>
      </c>
    </row>
    <row r="94" spans="1:12" ht="12.95" customHeight="1">
      <c r="A94" s="134"/>
      <c r="B94" s="154" t="s">
        <v>247</v>
      </c>
      <c r="C94" s="134"/>
      <c r="D94" s="134"/>
      <c r="E94" s="134"/>
      <c r="F94" s="134"/>
      <c r="G94" s="134"/>
      <c r="H94" s="134"/>
    </row>
    <row r="95" spans="1:12" ht="12.95" customHeight="1">
      <c r="A95" s="134">
        <v>86</v>
      </c>
      <c r="B95" s="134">
        <v>1</v>
      </c>
      <c r="C95" s="132" t="s">
        <v>239</v>
      </c>
      <c r="D95" s="134" t="s">
        <v>62</v>
      </c>
      <c r="E95" s="134" t="s">
        <v>92</v>
      </c>
      <c r="F95" s="134" t="s">
        <v>1218</v>
      </c>
      <c r="G95" s="134" t="s">
        <v>822</v>
      </c>
      <c r="H95" s="134" t="s">
        <v>58</v>
      </c>
    </row>
    <row r="96" spans="1:12" ht="12.95" customHeight="1">
      <c r="A96" s="134">
        <v>87</v>
      </c>
      <c r="B96" s="134">
        <v>2</v>
      </c>
      <c r="C96" s="132" t="s">
        <v>245</v>
      </c>
      <c r="D96" s="134" t="s">
        <v>62</v>
      </c>
      <c r="E96" s="134" t="s">
        <v>92</v>
      </c>
      <c r="F96" s="134" t="s">
        <v>1218</v>
      </c>
      <c r="G96" s="134" t="s">
        <v>822</v>
      </c>
      <c r="H96" s="134" t="s">
        <v>58</v>
      </c>
    </row>
    <row r="97" spans="1:8" ht="12.95" customHeight="1">
      <c r="A97" s="134">
        <v>88</v>
      </c>
      <c r="B97" s="134">
        <v>3</v>
      </c>
      <c r="C97" s="132" t="s">
        <v>234</v>
      </c>
      <c r="D97" s="134" t="s">
        <v>62</v>
      </c>
      <c r="E97" s="134" t="s">
        <v>54</v>
      </c>
      <c r="F97" s="134" t="s">
        <v>1211</v>
      </c>
      <c r="G97" s="134" t="s">
        <v>255</v>
      </c>
      <c r="H97" s="134" t="s">
        <v>237</v>
      </c>
    </row>
    <row r="98" spans="1:8" ht="12.95" customHeight="1">
      <c r="A98" s="134">
        <v>89</v>
      </c>
      <c r="B98" s="134">
        <v>4</v>
      </c>
      <c r="C98" s="132" t="s">
        <v>242</v>
      </c>
      <c r="D98" s="134" t="s">
        <v>243</v>
      </c>
      <c r="E98" s="134" t="s">
        <v>54</v>
      </c>
      <c r="F98" s="134" t="s">
        <v>1211</v>
      </c>
      <c r="G98" s="134" t="s">
        <v>255</v>
      </c>
      <c r="H98" s="134" t="s">
        <v>237</v>
      </c>
    </row>
    <row r="99" spans="1:8" ht="12.95" customHeight="1">
      <c r="A99" s="134">
        <v>90</v>
      </c>
      <c r="B99" s="134">
        <v>5</v>
      </c>
      <c r="C99" s="132" t="s">
        <v>251</v>
      </c>
      <c r="D99" s="134" t="s">
        <v>76</v>
      </c>
      <c r="E99" s="134" t="s">
        <v>54</v>
      </c>
      <c r="F99" s="134" t="s">
        <v>1211</v>
      </c>
      <c r="G99" s="134" t="s">
        <v>826</v>
      </c>
      <c r="H99" s="134" t="s">
        <v>237</v>
      </c>
    </row>
    <row r="100" spans="1:8" ht="12.95" customHeight="1">
      <c r="A100" s="134">
        <v>91</v>
      </c>
      <c r="B100" s="134">
        <v>6</v>
      </c>
      <c r="C100" s="132" t="s">
        <v>208</v>
      </c>
      <c r="D100" s="134" t="s">
        <v>209</v>
      </c>
      <c r="E100" s="134" t="s">
        <v>210</v>
      </c>
      <c r="F100" s="134" t="s">
        <v>1211</v>
      </c>
      <c r="G100" s="134" t="s">
        <v>815</v>
      </c>
      <c r="H100" s="134" t="s">
        <v>1242</v>
      </c>
    </row>
    <row r="101" spans="1:8" ht="12.95" customHeight="1">
      <c r="A101" s="134">
        <v>92</v>
      </c>
      <c r="B101" s="134">
        <v>7</v>
      </c>
      <c r="C101" s="132" t="s">
        <v>196</v>
      </c>
      <c r="D101" s="134" t="s">
        <v>53</v>
      </c>
      <c r="E101" s="134" t="s">
        <v>54</v>
      </c>
      <c r="F101" s="134" t="s">
        <v>1211</v>
      </c>
      <c r="G101" s="134" t="s">
        <v>815</v>
      </c>
      <c r="H101" s="134" t="s">
        <v>1242</v>
      </c>
    </row>
    <row r="102" spans="1:8" ht="12.95" customHeight="1">
      <c r="A102" s="134">
        <v>93</v>
      </c>
      <c r="B102" s="134">
        <v>8</v>
      </c>
      <c r="C102" s="132" t="s">
        <v>222</v>
      </c>
      <c r="D102" s="134" t="s">
        <v>62</v>
      </c>
      <c r="E102" s="134" t="s">
        <v>131</v>
      </c>
      <c r="F102" s="134" t="s">
        <v>1211</v>
      </c>
      <c r="G102" s="134" t="s">
        <v>823</v>
      </c>
      <c r="H102" s="134" t="s">
        <v>120</v>
      </c>
    </row>
    <row r="103" spans="1:8" ht="12.95" customHeight="1">
      <c r="A103" s="134">
        <v>94</v>
      </c>
      <c r="B103" s="134">
        <v>9</v>
      </c>
      <c r="C103" s="132" t="s">
        <v>248</v>
      </c>
      <c r="D103" s="134" t="s">
        <v>249</v>
      </c>
      <c r="E103" s="134" t="s">
        <v>54</v>
      </c>
      <c r="F103" s="134" t="s">
        <v>1211</v>
      </c>
      <c r="G103" s="133" t="s">
        <v>827</v>
      </c>
      <c r="H103" s="134" t="s">
        <v>58</v>
      </c>
    </row>
    <row r="104" spans="1:8" ht="12.95" customHeight="1">
      <c r="A104" s="134">
        <v>95</v>
      </c>
      <c r="B104" s="134">
        <v>10</v>
      </c>
      <c r="C104" s="132" t="s">
        <v>254</v>
      </c>
      <c r="D104" s="134" t="s">
        <v>112</v>
      </c>
      <c r="E104" s="134" t="s">
        <v>54</v>
      </c>
      <c r="F104" s="134" t="s">
        <v>1211</v>
      </c>
      <c r="G104" s="133" t="s">
        <v>827</v>
      </c>
      <c r="H104" s="134" t="s">
        <v>58</v>
      </c>
    </row>
    <row r="105" spans="1:8" ht="12.95" customHeight="1">
      <c r="A105" s="134">
        <v>96</v>
      </c>
      <c r="B105" s="134">
        <v>11</v>
      </c>
      <c r="C105" s="132" t="s">
        <v>265</v>
      </c>
      <c r="D105" s="134" t="s">
        <v>212</v>
      </c>
      <c r="E105" s="134" t="s">
        <v>54</v>
      </c>
      <c r="F105" s="134" t="s">
        <v>1211</v>
      </c>
      <c r="G105" s="133" t="s">
        <v>266</v>
      </c>
      <c r="H105" s="134" t="s">
        <v>58</v>
      </c>
    </row>
    <row r="106" spans="1:8" ht="12.95" customHeight="1">
      <c r="A106" s="134">
        <v>97</v>
      </c>
      <c r="B106" s="134">
        <v>12</v>
      </c>
      <c r="C106" s="132" t="s">
        <v>260</v>
      </c>
      <c r="D106" s="134" t="s">
        <v>62</v>
      </c>
      <c r="E106" s="134" t="s">
        <v>131</v>
      </c>
      <c r="F106" s="134" t="s">
        <v>1211</v>
      </c>
      <c r="G106" s="134" t="s">
        <v>274</v>
      </c>
      <c r="H106" s="134" t="s">
        <v>120</v>
      </c>
    </row>
    <row r="107" spans="1:8" ht="12.95" customHeight="1">
      <c r="A107" s="134">
        <v>98</v>
      </c>
      <c r="B107" s="134">
        <v>13</v>
      </c>
      <c r="C107" s="132" t="s">
        <v>268</v>
      </c>
      <c r="D107" s="134" t="s">
        <v>62</v>
      </c>
      <c r="E107" s="134" t="s">
        <v>131</v>
      </c>
      <c r="F107" s="134" t="s">
        <v>1211</v>
      </c>
      <c r="G107" s="134" t="s">
        <v>274</v>
      </c>
      <c r="H107" s="534" t="s">
        <v>1679</v>
      </c>
    </row>
    <row r="108" spans="1:8" ht="12.95" customHeight="1">
      <c r="A108" s="134">
        <v>99</v>
      </c>
      <c r="B108" s="134">
        <v>14</v>
      </c>
      <c r="C108" s="132" t="s">
        <v>257</v>
      </c>
      <c r="D108" s="221" t="s">
        <v>62</v>
      </c>
      <c r="E108" s="221" t="s">
        <v>54</v>
      </c>
      <c r="F108" s="134" t="s">
        <v>1211</v>
      </c>
      <c r="G108" s="134" t="s">
        <v>277</v>
      </c>
      <c r="H108" s="221" t="s">
        <v>58</v>
      </c>
    </row>
    <row r="109" spans="1:8" ht="12.95" customHeight="1">
      <c r="A109" s="134">
        <v>100</v>
      </c>
      <c r="B109" s="134">
        <v>15</v>
      </c>
      <c r="C109" s="132" t="s">
        <v>271</v>
      </c>
      <c r="D109" s="221" t="s">
        <v>53</v>
      </c>
      <c r="E109" s="221" t="s">
        <v>131</v>
      </c>
      <c r="F109" s="134" t="s">
        <v>1211</v>
      </c>
      <c r="G109" s="134" t="s">
        <v>279</v>
      </c>
      <c r="H109" s="134" t="s">
        <v>237</v>
      </c>
    </row>
    <row r="110" spans="1:8" ht="12.95" customHeight="1">
      <c r="A110" s="134">
        <v>101</v>
      </c>
      <c r="B110" s="134">
        <v>16</v>
      </c>
      <c r="C110" s="132" t="s">
        <v>273</v>
      </c>
      <c r="D110" s="134" t="s">
        <v>62</v>
      </c>
      <c r="E110" s="134" t="s">
        <v>131</v>
      </c>
      <c r="F110" s="134" t="s">
        <v>1211</v>
      </c>
      <c r="G110" s="134" t="s">
        <v>279</v>
      </c>
      <c r="H110" s="134" t="s">
        <v>237</v>
      </c>
    </row>
    <row r="111" spans="1:8" ht="12.95" customHeight="1">
      <c r="A111" s="134">
        <v>102</v>
      </c>
      <c r="B111" s="134">
        <v>17</v>
      </c>
      <c r="C111" s="132" t="s">
        <v>276</v>
      </c>
      <c r="D111" s="134" t="s">
        <v>167</v>
      </c>
      <c r="E111" s="134" t="s">
        <v>131</v>
      </c>
      <c r="F111" s="134" t="s">
        <v>1211</v>
      </c>
      <c r="G111" s="134" t="s">
        <v>279</v>
      </c>
      <c r="H111" s="134" t="s">
        <v>237</v>
      </c>
    </row>
    <row r="112" spans="1:8" ht="12.95" customHeight="1">
      <c r="B112" s="154" t="s">
        <v>1233</v>
      </c>
    </row>
    <row r="113" spans="1:8" ht="12.95" customHeight="1">
      <c r="A113" s="134">
        <v>103</v>
      </c>
      <c r="B113" s="134">
        <v>1</v>
      </c>
      <c r="C113" s="132" t="s">
        <v>280</v>
      </c>
      <c r="D113" s="134" t="s">
        <v>62</v>
      </c>
      <c r="E113" s="134" t="s">
        <v>131</v>
      </c>
      <c r="F113" s="134" t="s">
        <v>1211</v>
      </c>
      <c r="G113" s="134" t="s">
        <v>1246</v>
      </c>
      <c r="H113" s="134" t="s">
        <v>237</v>
      </c>
    </row>
    <row r="114" spans="1:8" ht="12.95" customHeight="1">
      <c r="A114" s="134">
        <v>104</v>
      </c>
      <c r="B114" s="134">
        <v>2</v>
      </c>
      <c r="C114" s="132" t="s">
        <v>286</v>
      </c>
      <c r="D114" s="134" t="s">
        <v>287</v>
      </c>
      <c r="E114" s="134" t="s">
        <v>131</v>
      </c>
      <c r="F114" s="134" t="s">
        <v>1211</v>
      </c>
      <c r="G114" s="222" t="s">
        <v>289</v>
      </c>
      <c r="H114" s="134" t="s">
        <v>237</v>
      </c>
    </row>
    <row r="115" spans="1:8" ht="12.95" customHeight="1">
      <c r="A115" s="134">
        <v>105</v>
      </c>
      <c r="B115" s="134">
        <v>3</v>
      </c>
      <c r="C115" s="132" t="s">
        <v>294</v>
      </c>
      <c r="D115" s="134" t="s">
        <v>249</v>
      </c>
      <c r="E115" s="134" t="s">
        <v>131</v>
      </c>
      <c r="F115" s="134" t="s">
        <v>1211</v>
      </c>
      <c r="G115" s="134" t="s">
        <v>301</v>
      </c>
      <c r="H115" s="134" t="s">
        <v>120</v>
      </c>
    </row>
    <row r="116" spans="1:8" ht="12.95" customHeight="1">
      <c r="A116" s="134">
        <v>106</v>
      </c>
      <c r="B116" s="134">
        <v>4</v>
      </c>
      <c r="C116" s="132" t="s">
        <v>284</v>
      </c>
      <c r="D116" s="134" t="s">
        <v>167</v>
      </c>
      <c r="E116" s="134" t="s">
        <v>131</v>
      </c>
      <c r="F116" s="134" t="s">
        <v>1211</v>
      </c>
      <c r="G116" s="222" t="s">
        <v>299</v>
      </c>
      <c r="H116" s="534" t="s">
        <v>1679</v>
      </c>
    </row>
    <row r="117" spans="1:8" ht="12.95" customHeight="1">
      <c r="A117" s="134">
        <v>107</v>
      </c>
      <c r="B117" s="134">
        <v>5</v>
      </c>
      <c r="C117" s="132" t="s">
        <v>290</v>
      </c>
      <c r="D117" s="134" t="s">
        <v>167</v>
      </c>
      <c r="E117" s="134" t="s">
        <v>131</v>
      </c>
      <c r="F117" s="134" t="s">
        <v>1211</v>
      </c>
      <c r="G117" s="222" t="s">
        <v>299</v>
      </c>
      <c r="H117" s="534" t="s">
        <v>1679</v>
      </c>
    </row>
    <row r="118" spans="1:8" ht="12.95" customHeight="1">
      <c r="A118" s="134">
        <v>108</v>
      </c>
      <c r="B118" s="134">
        <v>6</v>
      </c>
      <c r="C118" s="132" t="s">
        <v>292</v>
      </c>
      <c r="D118" s="134" t="s">
        <v>167</v>
      </c>
      <c r="E118" s="134" t="s">
        <v>131</v>
      </c>
      <c r="F118" s="134" t="s">
        <v>1211</v>
      </c>
      <c r="G118" s="222" t="s">
        <v>299</v>
      </c>
      <c r="H118" s="534" t="s">
        <v>1679</v>
      </c>
    </row>
    <row r="119" spans="1:8" ht="12.95" customHeight="1">
      <c r="A119" s="134">
        <v>109</v>
      </c>
      <c r="B119" s="134">
        <v>7</v>
      </c>
      <c r="C119" s="132" t="s">
        <v>297</v>
      </c>
      <c r="D119" s="134" t="s">
        <v>249</v>
      </c>
      <c r="E119" s="134" t="s">
        <v>131</v>
      </c>
      <c r="F119" s="134" t="s">
        <v>1211</v>
      </c>
      <c r="G119" s="222" t="s">
        <v>302</v>
      </c>
      <c r="H119" s="534" t="s">
        <v>1679</v>
      </c>
    </row>
    <row r="120" spans="1:8" ht="12.95" customHeight="1">
      <c r="A120" s="134">
        <v>110</v>
      </c>
      <c r="B120" s="134">
        <v>8</v>
      </c>
      <c r="C120" s="132" t="s">
        <v>263</v>
      </c>
      <c r="D120" s="221" t="s">
        <v>76</v>
      </c>
      <c r="E120" s="134" t="s">
        <v>131</v>
      </c>
      <c r="F120" s="134" t="s">
        <v>1211</v>
      </c>
      <c r="G120" s="222" t="s">
        <v>302</v>
      </c>
      <c r="H120" s="534" t="s">
        <v>1679</v>
      </c>
    </row>
    <row r="121" spans="1:8" ht="12.95" customHeight="1">
      <c r="A121" s="134">
        <v>111</v>
      </c>
      <c r="B121" s="134">
        <v>9</v>
      </c>
      <c r="C121" s="132" t="s">
        <v>267</v>
      </c>
      <c r="D121" s="134" t="s">
        <v>62</v>
      </c>
      <c r="E121" s="134" t="s">
        <v>131</v>
      </c>
      <c r="F121" s="134" t="s">
        <v>1211</v>
      </c>
      <c r="G121" s="221" t="s">
        <v>307</v>
      </c>
      <c r="H121" s="134" t="s">
        <v>1244</v>
      </c>
    </row>
    <row r="122" spans="1:8" ht="12.95" customHeight="1">
      <c r="A122" s="134">
        <v>112</v>
      </c>
      <c r="B122" s="134">
        <v>10</v>
      </c>
      <c r="C122" s="132" t="s">
        <v>300</v>
      </c>
      <c r="D122" s="134" t="s">
        <v>76</v>
      </c>
      <c r="E122" s="134" t="s">
        <v>131</v>
      </c>
      <c r="F122" s="134" t="s">
        <v>1211</v>
      </c>
      <c r="G122" s="221" t="s">
        <v>307</v>
      </c>
      <c r="H122" s="134" t="s">
        <v>1244</v>
      </c>
    </row>
    <row r="123" spans="1:8" ht="12.95" customHeight="1">
      <c r="B123" s="154" t="s">
        <v>303</v>
      </c>
    </row>
    <row r="124" spans="1:8" ht="12.95" customHeight="1">
      <c r="A124" s="134">
        <v>113</v>
      </c>
      <c r="B124" s="134">
        <v>1</v>
      </c>
      <c r="C124" s="132" t="s">
        <v>304</v>
      </c>
      <c r="D124" s="134" t="s">
        <v>305</v>
      </c>
      <c r="E124" s="134" t="s">
        <v>131</v>
      </c>
      <c r="F124" s="134" t="s">
        <v>1211</v>
      </c>
      <c r="G124" s="222" t="s">
        <v>308</v>
      </c>
      <c r="H124" s="134" t="s">
        <v>120</v>
      </c>
    </row>
    <row r="125" spans="1:8" ht="12.95" customHeight="1">
      <c r="A125" s="134">
        <v>114</v>
      </c>
      <c r="B125" s="134">
        <v>2</v>
      </c>
      <c r="C125" s="132" t="s">
        <v>319</v>
      </c>
      <c r="D125" s="134" t="s">
        <v>249</v>
      </c>
      <c r="E125" s="134" t="s">
        <v>131</v>
      </c>
      <c r="F125" s="134" t="s">
        <v>1211</v>
      </c>
      <c r="G125" s="222" t="s">
        <v>324</v>
      </c>
      <c r="H125" s="134" t="s">
        <v>321</v>
      </c>
    </row>
    <row r="126" spans="1:8" ht="12.95" customHeight="1">
      <c r="A126" s="134">
        <v>115</v>
      </c>
      <c r="B126" s="134">
        <v>3</v>
      </c>
      <c r="C126" s="132" t="s">
        <v>322</v>
      </c>
      <c r="D126" s="134" t="s">
        <v>249</v>
      </c>
      <c r="E126" s="134" t="s">
        <v>131</v>
      </c>
      <c r="F126" s="134" t="s">
        <v>1211</v>
      </c>
      <c r="G126" s="222" t="s">
        <v>328</v>
      </c>
      <c r="H126" s="134" t="s">
        <v>237</v>
      </c>
    </row>
    <row r="127" spans="1:8" ht="12.95" customHeight="1">
      <c r="A127" s="134">
        <v>116</v>
      </c>
      <c r="B127" s="134">
        <v>4</v>
      </c>
      <c r="C127" s="132" t="s">
        <v>309</v>
      </c>
      <c r="D127" s="134" t="s">
        <v>167</v>
      </c>
      <c r="E127" s="134" t="s">
        <v>131</v>
      </c>
      <c r="F127" s="134" t="s">
        <v>1211</v>
      </c>
      <c r="G127" s="222" t="s">
        <v>331</v>
      </c>
      <c r="H127" s="134" t="s">
        <v>120</v>
      </c>
    </row>
    <row r="128" spans="1:8" ht="12.95" customHeight="1">
      <c r="A128" s="134">
        <v>117</v>
      </c>
      <c r="B128" s="134">
        <v>5</v>
      </c>
      <c r="C128" s="132" t="s">
        <v>313</v>
      </c>
      <c r="D128" s="134" t="s">
        <v>53</v>
      </c>
      <c r="E128" s="134" t="s">
        <v>131</v>
      </c>
      <c r="F128" s="134" t="s">
        <v>1211</v>
      </c>
      <c r="G128" s="222" t="s">
        <v>331</v>
      </c>
      <c r="H128" s="134" t="s">
        <v>120</v>
      </c>
    </row>
    <row r="129" spans="1:13" ht="12.95"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5" customHeight="1">
      <c r="A130" s="162"/>
      <c r="B130" s="154" t="s">
        <v>335</v>
      </c>
      <c r="C130" s="162"/>
      <c r="D130" s="134"/>
      <c r="E130" s="134"/>
      <c r="F130" s="134"/>
      <c r="G130" s="223"/>
      <c r="H130" s="162"/>
    </row>
    <row r="131" spans="1:13" ht="12.95" customHeight="1">
      <c r="A131" s="134">
        <v>119</v>
      </c>
      <c r="B131" s="134">
        <v>1</v>
      </c>
      <c r="C131" s="132" t="s">
        <v>326</v>
      </c>
      <c r="D131" s="134" t="s">
        <v>186</v>
      </c>
      <c r="E131" s="134" t="s">
        <v>131</v>
      </c>
      <c r="F131" s="134" t="s">
        <v>1211</v>
      </c>
      <c r="G131" s="222" t="s">
        <v>189</v>
      </c>
      <c r="H131" s="134" t="s">
        <v>120</v>
      </c>
    </row>
    <row r="132" spans="1:13" ht="12.95" customHeight="1">
      <c r="A132" s="134">
        <v>120</v>
      </c>
      <c r="B132" s="134">
        <v>2</v>
      </c>
      <c r="C132" s="132" t="s">
        <v>334</v>
      </c>
      <c r="D132" s="134" t="s">
        <v>186</v>
      </c>
      <c r="E132" s="134" t="s">
        <v>131</v>
      </c>
      <c r="F132" s="134" t="s">
        <v>1211</v>
      </c>
      <c r="G132" s="222" t="s">
        <v>190</v>
      </c>
      <c r="H132" s="134" t="s">
        <v>120</v>
      </c>
    </row>
    <row r="133" spans="1:13" ht="12.95" customHeight="1">
      <c r="A133" s="134">
        <v>121</v>
      </c>
      <c r="B133" s="134">
        <v>3</v>
      </c>
      <c r="C133" s="132" t="s">
        <v>336</v>
      </c>
      <c r="D133" s="134" t="s">
        <v>186</v>
      </c>
      <c r="E133" s="134" t="s">
        <v>131</v>
      </c>
      <c r="F133" s="134" t="s">
        <v>1211</v>
      </c>
      <c r="G133" s="222" t="s">
        <v>339</v>
      </c>
      <c r="H133" s="134" t="s">
        <v>237</v>
      </c>
    </row>
    <row r="134" spans="1:13" ht="12.95" customHeight="1">
      <c r="A134" s="134">
        <v>122</v>
      </c>
      <c r="B134" s="134">
        <v>4</v>
      </c>
      <c r="C134" s="132" t="s">
        <v>332</v>
      </c>
      <c r="D134" s="134" t="s">
        <v>167</v>
      </c>
      <c r="E134" s="134" t="s">
        <v>131</v>
      </c>
      <c r="F134" s="134" t="s">
        <v>1211</v>
      </c>
      <c r="G134" s="222" t="s">
        <v>339</v>
      </c>
      <c r="H134" s="134" t="s">
        <v>237</v>
      </c>
    </row>
    <row r="135" spans="1:13" ht="12.95" customHeight="1">
      <c r="A135" s="134">
        <v>123</v>
      </c>
      <c r="B135" s="134">
        <v>5</v>
      </c>
      <c r="C135" s="132" t="s">
        <v>317</v>
      </c>
      <c r="D135" s="134" t="s">
        <v>62</v>
      </c>
      <c r="E135" s="134" t="s">
        <v>131</v>
      </c>
      <c r="F135" s="134" t="s">
        <v>1211</v>
      </c>
      <c r="G135" s="222" t="s">
        <v>339</v>
      </c>
      <c r="H135" s="134" t="s">
        <v>237</v>
      </c>
    </row>
    <row r="136" spans="1:13" ht="12.95" customHeight="1">
      <c r="A136" s="134">
        <v>124</v>
      </c>
      <c r="B136" s="134">
        <v>6</v>
      </c>
      <c r="C136" s="132" t="s">
        <v>340</v>
      </c>
      <c r="D136" s="134" t="s">
        <v>287</v>
      </c>
      <c r="E136" s="134" t="s">
        <v>131</v>
      </c>
      <c r="F136" s="134" t="s">
        <v>1211</v>
      </c>
      <c r="G136" s="222" t="s">
        <v>1247</v>
      </c>
      <c r="H136" s="134" t="s">
        <v>321</v>
      </c>
    </row>
    <row r="137" spans="1:13" ht="12.95" customHeight="1">
      <c r="A137" s="162"/>
      <c r="B137" s="194" t="s">
        <v>345</v>
      </c>
      <c r="C137" s="132"/>
      <c r="D137" s="134"/>
      <c r="E137" s="162"/>
      <c r="F137" s="162"/>
      <c r="G137" s="223"/>
      <c r="H137" s="134"/>
    </row>
    <row r="138" spans="1:13" ht="12.95" customHeight="1">
      <c r="A138" s="134">
        <v>125</v>
      </c>
      <c r="B138" s="134">
        <v>1</v>
      </c>
      <c r="C138" s="132" t="s">
        <v>342</v>
      </c>
      <c r="D138" s="134" t="s">
        <v>62</v>
      </c>
      <c r="E138" s="134" t="s">
        <v>131</v>
      </c>
      <c r="F138" s="134" t="s">
        <v>1211</v>
      </c>
      <c r="G138" s="222" t="s">
        <v>835</v>
      </c>
      <c r="H138" s="134" t="s">
        <v>237</v>
      </c>
    </row>
    <row r="139" spans="1:13" ht="12.95" customHeight="1">
      <c r="A139" s="134">
        <v>126</v>
      </c>
      <c r="B139" s="134">
        <v>2</v>
      </c>
      <c r="C139" s="132" t="s">
        <v>350</v>
      </c>
      <c r="D139" s="134" t="s">
        <v>351</v>
      </c>
      <c r="E139" s="134" t="s">
        <v>92</v>
      </c>
      <c r="F139" s="134" t="s">
        <v>1218</v>
      </c>
      <c r="G139" s="222" t="s">
        <v>862</v>
      </c>
      <c r="H139" s="134" t="s">
        <v>237</v>
      </c>
    </row>
    <row r="140" spans="1:13" ht="12.95" customHeight="1">
      <c r="A140" s="162"/>
      <c r="B140" s="194" t="s">
        <v>354</v>
      </c>
      <c r="C140" s="134"/>
      <c r="D140" s="134"/>
      <c r="E140" s="134"/>
      <c r="F140" s="134"/>
      <c r="G140" s="222"/>
      <c r="H140" s="162"/>
    </row>
    <row r="141" spans="1:13" ht="12.95" customHeight="1">
      <c r="A141" s="134">
        <v>127</v>
      </c>
      <c r="B141" s="134">
        <v>1</v>
      </c>
      <c r="C141" s="132" t="s">
        <v>346</v>
      </c>
      <c r="D141" s="134" t="s">
        <v>347</v>
      </c>
      <c r="E141" s="134" t="s">
        <v>131</v>
      </c>
      <c r="F141" s="134" t="s">
        <v>1211</v>
      </c>
      <c r="G141" s="222" t="s">
        <v>856</v>
      </c>
      <c r="H141" s="134" t="s">
        <v>120</v>
      </c>
    </row>
    <row r="142" spans="1:13" ht="12.95" customHeight="1">
      <c r="A142" s="134">
        <v>128</v>
      </c>
      <c r="B142" s="134">
        <v>2</v>
      </c>
      <c r="C142" s="132" t="s">
        <v>355</v>
      </c>
      <c r="D142" s="134" t="s">
        <v>62</v>
      </c>
      <c r="E142" s="134" t="s">
        <v>92</v>
      </c>
      <c r="F142" s="134" t="s">
        <v>1218</v>
      </c>
      <c r="G142" s="222" t="s">
        <v>863</v>
      </c>
      <c r="H142" s="134" t="s">
        <v>237</v>
      </c>
    </row>
    <row r="143" spans="1:13" ht="12.95" customHeight="1">
      <c r="A143" s="134">
        <v>129</v>
      </c>
      <c r="B143" s="134">
        <v>3</v>
      </c>
      <c r="C143" s="132" t="s">
        <v>357</v>
      </c>
      <c r="D143" s="134" t="s">
        <v>62</v>
      </c>
      <c r="E143" s="134" t="s">
        <v>92</v>
      </c>
      <c r="F143" s="134" t="s">
        <v>1218</v>
      </c>
      <c r="G143" s="222" t="s">
        <v>359</v>
      </c>
      <c r="H143" s="134" t="s">
        <v>237</v>
      </c>
    </row>
    <row r="144" spans="1:13" ht="12.95" customHeight="1">
      <c r="B144" s="194" t="s">
        <v>368</v>
      </c>
      <c r="C144" s="162"/>
      <c r="D144" s="162"/>
      <c r="E144" s="162"/>
      <c r="F144" s="162"/>
      <c r="G144" s="223"/>
    </row>
    <row r="145" spans="1:8" ht="12.95" customHeight="1">
      <c r="A145" s="134">
        <v>130</v>
      </c>
      <c r="B145" s="134">
        <v>1</v>
      </c>
      <c r="C145" s="132" t="s">
        <v>365</v>
      </c>
      <c r="D145" s="134" t="s">
        <v>62</v>
      </c>
      <c r="E145" s="134" t="s">
        <v>361</v>
      </c>
      <c r="F145" s="134" t="s">
        <v>1211</v>
      </c>
      <c r="G145" s="222" t="s">
        <v>880</v>
      </c>
      <c r="H145" s="134" t="s">
        <v>237</v>
      </c>
    </row>
    <row r="146" spans="1:8" ht="12.95" customHeight="1">
      <c r="A146" s="134">
        <v>131</v>
      </c>
      <c r="B146" s="134">
        <v>2</v>
      </c>
      <c r="C146" s="132" t="s">
        <v>369</v>
      </c>
      <c r="D146" s="134" t="s">
        <v>227</v>
      </c>
      <c r="E146" s="134" t="s">
        <v>361</v>
      </c>
      <c r="F146" s="134" t="s">
        <v>1211</v>
      </c>
      <c r="G146" s="222" t="s">
        <v>386</v>
      </c>
      <c r="H146" s="134" t="s">
        <v>237</v>
      </c>
    </row>
    <row r="147" spans="1:8" ht="12.95" customHeight="1">
      <c r="A147" s="134">
        <v>132</v>
      </c>
      <c r="B147" s="134">
        <v>3</v>
      </c>
      <c r="C147" s="132" t="s">
        <v>372</v>
      </c>
      <c r="D147" s="134" t="s">
        <v>143</v>
      </c>
      <c r="E147" s="134" t="s">
        <v>361</v>
      </c>
      <c r="F147" s="134" t="s">
        <v>1211</v>
      </c>
      <c r="G147" s="222" t="s">
        <v>388</v>
      </c>
      <c r="H147" s="134" t="s">
        <v>237</v>
      </c>
    </row>
    <row r="148" spans="1:8" ht="12.95" customHeight="1">
      <c r="A148" s="134">
        <v>133</v>
      </c>
      <c r="B148" s="134">
        <v>4</v>
      </c>
      <c r="C148" s="132" t="s">
        <v>387</v>
      </c>
      <c r="D148" s="134" t="s">
        <v>62</v>
      </c>
      <c r="E148" s="134" t="s">
        <v>361</v>
      </c>
      <c r="F148" s="134" t="s">
        <v>1211</v>
      </c>
      <c r="G148" s="222" t="s">
        <v>388</v>
      </c>
      <c r="H148" s="134" t="s">
        <v>237</v>
      </c>
    </row>
    <row r="149" spans="1:8" ht="12.95" customHeight="1">
      <c r="A149" s="134">
        <v>134</v>
      </c>
      <c r="B149" s="134">
        <v>5</v>
      </c>
      <c r="C149" s="132" t="s">
        <v>378</v>
      </c>
      <c r="D149" s="134" t="s">
        <v>112</v>
      </c>
      <c r="E149" s="134" t="s">
        <v>54</v>
      </c>
      <c r="F149" s="134" t="s">
        <v>1211</v>
      </c>
      <c r="G149" s="222" t="s">
        <v>390</v>
      </c>
      <c r="H149" s="134" t="s">
        <v>379</v>
      </c>
    </row>
    <row r="150" spans="1:8" ht="12.95" customHeight="1">
      <c r="A150" s="134">
        <v>135</v>
      </c>
      <c r="B150" s="134">
        <v>6</v>
      </c>
      <c r="C150" s="132" t="s">
        <v>384</v>
      </c>
      <c r="D150" s="134" t="s">
        <v>76</v>
      </c>
      <c r="E150" s="134" t="s">
        <v>54</v>
      </c>
      <c r="F150" s="134" t="s">
        <v>1211</v>
      </c>
      <c r="G150" s="222" t="s">
        <v>391</v>
      </c>
      <c r="H150" s="134" t="s">
        <v>379</v>
      </c>
    </row>
    <row r="151" spans="1:8" ht="12.95" customHeight="1">
      <c r="A151" s="134">
        <v>136</v>
      </c>
      <c r="B151" s="134">
        <v>7</v>
      </c>
      <c r="C151" s="132" t="s">
        <v>389</v>
      </c>
      <c r="D151" s="134" t="s">
        <v>76</v>
      </c>
      <c r="E151" s="134" t="s">
        <v>54</v>
      </c>
      <c r="F151" s="134" t="s">
        <v>1211</v>
      </c>
      <c r="G151" s="222" t="s">
        <v>393</v>
      </c>
      <c r="H151" s="134" t="s">
        <v>379</v>
      </c>
    </row>
    <row r="152" spans="1:8" ht="12.95" customHeight="1">
      <c r="A152" s="134">
        <v>137</v>
      </c>
      <c r="B152" s="134">
        <v>8</v>
      </c>
      <c r="C152" s="132" t="s">
        <v>380</v>
      </c>
      <c r="D152" s="134" t="s">
        <v>76</v>
      </c>
      <c r="E152" s="134" t="s">
        <v>54</v>
      </c>
      <c r="F152" s="134" t="s">
        <v>1211</v>
      </c>
      <c r="G152" s="222" t="s">
        <v>393</v>
      </c>
      <c r="H152" s="534" t="s">
        <v>1679</v>
      </c>
    </row>
    <row r="153" spans="1:8" ht="12.95" customHeight="1">
      <c r="A153" s="134">
        <v>138</v>
      </c>
      <c r="B153" s="134">
        <v>9</v>
      </c>
      <c r="C153" s="132" t="s">
        <v>392</v>
      </c>
      <c r="D153" s="134" t="s">
        <v>76</v>
      </c>
      <c r="E153" s="134" t="s">
        <v>54</v>
      </c>
      <c r="F153" s="134" t="s">
        <v>1211</v>
      </c>
      <c r="G153" s="222" t="s">
        <v>397</v>
      </c>
      <c r="H153" s="134" t="s">
        <v>379</v>
      </c>
    </row>
    <row r="154" spans="1:8" ht="12.95" customHeight="1">
      <c r="A154" s="134">
        <v>139</v>
      </c>
      <c r="B154" s="134">
        <v>10</v>
      </c>
      <c r="C154" s="132" t="s">
        <v>405</v>
      </c>
      <c r="D154" s="134" t="s">
        <v>406</v>
      </c>
      <c r="E154" s="134" t="s">
        <v>92</v>
      </c>
      <c r="F154" s="134" t="s">
        <v>1211</v>
      </c>
      <c r="G154" s="222" t="s">
        <v>407</v>
      </c>
      <c r="H154" s="134" t="s">
        <v>237</v>
      </c>
    </row>
    <row r="155" spans="1:8" ht="12.95" customHeight="1">
      <c r="A155" s="134">
        <v>140</v>
      </c>
      <c r="B155" s="134">
        <v>11</v>
      </c>
      <c r="C155" s="132" t="s">
        <v>394</v>
      </c>
      <c r="D155" s="134" t="s">
        <v>62</v>
      </c>
      <c r="E155" s="134" t="s">
        <v>54</v>
      </c>
      <c r="F155" s="134" t="s">
        <v>1211</v>
      </c>
      <c r="G155" s="222" t="s">
        <v>407</v>
      </c>
      <c r="H155" s="134" t="s">
        <v>237</v>
      </c>
    </row>
    <row r="156" spans="1:8" ht="12.95" customHeight="1">
      <c r="A156" s="134">
        <v>141</v>
      </c>
      <c r="B156" s="134">
        <v>12</v>
      </c>
      <c r="C156" s="132" t="s">
        <v>408</v>
      </c>
      <c r="D156" s="134" t="s">
        <v>53</v>
      </c>
      <c r="E156" s="134" t="s">
        <v>92</v>
      </c>
      <c r="F156" s="134" t="s">
        <v>1218</v>
      </c>
      <c r="G156" s="222" t="s">
        <v>422</v>
      </c>
      <c r="H156" s="134" t="s">
        <v>74</v>
      </c>
    </row>
    <row r="157" spans="1:8" ht="12.95" customHeight="1">
      <c r="A157" s="134">
        <v>142</v>
      </c>
      <c r="B157" s="134">
        <v>13</v>
      </c>
      <c r="C157" s="132" t="s">
        <v>375</v>
      </c>
      <c r="D157" s="134" t="s">
        <v>53</v>
      </c>
      <c r="E157" s="134" t="s">
        <v>361</v>
      </c>
      <c r="F157" s="134" t="s">
        <v>1211</v>
      </c>
      <c r="G157" s="222" t="s">
        <v>414</v>
      </c>
      <c r="H157" s="134" t="s">
        <v>364</v>
      </c>
    </row>
    <row r="158" spans="1:8" ht="12.95" customHeight="1">
      <c r="A158" s="134">
        <v>143</v>
      </c>
      <c r="B158" s="134">
        <v>14</v>
      </c>
      <c r="C158" s="132" t="s">
        <v>360</v>
      </c>
      <c r="D158" s="134" t="s">
        <v>186</v>
      </c>
      <c r="E158" s="134" t="s">
        <v>361</v>
      </c>
      <c r="F158" s="134" t="s">
        <v>1211</v>
      </c>
      <c r="G158" s="222" t="s">
        <v>414</v>
      </c>
      <c r="H158" s="134" t="s">
        <v>364</v>
      </c>
    </row>
    <row r="159" spans="1:8" ht="12.95" customHeight="1">
      <c r="B159" s="194" t="s">
        <v>412</v>
      </c>
    </row>
    <row r="160" spans="1:8" ht="12.95" customHeight="1">
      <c r="A160" s="134">
        <v>144</v>
      </c>
      <c r="B160" s="134">
        <v>1</v>
      </c>
      <c r="C160" s="132" t="s">
        <v>401</v>
      </c>
      <c r="D160" s="134" t="s">
        <v>143</v>
      </c>
      <c r="E160" s="134" t="s">
        <v>54</v>
      </c>
      <c r="F160" s="134" t="s">
        <v>1211</v>
      </c>
      <c r="G160" s="222" t="s">
        <v>415</v>
      </c>
      <c r="H160" s="134" t="s">
        <v>237</v>
      </c>
    </row>
    <row r="161" spans="1:8" ht="12.95" customHeight="1">
      <c r="A161" s="134">
        <v>145</v>
      </c>
      <c r="B161" s="134">
        <v>2</v>
      </c>
      <c r="C161" s="132" t="s">
        <v>416</v>
      </c>
      <c r="D161" s="142" t="s">
        <v>287</v>
      </c>
      <c r="E161" s="134" t="s">
        <v>54</v>
      </c>
      <c r="F161" s="134" t="s">
        <v>1211</v>
      </c>
      <c r="G161" s="222" t="s">
        <v>1248</v>
      </c>
      <c r="H161" s="134" t="s">
        <v>237</v>
      </c>
    </row>
    <row r="162" spans="1:8" ht="12.95" customHeight="1">
      <c r="A162" s="134">
        <v>146</v>
      </c>
      <c r="B162" s="134">
        <v>3</v>
      </c>
      <c r="C162" s="132" t="s">
        <v>402</v>
      </c>
      <c r="D162" s="134" t="s">
        <v>76</v>
      </c>
      <c r="E162" s="134" t="s">
        <v>54</v>
      </c>
      <c r="F162" s="134" t="s">
        <v>1211</v>
      </c>
      <c r="G162" s="134" t="s">
        <v>425</v>
      </c>
      <c r="H162" s="134" t="s">
        <v>379</v>
      </c>
    </row>
    <row r="163" spans="1:8" ht="12.95" customHeight="1">
      <c r="A163" s="134">
        <v>147</v>
      </c>
      <c r="B163" s="134">
        <v>4</v>
      </c>
      <c r="C163" s="132" t="s">
        <v>409</v>
      </c>
      <c r="D163" s="134" t="s">
        <v>76</v>
      </c>
      <c r="E163" s="134" t="s">
        <v>54</v>
      </c>
      <c r="F163" s="134" t="s">
        <v>1211</v>
      </c>
      <c r="G163" s="134" t="s">
        <v>425</v>
      </c>
      <c r="H163" s="134" t="s">
        <v>1249</v>
      </c>
    </row>
    <row r="164" spans="1:8" ht="12.95" customHeight="1">
      <c r="A164" s="134">
        <v>148</v>
      </c>
      <c r="B164" s="134">
        <v>5</v>
      </c>
      <c r="C164" s="132" t="s">
        <v>396</v>
      </c>
      <c r="D164" s="134" t="s">
        <v>76</v>
      </c>
      <c r="E164" s="134" t="s">
        <v>54</v>
      </c>
      <c r="F164" s="134" t="s">
        <v>1211</v>
      </c>
      <c r="G164" s="134" t="s">
        <v>425</v>
      </c>
      <c r="H164" s="134" t="s">
        <v>379</v>
      </c>
    </row>
    <row r="165" spans="1:8" ht="12.95" customHeight="1">
      <c r="A165" s="134">
        <v>149</v>
      </c>
      <c r="B165" s="134">
        <v>6</v>
      </c>
      <c r="C165" s="132" t="s">
        <v>413</v>
      </c>
      <c r="D165" s="134" t="s">
        <v>76</v>
      </c>
      <c r="E165" s="134" t="s">
        <v>54</v>
      </c>
      <c r="F165" s="134" t="s">
        <v>1211</v>
      </c>
      <c r="G165" s="134" t="s">
        <v>425</v>
      </c>
      <c r="H165" s="534" t="s">
        <v>1679</v>
      </c>
    </row>
    <row r="166" spans="1:8" ht="12.95" customHeight="1">
      <c r="A166" s="134">
        <v>150</v>
      </c>
      <c r="B166" s="134">
        <v>7</v>
      </c>
      <c r="C166" s="132" t="s">
        <v>399</v>
      </c>
      <c r="D166" s="134" t="s">
        <v>62</v>
      </c>
      <c r="E166" s="134" t="s">
        <v>54</v>
      </c>
      <c r="F166" s="134" t="s">
        <v>1211</v>
      </c>
      <c r="G166" s="134" t="s">
        <v>425</v>
      </c>
      <c r="H166" s="534" t="s">
        <v>1679</v>
      </c>
    </row>
    <row r="167" spans="1:8" ht="12.95" customHeight="1">
      <c r="A167" s="134">
        <v>151</v>
      </c>
      <c r="B167" s="134">
        <v>8</v>
      </c>
      <c r="C167" s="132" t="s">
        <v>424</v>
      </c>
      <c r="D167" s="134" t="s">
        <v>76</v>
      </c>
      <c r="E167" s="134" t="s">
        <v>54</v>
      </c>
      <c r="F167" s="134" t="s">
        <v>1211</v>
      </c>
      <c r="G167" s="134" t="s">
        <v>429</v>
      </c>
      <c r="H167" s="134" t="s">
        <v>379</v>
      </c>
    </row>
    <row r="168" spans="1:8" ht="12.95" customHeight="1">
      <c r="A168" s="134">
        <v>152</v>
      </c>
      <c r="B168" s="134">
        <v>9</v>
      </c>
      <c r="C168" s="132" t="s">
        <v>418</v>
      </c>
      <c r="D168" s="134" t="s">
        <v>419</v>
      </c>
      <c r="E168" s="134" t="s">
        <v>54</v>
      </c>
      <c r="F168" s="134" t="s">
        <v>1211</v>
      </c>
      <c r="G168" s="134" t="s">
        <v>429</v>
      </c>
      <c r="H168" s="134" t="s">
        <v>237</v>
      </c>
    </row>
    <row r="169" spans="1:8" ht="12.95" customHeight="1">
      <c r="A169" s="134">
        <v>153</v>
      </c>
      <c r="B169" s="134">
        <v>10</v>
      </c>
      <c r="C169" s="132" t="s">
        <v>421</v>
      </c>
      <c r="D169" s="134" t="s">
        <v>112</v>
      </c>
      <c r="E169" s="134" t="s">
        <v>92</v>
      </c>
      <c r="F169" s="134" t="s">
        <v>1218</v>
      </c>
      <c r="G169" s="134" t="s">
        <v>1250</v>
      </c>
      <c r="H169" s="134" t="s">
        <v>237</v>
      </c>
    </row>
    <row r="170" spans="1:8" ht="12.95" customHeight="1">
      <c r="A170" s="134">
        <v>154</v>
      </c>
      <c r="B170" s="134">
        <v>11</v>
      </c>
      <c r="C170" s="132" t="s">
        <v>427</v>
      </c>
      <c r="D170" s="134" t="s">
        <v>112</v>
      </c>
      <c r="E170" s="134" t="s">
        <v>131</v>
      </c>
      <c r="F170" s="134" t="s">
        <v>1211</v>
      </c>
      <c r="G170" s="134" t="s">
        <v>1250</v>
      </c>
      <c r="H170" s="534" t="s">
        <v>1679</v>
      </c>
    </row>
    <row r="171" spans="1:8" ht="12.95" customHeight="1">
      <c r="A171" s="134">
        <v>155</v>
      </c>
      <c r="B171" s="134">
        <v>12</v>
      </c>
      <c r="C171" s="132" t="s">
        <v>430</v>
      </c>
      <c r="D171" s="134" t="s">
        <v>62</v>
      </c>
      <c r="E171" s="134" t="s">
        <v>54</v>
      </c>
      <c r="F171" s="134" t="s">
        <v>1211</v>
      </c>
      <c r="G171" s="134" t="s">
        <v>435</v>
      </c>
      <c r="H171" s="134" t="s">
        <v>379</v>
      </c>
    </row>
    <row r="172" spans="1:8" ht="12.95" customHeight="1">
      <c r="A172" s="134">
        <v>156</v>
      </c>
      <c r="B172" s="134">
        <v>13</v>
      </c>
      <c r="C172" s="132" t="s">
        <v>439</v>
      </c>
      <c r="D172" s="142" t="s">
        <v>76</v>
      </c>
      <c r="E172" s="134" t="s">
        <v>54</v>
      </c>
      <c r="F172" s="134" t="s">
        <v>1211</v>
      </c>
      <c r="G172" s="134" t="s">
        <v>898</v>
      </c>
      <c r="H172" s="134" t="s">
        <v>379</v>
      </c>
    </row>
    <row r="173" spans="1:8" ht="12.95" customHeight="1">
      <c r="A173" s="134">
        <v>157</v>
      </c>
      <c r="B173" s="134">
        <v>14</v>
      </c>
      <c r="C173" s="132" t="s">
        <v>433</v>
      </c>
      <c r="D173" s="134" t="s">
        <v>62</v>
      </c>
      <c r="E173" s="134" t="s">
        <v>54</v>
      </c>
      <c r="F173" s="134" t="s">
        <v>1211</v>
      </c>
      <c r="G173" s="134" t="s">
        <v>898</v>
      </c>
      <c r="H173" s="134" t="s">
        <v>379</v>
      </c>
    </row>
    <row r="174" spans="1:8" ht="12.95" customHeight="1">
      <c r="A174" s="134">
        <v>158</v>
      </c>
      <c r="B174" s="134">
        <v>15</v>
      </c>
      <c r="C174" s="132" t="s">
        <v>442</v>
      </c>
      <c r="D174" s="134" t="s">
        <v>167</v>
      </c>
      <c r="E174" s="134" t="s">
        <v>361</v>
      </c>
      <c r="F174" s="134" t="s">
        <v>1211</v>
      </c>
      <c r="G174" s="134" t="s">
        <v>901</v>
      </c>
      <c r="H174" s="134" t="s">
        <v>364</v>
      </c>
    </row>
    <row r="175" spans="1:8" ht="12.95" customHeight="1">
      <c r="A175" s="134">
        <v>159</v>
      </c>
      <c r="B175" s="134">
        <v>16</v>
      </c>
      <c r="C175" s="132" t="s">
        <v>436</v>
      </c>
      <c r="D175" s="134" t="s">
        <v>62</v>
      </c>
      <c r="E175" s="134" t="s">
        <v>92</v>
      </c>
      <c r="F175" s="134" t="s">
        <v>1218</v>
      </c>
      <c r="G175" s="134" t="s">
        <v>901</v>
      </c>
      <c r="H175" s="134" t="s">
        <v>237</v>
      </c>
    </row>
    <row r="176" spans="1:8" ht="12.95" customHeight="1">
      <c r="B176" s="194" t="s">
        <v>443</v>
      </c>
    </row>
    <row r="177" spans="1:8" ht="12.95" customHeight="1">
      <c r="A177" s="134">
        <v>160</v>
      </c>
      <c r="B177" s="134">
        <v>1</v>
      </c>
      <c r="C177" s="132" t="s">
        <v>444</v>
      </c>
      <c r="D177" s="134" t="s">
        <v>445</v>
      </c>
      <c r="E177" s="134" t="s">
        <v>361</v>
      </c>
      <c r="F177" s="134" t="s">
        <v>1211</v>
      </c>
      <c r="G177" s="134" t="s">
        <v>447</v>
      </c>
      <c r="H177" s="134" t="s">
        <v>237</v>
      </c>
    </row>
    <row r="178" spans="1:8" ht="12.95" customHeight="1">
      <c r="B178" s="194" t="s">
        <v>935</v>
      </c>
    </row>
    <row r="179" spans="1:8" ht="12.95" customHeight="1">
      <c r="A179" s="134">
        <v>161</v>
      </c>
      <c r="B179" s="134">
        <v>1</v>
      </c>
      <c r="C179" s="132" t="s">
        <v>448</v>
      </c>
      <c r="D179" s="134" t="s">
        <v>76</v>
      </c>
      <c r="E179" s="134" t="s">
        <v>54</v>
      </c>
      <c r="F179" s="134" t="s">
        <v>1211</v>
      </c>
      <c r="G179" s="134" t="s">
        <v>944</v>
      </c>
      <c r="H179" s="134" t="s">
        <v>237</v>
      </c>
    </row>
    <row r="180" spans="1:8" ht="12.95" customHeight="1">
      <c r="A180" s="134">
        <v>162</v>
      </c>
      <c r="B180" s="134">
        <v>2</v>
      </c>
      <c r="C180" s="132" t="s">
        <v>451</v>
      </c>
      <c r="D180" s="134" t="s">
        <v>76</v>
      </c>
      <c r="E180" s="134" t="s">
        <v>54</v>
      </c>
      <c r="F180" s="134" t="s">
        <v>1211</v>
      </c>
      <c r="G180" s="134" t="s">
        <v>944</v>
      </c>
      <c r="H180" s="134" t="s">
        <v>237</v>
      </c>
    </row>
    <row r="181" spans="1:8" ht="12.95" customHeight="1">
      <c r="B181" s="203">
        <v>45682</v>
      </c>
    </row>
    <row r="182" spans="1:8" ht="12.95" customHeight="1">
      <c r="A182" s="134">
        <v>163</v>
      </c>
      <c r="B182" s="134">
        <v>1</v>
      </c>
      <c r="C182" s="132" t="s">
        <v>500</v>
      </c>
      <c r="D182" s="134" t="s">
        <v>227</v>
      </c>
      <c r="E182" s="134" t="s">
        <v>361</v>
      </c>
      <c r="F182" s="134" t="s">
        <v>1211</v>
      </c>
      <c r="G182" s="134" t="s">
        <v>505</v>
      </c>
      <c r="H182" s="134" t="s">
        <v>469</v>
      </c>
    </row>
    <row r="183" spans="1:8" ht="12.95" customHeight="1">
      <c r="A183" s="134">
        <v>164</v>
      </c>
      <c r="B183" s="134">
        <v>2</v>
      </c>
      <c r="C183" s="132" t="s">
        <v>510</v>
      </c>
      <c r="D183" s="134" t="s">
        <v>186</v>
      </c>
      <c r="E183" s="134" t="s">
        <v>361</v>
      </c>
      <c r="F183" s="134" t="s">
        <v>1211</v>
      </c>
      <c r="G183" s="534" t="s">
        <v>1240</v>
      </c>
      <c r="H183" s="134" t="s">
        <v>469</v>
      </c>
    </row>
    <row r="184" spans="1:8" ht="12.95" customHeight="1">
      <c r="A184" s="134">
        <v>165</v>
      </c>
      <c r="B184" s="134">
        <v>3</v>
      </c>
      <c r="C184" s="132" t="s">
        <v>547</v>
      </c>
      <c r="D184" s="134" t="s">
        <v>186</v>
      </c>
      <c r="E184" s="134" t="s">
        <v>131</v>
      </c>
      <c r="F184" s="134" t="s">
        <v>1211</v>
      </c>
      <c r="G184" s="134" t="s">
        <v>546</v>
      </c>
      <c r="H184" s="134" t="s">
        <v>1242</v>
      </c>
    </row>
    <row r="185" spans="1:8" ht="12.95" customHeight="1">
      <c r="A185" s="134">
        <v>166</v>
      </c>
      <c r="B185" s="134">
        <v>4</v>
      </c>
      <c r="C185" s="132" t="s">
        <v>538</v>
      </c>
      <c r="D185" s="134" t="s">
        <v>62</v>
      </c>
      <c r="E185" s="134" t="s">
        <v>54</v>
      </c>
      <c r="F185" s="134" t="s">
        <v>1211</v>
      </c>
      <c r="G185" s="134" t="s">
        <v>549</v>
      </c>
      <c r="H185" s="134" t="s">
        <v>1251</v>
      </c>
    </row>
    <row r="186" spans="1:8" ht="12.95" customHeight="1">
      <c r="A186" s="134">
        <v>167</v>
      </c>
      <c r="B186" s="134">
        <v>5</v>
      </c>
      <c r="C186" s="132" t="s">
        <v>508</v>
      </c>
      <c r="D186" s="134" t="s">
        <v>62</v>
      </c>
      <c r="E186" s="134" t="s">
        <v>54</v>
      </c>
      <c r="F186" s="134" t="s">
        <v>1211</v>
      </c>
      <c r="G186" s="134" t="s">
        <v>549</v>
      </c>
      <c r="H186" s="134" t="s">
        <v>1251</v>
      </c>
    </row>
    <row r="187" spans="1:8" ht="12.95" customHeight="1">
      <c r="A187" s="134">
        <v>168</v>
      </c>
      <c r="B187" s="134">
        <v>6</v>
      </c>
      <c r="C187" s="132" t="s">
        <v>522</v>
      </c>
      <c r="D187" s="134" t="s">
        <v>62</v>
      </c>
      <c r="E187" s="134" t="s">
        <v>54</v>
      </c>
      <c r="F187" s="134" t="s">
        <v>1211</v>
      </c>
      <c r="G187" s="134" t="s">
        <v>549</v>
      </c>
      <c r="H187" s="134" t="s">
        <v>1251</v>
      </c>
    </row>
    <row r="188" spans="1:8" ht="12.95" customHeight="1">
      <c r="A188" s="134">
        <v>169</v>
      </c>
      <c r="B188" s="134">
        <v>7</v>
      </c>
      <c r="C188" s="132" t="s">
        <v>958</v>
      </c>
      <c r="D188" s="134" t="s">
        <v>62</v>
      </c>
      <c r="E188" s="134" t="s">
        <v>54</v>
      </c>
      <c r="F188" s="134" t="s">
        <v>1211</v>
      </c>
      <c r="G188" s="134" t="s">
        <v>549</v>
      </c>
      <c r="H188" s="134" t="s">
        <v>1251</v>
      </c>
    </row>
    <row r="189" spans="1:8" ht="12.95" customHeight="1">
      <c r="A189" s="134">
        <v>170</v>
      </c>
      <c r="B189" s="134">
        <v>8</v>
      </c>
      <c r="C189" s="132" t="s">
        <v>524</v>
      </c>
      <c r="D189" s="134" t="s">
        <v>62</v>
      </c>
      <c r="E189" s="134" t="s">
        <v>54</v>
      </c>
      <c r="F189" s="134" t="s">
        <v>1211</v>
      </c>
      <c r="G189" s="134" t="s">
        <v>553</v>
      </c>
      <c r="H189" s="134" t="s">
        <v>1251</v>
      </c>
    </row>
    <row r="190" spans="1:8" ht="12.95" customHeight="1">
      <c r="A190" s="134">
        <v>171</v>
      </c>
      <c r="B190" s="134">
        <v>9</v>
      </c>
      <c r="C190" s="132" t="s">
        <v>477</v>
      </c>
      <c r="D190" s="134" t="s">
        <v>62</v>
      </c>
      <c r="E190" s="134" t="s">
        <v>54</v>
      </c>
      <c r="F190" s="134" t="s">
        <v>1211</v>
      </c>
      <c r="G190" s="134" t="s">
        <v>553</v>
      </c>
      <c r="H190" s="134" t="s">
        <v>469</v>
      </c>
    </row>
    <row r="191" spans="1:8" ht="12.95" customHeight="1">
      <c r="A191" s="134">
        <v>172</v>
      </c>
      <c r="B191" s="134">
        <v>10</v>
      </c>
      <c r="C191" s="132" t="s">
        <v>493</v>
      </c>
      <c r="D191" s="134" t="s">
        <v>474</v>
      </c>
      <c r="E191" s="134" t="s">
        <v>54</v>
      </c>
      <c r="F191" s="134" t="s">
        <v>1211</v>
      </c>
      <c r="G191" s="134" t="s">
        <v>553</v>
      </c>
      <c r="H191" s="134" t="s">
        <v>469</v>
      </c>
    </row>
    <row r="192" spans="1:8" ht="12.95" customHeight="1">
      <c r="A192" s="134">
        <v>173</v>
      </c>
      <c r="B192" s="134">
        <v>11</v>
      </c>
      <c r="C192" s="132" t="s">
        <v>497</v>
      </c>
      <c r="D192" s="134" t="s">
        <v>62</v>
      </c>
      <c r="E192" s="134" t="s">
        <v>54</v>
      </c>
      <c r="F192" s="134" t="s">
        <v>1211</v>
      </c>
      <c r="G192" s="134" t="s">
        <v>553</v>
      </c>
      <c r="H192" s="134" t="s">
        <v>1251</v>
      </c>
    </row>
    <row r="193" spans="1:8" ht="12.95" customHeight="1">
      <c r="A193" s="134">
        <v>174</v>
      </c>
      <c r="B193" s="134">
        <v>12</v>
      </c>
      <c r="C193" s="132" t="s">
        <v>495</v>
      </c>
      <c r="D193" s="134" t="s">
        <v>62</v>
      </c>
      <c r="E193" s="134" t="s">
        <v>54</v>
      </c>
      <c r="F193" s="134" t="s">
        <v>1211</v>
      </c>
      <c r="G193" s="134" t="s">
        <v>553</v>
      </c>
      <c r="H193" s="134" t="s">
        <v>1251</v>
      </c>
    </row>
    <row r="194" spans="1:8" ht="12.95" customHeight="1">
      <c r="A194" s="134">
        <v>175</v>
      </c>
      <c r="B194" s="134">
        <v>13</v>
      </c>
      <c r="C194" s="132" t="s">
        <v>490</v>
      </c>
      <c r="D194" s="134" t="s">
        <v>53</v>
      </c>
      <c r="E194" s="134" t="s">
        <v>54</v>
      </c>
      <c r="F194" s="134" t="s">
        <v>1211</v>
      </c>
      <c r="G194" s="134" t="s">
        <v>556</v>
      </c>
      <c r="H194" s="134" t="s">
        <v>1251</v>
      </c>
    </row>
    <row r="195" spans="1:8" ht="12.95" customHeight="1">
      <c r="A195" s="134">
        <v>176</v>
      </c>
      <c r="B195" s="134">
        <v>14</v>
      </c>
      <c r="C195" s="132" t="s">
        <v>479</v>
      </c>
      <c r="D195" s="134" t="s">
        <v>62</v>
      </c>
      <c r="E195" s="134" t="s">
        <v>54</v>
      </c>
      <c r="F195" s="134" t="s">
        <v>1211</v>
      </c>
      <c r="G195" s="134" t="s">
        <v>556</v>
      </c>
      <c r="H195" s="134" t="s">
        <v>1251</v>
      </c>
    </row>
    <row r="196" spans="1:8" ht="12.95" customHeight="1">
      <c r="A196" s="134">
        <v>177</v>
      </c>
      <c r="B196" s="134">
        <v>15</v>
      </c>
      <c r="C196" s="132" t="s">
        <v>473</v>
      </c>
      <c r="D196" s="134" t="s">
        <v>474</v>
      </c>
      <c r="E196" s="134" t="s">
        <v>54</v>
      </c>
      <c r="F196" s="134" t="s">
        <v>1211</v>
      </c>
      <c r="G196" s="134" t="s">
        <v>556</v>
      </c>
      <c r="H196" s="134" t="s">
        <v>1251</v>
      </c>
    </row>
    <row r="197" spans="1:8" ht="12.95" customHeight="1">
      <c r="A197" s="134">
        <v>178</v>
      </c>
      <c r="B197" s="134">
        <v>16</v>
      </c>
      <c r="C197" s="542" t="s">
        <v>545</v>
      </c>
      <c r="D197" s="534" t="s">
        <v>62</v>
      </c>
      <c r="E197" s="534" t="s">
        <v>131</v>
      </c>
      <c r="F197" s="134" t="s">
        <v>1211</v>
      </c>
      <c r="G197" s="534" t="s">
        <v>978</v>
      </c>
      <c r="H197" s="534" t="s">
        <v>469</v>
      </c>
    </row>
    <row r="198" spans="1:8" ht="12.95" customHeight="1">
      <c r="A198" s="134">
        <v>179</v>
      </c>
      <c r="B198" s="134">
        <v>17</v>
      </c>
      <c r="C198" s="542" t="s">
        <v>562</v>
      </c>
      <c r="D198" s="534" t="s">
        <v>62</v>
      </c>
      <c r="E198" s="534" t="s">
        <v>131</v>
      </c>
      <c r="F198" s="134" t="s">
        <v>1211</v>
      </c>
      <c r="G198" s="534" t="s">
        <v>978</v>
      </c>
      <c r="H198" s="534" t="s">
        <v>469</v>
      </c>
    </row>
    <row r="199" spans="1:8" ht="12.95" customHeight="1">
      <c r="A199" s="134">
        <v>180</v>
      </c>
      <c r="B199" s="134">
        <v>18</v>
      </c>
      <c r="C199" s="542" t="s">
        <v>554</v>
      </c>
      <c r="D199" s="534" t="s">
        <v>1675</v>
      </c>
      <c r="E199" s="534" t="s">
        <v>131</v>
      </c>
      <c r="F199" s="134" t="s">
        <v>1211</v>
      </c>
      <c r="G199" s="534" t="s">
        <v>978</v>
      </c>
      <c r="H199" s="534" t="s">
        <v>1251</v>
      </c>
    </row>
    <row r="200" spans="1:8" ht="12.95" customHeight="1">
      <c r="A200" s="134"/>
      <c r="B200" s="527" t="s">
        <v>1252</v>
      </c>
      <c r="C200" s="134"/>
      <c r="D200" s="134"/>
      <c r="E200" s="134"/>
      <c r="F200" s="134"/>
      <c r="G200" s="134"/>
      <c r="H200" s="134"/>
    </row>
    <row r="201" spans="1:8" ht="12.95" customHeight="1">
      <c r="A201" s="134">
        <v>181</v>
      </c>
      <c r="B201" s="134">
        <v>1</v>
      </c>
      <c r="C201" s="132" t="s">
        <v>462</v>
      </c>
      <c r="D201" s="134" t="s">
        <v>62</v>
      </c>
      <c r="E201" s="134" t="s">
        <v>54</v>
      </c>
      <c r="F201" s="134" t="s">
        <v>1211</v>
      </c>
      <c r="G201" s="134" t="s">
        <v>563</v>
      </c>
      <c r="H201" s="134" t="s">
        <v>469</v>
      </c>
    </row>
    <row r="202" spans="1:8" ht="12.95" customHeight="1">
      <c r="A202" s="134">
        <v>182</v>
      </c>
      <c r="B202" s="134">
        <v>2</v>
      </c>
      <c r="C202" s="132" t="s">
        <v>454</v>
      </c>
      <c r="D202" s="134" t="s">
        <v>62</v>
      </c>
      <c r="E202" s="134" t="s">
        <v>54</v>
      </c>
      <c r="F202" s="134" t="s">
        <v>1211</v>
      </c>
      <c r="G202" s="134" t="s">
        <v>563</v>
      </c>
      <c r="H202" s="134" t="s">
        <v>469</v>
      </c>
    </row>
    <row r="203" spans="1:8" ht="12.95" customHeight="1">
      <c r="A203" s="134">
        <v>183</v>
      </c>
      <c r="B203" s="134">
        <v>3</v>
      </c>
      <c r="C203" s="132" t="s">
        <v>470</v>
      </c>
      <c r="D203" s="134" t="s">
        <v>62</v>
      </c>
      <c r="E203" s="134" t="s">
        <v>54</v>
      </c>
      <c r="F203" s="134" t="s">
        <v>1211</v>
      </c>
      <c r="G203" s="134" t="s">
        <v>563</v>
      </c>
      <c r="H203" s="134" t="s">
        <v>469</v>
      </c>
    </row>
    <row r="204" spans="1:8" ht="12.95" customHeight="1">
      <c r="A204" s="134">
        <v>184</v>
      </c>
      <c r="B204" s="134">
        <v>4</v>
      </c>
      <c r="C204" s="132" t="s">
        <v>1253</v>
      </c>
      <c r="D204" s="134" t="s">
        <v>62</v>
      </c>
      <c r="E204" s="134" t="s">
        <v>54</v>
      </c>
      <c r="F204" s="134" t="s">
        <v>1211</v>
      </c>
      <c r="G204" s="134" t="s">
        <v>563</v>
      </c>
      <c r="H204" s="134" t="s">
        <v>469</v>
      </c>
    </row>
    <row r="205" spans="1:8" ht="12.95" customHeight="1">
      <c r="A205" s="134">
        <v>185</v>
      </c>
      <c r="B205" s="134">
        <v>5</v>
      </c>
      <c r="C205" s="132" t="s">
        <v>484</v>
      </c>
      <c r="D205" s="134" t="s">
        <v>62</v>
      </c>
      <c r="E205" s="134" t="s">
        <v>54</v>
      </c>
      <c r="F205" s="134" t="s">
        <v>1211</v>
      </c>
      <c r="G205" s="134" t="s">
        <v>563</v>
      </c>
      <c r="H205" s="134" t="s">
        <v>1251</v>
      </c>
    </row>
    <row r="206" spans="1:8" ht="12.95" customHeight="1">
      <c r="A206" s="134">
        <v>186</v>
      </c>
      <c r="B206" s="134">
        <v>6</v>
      </c>
      <c r="C206" s="132" t="s">
        <v>465</v>
      </c>
      <c r="D206" s="134" t="s">
        <v>62</v>
      </c>
      <c r="E206" s="134" t="s">
        <v>54</v>
      </c>
      <c r="F206" s="134" t="s">
        <v>1211</v>
      </c>
      <c r="G206" s="134" t="s">
        <v>563</v>
      </c>
      <c r="H206" s="134" t="s">
        <v>1251</v>
      </c>
    </row>
    <row r="207" spans="1:8" ht="12.95" customHeight="1">
      <c r="A207" s="134">
        <v>187</v>
      </c>
      <c r="B207" s="134">
        <v>7</v>
      </c>
      <c r="C207" s="132" t="s">
        <v>458</v>
      </c>
      <c r="D207" s="134" t="s">
        <v>62</v>
      </c>
      <c r="E207" s="134" t="s">
        <v>54</v>
      </c>
      <c r="F207" s="134" t="s">
        <v>1211</v>
      </c>
      <c r="G207" s="134" t="s">
        <v>563</v>
      </c>
      <c r="H207" s="134" t="s">
        <v>1251</v>
      </c>
    </row>
    <row r="208" spans="1:8" ht="12.95" customHeight="1">
      <c r="A208" s="134">
        <v>188</v>
      </c>
      <c r="B208" s="134">
        <v>8</v>
      </c>
      <c r="C208" s="132" t="s">
        <v>557</v>
      </c>
      <c r="D208" s="134" t="s">
        <v>53</v>
      </c>
      <c r="E208" s="134" t="s">
        <v>131</v>
      </c>
      <c r="F208" s="134" t="s">
        <v>1211</v>
      </c>
      <c r="G208" s="134" t="s">
        <v>568</v>
      </c>
      <c r="H208" s="134" t="s">
        <v>1251</v>
      </c>
    </row>
    <row r="209" spans="1:8" ht="12.95" customHeight="1">
      <c r="A209" s="134">
        <v>189</v>
      </c>
      <c r="B209" s="134">
        <v>9</v>
      </c>
      <c r="C209" s="542" t="s">
        <v>542</v>
      </c>
      <c r="D209" s="534" t="s">
        <v>76</v>
      </c>
      <c r="E209" s="534" t="s">
        <v>543</v>
      </c>
      <c r="F209" s="534" t="s">
        <v>1218</v>
      </c>
      <c r="G209" s="534" t="s">
        <v>1666</v>
      </c>
      <c r="H209" s="534" t="s">
        <v>1251</v>
      </c>
    </row>
    <row r="210" spans="1:8" ht="12.95" customHeight="1">
      <c r="A210" s="134">
        <v>190</v>
      </c>
      <c r="B210" s="134">
        <v>10</v>
      </c>
      <c r="C210" s="132" t="s">
        <v>533</v>
      </c>
      <c r="D210" s="134" t="s">
        <v>512</v>
      </c>
      <c r="E210" s="134" t="s">
        <v>361</v>
      </c>
      <c r="F210" s="134" t="s">
        <v>1211</v>
      </c>
      <c r="G210" s="534" t="s">
        <v>1684</v>
      </c>
      <c r="H210" s="134" t="s">
        <v>469</v>
      </c>
    </row>
    <row r="211" spans="1:8" ht="12.95" customHeight="1">
      <c r="A211" s="134">
        <v>191</v>
      </c>
      <c r="B211" s="134">
        <v>11</v>
      </c>
      <c r="C211" s="132" t="s">
        <v>468</v>
      </c>
      <c r="D211" s="134" t="s">
        <v>227</v>
      </c>
      <c r="E211" s="134" t="s">
        <v>361</v>
      </c>
      <c r="F211" s="134" t="s">
        <v>1211</v>
      </c>
      <c r="G211" s="534" t="s">
        <v>1684</v>
      </c>
      <c r="H211" s="134" t="s">
        <v>469</v>
      </c>
    </row>
    <row r="212" spans="1:8" ht="12.95" customHeight="1">
      <c r="A212" s="134">
        <v>192</v>
      </c>
      <c r="B212" s="134">
        <v>12</v>
      </c>
      <c r="C212" s="132" t="s">
        <v>483</v>
      </c>
      <c r="D212" s="134" t="s">
        <v>227</v>
      </c>
      <c r="E212" s="134" t="s">
        <v>361</v>
      </c>
      <c r="F212" s="134" t="s">
        <v>1211</v>
      </c>
      <c r="G212" s="534" t="s">
        <v>1684</v>
      </c>
      <c r="H212" s="134" t="s">
        <v>469</v>
      </c>
    </row>
    <row r="213" spans="1:8" ht="12.95" customHeight="1">
      <c r="A213" s="134">
        <v>193</v>
      </c>
      <c r="B213" s="134">
        <v>13</v>
      </c>
      <c r="C213" s="132" t="s">
        <v>492</v>
      </c>
      <c r="D213" s="134" t="s">
        <v>186</v>
      </c>
      <c r="E213" s="134" t="s">
        <v>361</v>
      </c>
      <c r="F213" s="134" t="s">
        <v>1211</v>
      </c>
      <c r="G213" s="534" t="s">
        <v>1684</v>
      </c>
      <c r="H213" s="134" t="s">
        <v>469</v>
      </c>
    </row>
    <row r="214" spans="1:8" ht="12.95" customHeight="1">
      <c r="A214" s="134">
        <v>194</v>
      </c>
      <c r="B214" s="134">
        <v>14</v>
      </c>
      <c r="C214" s="132" t="s">
        <v>555</v>
      </c>
      <c r="D214" s="134" t="s">
        <v>167</v>
      </c>
      <c r="E214" s="134" t="s">
        <v>131</v>
      </c>
      <c r="F214" s="134" t="s">
        <v>1211</v>
      </c>
      <c r="G214" s="534" t="s">
        <v>1685</v>
      </c>
      <c r="H214" s="134" t="s">
        <v>469</v>
      </c>
    </row>
    <row r="215" spans="1:8" ht="12.95" customHeight="1">
      <c r="A215" s="134">
        <v>195</v>
      </c>
      <c r="B215" s="134">
        <v>15</v>
      </c>
      <c r="C215" s="132" t="s">
        <v>550</v>
      </c>
      <c r="D215" s="134" t="s">
        <v>249</v>
      </c>
      <c r="E215" s="134" t="s">
        <v>131</v>
      </c>
      <c r="F215" s="134" t="s">
        <v>1211</v>
      </c>
      <c r="G215" s="534" t="s">
        <v>1685</v>
      </c>
      <c r="H215" s="134" t="s">
        <v>955</v>
      </c>
    </row>
    <row r="216" spans="1:8" ht="12.95" customHeight="1">
      <c r="A216" s="134">
        <v>196</v>
      </c>
      <c r="B216" s="134">
        <v>16</v>
      </c>
      <c r="C216" s="132" t="s">
        <v>529</v>
      </c>
      <c r="D216" s="134" t="s">
        <v>62</v>
      </c>
      <c r="E216" s="134" t="s">
        <v>54</v>
      </c>
      <c r="F216" s="134" t="s">
        <v>1211</v>
      </c>
      <c r="G216" s="134" t="s">
        <v>1687</v>
      </c>
      <c r="H216" s="134" t="s">
        <v>237</v>
      </c>
    </row>
    <row r="217" spans="1:8" ht="12.95" customHeight="1">
      <c r="A217" s="134">
        <v>197</v>
      </c>
      <c r="B217" s="134">
        <v>17</v>
      </c>
      <c r="C217" s="132" t="s">
        <v>527</v>
      </c>
      <c r="D217" s="134" t="s">
        <v>305</v>
      </c>
      <c r="E217" s="134" t="s">
        <v>54</v>
      </c>
      <c r="F217" s="134" t="s">
        <v>1211</v>
      </c>
      <c r="G217" s="134" t="s">
        <v>1687</v>
      </c>
      <c r="H217" s="134" t="s">
        <v>237</v>
      </c>
    </row>
    <row r="218" spans="1:8" ht="12.95" customHeight="1">
      <c r="A218" s="134">
        <v>198</v>
      </c>
      <c r="B218" s="134">
        <v>18</v>
      </c>
      <c r="C218" s="132" t="s">
        <v>551</v>
      </c>
      <c r="D218" s="134" t="s">
        <v>76</v>
      </c>
      <c r="E218" s="134" t="s">
        <v>54</v>
      </c>
      <c r="F218" s="134" t="s">
        <v>1211</v>
      </c>
      <c r="G218" s="134" t="s">
        <v>1687</v>
      </c>
      <c r="H218" s="134" t="s">
        <v>237</v>
      </c>
    </row>
    <row r="219" spans="1:8" ht="12.95" customHeight="1">
      <c r="A219" s="134">
        <v>199</v>
      </c>
      <c r="B219" s="134">
        <v>19</v>
      </c>
      <c r="C219" s="132" t="s">
        <v>567</v>
      </c>
      <c r="D219" s="134" t="s">
        <v>186</v>
      </c>
      <c r="E219" s="134" t="s">
        <v>131</v>
      </c>
      <c r="F219" s="134" t="s">
        <v>1211</v>
      </c>
      <c r="G219" s="134" t="s">
        <v>1693</v>
      </c>
      <c r="H219" s="134" t="s">
        <v>461</v>
      </c>
    </row>
    <row r="220" spans="1:8" ht="12.95" customHeight="1">
      <c r="A220" s="134">
        <v>200</v>
      </c>
      <c r="B220" s="134">
        <v>20</v>
      </c>
      <c r="C220" s="132" t="s">
        <v>565</v>
      </c>
      <c r="D220" s="134" t="s">
        <v>566</v>
      </c>
      <c r="E220" s="134" t="s">
        <v>131</v>
      </c>
      <c r="F220" s="134" t="s">
        <v>1211</v>
      </c>
      <c r="G220" s="134" t="s">
        <v>1693</v>
      </c>
      <c r="H220" s="134" t="s">
        <v>461</v>
      </c>
    </row>
    <row r="221" spans="1:8" ht="12.95" customHeight="1">
      <c r="A221" s="134">
        <v>201</v>
      </c>
      <c r="B221" s="134">
        <v>21</v>
      </c>
      <c r="C221" s="132" t="s">
        <v>515</v>
      </c>
      <c r="D221" s="134" t="s">
        <v>516</v>
      </c>
      <c r="E221" s="134" t="s">
        <v>361</v>
      </c>
      <c r="F221" s="134" t="s">
        <v>1211</v>
      </c>
      <c r="G221" s="134" t="s">
        <v>1693</v>
      </c>
      <c r="H221" s="134" t="s">
        <v>461</v>
      </c>
    </row>
    <row r="222" spans="1:8" ht="12.95" customHeight="1">
      <c r="A222" s="134">
        <v>202</v>
      </c>
      <c r="B222" s="134">
        <v>22</v>
      </c>
      <c r="C222" s="132" t="s">
        <v>506</v>
      </c>
      <c r="D222" s="134" t="s">
        <v>186</v>
      </c>
      <c r="E222" s="134" t="s">
        <v>361</v>
      </c>
      <c r="F222" s="134" t="s">
        <v>1211</v>
      </c>
      <c r="G222" s="134" t="s">
        <v>1693</v>
      </c>
      <c r="H222" s="134" t="s">
        <v>461</v>
      </c>
    </row>
    <row r="223" spans="1:8" ht="12.95" customHeight="1">
      <c r="A223" s="134">
        <v>203</v>
      </c>
      <c r="B223" s="134">
        <v>23</v>
      </c>
      <c r="C223" s="132" t="s">
        <v>488</v>
      </c>
      <c r="D223" s="134" t="s">
        <v>167</v>
      </c>
      <c r="E223" s="134" t="s">
        <v>361</v>
      </c>
      <c r="F223" s="134" t="s">
        <v>1211</v>
      </c>
      <c r="G223" s="134" t="s">
        <v>1693</v>
      </c>
      <c r="H223" s="134" t="s">
        <v>461</v>
      </c>
    </row>
    <row r="224" spans="1:8" ht="12.95" customHeight="1">
      <c r="A224" s="134">
        <v>204</v>
      </c>
      <c r="B224" s="134">
        <v>24</v>
      </c>
      <c r="C224" s="132" t="s">
        <v>526</v>
      </c>
      <c r="D224" s="134" t="s">
        <v>227</v>
      </c>
      <c r="E224" s="134" t="s">
        <v>361</v>
      </c>
      <c r="F224" s="134" t="s">
        <v>1211</v>
      </c>
      <c r="G224" s="134" t="s">
        <v>1693</v>
      </c>
      <c r="H224" s="134" t="s">
        <v>461</v>
      </c>
    </row>
    <row r="225" spans="1:8" ht="12.95" customHeight="1">
      <c r="A225" s="134">
        <v>205</v>
      </c>
      <c r="B225" s="134">
        <v>25</v>
      </c>
      <c r="C225" s="132" t="s">
        <v>530</v>
      </c>
      <c r="D225" s="134" t="s">
        <v>167</v>
      </c>
      <c r="E225" s="134" t="s">
        <v>361</v>
      </c>
      <c r="F225" s="134" t="s">
        <v>1211</v>
      </c>
      <c r="G225" s="134" t="s">
        <v>1693</v>
      </c>
      <c r="H225" s="134" t="s">
        <v>461</v>
      </c>
    </row>
    <row r="226" spans="1:8" ht="12.95" customHeight="1">
      <c r="A226" s="134">
        <v>206</v>
      </c>
      <c r="B226" s="134">
        <v>26</v>
      </c>
      <c r="C226" s="132" t="s">
        <v>564</v>
      </c>
      <c r="D226" s="134" t="s">
        <v>186</v>
      </c>
      <c r="E226" s="134" t="s">
        <v>131</v>
      </c>
      <c r="F226" s="534" t="s">
        <v>1211</v>
      </c>
      <c r="G226" s="134" t="s">
        <v>1697</v>
      </c>
      <c r="H226" s="134" t="s">
        <v>469</v>
      </c>
    </row>
    <row r="227" spans="1:8" ht="12.95" customHeight="1">
      <c r="A227" s="134">
        <v>207</v>
      </c>
      <c r="B227" s="134">
        <v>27</v>
      </c>
      <c r="C227" s="132" t="s">
        <v>511</v>
      </c>
      <c r="D227" s="134" t="s">
        <v>512</v>
      </c>
      <c r="E227" s="134" t="s">
        <v>361</v>
      </c>
      <c r="F227" s="534" t="s">
        <v>1211</v>
      </c>
      <c r="G227" s="134" t="s">
        <v>1697</v>
      </c>
      <c r="H227" s="534" t="s">
        <v>1676</v>
      </c>
    </row>
    <row r="228" spans="1:8" ht="12.95" customHeight="1">
      <c r="A228" s="134">
        <v>208</v>
      </c>
      <c r="B228" s="134">
        <v>28</v>
      </c>
      <c r="C228" s="132" t="s">
        <v>514</v>
      </c>
      <c r="D228" s="134" t="s">
        <v>167</v>
      </c>
      <c r="E228" s="134" t="s">
        <v>361</v>
      </c>
      <c r="F228" s="534" t="s">
        <v>1211</v>
      </c>
      <c r="G228" s="134" t="s">
        <v>1701</v>
      </c>
      <c r="H228" s="534" t="s">
        <v>1676</v>
      </c>
    </row>
    <row r="229" spans="1:8" ht="12.95" customHeight="1">
      <c r="A229" s="134">
        <v>209</v>
      </c>
      <c r="B229" s="134">
        <v>29</v>
      </c>
      <c r="C229" s="132" t="s">
        <v>518</v>
      </c>
      <c r="D229" s="134" t="s">
        <v>519</v>
      </c>
      <c r="E229" s="134" t="s">
        <v>361</v>
      </c>
      <c r="F229" s="534" t="s">
        <v>1211</v>
      </c>
      <c r="G229" s="134" t="s">
        <v>1701</v>
      </c>
      <c r="H229" s="534" t="s">
        <v>1676</v>
      </c>
    </row>
    <row r="230" spans="1:8" ht="12.95" customHeight="1">
      <c r="A230" s="134">
        <v>210</v>
      </c>
      <c r="B230" s="134">
        <v>30</v>
      </c>
      <c r="C230" s="132" t="s">
        <v>536</v>
      </c>
      <c r="D230" s="134" t="s">
        <v>186</v>
      </c>
      <c r="E230" s="134" t="s">
        <v>361</v>
      </c>
      <c r="F230" s="534" t="s">
        <v>1211</v>
      </c>
      <c r="G230" s="134" t="s">
        <v>1701</v>
      </c>
      <c r="H230" s="534" t="s">
        <v>955</v>
      </c>
    </row>
    <row r="231" spans="1:8" ht="12.95" customHeight="1">
      <c r="A231" s="134">
        <v>211</v>
      </c>
      <c r="B231" s="134">
        <v>31</v>
      </c>
      <c r="C231" s="132" t="s">
        <v>559</v>
      </c>
      <c r="D231" s="461" t="s">
        <v>560</v>
      </c>
      <c r="E231" s="134" t="s">
        <v>131</v>
      </c>
      <c r="F231" s="534" t="s">
        <v>1211</v>
      </c>
      <c r="G231" s="134" t="s">
        <v>1703</v>
      </c>
      <c r="H231" s="534" t="s">
        <v>955</v>
      </c>
    </row>
    <row r="232" spans="1:8" ht="12.95" customHeight="1">
      <c r="A232" s="134">
        <v>212</v>
      </c>
      <c r="B232" s="134">
        <v>32</v>
      </c>
      <c r="C232" s="132" t="s">
        <v>534</v>
      </c>
      <c r="D232" s="134" t="s">
        <v>186</v>
      </c>
      <c r="E232" s="134" t="s">
        <v>361</v>
      </c>
      <c r="F232" s="534" t="s">
        <v>1211</v>
      </c>
      <c r="G232" s="134" t="s">
        <v>1703</v>
      </c>
      <c r="H232" s="134" t="s">
        <v>469</v>
      </c>
    </row>
    <row r="233" spans="1:8" ht="12.95"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5" hidden="1" customHeight="1">
      <c r="A240" s="160">
        <v>219</v>
      </c>
      <c r="B240" s="160">
        <v>5</v>
      </c>
      <c r="C240" s="615" t="s">
        <v>1024</v>
      </c>
      <c r="D240" s="134" t="s">
        <v>143</v>
      </c>
      <c r="E240" s="134" t="s">
        <v>131</v>
      </c>
      <c r="F240" s="534" t="s">
        <v>1211</v>
      </c>
      <c r="G240" s="134" t="s">
        <v>1722</v>
      </c>
      <c r="H240" s="160" t="s">
        <v>1669</v>
      </c>
    </row>
    <row r="241" spans="1:8" ht="12.95"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85546875" defaultRowHeight="12.95" customHeight="1"/>
  <cols>
    <col min="1" max="1" width="7.85546875" style="160" customWidth="1"/>
    <col min="2" max="2" width="7.140625" style="160" customWidth="1"/>
    <col min="3" max="3" width="16" style="160" customWidth="1"/>
    <col min="4" max="4" width="12.5703125" style="160" customWidth="1"/>
    <col min="5" max="5" width="15.140625" style="160" customWidth="1"/>
    <col min="6" max="6" width="21" style="160" customWidth="1"/>
    <col min="7" max="7" width="22.140625" style="162" customWidth="1"/>
    <col min="8" max="8" width="15.42578125" style="162" customWidth="1"/>
    <col min="9" max="9" width="18.85546875" style="160" hidden="1" customWidth="1"/>
    <col min="10" max="16384" width="7.85546875" style="160"/>
  </cols>
  <sheetData>
    <row r="1" spans="1:9" ht="12.95" customHeight="1">
      <c r="A1" s="163"/>
      <c r="B1" s="163" t="s">
        <v>37</v>
      </c>
      <c r="C1" s="165"/>
      <c r="D1" s="165"/>
      <c r="E1" s="165"/>
      <c r="F1" s="165"/>
    </row>
    <row r="2" spans="1:9" ht="12.95" customHeight="1">
      <c r="A2" s="168"/>
      <c r="B2" s="168" t="s">
        <v>39</v>
      </c>
      <c r="C2" s="170"/>
      <c r="D2" s="170"/>
      <c r="E2" s="170"/>
      <c r="F2" s="170"/>
    </row>
    <row r="3" spans="1:9" ht="12.95" customHeight="1">
      <c r="A3" s="168"/>
      <c r="B3" s="168" t="s">
        <v>609</v>
      </c>
      <c r="C3" s="173"/>
      <c r="D3" s="173"/>
      <c r="E3" s="173"/>
      <c r="F3" s="173"/>
    </row>
    <row r="4" spans="1:9" s="159" customFormat="1" ht="12.95" customHeight="1">
      <c r="A4" s="1515" t="s">
        <v>1209</v>
      </c>
      <c r="B4" s="1515" t="s">
        <v>40</v>
      </c>
      <c r="C4" s="1517" t="s">
        <v>43</v>
      </c>
      <c r="D4" s="1517" t="s">
        <v>44</v>
      </c>
      <c r="E4" s="1517" t="s">
        <v>45</v>
      </c>
      <c r="F4" s="1517" t="s">
        <v>1210</v>
      </c>
      <c r="G4" s="1737" t="s">
        <v>609</v>
      </c>
      <c r="H4" s="1518" t="s">
        <v>49</v>
      </c>
      <c r="I4" s="1741" t="s">
        <v>1215</v>
      </c>
    </row>
    <row r="5" spans="1:9" s="159" customFormat="1" ht="20.25" customHeight="1">
      <c r="A5" s="1515"/>
      <c r="B5" s="1515"/>
      <c r="C5" s="1517"/>
      <c r="D5" s="1517"/>
      <c r="E5" s="1517"/>
      <c r="F5" s="1517"/>
      <c r="G5" s="1737"/>
      <c r="H5" s="1518"/>
      <c r="I5" s="1741"/>
    </row>
    <row r="6" spans="1:9" s="159" customFormat="1" ht="15.75" customHeight="1">
      <c r="A6" s="128"/>
      <c r="B6" s="184">
        <v>45139</v>
      </c>
      <c r="D6" s="129"/>
      <c r="E6" s="129"/>
      <c r="F6" s="129"/>
      <c r="G6" s="134"/>
      <c r="H6" s="131"/>
      <c r="I6" s="226"/>
    </row>
    <row r="7" spans="1:9" s="159" customFormat="1" ht="12.95" customHeight="1">
      <c r="A7" s="128">
        <v>1</v>
      </c>
      <c r="B7" s="128">
        <v>1</v>
      </c>
      <c r="C7" s="530" t="s">
        <v>676</v>
      </c>
      <c r="D7" s="129" t="s">
        <v>76</v>
      </c>
      <c r="E7" s="129" t="s">
        <v>54</v>
      </c>
      <c r="F7" s="129" t="s">
        <v>1211</v>
      </c>
      <c r="G7" s="134" t="s">
        <v>685</v>
      </c>
      <c r="H7" s="131" t="s">
        <v>673</v>
      </c>
      <c r="I7" s="159" t="s">
        <v>1216</v>
      </c>
    </row>
    <row r="8" spans="1:9" ht="12.95" customHeight="1">
      <c r="A8" s="128">
        <f>A7+1</f>
        <v>2</v>
      </c>
      <c r="B8" s="128">
        <v>2</v>
      </c>
      <c r="C8" s="530" t="s">
        <v>688</v>
      </c>
      <c r="D8" s="129" t="s">
        <v>62</v>
      </c>
      <c r="E8" s="129" t="s">
        <v>54</v>
      </c>
      <c r="F8" s="129" t="s">
        <v>1211</v>
      </c>
      <c r="G8" s="133" t="s">
        <v>692</v>
      </c>
      <c r="H8" s="131" t="s">
        <v>673</v>
      </c>
      <c r="I8" s="159" t="s">
        <v>1216</v>
      </c>
    </row>
    <row r="9" spans="1:9" s="159" customFormat="1" ht="12.95" customHeight="1">
      <c r="A9" s="128">
        <f t="shared" ref="A9:A28" si="0">A8+1</f>
        <v>3</v>
      </c>
      <c r="B9" s="128">
        <v>3</v>
      </c>
      <c r="C9" s="530" t="s">
        <v>677</v>
      </c>
      <c r="D9" s="129" t="s">
        <v>62</v>
      </c>
      <c r="E9" s="129" t="s">
        <v>54</v>
      </c>
      <c r="F9" s="129" t="s">
        <v>1211</v>
      </c>
      <c r="G9" s="133" t="s">
        <v>1217</v>
      </c>
      <c r="H9" s="131" t="s">
        <v>673</v>
      </c>
      <c r="I9" s="159" t="s">
        <v>1216</v>
      </c>
    </row>
    <row r="10" spans="1:9" s="159" customFormat="1" ht="12.95" customHeight="1">
      <c r="A10" s="128">
        <f t="shared" si="0"/>
        <v>4</v>
      </c>
      <c r="B10" s="128">
        <v>4</v>
      </c>
      <c r="C10" s="530" t="s">
        <v>682</v>
      </c>
      <c r="D10" s="129" t="s">
        <v>62</v>
      </c>
      <c r="E10" s="129" t="s">
        <v>54</v>
      </c>
      <c r="F10" s="129" t="s">
        <v>1211</v>
      </c>
      <c r="G10" s="133" t="s">
        <v>1217</v>
      </c>
      <c r="H10" s="131" t="s">
        <v>673</v>
      </c>
      <c r="I10" s="159" t="s">
        <v>1216</v>
      </c>
    </row>
    <row r="11" spans="1:9" ht="12.95" customHeight="1">
      <c r="A11" s="128">
        <f t="shared" si="0"/>
        <v>5</v>
      </c>
      <c r="B11" s="128">
        <v>5</v>
      </c>
      <c r="C11" s="530" t="s">
        <v>683</v>
      </c>
      <c r="D11" s="129" t="s">
        <v>76</v>
      </c>
      <c r="E11" s="129" t="s">
        <v>54</v>
      </c>
      <c r="F11" s="129" t="s">
        <v>1211</v>
      </c>
      <c r="G11" s="133" t="s">
        <v>1217</v>
      </c>
      <c r="H11" s="131" t="s">
        <v>58</v>
      </c>
      <c r="I11" s="159" t="s">
        <v>1216</v>
      </c>
    </row>
    <row r="12" spans="1:9" ht="12.95" customHeight="1">
      <c r="A12" s="128">
        <f t="shared" si="0"/>
        <v>6</v>
      </c>
      <c r="B12" s="128">
        <v>6</v>
      </c>
      <c r="C12" s="530" t="s">
        <v>687</v>
      </c>
      <c r="D12" s="129" t="s">
        <v>76</v>
      </c>
      <c r="E12" s="129" t="s">
        <v>54</v>
      </c>
      <c r="F12" s="129" t="s">
        <v>1211</v>
      </c>
      <c r="G12" s="133" t="s">
        <v>1217</v>
      </c>
      <c r="H12" s="131" t="s">
        <v>58</v>
      </c>
      <c r="I12" s="159" t="s">
        <v>1216</v>
      </c>
    </row>
    <row r="13" spans="1:9" ht="12.95" customHeight="1">
      <c r="A13" s="128">
        <f t="shared" si="0"/>
        <v>7</v>
      </c>
      <c r="B13" s="128">
        <v>7</v>
      </c>
      <c r="C13" s="530" t="s">
        <v>689</v>
      </c>
      <c r="D13" s="129" t="s">
        <v>76</v>
      </c>
      <c r="E13" s="129" t="s">
        <v>54</v>
      </c>
      <c r="F13" s="129" t="s">
        <v>1211</v>
      </c>
      <c r="G13" s="133" t="s">
        <v>1217</v>
      </c>
      <c r="H13" s="131" t="s">
        <v>58</v>
      </c>
      <c r="I13" s="159" t="s">
        <v>1216</v>
      </c>
    </row>
    <row r="14" spans="1:9" ht="12.95" customHeight="1">
      <c r="A14" s="128">
        <f t="shared" si="0"/>
        <v>8</v>
      </c>
      <c r="B14" s="128">
        <v>8</v>
      </c>
      <c r="C14" s="530" t="s">
        <v>693</v>
      </c>
      <c r="D14" s="129" t="s">
        <v>62</v>
      </c>
      <c r="E14" s="129" t="s">
        <v>54</v>
      </c>
      <c r="F14" s="129" t="s">
        <v>1211</v>
      </c>
      <c r="G14" s="133" t="s">
        <v>1217</v>
      </c>
      <c r="H14" s="131" t="s">
        <v>58</v>
      </c>
      <c r="I14" s="159" t="s">
        <v>1216</v>
      </c>
    </row>
    <row r="15" spans="1:9" ht="12.95" customHeight="1">
      <c r="A15" s="128">
        <f t="shared" si="0"/>
        <v>9</v>
      </c>
      <c r="B15" s="128">
        <v>9</v>
      </c>
      <c r="C15" s="530" t="s">
        <v>694</v>
      </c>
      <c r="D15" s="129" t="s">
        <v>62</v>
      </c>
      <c r="E15" s="129" t="s">
        <v>54</v>
      </c>
      <c r="F15" s="129" t="s">
        <v>1211</v>
      </c>
      <c r="G15" s="133" t="s">
        <v>1217</v>
      </c>
      <c r="H15" s="131" t="s">
        <v>673</v>
      </c>
      <c r="I15" s="159" t="s">
        <v>1216</v>
      </c>
    </row>
    <row r="16" spans="1:9" ht="12.95" customHeight="1">
      <c r="A16" s="128">
        <f t="shared" si="0"/>
        <v>10</v>
      </c>
      <c r="B16" s="128">
        <v>10</v>
      </c>
      <c r="C16" s="530" t="s">
        <v>695</v>
      </c>
      <c r="D16" s="129" t="s">
        <v>62</v>
      </c>
      <c r="E16" s="129" t="s">
        <v>54</v>
      </c>
      <c r="F16" s="129" t="s">
        <v>1211</v>
      </c>
      <c r="G16" s="133" t="s">
        <v>697</v>
      </c>
      <c r="H16" s="131" t="s">
        <v>58</v>
      </c>
      <c r="I16" s="159" t="s">
        <v>1216</v>
      </c>
    </row>
    <row r="17" spans="1:9" ht="12.95" customHeight="1">
      <c r="A17" s="128">
        <f t="shared" si="0"/>
        <v>11</v>
      </c>
      <c r="B17" s="128">
        <v>11</v>
      </c>
      <c r="C17" s="530" t="s">
        <v>483</v>
      </c>
      <c r="D17" s="129" t="s">
        <v>62</v>
      </c>
      <c r="E17" s="129" t="s">
        <v>92</v>
      </c>
      <c r="F17" s="129" t="s">
        <v>1218</v>
      </c>
      <c r="G17" s="133" t="s">
        <v>697</v>
      </c>
      <c r="H17" s="131" t="s">
        <v>686</v>
      </c>
      <c r="I17" s="159" t="s">
        <v>1216</v>
      </c>
    </row>
    <row r="18" spans="1:9" s="159" customFormat="1" ht="12.95" customHeight="1">
      <c r="A18" s="128">
        <f t="shared" si="0"/>
        <v>12</v>
      </c>
      <c r="B18" s="128">
        <v>12</v>
      </c>
      <c r="C18" s="530" t="s">
        <v>681</v>
      </c>
      <c r="D18" s="129" t="s">
        <v>76</v>
      </c>
      <c r="E18" s="129" t="s">
        <v>54</v>
      </c>
      <c r="F18" s="129" t="s">
        <v>1211</v>
      </c>
      <c r="G18" s="134" t="s">
        <v>697</v>
      </c>
      <c r="H18" s="131" t="s">
        <v>58</v>
      </c>
      <c r="I18" s="159" t="s">
        <v>1216</v>
      </c>
    </row>
    <row r="19" spans="1:9" ht="12.95" customHeight="1">
      <c r="A19" s="128">
        <f t="shared" si="0"/>
        <v>13</v>
      </c>
      <c r="B19" s="128">
        <v>13</v>
      </c>
      <c r="C19" s="530" t="s">
        <v>691</v>
      </c>
      <c r="D19" s="129" t="s">
        <v>62</v>
      </c>
      <c r="E19" s="129" t="s">
        <v>54</v>
      </c>
      <c r="F19" s="129" t="s">
        <v>1211</v>
      </c>
      <c r="G19" s="134" t="s">
        <v>698</v>
      </c>
      <c r="H19" s="131" t="s">
        <v>673</v>
      </c>
      <c r="I19" s="159" t="s">
        <v>1216</v>
      </c>
    </row>
    <row r="20" spans="1:9" s="159" customFormat="1" ht="12.95" customHeight="1">
      <c r="A20" s="128">
        <f t="shared" si="0"/>
        <v>14</v>
      </c>
      <c r="B20" s="128">
        <v>14</v>
      </c>
      <c r="C20" s="530" t="s">
        <v>680</v>
      </c>
      <c r="D20" s="129" t="s">
        <v>62</v>
      </c>
      <c r="E20" s="129" t="s">
        <v>54</v>
      </c>
      <c r="F20" s="129" t="s">
        <v>1211</v>
      </c>
      <c r="G20" s="134" t="s">
        <v>698</v>
      </c>
      <c r="H20" s="131" t="s">
        <v>673</v>
      </c>
      <c r="I20" s="159" t="s">
        <v>1216</v>
      </c>
    </row>
    <row r="21" spans="1:9" s="159" customFormat="1" ht="12.95" customHeight="1">
      <c r="A21" s="128">
        <f t="shared" si="0"/>
        <v>15</v>
      </c>
      <c r="B21" s="128">
        <v>15</v>
      </c>
      <c r="C21" s="530" t="s">
        <v>675</v>
      </c>
      <c r="D21" s="129" t="s">
        <v>76</v>
      </c>
      <c r="E21" s="129" t="s">
        <v>54</v>
      </c>
      <c r="F21" s="129" t="s">
        <v>1211</v>
      </c>
      <c r="G21" s="134" t="s">
        <v>698</v>
      </c>
      <c r="H21" s="131" t="s">
        <v>673</v>
      </c>
      <c r="I21" s="159" t="s">
        <v>1216</v>
      </c>
    </row>
    <row r="22" spans="1:9" ht="12.95" customHeight="1">
      <c r="A22" s="128">
        <f t="shared" si="0"/>
        <v>16</v>
      </c>
      <c r="B22" s="128">
        <v>16</v>
      </c>
      <c r="C22" s="530" t="s">
        <v>696</v>
      </c>
      <c r="D22" s="129" t="s">
        <v>76</v>
      </c>
      <c r="E22" s="129" t="s">
        <v>54</v>
      </c>
      <c r="F22" s="129" t="s">
        <v>1211</v>
      </c>
      <c r="G22" s="134" t="s">
        <v>706</v>
      </c>
      <c r="H22" s="131" t="s">
        <v>673</v>
      </c>
      <c r="I22" s="159" t="s">
        <v>1216</v>
      </c>
    </row>
    <row r="23" spans="1:9" ht="12.95" customHeight="1">
      <c r="A23" s="128">
        <f t="shared" si="0"/>
        <v>17</v>
      </c>
      <c r="B23" s="128">
        <v>17</v>
      </c>
      <c r="C23" s="530" t="s">
        <v>468</v>
      </c>
      <c r="D23" s="129" t="s">
        <v>76</v>
      </c>
      <c r="E23" s="129" t="s">
        <v>92</v>
      </c>
      <c r="F23" s="129" t="s">
        <v>1218</v>
      </c>
      <c r="G23" s="134" t="s">
        <v>705</v>
      </c>
      <c r="H23" s="131" t="s">
        <v>686</v>
      </c>
      <c r="I23" s="159" t="s">
        <v>1216</v>
      </c>
    </row>
    <row r="24" spans="1:9" s="159" customFormat="1" ht="12.95" customHeight="1">
      <c r="A24" s="128">
        <f t="shared" si="0"/>
        <v>18</v>
      </c>
      <c r="B24" s="128">
        <v>18</v>
      </c>
      <c r="C24" s="529" t="s">
        <v>672</v>
      </c>
      <c r="D24" s="129" t="s">
        <v>76</v>
      </c>
      <c r="E24" s="129" t="s">
        <v>54</v>
      </c>
      <c r="F24" s="129" t="s">
        <v>1211</v>
      </c>
      <c r="G24" s="134" t="s">
        <v>705</v>
      </c>
      <c r="H24" s="131" t="s">
        <v>673</v>
      </c>
      <c r="I24" s="159" t="s">
        <v>1216</v>
      </c>
    </row>
    <row r="25" spans="1:9" s="159" customFormat="1" ht="12.95" customHeight="1">
      <c r="A25" s="128">
        <f t="shared" si="0"/>
        <v>19</v>
      </c>
      <c r="B25" s="128">
        <v>19</v>
      </c>
      <c r="C25" s="530" t="s">
        <v>699</v>
      </c>
      <c r="D25" s="129" t="s">
        <v>62</v>
      </c>
      <c r="E25" s="129" t="s">
        <v>92</v>
      </c>
      <c r="F25" s="129" t="s">
        <v>1218</v>
      </c>
      <c r="G25" s="134" t="s">
        <v>705</v>
      </c>
      <c r="H25" s="131" t="s">
        <v>690</v>
      </c>
      <c r="I25" s="159" t="s">
        <v>1216</v>
      </c>
    </row>
    <row r="26" spans="1:9" ht="12.95" customHeight="1">
      <c r="A26" s="128">
        <f t="shared" si="0"/>
        <v>20</v>
      </c>
      <c r="B26" s="128">
        <v>20</v>
      </c>
      <c r="C26" s="530" t="s">
        <v>701</v>
      </c>
      <c r="D26" s="129" t="s">
        <v>76</v>
      </c>
      <c r="E26" s="129" t="s">
        <v>54</v>
      </c>
      <c r="F26" s="129" t="s">
        <v>1211</v>
      </c>
      <c r="G26" s="134" t="s">
        <v>705</v>
      </c>
      <c r="H26" s="131" t="s">
        <v>673</v>
      </c>
      <c r="I26" s="159" t="s">
        <v>1216</v>
      </c>
    </row>
    <row r="27" spans="1:9" ht="12.95" customHeight="1">
      <c r="A27" s="128">
        <f t="shared" si="0"/>
        <v>21</v>
      </c>
      <c r="B27" s="128">
        <v>21</v>
      </c>
      <c r="C27" s="134" t="s">
        <v>704</v>
      </c>
      <c r="D27" s="129" t="s">
        <v>76</v>
      </c>
      <c r="E27" s="129" t="s">
        <v>92</v>
      </c>
      <c r="F27" s="129" t="s">
        <v>1218</v>
      </c>
      <c r="G27" s="134" t="s">
        <v>705</v>
      </c>
      <c r="H27" s="131" t="s">
        <v>690</v>
      </c>
      <c r="I27" s="159" t="s">
        <v>1216</v>
      </c>
    </row>
    <row r="28" spans="1:9" ht="12.95" customHeight="1">
      <c r="A28" s="128">
        <f t="shared" si="0"/>
        <v>22</v>
      </c>
      <c r="B28" s="128">
        <v>22</v>
      </c>
      <c r="C28" s="134" t="s">
        <v>492</v>
      </c>
      <c r="D28" s="129" t="s">
        <v>76</v>
      </c>
      <c r="E28" s="129" t="s">
        <v>92</v>
      </c>
      <c r="F28" s="129" t="s">
        <v>1218</v>
      </c>
      <c r="G28" s="134" t="s">
        <v>705</v>
      </c>
      <c r="H28" s="131" t="s">
        <v>686</v>
      </c>
      <c r="I28" s="159" t="s">
        <v>1216</v>
      </c>
    </row>
    <row r="29" spans="1:9" ht="12.95" customHeight="1">
      <c r="A29" s="176"/>
      <c r="B29" s="184">
        <v>45170</v>
      </c>
      <c r="D29" s="129"/>
      <c r="E29" s="129"/>
      <c r="F29" s="129"/>
      <c r="G29" s="134"/>
      <c r="H29" s="131"/>
      <c r="I29" s="159"/>
    </row>
    <row r="30" spans="1:9" ht="12.95" customHeight="1">
      <c r="A30" s="128">
        <f>A28+1</f>
        <v>23</v>
      </c>
      <c r="B30" s="128">
        <v>1</v>
      </c>
      <c r="C30" s="134" t="s">
        <v>170</v>
      </c>
      <c r="D30" s="530" t="s">
        <v>76</v>
      </c>
      <c r="E30" s="129" t="s">
        <v>54</v>
      </c>
      <c r="F30" s="129" t="s">
        <v>1211</v>
      </c>
      <c r="G30" s="134" t="s">
        <v>1219</v>
      </c>
      <c r="H30" s="131" t="s">
        <v>673</v>
      </c>
      <c r="I30" s="159" t="s">
        <v>1216</v>
      </c>
    </row>
    <row r="31" spans="1:9" ht="12.95" customHeight="1">
      <c r="A31" s="128">
        <f>A30+1</f>
        <v>24</v>
      </c>
      <c r="B31" s="128">
        <v>2</v>
      </c>
      <c r="C31" s="134" t="s">
        <v>98</v>
      </c>
      <c r="D31" s="129" t="s">
        <v>76</v>
      </c>
      <c r="E31" s="129" t="s">
        <v>54</v>
      </c>
      <c r="F31" s="129" t="s">
        <v>1211</v>
      </c>
      <c r="G31" s="134" t="s">
        <v>707</v>
      </c>
      <c r="H31" s="131" t="s">
        <v>673</v>
      </c>
      <c r="I31" s="159" t="s">
        <v>1216</v>
      </c>
    </row>
    <row r="32" spans="1:9" ht="12.95"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5" customHeight="1">
      <c r="A33" s="128">
        <f t="shared" si="1"/>
        <v>26</v>
      </c>
      <c r="B33" s="128">
        <v>4</v>
      </c>
      <c r="C33" s="134" t="s">
        <v>711</v>
      </c>
      <c r="D33" s="530" t="s">
        <v>76</v>
      </c>
      <c r="E33" s="129" t="s">
        <v>54</v>
      </c>
      <c r="F33" s="129" t="s">
        <v>1211</v>
      </c>
      <c r="G33" s="134" t="s">
        <v>713</v>
      </c>
      <c r="H33" s="131" t="s">
        <v>673</v>
      </c>
      <c r="I33" s="159" t="s">
        <v>1216</v>
      </c>
    </row>
    <row r="34" spans="1:9" s="159" customFormat="1" ht="12.95" customHeight="1">
      <c r="A34" s="128">
        <f t="shared" si="1"/>
        <v>27</v>
      </c>
      <c r="B34" s="128">
        <v>5</v>
      </c>
      <c r="C34" s="157" t="s">
        <v>401</v>
      </c>
      <c r="D34" s="158" t="s">
        <v>76</v>
      </c>
      <c r="E34" s="134" t="s">
        <v>54</v>
      </c>
      <c r="F34" s="129" t="s">
        <v>1211</v>
      </c>
      <c r="G34" s="134" t="s">
        <v>713</v>
      </c>
      <c r="H34" s="131" t="s">
        <v>58</v>
      </c>
      <c r="I34" s="159" t="s">
        <v>1216</v>
      </c>
    </row>
    <row r="35" spans="1:9" s="159" customFormat="1" ht="12.95" customHeight="1">
      <c r="A35" s="128">
        <f t="shared" si="1"/>
        <v>28</v>
      </c>
      <c r="B35" s="128">
        <v>6</v>
      </c>
      <c r="C35" s="530" t="s">
        <v>109</v>
      </c>
      <c r="D35" s="158" t="s">
        <v>76</v>
      </c>
      <c r="E35" s="129" t="s">
        <v>54</v>
      </c>
      <c r="F35" s="129" t="s">
        <v>1211</v>
      </c>
      <c r="G35" s="134" t="s">
        <v>713</v>
      </c>
      <c r="H35" s="131" t="s">
        <v>58</v>
      </c>
      <c r="I35" s="159" t="s">
        <v>1216</v>
      </c>
    </row>
    <row r="36" spans="1:9" s="159" customFormat="1" ht="12.95" customHeight="1">
      <c r="A36" s="128">
        <f t="shared" si="1"/>
        <v>29</v>
      </c>
      <c r="B36" s="128">
        <v>7</v>
      </c>
      <c r="C36" s="530" t="s">
        <v>357</v>
      </c>
      <c r="D36" s="129" t="s">
        <v>76</v>
      </c>
      <c r="E36" s="129" t="s">
        <v>54</v>
      </c>
      <c r="F36" s="129" t="s">
        <v>1211</v>
      </c>
      <c r="G36" s="134" t="s">
        <v>713</v>
      </c>
      <c r="H36" s="131" t="s">
        <v>58</v>
      </c>
      <c r="I36" s="159" t="s">
        <v>1216</v>
      </c>
    </row>
    <row r="37" spans="1:9" s="159" customFormat="1" ht="12.95" customHeight="1">
      <c r="A37" s="128">
        <f t="shared" si="1"/>
        <v>30</v>
      </c>
      <c r="B37" s="128">
        <v>8</v>
      </c>
      <c r="C37" s="530" t="s">
        <v>91</v>
      </c>
      <c r="D37" s="129" t="s">
        <v>76</v>
      </c>
      <c r="E37" s="129" t="s">
        <v>54</v>
      </c>
      <c r="F37" s="129" t="s">
        <v>1211</v>
      </c>
      <c r="G37" s="134" t="s">
        <v>713</v>
      </c>
      <c r="H37" s="131" t="s">
        <v>58</v>
      </c>
      <c r="I37" s="159" t="s">
        <v>1216</v>
      </c>
    </row>
    <row r="38" spans="1:9" ht="12.95" customHeight="1">
      <c r="A38" s="128">
        <f t="shared" si="1"/>
        <v>31</v>
      </c>
      <c r="B38" s="128">
        <v>9</v>
      </c>
      <c r="C38" s="530" t="s">
        <v>526</v>
      </c>
      <c r="D38" s="129" t="s">
        <v>62</v>
      </c>
      <c r="E38" s="129" t="s">
        <v>54</v>
      </c>
      <c r="F38" s="129" t="s">
        <v>1211</v>
      </c>
      <c r="G38" s="134" t="s">
        <v>715</v>
      </c>
      <c r="H38" s="131" t="s">
        <v>679</v>
      </c>
      <c r="I38" s="159" t="s">
        <v>1216</v>
      </c>
    </row>
    <row r="39" spans="1:9" ht="12.95" customHeight="1">
      <c r="A39" s="128">
        <f t="shared" si="1"/>
        <v>32</v>
      </c>
      <c r="B39" s="128">
        <v>10</v>
      </c>
      <c r="C39" s="134" t="s">
        <v>530</v>
      </c>
      <c r="D39" s="129" t="s">
        <v>62</v>
      </c>
      <c r="E39" s="129" t="s">
        <v>54</v>
      </c>
      <c r="F39" s="129" t="s">
        <v>1211</v>
      </c>
      <c r="G39" s="134" t="s">
        <v>715</v>
      </c>
      <c r="H39" s="131" t="s">
        <v>679</v>
      </c>
      <c r="I39" s="159" t="s">
        <v>1216</v>
      </c>
    </row>
    <row r="40" spans="1:9" ht="12.95" customHeight="1">
      <c r="A40" s="128">
        <f t="shared" si="1"/>
        <v>33</v>
      </c>
      <c r="B40" s="128">
        <v>11</v>
      </c>
      <c r="C40" s="134" t="s">
        <v>336</v>
      </c>
      <c r="D40" s="134" t="s">
        <v>76</v>
      </c>
      <c r="E40" s="129" t="s">
        <v>92</v>
      </c>
      <c r="F40" s="129" t="s">
        <v>1218</v>
      </c>
      <c r="G40" s="134" t="s">
        <v>723</v>
      </c>
      <c r="H40" s="131" t="s">
        <v>690</v>
      </c>
      <c r="I40" s="160" t="s">
        <v>1220</v>
      </c>
    </row>
    <row r="41" spans="1:9" ht="12.95" customHeight="1">
      <c r="A41" s="128">
        <f t="shared" si="1"/>
        <v>34</v>
      </c>
      <c r="B41" s="128">
        <v>12</v>
      </c>
      <c r="C41" s="134" t="s">
        <v>322</v>
      </c>
      <c r="D41" s="129" t="s">
        <v>76</v>
      </c>
      <c r="E41" s="129" t="s">
        <v>92</v>
      </c>
      <c r="F41" s="129" t="s">
        <v>1218</v>
      </c>
      <c r="G41" s="134" t="s">
        <v>723</v>
      </c>
      <c r="H41" s="131" t="s">
        <v>690</v>
      </c>
      <c r="I41" s="160" t="s">
        <v>1220</v>
      </c>
    </row>
    <row r="42" spans="1:9" ht="12.95" customHeight="1">
      <c r="A42" s="128">
        <f t="shared" si="1"/>
        <v>35</v>
      </c>
      <c r="B42" s="128">
        <v>13</v>
      </c>
      <c r="C42" s="134" t="s">
        <v>714</v>
      </c>
      <c r="D42" s="134" t="s">
        <v>62</v>
      </c>
      <c r="E42" s="129" t="s">
        <v>92</v>
      </c>
      <c r="F42" s="129" t="s">
        <v>1218</v>
      </c>
      <c r="G42" s="134" t="s">
        <v>730</v>
      </c>
      <c r="H42" s="131" t="s">
        <v>700</v>
      </c>
      <c r="I42" s="160" t="s">
        <v>1220</v>
      </c>
    </row>
    <row r="43" spans="1:9" ht="12.95" customHeight="1">
      <c r="A43" s="128">
        <f t="shared" si="1"/>
        <v>36</v>
      </c>
      <c r="B43" s="128">
        <v>14</v>
      </c>
      <c r="C43" s="134" t="s">
        <v>542</v>
      </c>
      <c r="D43" s="530" t="s">
        <v>62</v>
      </c>
      <c r="E43" s="129" t="s">
        <v>92</v>
      </c>
      <c r="F43" s="129" t="s">
        <v>1218</v>
      </c>
      <c r="G43" s="134" t="s">
        <v>725</v>
      </c>
      <c r="H43" s="131" t="s">
        <v>703</v>
      </c>
      <c r="I43" s="160" t="s">
        <v>1221</v>
      </c>
    </row>
    <row r="44" spans="1:9" ht="12.95" customHeight="1">
      <c r="A44" s="128">
        <f t="shared" si="1"/>
        <v>37</v>
      </c>
      <c r="B44" s="128">
        <v>15</v>
      </c>
      <c r="C44" s="134" t="s">
        <v>294</v>
      </c>
      <c r="D44" s="129" t="s">
        <v>76</v>
      </c>
      <c r="E44" s="129" t="s">
        <v>54</v>
      </c>
      <c r="F44" s="129" t="s">
        <v>1211</v>
      </c>
      <c r="G44" s="134" t="s">
        <v>727</v>
      </c>
      <c r="H44" s="131" t="s">
        <v>709</v>
      </c>
      <c r="I44" s="160" t="s">
        <v>1220</v>
      </c>
    </row>
    <row r="45" spans="1:9" ht="12.95" customHeight="1">
      <c r="A45" s="128">
        <f t="shared" si="1"/>
        <v>38</v>
      </c>
      <c r="B45" s="128">
        <v>16</v>
      </c>
      <c r="C45" s="134" t="s">
        <v>326</v>
      </c>
      <c r="D45" s="134" t="s">
        <v>62</v>
      </c>
      <c r="E45" s="129" t="s">
        <v>54</v>
      </c>
      <c r="F45" s="129" t="s">
        <v>1211</v>
      </c>
      <c r="G45" s="134" t="s">
        <v>727</v>
      </c>
      <c r="H45" s="131" t="s">
        <v>709</v>
      </c>
      <c r="I45" s="160" t="s">
        <v>1220</v>
      </c>
    </row>
    <row r="46" spans="1:9" ht="12.95" customHeight="1">
      <c r="A46" s="128">
        <f t="shared" si="1"/>
        <v>39</v>
      </c>
      <c r="B46" s="128">
        <v>17</v>
      </c>
      <c r="C46" s="134" t="s">
        <v>712</v>
      </c>
      <c r="D46" s="129" t="s">
        <v>62</v>
      </c>
      <c r="E46" s="129" t="s">
        <v>54</v>
      </c>
      <c r="F46" s="129" t="s">
        <v>1211</v>
      </c>
      <c r="G46" s="134" t="s">
        <v>728</v>
      </c>
      <c r="H46" s="131" t="s">
        <v>709</v>
      </c>
      <c r="I46" s="160" t="s">
        <v>1220</v>
      </c>
    </row>
    <row r="47" spans="1:9" ht="12.95" customHeight="1">
      <c r="A47" s="128">
        <f t="shared" si="1"/>
        <v>40</v>
      </c>
      <c r="B47" s="128">
        <v>18</v>
      </c>
      <c r="C47" s="134" t="s">
        <v>185</v>
      </c>
      <c r="D47" s="129" t="s">
        <v>62</v>
      </c>
      <c r="E47" s="129" t="s">
        <v>54</v>
      </c>
      <c r="F47" s="129" t="s">
        <v>1211</v>
      </c>
      <c r="G47" s="134" t="s">
        <v>733</v>
      </c>
      <c r="H47" s="131" t="s">
        <v>700</v>
      </c>
      <c r="I47" s="160" t="s">
        <v>1220</v>
      </c>
    </row>
    <row r="48" spans="1:9" ht="12.95" customHeight="1">
      <c r="A48" s="128">
        <f t="shared" si="1"/>
        <v>41</v>
      </c>
      <c r="B48" s="128">
        <v>19</v>
      </c>
      <c r="C48" s="134" t="s">
        <v>135</v>
      </c>
      <c r="D48" s="129" t="s">
        <v>76</v>
      </c>
      <c r="E48" s="129" t="s">
        <v>92</v>
      </c>
      <c r="F48" s="129" t="s">
        <v>1218</v>
      </c>
      <c r="G48" s="134" t="s">
        <v>734</v>
      </c>
      <c r="H48" s="131" t="s">
        <v>703</v>
      </c>
      <c r="I48" s="160" t="s">
        <v>1221</v>
      </c>
    </row>
    <row r="49" spans="1:9" ht="12.95" customHeight="1">
      <c r="A49" s="128">
        <f t="shared" si="1"/>
        <v>42</v>
      </c>
      <c r="B49" s="128">
        <v>20</v>
      </c>
      <c r="C49" s="134" t="s">
        <v>735</v>
      </c>
      <c r="D49" s="129" t="s">
        <v>76</v>
      </c>
      <c r="E49" s="129" t="s">
        <v>92</v>
      </c>
      <c r="F49" s="129" t="s">
        <v>1218</v>
      </c>
      <c r="G49" s="134" t="s">
        <v>1222</v>
      </c>
      <c r="H49" s="131" t="s">
        <v>679</v>
      </c>
      <c r="I49" s="160" t="s">
        <v>1221</v>
      </c>
    </row>
    <row r="50" spans="1:9" ht="12.95" customHeight="1">
      <c r="A50" s="128">
        <f t="shared" si="1"/>
        <v>43</v>
      </c>
      <c r="B50" s="128">
        <v>21</v>
      </c>
      <c r="C50" s="134" t="s">
        <v>719</v>
      </c>
      <c r="D50" s="129" t="s">
        <v>249</v>
      </c>
      <c r="E50" s="129" t="s">
        <v>54</v>
      </c>
      <c r="F50" s="129" t="s">
        <v>1211</v>
      </c>
      <c r="G50" s="134" t="s">
        <v>736</v>
      </c>
      <c r="H50" s="131" t="s">
        <v>647</v>
      </c>
      <c r="I50" s="160" t="s">
        <v>1221</v>
      </c>
    </row>
    <row r="51" spans="1:9" ht="12.95" customHeight="1">
      <c r="A51" s="128">
        <f t="shared" si="1"/>
        <v>44</v>
      </c>
      <c r="B51" s="128">
        <v>22</v>
      </c>
      <c r="C51" s="134" t="s">
        <v>740</v>
      </c>
      <c r="D51" s="129" t="s">
        <v>62</v>
      </c>
      <c r="E51" s="129" t="s">
        <v>54</v>
      </c>
      <c r="F51" s="129" t="s">
        <v>1211</v>
      </c>
      <c r="G51" s="134" t="s">
        <v>741</v>
      </c>
      <c r="H51" s="134" t="s">
        <v>58</v>
      </c>
      <c r="I51" s="160" t="s">
        <v>1221</v>
      </c>
    </row>
    <row r="52" spans="1:9" ht="12.95" customHeight="1">
      <c r="A52" s="128">
        <f t="shared" si="1"/>
        <v>45</v>
      </c>
      <c r="B52" s="128">
        <v>23</v>
      </c>
      <c r="C52" s="134" t="s">
        <v>732</v>
      </c>
      <c r="D52" s="129" t="s">
        <v>62</v>
      </c>
      <c r="E52" s="129" t="s">
        <v>54</v>
      </c>
      <c r="F52" s="129" t="s">
        <v>1211</v>
      </c>
      <c r="G52" s="134" t="s">
        <v>741</v>
      </c>
      <c r="H52" s="134" t="s">
        <v>58</v>
      </c>
      <c r="I52" s="160" t="s">
        <v>1221</v>
      </c>
    </row>
    <row r="53" spans="1:9" ht="12.95" customHeight="1">
      <c r="A53" s="128">
        <f t="shared" si="1"/>
        <v>46</v>
      </c>
      <c r="B53" s="128">
        <v>24</v>
      </c>
      <c r="C53" s="134" t="s">
        <v>139</v>
      </c>
      <c r="D53" s="129" t="s">
        <v>62</v>
      </c>
      <c r="E53" s="129" t="s">
        <v>92</v>
      </c>
      <c r="F53" s="129" t="s">
        <v>1218</v>
      </c>
      <c r="G53" s="134" t="s">
        <v>742</v>
      </c>
      <c r="H53" s="131" t="s">
        <v>703</v>
      </c>
      <c r="I53" s="160" t="s">
        <v>1221</v>
      </c>
    </row>
    <row r="54" spans="1:9" ht="12.95" customHeight="1">
      <c r="A54" s="128">
        <f t="shared" si="1"/>
        <v>47</v>
      </c>
      <c r="B54" s="128">
        <v>25</v>
      </c>
      <c r="C54" s="134" t="s">
        <v>724</v>
      </c>
      <c r="D54" s="129" t="s">
        <v>76</v>
      </c>
      <c r="E54" s="129" t="s">
        <v>92</v>
      </c>
      <c r="F54" s="129" t="s">
        <v>1218</v>
      </c>
      <c r="G54" s="134" t="s">
        <v>743</v>
      </c>
      <c r="H54" s="134" t="s">
        <v>703</v>
      </c>
      <c r="I54" s="160" t="s">
        <v>1220</v>
      </c>
    </row>
    <row r="55" spans="1:9" ht="12.95" customHeight="1">
      <c r="A55" s="128">
        <f t="shared" si="1"/>
        <v>48</v>
      </c>
      <c r="B55" s="128">
        <v>26</v>
      </c>
      <c r="C55" s="530" t="s">
        <v>329</v>
      </c>
      <c r="D55" s="129" t="s">
        <v>76</v>
      </c>
      <c r="E55" s="129" t="s">
        <v>54</v>
      </c>
      <c r="F55" s="129" t="s">
        <v>1211</v>
      </c>
      <c r="G55" s="134" t="s">
        <v>744</v>
      </c>
      <c r="H55" s="131" t="s">
        <v>690</v>
      </c>
      <c r="I55" s="160" t="s">
        <v>1220</v>
      </c>
    </row>
    <row r="56" spans="1:9" ht="12.95" customHeight="1">
      <c r="A56" s="128">
        <f t="shared" si="1"/>
        <v>49</v>
      </c>
      <c r="B56" s="128">
        <v>27</v>
      </c>
      <c r="C56" s="134" t="s">
        <v>502</v>
      </c>
      <c r="D56" s="129" t="s">
        <v>76</v>
      </c>
      <c r="E56" s="129" t="s">
        <v>543</v>
      </c>
      <c r="F56" s="129" t="s">
        <v>1218</v>
      </c>
      <c r="G56" s="134" t="s">
        <v>744</v>
      </c>
      <c r="H56" s="131" t="s">
        <v>647</v>
      </c>
      <c r="I56" s="160" t="s">
        <v>1221</v>
      </c>
    </row>
    <row r="57" spans="1:9" ht="12.95" customHeight="1">
      <c r="A57" s="128">
        <f t="shared" si="1"/>
        <v>50</v>
      </c>
      <c r="B57" s="128">
        <v>28</v>
      </c>
      <c r="C57" s="134" t="s">
        <v>731</v>
      </c>
      <c r="D57" s="129" t="s">
        <v>62</v>
      </c>
      <c r="E57" s="129" t="s">
        <v>54</v>
      </c>
      <c r="F57" s="129" t="s">
        <v>1211</v>
      </c>
      <c r="G57" s="134" t="s">
        <v>744</v>
      </c>
      <c r="H57" s="131" t="s">
        <v>700</v>
      </c>
      <c r="I57" s="160" t="s">
        <v>1221</v>
      </c>
    </row>
    <row r="58" spans="1:9" ht="12.95" customHeight="1">
      <c r="A58" s="128">
        <f t="shared" si="1"/>
        <v>51</v>
      </c>
      <c r="B58" s="128">
        <v>29</v>
      </c>
      <c r="C58" s="134" t="s">
        <v>521</v>
      </c>
      <c r="D58" s="129" t="s">
        <v>76</v>
      </c>
      <c r="E58" s="129" t="s">
        <v>543</v>
      </c>
      <c r="F58" s="129" t="s">
        <v>1218</v>
      </c>
      <c r="G58" s="134" t="s">
        <v>747</v>
      </c>
      <c r="H58" s="131" t="s">
        <v>690</v>
      </c>
    </row>
    <row r="59" spans="1:9" ht="12.95" customHeight="1">
      <c r="A59" s="128">
        <f t="shared" si="1"/>
        <v>52</v>
      </c>
      <c r="B59" s="128">
        <v>30</v>
      </c>
      <c r="C59" s="134" t="s">
        <v>503</v>
      </c>
      <c r="D59" s="134" t="s">
        <v>76</v>
      </c>
      <c r="E59" s="129" t="s">
        <v>131</v>
      </c>
      <c r="F59" s="129" t="s">
        <v>1211</v>
      </c>
      <c r="G59" s="134" t="s">
        <v>747</v>
      </c>
      <c r="H59" s="131" t="s">
        <v>647</v>
      </c>
    </row>
    <row r="60" spans="1:9" ht="12.95" customHeight="1">
      <c r="A60" s="176"/>
      <c r="B60" s="184">
        <v>45200</v>
      </c>
      <c r="D60" s="129"/>
      <c r="E60" s="129"/>
      <c r="F60" s="129"/>
      <c r="G60" s="134"/>
      <c r="H60" s="131"/>
      <c r="I60" s="159"/>
    </row>
    <row r="61" spans="1:9" ht="12.95" customHeight="1">
      <c r="A61" s="134">
        <v>53</v>
      </c>
      <c r="B61" s="134">
        <v>1</v>
      </c>
      <c r="C61" s="134" t="s">
        <v>375</v>
      </c>
      <c r="D61" s="129" t="s">
        <v>76</v>
      </c>
      <c r="E61" s="129" t="s">
        <v>92</v>
      </c>
      <c r="F61" s="129" t="s">
        <v>1218</v>
      </c>
      <c r="G61" s="134" t="s">
        <v>1223</v>
      </c>
      <c r="H61" s="131" t="s">
        <v>709</v>
      </c>
    </row>
    <row r="62" spans="1:9" ht="12.95" customHeight="1">
      <c r="A62" s="134">
        <v>54</v>
      </c>
      <c r="B62" s="134">
        <v>2</v>
      </c>
      <c r="C62" s="134" t="s">
        <v>430</v>
      </c>
      <c r="D62" s="134" t="s">
        <v>76</v>
      </c>
      <c r="E62" s="129" t="s">
        <v>54</v>
      </c>
      <c r="F62" s="129" t="s">
        <v>1211</v>
      </c>
      <c r="G62" s="134" t="s">
        <v>1223</v>
      </c>
      <c r="H62" s="131" t="s">
        <v>673</v>
      </c>
    </row>
    <row r="63" spans="1:9" ht="12.95" customHeight="1">
      <c r="A63" s="134">
        <v>55</v>
      </c>
      <c r="B63" s="134">
        <v>3</v>
      </c>
      <c r="C63" s="134" t="s">
        <v>722</v>
      </c>
      <c r="D63" s="129" t="s">
        <v>76</v>
      </c>
      <c r="E63" s="129" t="s">
        <v>54</v>
      </c>
      <c r="F63" s="129" t="s">
        <v>1211</v>
      </c>
      <c r="G63" s="134" t="s">
        <v>1223</v>
      </c>
      <c r="H63" s="131" t="s">
        <v>673</v>
      </c>
    </row>
    <row r="64" spans="1:9" ht="12.95" customHeight="1">
      <c r="A64" s="134">
        <v>56</v>
      </c>
      <c r="B64" s="134">
        <v>4</v>
      </c>
      <c r="C64" s="134" t="s">
        <v>737</v>
      </c>
      <c r="D64" s="129" t="s">
        <v>76</v>
      </c>
      <c r="E64" s="129" t="s">
        <v>54</v>
      </c>
      <c r="F64" s="129" t="s">
        <v>1211</v>
      </c>
      <c r="G64" s="134" t="s">
        <v>1223</v>
      </c>
      <c r="H64" s="131" t="s">
        <v>673</v>
      </c>
    </row>
    <row r="65" spans="1:11" ht="12.95" customHeight="1">
      <c r="A65" s="134">
        <v>57</v>
      </c>
      <c r="B65" s="134">
        <v>5</v>
      </c>
      <c r="C65" s="134" t="s">
        <v>402</v>
      </c>
      <c r="D65" s="129" t="s">
        <v>76</v>
      </c>
      <c r="E65" s="129" t="s">
        <v>54</v>
      </c>
      <c r="F65" s="129" t="s">
        <v>1211</v>
      </c>
      <c r="G65" s="134" t="s">
        <v>752</v>
      </c>
      <c r="H65" s="131" t="s">
        <v>673</v>
      </c>
    </row>
    <row r="66" spans="1:11" ht="12.95" customHeight="1">
      <c r="A66" s="134">
        <v>58</v>
      </c>
      <c r="B66" s="134">
        <v>6</v>
      </c>
      <c r="C66" s="134" t="s">
        <v>490</v>
      </c>
      <c r="D66" s="129" t="s">
        <v>76</v>
      </c>
      <c r="E66" s="129" t="s">
        <v>54</v>
      </c>
      <c r="F66" s="129" t="s">
        <v>1211</v>
      </c>
      <c r="G66" s="134" t="s">
        <v>752</v>
      </c>
      <c r="H66" s="131" t="s">
        <v>673</v>
      </c>
    </row>
    <row r="67" spans="1:11" ht="12.95" customHeight="1">
      <c r="A67" s="134">
        <v>59</v>
      </c>
      <c r="B67" s="134">
        <v>7</v>
      </c>
      <c r="C67" s="134" t="s">
        <v>479</v>
      </c>
      <c r="D67" s="129" t="s">
        <v>76</v>
      </c>
      <c r="E67" s="129" t="s">
        <v>54</v>
      </c>
      <c r="F67" s="129" t="s">
        <v>1211</v>
      </c>
      <c r="G67" s="134" t="s">
        <v>752</v>
      </c>
      <c r="H67" s="131" t="s">
        <v>673</v>
      </c>
    </row>
    <row r="68" spans="1:11" ht="12.95" customHeight="1">
      <c r="A68" s="134">
        <v>60</v>
      </c>
      <c r="B68" s="134">
        <v>8</v>
      </c>
      <c r="C68" s="134" t="s">
        <v>497</v>
      </c>
      <c r="D68" s="129" t="s">
        <v>76</v>
      </c>
      <c r="E68" s="129" t="s">
        <v>54</v>
      </c>
      <c r="F68" s="129" t="s">
        <v>1211</v>
      </c>
      <c r="G68" s="134" t="s">
        <v>752</v>
      </c>
      <c r="H68" s="131" t="s">
        <v>673</v>
      </c>
    </row>
    <row r="69" spans="1:11" ht="12.95" customHeight="1">
      <c r="A69" s="134">
        <v>61</v>
      </c>
      <c r="B69" s="134">
        <v>9</v>
      </c>
      <c r="C69" s="134" t="s">
        <v>130</v>
      </c>
      <c r="D69" s="129" t="s">
        <v>76</v>
      </c>
      <c r="E69" s="129" t="s">
        <v>54</v>
      </c>
      <c r="F69" s="129" t="s">
        <v>1211</v>
      </c>
      <c r="G69" s="134" t="s">
        <v>750</v>
      </c>
      <c r="H69" s="131" t="s">
        <v>58</v>
      </c>
    </row>
    <row r="70" spans="1:11" ht="12.95" customHeight="1">
      <c r="A70" s="134">
        <v>62</v>
      </c>
      <c r="B70" s="134">
        <v>10</v>
      </c>
      <c r="C70" s="134" t="s">
        <v>142</v>
      </c>
      <c r="D70" s="129" t="s">
        <v>62</v>
      </c>
      <c r="E70" s="129" t="s">
        <v>54</v>
      </c>
      <c r="F70" s="129" t="s">
        <v>1211</v>
      </c>
      <c r="G70" s="134" t="s">
        <v>750</v>
      </c>
      <c r="H70" s="131" t="s">
        <v>58</v>
      </c>
    </row>
    <row r="71" spans="1:11" ht="12.95" customHeight="1">
      <c r="A71" s="134">
        <v>63</v>
      </c>
      <c r="B71" s="134">
        <v>11</v>
      </c>
      <c r="C71" s="134" t="s">
        <v>125</v>
      </c>
      <c r="D71" s="129" t="s">
        <v>76</v>
      </c>
      <c r="E71" s="129" t="s">
        <v>54</v>
      </c>
      <c r="F71" s="129" t="s">
        <v>1211</v>
      </c>
      <c r="G71" s="134" t="s">
        <v>750</v>
      </c>
      <c r="H71" s="131" t="s">
        <v>58</v>
      </c>
    </row>
    <row r="72" spans="1:11" ht="12.95" customHeight="1">
      <c r="A72" s="134">
        <v>64</v>
      </c>
      <c r="B72" s="134">
        <v>12</v>
      </c>
      <c r="C72" s="134" t="s">
        <v>554</v>
      </c>
      <c r="D72" s="129" t="s">
        <v>62</v>
      </c>
      <c r="E72" s="129" t="s">
        <v>54</v>
      </c>
      <c r="F72" s="129" t="s">
        <v>1211</v>
      </c>
      <c r="G72" s="134" t="s">
        <v>750</v>
      </c>
      <c r="H72" s="131" t="s">
        <v>58</v>
      </c>
    </row>
    <row r="73" spans="1:11" ht="12.95" customHeight="1">
      <c r="A73" s="134">
        <v>65</v>
      </c>
      <c r="B73" s="134">
        <v>13</v>
      </c>
      <c r="C73" s="134" t="s">
        <v>114</v>
      </c>
      <c r="D73" s="129" t="s">
        <v>76</v>
      </c>
      <c r="E73" s="129" t="s">
        <v>54</v>
      </c>
      <c r="F73" s="129" t="s">
        <v>1211</v>
      </c>
      <c r="G73" s="134" t="s">
        <v>750</v>
      </c>
      <c r="H73" s="131" t="s">
        <v>58</v>
      </c>
    </row>
    <row r="74" spans="1:11" ht="12.95" customHeight="1">
      <c r="A74" s="134">
        <v>66</v>
      </c>
      <c r="B74" s="134">
        <v>14</v>
      </c>
      <c r="C74" s="134" t="s">
        <v>726</v>
      </c>
      <c r="D74" s="129" t="s">
        <v>62</v>
      </c>
      <c r="E74" s="129" t="s">
        <v>54</v>
      </c>
      <c r="F74" s="129" t="s">
        <v>1211</v>
      </c>
      <c r="G74" s="134" t="s">
        <v>750</v>
      </c>
      <c r="H74" s="131" t="s">
        <v>58</v>
      </c>
    </row>
    <row r="75" spans="1:11" ht="12.95" customHeight="1">
      <c r="A75" s="134">
        <v>67</v>
      </c>
      <c r="B75" s="134">
        <v>15</v>
      </c>
      <c r="C75" s="134" t="s">
        <v>729</v>
      </c>
      <c r="D75" s="129" t="s">
        <v>62</v>
      </c>
      <c r="E75" s="129" t="s">
        <v>54</v>
      </c>
      <c r="F75" s="129" t="s">
        <v>1211</v>
      </c>
      <c r="G75" s="134" t="s">
        <v>750</v>
      </c>
      <c r="H75" s="131" t="s">
        <v>58</v>
      </c>
    </row>
    <row r="76" spans="1:11" ht="12.95" customHeight="1">
      <c r="A76" s="134">
        <v>68</v>
      </c>
      <c r="B76" s="134">
        <v>16</v>
      </c>
      <c r="C76" s="134" t="s">
        <v>746</v>
      </c>
      <c r="D76" s="129" t="s">
        <v>62</v>
      </c>
      <c r="E76" s="129" t="s">
        <v>92</v>
      </c>
      <c r="F76" s="129" t="s">
        <v>1218</v>
      </c>
      <c r="G76" s="134" t="s">
        <v>750</v>
      </c>
      <c r="H76" s="131" t="s">
        <v>58</v>
      </c>
    </row>
    <row r="77" spans="1:11" ht="12.95" customHeight="1">
      <c r="A77" s="134">
        <v>69</v>
      </c>
      <c r="B77" s="134">
        <v>17</v>
      </c>
      <c r="C77" s="134" t="s">
        <v>355</v>
      </c>
      <c r="D77" s="129" t="s">
        <v>62</v>
      </c>
      <c r="E77" s="129" t="s">
        <v>54</v>
      </c>
      <c r="F77" s="129" t="s">
        <v>1211</v>
      </c>
      <c r="G77" s="134" t="s">
        <v>750</v>
      </c>
      <c r="H77" s="131" t="s">
        <v>58</v>
      </c>
      <c r="K77" t="s">
        <v>458</v>
      </c>
    </row>
    <row r="78" spans="1:11" ht="12.95" customHeight="1">
      <c r="A78" s="134">
        <v>70</v>
      </c>
      <c r="B78" s="134">
        <v>18</v>
      </c>
      <c r="C78" s="134" t="s">
        <v>751</v>
      </c>
      <c r="D78" s="129" t="s">
        <v>76</v>
      </c>
      <c r="E78" s="129" t="s">
        <v>54</v>
      </c>
      <c r="F78" s="129" t="s">
        <v>1211</v>
      </c>
      <c r="G78" s="134" t="s">
        <v>754</v>
      </c>
      <c r="H78" s="131" t="s">
        <v>58</v>
      </c>
      <c r="K78" t="s">
        <v>484</v>
      </c>
    </row>
    <row r="79" spans="1:11" ht="12.95" customHeight="1">
      <c r="A79" s="134">
        <v>71</v>
      </c>
      <c r="B79" s="134">
        <v>19</v>
      </c>
      <c r="C79" s="134" t="s">
        <v>749</v>
      </c>
      <c r="D79" s="129" t="s">
        <v>62</v>
      </c>
      <c r="E79" s="129" t="s">
        <v>54</v>
      </c>
      <c r="F79" s="129" t="s">
        <v>1211</v>
      </c>
      <c r="G79" s="134" t="s">
        <v>754</v>
      </c>
      <c r="H79" s="134" t="s">
        <v>700</v>
      </c>
    </row>
    <row r="80" spans="1:11" ht="12.95" customHeight="1">
      <c r="A80" s="134">
        <v>72</v>
      </c>
      <c r="B80" s="134">
        <v>20</v>
      </c>
      <c r="C80" s="530" t="s">
        <v>173</v>
      </c>
      <c r="D80" s="129" t="s">
        <v>76</v>
      </c>
      <c r="E80" s="129" t="s">
        <v>54</v>
      </c>
      <c r="F80" s="129" t="s">
        <v>1211</v>
      </c>
      <c r="G80" s="134" t="s">
        <v>755</v>
      </c>
      <c r="H80" s="134" t="s">
        <v>700</v>
      </c>
    </row>
    <row r="81" spans="1:8" ht="12.95" customHeight="1">
      <c r="A81" s="134">
        <v>73</v>
      </c>
      <c r="B81" s="134">
        <v>21</v>
      </c>
      <c r="C81" s="134" t="s">
        <v>557</v>
      </c>
      <c r="D81" s="129" t="s">
        <v>62</v>
      </c>
      <c r="E81" s="129" t="s">
        <v>54</v>
      </c>
      <c r="F81" s="129" t="s">
        <v>1211</v>
      </c>
      <c r="G81" s="134" t="s">
        <v>755</v>
      </c>
      <c r="H81" s="134" t="s">
        <v>700</v>
      </c>
    </row>
    <row r="82" spans="1:8" ht="12.95" customHeight="1">
      <c r="A82" s="134">
        <v>74</v>
      </c>
      <c r="B82" s="134">
        <v>22</v>
      </c>
      <c r="C82" s="134" t="s">
        <v>710</v>
      </c>
      <c r="D82" s="129" t="s">
        <v>62</v>
      </c>
      <c r="E82" s="129" t="s">
        <v>54</v>
      </c>
      <c r="F82" s="129" t="s">
        <v>1211</v>
      </c>
      <c r="G82" s="134" t="s">
        <v>755</v>
      </c>
      <c r="H82" s="134" t="s">
        <v>700</v>
      </c>
    </row>
    <row r="83" spans="1:8" ht="12.95" customHeight="1">
      <c r="A83" s="134">
        <v>75</v>
      </c>
      <c r="B83" s="134">
        <v>23</v>
      </c>
      <c r="C83" s="134" t="s">
        <v>166</v>
      </c>
      <c r="D83" s="129" t="s">
        <v>76</v>
      </c>
      <c r="E83" s="129" t="s">
        <v>92</v>
      </c>
      <c r="F83" s="129" t="s">
        <v>1218</v>
      </c>
      <c r="G83" s="134" t="s">
        <v>1224</v>
      </c>
      <c r="H83" s="134" t="s">
        <v>703</v>
      </c>
    </row>
    <row r="84" spans="1:8" ht="12.95" customHeight="1">
      <c r="A84" s="134">
        <v>76</v>
      </c>
      <c r="B84" s="134">
        <v>24</v>
      </c>
      <c r="C84" s="134" t="s">
        <v>753</v>
      </c>
      <c r="D84" s="129" t="s">
        <v>62</v>
      </c>
      <c r="E84" s="129" t="s">
        <v>92</v>
      </c>
      <c r="F84" s="129" t="s">
        <v>1218</v>
      </c>
      <c r="G84" s="134" t="s">
        <v>757</v>
      </c>
      <c r="H84" s="134" t="s">
        <v>679</v>
      </c>
    </row>
    <row r="85" spans="1:8" ht="12.95" customHeight="1">
      <c r="A85" s="134">
        <v>77</v>
      </c>
      <c r="B85" s="134">
        <v>25</v>
      </c>
      <c r="C85" s="134" t="s">
        <v>674</v>
      </c>
      <c r="D85" s="129" t="s">
        <v>76</v>
      </c>
      <c r="E85" s="129" t="s">
        <v>54</v>
      </c>
      <c r="F85" s="129" t="s">
        <v>1211</v>
      </c>
      <c r="G85" s="134" t="s">
        <v>757</v>
      </c>
      <c r="H85" s="131" t="s">
        <v>673</v>
      </c>
    </row>
    <row r="86" spans="1:8" ht="12.95" customHeight="1">
      <c r="A86" s="134">
        <v>78</v>
      </c>
      <c r="B86" s="134">
        <v>26</v>
      </c>
      <c r="C86" s="134" t="s">
        <v>756</v>
      </c>
      <c r="D86" s="129" t="s">
        <v>62</v>
      </c>
      <c r="E86" s="129" t="s">
        <v>131</v>
      </c>
      <c r="F86" s="129" t="s">
        <v>1211</v>
      </c>
      <c r="G86" s="134" t="s">
        <v>758</v>
      </c>
      <c r="H86" s="134" t="s">
        <v>739</v>
      </c>
    </row>
    <row r="87" spans="1:8" ht="12.95" customHeight="1">
      <c r="A87" s="134">
        <v>79</v>
      </c>
      <c r="B87" s="134">
        <v>27</v>
      </c>
      <c r="C87" s="134" t="s">
        <v>738</v>
      </c>
      <c r="D87" s="129" t="s">
        <v>62</v>
      </c>
      <c r="E87" s="129" t="s">
        <v>131</v>
      </c>
      <c r="F87" s="129" t="s">
        <v>1211</v>
      </c>
      <c r="G87" s="134" t="s">
        <v>758</v>
      </c>
      <c r="H87" s="134" t="s">
        <v>739</v>
      </c>
    </row>
    <row r="88" spans="1:8" ht="12.95" customHeight="1">
      <c r="A88" s="134">
        <v>80</v>
      </c>
      <c r="B88" s="134">
        <v>28</v>
      </c>
      <c r="C88" s="134" t="s">
        <v>555</v>
      </c>
      <c r="D88" s="129" t="s">
        <v>62</v>
      </c>
      <c r="E88" s="129" t="s">
        <v>543</v>
      </c>
      <c r="F88" s="129" t="s">
        <v>1218</v>
      </c>
      <c r="G88" s="134" t="s">
        <v>760</v>
      </c>
      <c r="H88" s="131" t="s">
        <v>647</v>
      </c>
    </row>
    <row r="89" spans="1:8" ht="12.95" customHeight="1">
      <c r="A89" s="134">
        <v>81</v>
      </c>
      <c r="B89" s="134">
        <v>29</v>
      </c>
      <c r="C89" s="134" t="s">
        <v>748</v>
      </c>
      <c r="D89" s="134" t="s">
        <v>62</v>
      </c>
      <c r="E89" s="129" t="s">
        <v>131</v>
      </c>
      <c r="F89" s="129" t="s">
        <v>1211</v>
      </c>
      <c r="G89" s="134" t="s">
        <v>1225</v>
      </c>
      <c r="H89" s="134" t="s">
        <v>739</v>
      </c>
    </row>
    <row r="90" spans="1:8" ht="12.95" customHeight="1">
      <c r="A90" s="134">
        <v>82</v>
      </c>
      <c r="B90" s="134">
        <v>30</v>
      </c>
      <c r="C90" s="134" t="s">
        <v>759</v>
      </c>
      <c r="D90" s="129" t="s">
        <v>76</v>
      </c>
      <c r="E90" s="129" t="s">
        <v>54</v>
      </c>
      <c r="F90" s="129" t="s">
        <v>1211</v>
      </c>
      <c r="G90" s="134" t="s">
        <v>766</v>
      </c>
      <c r="H90" s="131" t="s">
        <v>673</v>
      </c>
    </row>
    <row r="91" spans="1:8" ht="12.95" customHeight="1">
      <c r="A91" s="134">
        <v>83</v>
      </c>
      <c r="B91" s="134">
        <v>31</v>
      </c>
      <c r="C91" s="134" t="s">
        <v>761</v>
      </c>
      <c r="D91" s="134" t="s">
        <v>62</v>
      </c>
      <c r="E91" s="129" t="s">
        <v>92</v>
      </c>
      <c r="F91" s="129" t="s">
        <v>1218</v>
      </c>
      <c r="G91" s="134" t="s">
        <v>763</v>
      </c>
      <c r="H91" s="131" t="s">
        <v>679</v>
      </c>
    </row>
    <row r="92" spans="1:8" ht="12.95" customHeight="1">
      <c r="A92" s="134">
        <v>84</v>
      </c>
      <c r="B92" s="134">
        <v>32</v>
      </c>
      <c r="C92" s="530" t="s">
        <v>702</v>
      </c>
      <c r="D92" s="129" t="s">
        <v>62</v>
      </c>
      <c r="E92" s="129" t="s">
        <v>54</v>
      </c>
      <c r="F92" s="129" t="s">
        <v>1211</v>
      </c>
      <c r="G92" s="134" t="s">
        <v>763</v>
      </c>
      <c r="H92" s="131" t="s">
        <v>703</v>
      </c>
    </row>
    <row r="93" spans="1:8" ht="12.95" customHeight="1">
      <c r="A93" s="134">
        <v>85</v>
      </c>
      <c r="B93" s="134">
        <v>33</v>
      </c>
      <c r="C93" s="134" t="s">
        <v>762</v>
      </c>
      <c r="D93" s="129" t="s">
        <v>243</v>
      </c>
      <c r="E93" s="129" t="s">
        <v>54</v>
      </c>
      <c r="F93" s="129" t="s">
        <v>1211</v>
      </c>
      <c r="G93" s="134" t="s">
        <v>764</v>
      </c>
      <c r="H93" s="131" t="s">
        <v>673</v>
      </c>
    </row>
    <row r="94" spans="1:8" ht="12.95" customHeight="1">
      <c r="A94" s="134">
        <v>86</v>
      </c>
      <c r="B94" s="134">
        <v>34</v>
      </c>
      <c r="C94" s="134" t="s">
        <v>155</v>
      </c>
      <c r="D94" s="129" t="s">
        <v>243</v>
      </c>
      <c r="E94" s="134" t="s">
        <v>54</v>
      </c>
      <c r="F94" s="129" t="s">
        <v>1211</v>
      </c>
      <c r="G94" s="134" t="s">
        <v>772</v>
      </c>
      <c r="H94" s="131" t="s">
        <v>58</v>
      </c>
    </row>
    <row r="95" spans="1:8" ht="12.95" customHeight="1">
      <c r="A95" s="134">
        <v>87</v>
      </c>
      <c r="B95" s="134">
        <v>35</v>
      </c>
      <c r="C95" s="530" t="s">
        <v>684</v>
      </c>
      <c r="D95" s="129" t="s">
        <v>76</v>
      </c>
      <c r="E95" s="129" t="s">
        <v>54</v>
      </c>
      <c r="F95" s="129" t="s">
        <v>1211</v>
      </c>
      <c r="G95" s="134" t="s">
        <v>644</v>
      </c>
      <c r="H95" s="131" t="s">
        <v>679</v>
      </c>
    </row>
    <row r="96" spans="1:8" ht="12.95" customHeight="1">
      <c r="A96" s="134">
        <v>88</v>
      </c>
      <c r="B96" s="134">
        <v>36</v>
      </c>
      <c r="C96" s="530" t="s">
        <v>678</v>
      </c>
      <c r="D96" s="129" t="s">
        <v>62</v>
      </c>
      <c r="E96" s="129" t="s">
        <v>92</v>
      </c>
      <c r="F96" s="129" t="s">
        <v>1218</v>
      </c>
      <c r="G96" s="134" t="s">
        <v>644</v>
      </c>
      <c r="H96" s="131" t="s">
        <v>679</v>
      </c>
    </row>
    <row r="97" spans="1:8" ht="12.95" customHeight="1">
      <c r="A97" s="134">
        <v>89</v>
      </c>
      <c r="B97" s="134">
        <v>37</v>
      </c>
      <c r="C97" s="530" t="s">
        <v>488</v>
      </c>
      <c r="D97" s="129" t="s">
        <v>62</v>
      </c>
      <c r="E97" s="129" t="s">
        <v>92</v>
      </c>
      <c r="F97" s="129" t="s">
        <v>1218</v>
      </c>
      <c r="G97" s="134" t="s">
        <v>644</v>
      </c>
      <c r="H97" s="131" t="s">
        <v>679</v>
      </c>
    </row>
    <row r="98" spans="1:8" ht="12.95" customHeight="1">
      <c r="A98" s="134">
        <v>90</v>
      </c>
      <c r="B98" s="134">
        <v>38</v>
      </c>
      <c r="C98" s="134" t="s">
        <v>416</v>
      </c>
      <c r="D98" s="134" t="s">
        <v>112</v>
      </c>
      <c r="E98" s="134" t="s">
        <v>54</v>
      </c>
      <c r="F98" s="129" t="s">
        <v>1211</v>
      </c>
      <c r="G98" s="134" t="s">
        <v>774</v>
      </c>
      <c r="H98" s="131" t="s">
        <v>673</v>
      </c>
    </row>
    <row r="99" spans="1:8" ht="12.95" customHeight="1">
      <c r="A99" s="134">
        <v>91</v>
      </c>
      <c r="B99" s="134">
        <v>39</v>
      </c>
      <c r="C99" s="134" t="s">
        <v>775</v>
      </c>
      <c r="D99" s="134" t="s">
        <v>112</v>
      </c>
      <c r="E99" s="134" t="s">
        <v>54</v>
      </c>
      <c r="F99" s="129" t="s">
        <v>1211</v>
      </c>
      <c r="G99" s="134" t="s">
        <v>646</v>
      </c>
      <c r="H99" s="131" t="s">
        <v>58</v>
      </c>
    </row>
    <row r="100" spans="1:8" ht="12.95" customHeight="1">
      <c r="B100" s="184">
        <v>45231</v>
      </c>
      <c r="C100" s="134"/>
      <c r="D100" s="134"/>
      <c r="E100" s="134"/>
      <c r="F100" s="129"/>
      <c r="G100" s="134"/>
      <c r="H100" s="131"/>
    </row>
    <row r="101" spans="1:8" ht="12.95" customHeight="1">
      <c r="A101" s="134">
        <v>92</v>
      </c>
      <c r="B101" s="134">
        <v>1</v>
      </c>
      <c r="C101" s="134" t="s">
        <v>778</v>
      </c>
      <c r="D101" s="129" t="s">
        <v>243</v>
      </c>
      <c r="E101" s="134" t="s">
        <v>92</v>
      </c>
      <c r="F101" s="129" t="s">
        <v>1218</v>
      </c>
      <c r="G101" s="134" t="s">
        <v>1226</v>
      </c>
      <c r="H101" s="131" t="s">
        <v>679</v>
      </c>
    </row>
    <row r="102" spans="1:8" ht="12.95" customHeight="1">
      <c r="A102" s="134">
        <v>93</v>
      </c>
      <c r="B102" s="134">
        <v>2</v>
      </c>
      <c r="C102" s="134" t="s">
        <v>340</v>
      </c>
      <c r="D102" s="134" t="s">
        <v>112</v>
      </c>
      <c r="E102" s="134" t="s">
        <v>92</v>
      </c>
      <c r="F102" s="129" t="s">
        <v>1218</v>
      </c>
      <c r="G102" s="134" t="s">
        <v>1226</v>
      </c>
      <c r="H102" s="131" t="s">
        <v>58</v>
      </c>
    </row>
    <row r="103" spans="1:8" ht="12.95" customHeight="1">
      <c r="A103" s="134">
        <v>94</v>
      </c>
      <c r="B103" s="134">
        <v>3</v>
      </c>
      <c r="C103" s="134" t="s">
        <v>286</v>
      </c>
      <c r="D103" s="134" t="s">
        <v>112</v>
      </c>
      <c r="E103" s="134" t="s">
        <v>131</v>
      </c>
      <c r="F103" s="129" t="s">
        <v>1211</v>
      </c>
      <c r="G103" s="134" t="s">
        <v>781</v>
      </c>
      <c r="H103" s="134" t="s">
        <v>739</v>
      </c>
    </row>
    <row r="104" spans="1:8" ht="12.95" customHeight="1">
      <c r="A104" s="134">
        <v>95</v>
      </c>
      <c r="B104" s="134">
        <v>4</v>
      </c>
      <c r="C104" s="134" t="s">
        <v>168</v>
      </c>
      <c r="D104" s="129" t="s">
        <v>62</v>
      </c>
      <c r="E104" s="129" t="s">
        <v>54</v>
      </c>
      <c r="F104" s="129" t="s">
        <v>1211</v>
      </c>
      <c r="G104" s="134" t="s">
        <v>783</v>
      </c>
      <c r="H104" s="131" t="s">
        <v>703</v>
      </c>
    </row>
    <row r="105" spans="1:8" ht="12.95" customHeight="1">
      <c r="A105" s="134">
        <v>96</v>
      </c>
      <c r="B105" s="134">
        <v>5</v>
      </c>
      <c r="C105" s="134" t="s">
        <v>770</v>
      </c>
      <c r="D105" s="134" t="s">
        <v>76</v>
      </c>
      <c r="E105" s="134" t="s">
        <v>131</v>
      </c>
      <c r="F105" s="129" t="s">
        <v>1211</v>
      </c>
      <c r="G105" s="134" t="s">
        <v>783</v>
      </c>
      <c r="H105" s="131" t="s">
        <v>647</v>
      </c>
    </row>
    <row r="106" spans="1:8" ht="12.95" customHeight="1">
      <c r="A106" s="134">
        <v>97</v>
      </c>
      <c r="B106" s="134">
        <v>7</v>
      </c>
      <c r="C106" s="134" t="s">
        <v>533</v>
      </c>
      <c r="D106" s="134" t="s">
        <v>112</v>
      </c>
      <c r="E106" s="134" t="s">
        <v>54</v>
      </c>
      <c r="F106" s="129" t="s">
        <v>1211</v>
      </c>
      <c r="G106" s="134" t="s">
        <v>1227</v>
      </c>
      <c r="H106" s="134" t="s">
        <v>58</v>
      </c>
    </row>
    <row r="107" spans="1:8" ht="12.95" customHeight="1">
      <c r="A107" s="134">
        <v>98</v>
      </c>
      <c r="B107" s="134">
        <v>8</v>
      </c>
      <c r="C107" s="134" t="s">
        <v>765</v>
      </c>
      <c r="D107" s="134" t="s">
        <v>249</v>
      </c>
      <c r="E107" s="134" t="s">
        <v>131</v>
      </c>
      <c r="F107" s="129" t="s">
        <v>1211</v>
      </c>
      <c r="G107" s="134" t="s">
        <v>1227</v>
      </c>
      <c r="H107" s="134" t="s">
        <v>739</v>
      </c>
    </row>
    <row r="108" spans="1:8" ht="12.95" customHeight="1">
      <c r="A108" s="134">
        <v>99</v>
      </c>
      <c r="B108" s="134">
        <v>9</v>
      </c>
      <c r="C108" s="134" t="s">
        <v>777</v>
      </c>
      <c r="D108" s="129" t="s">
        <v>76</v>
      </c>
      <c r="E108" s="129" t="s">
        <v>54</v>
      </c>
      <c r="F108" s="129" t="s">
        <v>1211</v>
      </c>
      <c r="G108" s="134" t="s">
        <v>784</v>
      </c>
      <c r="H108" s="134" t="s">
        <v>1228</v>
      </c>
    </row>
    <row r="109" spans="1:8" ht="12.95" customHeight="1">
      <c r="A109" s="134">
        <v>100</v>
      </c>
      <c r="B109" s="134">
        <v>10</v>
      </c>
      <c r="C109" s="134" t="s">
        <v>773</v>
      </c>
      <c r="D109" s="134" t="s">
        <v>243</v>
      </c>
      <c r="E109" s="134" t="s">
        <v>131</v>
      </c>
      <c r="F109" s="129" t="s">
        <v>1211</v>
      </c>
      <c r="G109" s="134" t="s">
        <v>784</v>
      </c>
      <c r="H109" s="134" t="s">
        <v>739</v>
      </c>
    </row>
    <row r="110" spans="1:8" ht="12.95" customHeight="1">
      <c r="A110" s="134">
        <v>101</v>
      </c>
      <c r="B110" s="134">
        <v>13</v>
      </c>
      <c r="C110" s="134" t="s">
        <v>782</v>
      </c>
      <c r="D110" s="134" t="s">
        <v>76</v>
      </c>
      <c r="E110" s="134" t="s">
        <v>54</v>
      </c>
      <c r="F110" s="129" t="s">
        <v>1211</v>
      </c>
      <c r="G110" s="134" t="s">
        <v>1229</v>
      </c>
      <c r="H110" s="134" t="s">
        <v>739</v>
      </c>
    </row>
    <row r="111" spans="1:8" ht="12.95" customHeight="1">
      <c r="B111" s="184">
        <v>45261</v>
      </c>
      <c r="C111" s="134"/>
      <c r="D111" s="134"/>
      <c r="E111" s="134"/>
      <c r="F111" s="129"/>
      <c r="G111" s="134"/>
      <c r="H111" s="131"/>
    </row>
    <row r="112" spans="1:8" ht="12.95" customHeight="1">
      <c r="A112" s="134">
        <v>102</v>
      </c>
      <c r="B112" s="134">
        <v>1</v>
      </c>
      <c r="C112" s="134" t="s">
        <v>785</v>
      </c>
      <c r="D112" s="134" t="s">
        <v>76</v>
      </c>
      <c r="E112" s="134" t="s">
        <v>54</v>
      </c>
      <c r="F112" s="129" t="s">
        <v>1211</v>
      </c>
      <c r="G112" s="134" t="s">
        <v>1230</v>
      </c>
      <c r="H112" s="134" t="s">
        <v>739</v>
      </c>
    </row>
    <row r="113" spans="1:8" ht="12.95" customHeight="1">
      <c r="A113" s="134">
        <v>103</v>
      </c>
      <c r="B113" s="134">
        <v>2</v>
      </c>
      <c r="C113" s="134" t="s">
        <v>786</v>
      </c>
      <c r="D113" s="134" t="s">
        <v>76</v>
      </c>
      <c r="E113" s="134" t="s">
        <v>131</v>
      </c>
      <c r="F113" s="129" t="s">
        <v>1211</v>
      </c>
      <c r="G113" s="134" t="s">
        <v>459</v>
      </c>
      <c r="H113" s="134" t="s">
        <v>58</v>
      </c>
    </row>
    <row r="114" spans="1:8" ht="12.95" customHeight="1">
      <c r="A114" s="134">
        <v>104</v>
      </c>
      <c r="B114" s="134">
        <v>3</v>
      </c>
      <c r="C114" s="134" t="s">
        <v>292</v>
      </c>
      <c r="D114" s="134" t="s">
        <v>76</v>
      </c>
      <c r="E114" s="134" t="s">
        <v>92</v>
      </c>
      <c r="F114" s="129" t="s">
        <v>1218</v>
      </c>
      <c r="G114" s="134" t="s">
        <v>459</v>
      </c>
      <c r="H114" s="134" t="s">
        <v>739</v>
      </c>
    </row>
    <row r="115" spans="1:8" ht="12.95" customHeight="1">
      <c r="A115" s="134">
        <v>105</v>
      </c>
      <c r="B115" s="134">
        <v>4</v>
      </c>
      <c r="C115" s="134" t="s">
        <v>792</v>
      </c>
      <c r="D115" s="134" t="s">
        <v>167</v>
      </c>
      <c r="E115" s="134" t="s">
        <v>131</v>
      </c>
      <c r="F115" s="129" t="s">
        <v>1211</v>
      </c>
      <c r="G115" s="134" t="s">
        <v>56</v>
      </c>
      <c r="H115" s="131" t="s">
        <v>647</v>
      </c>
    </row>
    <row r="116" spans="1:8" ht="12.95" customHeight="1">
      <c r="A116" s="134">
        <v>106</v>
      </c>
      <c r="B116" s="134">
        <v>5</v>
      </c>
      <c r="C116" s="134" t="s">
        <v>506</v>
      </c>
      <c r="D116" s="134" t="s">
        <v>167</v>
      </c>
      <c r="E116" s="134" t="s">
        <v>54</v>
      </c>
      <c r="F116" s="129" t="s">
        <v>1211</v>
      </c>
      <c r="G116" s="134" t="s">
        <v>67</v>
      </c>
      <c r="H116" s="134" t="s">
        <v>739</v>
      </c>
    </row>
    <row r="117" spans="1:8" ht="12.95" customHeight="1">
      <c r="A117" s="134">
        <v>107</v>
      </c>
      <c r="B117" s="134">
        <v>7</v>
      </c>
      <c r="C117" s="134" t="s">
        <v>791</v>
      </c>
      <c r="D117" s="134" t="s">
        <v>62</v>
      </c>
      <c r="E117" s="134" t="s">
        <v>92</v>
      </c>
      <c r="F117" s="129" t="s">
        <v>1218</v>
      </c>
      <c r="G117" s="134" t="s">
        <v>67</v>
      </c>
      <c r="H117" s="134" t="s">
        <v>739</v>
      </c>
    </row>
    <row r="118" spans="1:8" ht="12.95" customHeight="1">
      <c r="A118" s="134">
        <v>108</v>
      </c>
      <c r="B118" s="134">
        <v>8</v>
      </c>
      <c r="C118" s="134" t="s">
        <v>319</v>
      </c>
      <c r="D118" s="134" t="s">
        <v>167</v>
      </c>
      <c r="E118" s="134" t="s">
        <v>131</v>
      </c>
      <c r="F118" s="134" t="s">
        <v>1211</v>
      </c>
      <c r="G118" s="134" t="s">
        <v>1231</v>
      </c>
      <c r="H118" s="134" t="s">
        <v>739</v>
      </c>
    </row>
    <row r="119" spans="1:8" ht="12.95" customHeight="1">
      <c r="B119" s="184">
        <v>45292</v>
      </c>
      <c r="C119" s="134"/>
      <c r="D119" s="134"/>
      <c r="E119" s="134"/>
      <c r="F119" s="134"/>
      <c r="G119" s="134"/>
      <c r="H119" s="134"/>
    </row>
    <row r="120" spans="1:8" ht="12.95" customHeight="1">
      <c r="A120" s="134">
        <v>109</v>
      </c>
      <c r="B120" s="134">
        <v>1</v>
      </c>
      <c r="C120" s="132" t="s">
        <v>794</v>
      </c>
      <c r="D120" s="134" t="s">
        <v>140</v>
      </c>
      <c r="E120" s="134" t="s">
        <v>131</v>
      </c>
      <c r="F120" s="134" t="s">
        <v>1211</v>
      </c>
      <c r="G120" s="134" t="s">
        <v>152</v>
      </c>
      <c r="H120" s="134" t="s">
        <v>795</v>
      </c>
    </row>
    <row r="121" spans="1:8" ht="12.95" customHeight="1">
      <c r="A121" s="134">
        <v>110</v>
      </c>
      <c r="B121" s="134">
        <v>2</v>
      </c>
      <c r="C121" s="132" t="s">
        <v>796</v>
      </c>
      <c r="D121" s="134" t="s">
        <v>140</v>
      </c>
      <c r="E121" s="134" t="s">
        <v>131</v>
      </c>
      <c r="F121" s="134" t="s">
        <v>1211</v>
      </c>
      <c r="G121" s="134" t="s">
        <v>152</v>
      </c>
      <c r="H121" s="134" t="s">
        <v>795</v>
      </c>
    </row>
    <row r="122" spans="1:8" ht="12.95" customHeight="1">
      <c r="A122" s="134">
        <v>111</v>
      </c>
      <c r="B122" s="134">
        <v>3</v>
      </c>
      <c r="C122" s="132" t="s">
        <v>799</v>
      </c>
      <c r="D122" s="134" t="s">
        <v>143</v>
      </c>
      <c r="E122" s="134" t="s">
        <v>131</v>
      </c>
      <c r="F122" s="134" t="s">
        <v>1211</v>
      </c>
      <c r="G122" s="134" t="s">
        <v>171</v>
      </c>
      <c r="H122" s="134" t="s">
        <v>795</v>
      </c>
    </row>
    <row r="123" spans="1:8" ht="12.95" customHeight="1">
      <c r="A123" s="134">
        <v>112</v>
      </c>
      <c r="B123" s="134">
        <v>4</v>
      </c>
      <c r="C123" s="132" t="s">
        <v>798</v>
      </c>
      <c r="D123" s="134" t="s">
        <v>793</v>
      </c>
      <c r="E123" s="134" t="s">
        <v>131</v>
      </c>
      <c r="F123" s="134" t="s">
        <v>1211</v>
      </c>
      <c r="G123" s="134" t="s">
        <v>171</v>
      </c>
      <c r="H123" s="134" t="s">
        <v>795</v>
      </c>
    </row>
    <row r="124" spans="1:8" ht="12.95" customHeight="1">
      <c r="A124" s="134">
        <v>113</v>
      </c>
      <c r="B124" s="134">
        <v>5</v>
      </c>
      <c r="C124" s="132" t="s">
        <v>797</v>
      </c>
      <c r="D124" s="134" t="s">
        <v>140</v>
      </c>
      <c r="E124" s="134" t="s">
        <v>131</v>
      </c>
      <c r="F124" s="134" t="s">
        <v>1211</v>
      </c>
      <c r="G124" s="134" t="s">
        <v>172</v>
      </c>
      <c r="H124" s="134" t="s">
        <v>795</v>
      </c>
    </row>
    <row r="125" spans="1:8" ht="12.95" customHeight="1">
      <c r="A125" s="134"/>
      <c r="B125" s="527" t="s">
        <v>181</v>
      </c>
      <c r="C125" s="134"/>
      <c r="D125" s="134"/>
      <c r="E125" s="134"/>
      <c r="F125" s="134"/>
      <c r="G125" s="134"/>
      <c r="H125" s="134"/>
    </row>
    <row r="126" spans="1:8" ht="12.95" customHeight="1">
      <c r="A126" s="134">
        <v>114</v>
      </c>
      <c r="B126" s="134">
        <v>1</v>
      </c>
      <c r="C126" s="132" t="s">
        <v>515</v>
      </c>
      <c r="D126" s="134" t="s">
        <v>805</v>
      </c>
      <c r="E126" s="134" t="s">
        <v>54</v>
      </c>
      <c r="F126" s="134" t="s">
        <v>1211</v>
      </c>
      <c r="G126" s="134" t="s">
        <v>184</v>
      </c>
      <c r="H126" s="134" t="s">
        <v>739</v>
      </c>
    </row>
    <row r="127" spans="1:8" ht="12.95" customHeight="1">
      <c r="A127" s="134">
        <v>115</v>
      </c>
      <c r="B127" s="134">
        <v>2</v>
      </c>
      <c r="C127" s="132" t="s">
        <v>565</v>
      </c>
      <c r="D127" s="134" t="s">
        <v>212</v>
      </c>
      <c r="E127" s="134" t="s">
        <v>54</v>
      </c>
      <c r="F127" s="134" t="s">
        <v>1211</v>
      </c>
      <c r="G127" s="134" t="s">
        <v>192</v>
      </c>
      <c r="H127" s="134" t="s">
        <v>58</v>
      </c>
    </row>
    <row r="128" spans="1:8" ht="12.95" customHeight="1">
      <c r="A128" s="134">
        <v>116</v>
      </c>
      <c r="B128" s="134">
        <v>3</v>
      </c>
      <c r="C128" s="132" t="s">
        <v>350</v>
      </c>
      <c r="D128" s="134" t="s">
        <v>287</v>
      </c>
      <c r="E128" s="132" t="s">
        <v>54</v>
      </c>
      <c r="F128" s="134" t="s">
        <v>1211</v>
      </c>
      <c r="G128" s="134" t="s">
        <v>225</v>
      </c>
      <c r="H128" s="131" t="s">
        <v>673</v>
      </c>
    </row>
    <row r="129" spans="1:8" ht="12.95" customHeight="1">
      <c r="A129" s="134">
        <v>117</v>
      </c>
      <c r="B129" s="134">
        <v>4</v>
      </c>
      <c r="C129" s="132" t="s">
        <v>251</v>
      </c>
      <c r="D129" s="134" t="s">
        <v>803</v>
      </c>
      <c r="E129" s="134" t="s">
        <v>54</v>
      </c>
      <c r="F129" s="134" t="s">
        <v>1211</v>
      </c>
      <c r="G129" s="134" t="s">
        <v>813</v>
      </c>
      <c r="H129" s="134" t="s">
        <v>237</v>
      </c>
    </row>
    <row r="130" spans="1:8" ht="12.95" customHeight="1">
      <c r="A130" s="134">
        <v>118</v>
      </c>
      <c r="B130" s="134">
        <v>5</v>
      </c>
      <c r="C130" s="132" t="s">
        <v>163</v>
      </c>
      <c r="D130" s="134" t="s">
        <v>76</v>
      </c>
      <c r="E130" s="134" t="s">
        <v>54</v>
      </c>
      <c r="F130" s="134" t="s">
        <v>1211</v>
      </c>
      <c r="G130" s="134" t="s">
        <v>813</v>
      </c>
      <c r="H130" s="134" t="s">
        <v>237</v>
      </c>
    </row>
    <row r="131" spans="1:8" ht="12.95" customHeight="1">
      <c r="A131" s="134">
        <v>119</v>
      </c>
      <c r="B131" s="134">
        <v>6</v>
      </c>
      <c r="C131" s="132" t="s">
        <v>94</v>
      </c>
      <c r="D131" s="134" t="s">
        <v>803</v>
      </c>
      <c r="E131" s="134" t="s">
        <v>54</v>
      </c>
      <c r="F131" s="134" t="s">
        <v>1211</v>
      </c>
      <c r="G131" s="134" t="s">
        <v>1232</v>
      </c>
      <c r="H131" s="134" t="s">
        <v>237</v>
      </c>
    </row>
    <row r="132" spans="1:8" ht="12.95" customHeight="1">
      <c r="A132" s="134">
        <v>120</v>
      </c>
      <c r="B132" s="134">
        <v>7</v>
      </c>
      <c r="C132" s="132" t="s">
        <v>134</v>
      </c>
      <c r="D132" s="134" t="s">
        <v>76</v>
      </c>
      <c r="E132" s="134" t="s">
        <v>54</v>
      </c>
      <c r="F132" s="134" t="s">
        <v>1211</v>
      </c>
      <c r="G132" s="134" t="s">
        <v>1232</v>
      </c>
      <c r="H132" s="134" t="s">
        <v>237</v>
      </c>
    </row>
    <row r="133" spans="1:8" ht="12.95" customHeight="1">
      <c r="A133" s="134">
        <v>121</v>
      </c>
      <c r="B133" s="134">
        <v>8</v>
      </c>
      <c r="C133" s="132" t="s">
        <v>151</v>
      </c>
      <c r="D133" s="134" t="s">
        <v>76</v>
      </c>
      <c r="E133" s="132" t="s">
        <v>54</v>
      </c>
      <c r="F133" s="134" t="s">
        <v>1211</v>
      </c>
      <c r="G133" s="134" t="s">
        <v>1232</v>
      </c>
      <c r="H133" s="134" t="s">
        <v>237</v>
      </c>
    </row>
    <row r="134" spans="1:8" ht="12.95" customHeight="1">
      <c r="A134" s="134">
        <v>122</v>
      </c>
      <c r="B134" s="134">
        <v>9</v>
      </c>
      <c r="C134" s="132" t="s">
        <v>800</v>
      </c>
      <c r="D134" s="134" t="s">
        <v>793</v>
      </c>
      <c r="E134" s="134" t="s">
        <v>131</v>
      </c>
      <c r="F134" s="134" t="s">
        <v>1211</v>
      </c>
      <c r="G134" s="134" t="s">
        <v>228</v>
      </c>
      <c r="H134" s="134" t="s">
        <v>739</v>
      </c>
    </row>
    <row r="135" spans="1:8" ht="12.95" customHeight="1">
      <c r="A135" s="134">
        <v>123</v>
      </c>
      <c r="B135" s="134">
        <v>10</v>
      </c>
      <c r="C135" s="132" t="s">
        <v>195</v>
      </c>
      <c r="D135" s="134" t="s">
        <v>803</v>
      </c>
      <c r="E135" s="134" t="s">
        <v>54</v>
      </c>
      <c r="F135" s="134" t="s">
        <v>1211</v>
      </c>
      <c r="G135" s="134" t="s">
        <v>203</v>
      </c>
      <c r="H135" s="134" t="s">
        <v>237</v>
      </c>
    </row>
    <row r="136" spans="1:8" ht="12.95" customHeight="1">
      <c r="A136" s="134">
        <v>124</v>
      </c>
      <c r="B136" s="134">
        <v>11</v>
      </c>
      <c r="C136" s="132" t="s">
        <v>807</v>
      </c>
      <c r="D136" s="134" t="s">
        <v>445</v>
      </c>
      <c r="E136" s="134" t="s">
        <v>131</v>
      </c>
      <c r="F136" s="134" t="s">
        <v>1211</v>
      </c>
      <c r="G136" s="134" t="s">
        <v>236</v>
      </c>
      <c r="H136" s="134" t="s">
        <v>795</v>
      </c>
    </row>
    <row r="137" spans="1:8" ht="12.95" customHeight="1">
      <c r="A137" s="134">
        <v>125</v>
      </c>
      <c r="B137" s="134">
        <v>12</v>
      </c>
      <c r="C137" s="132" t="s">
        <v>804</v>
      </c>
      <c r="D137" s="134" t="s">
        <v>186</v>
      </c>
      <c r="E137" s="134" t="s">
        <v>131</v>
      </c>
      <c r="F137" s="134" t="s">
        <v>1211</v>
      </c>
      <c r="G137" s="134" t="s">
        <v>236</v>
      </c>
      <c r="H137" s="134" t="s">
        <v>795</v>
      </c>
    </row>
    <row r="138" spans="1:8" ht="12.95" customHeight="1">
      <c r="A138" s="134">
        <v>126</v>
      </c>
      <c r="B138" s="134">
        <v>13</v>
      </c>
      <c r="C138" s="132" t="s">
        <v>812</v>
      </c>
      <c r="D138" s="134" t="s">
        <v>143</v>
      </c>
      <c r="E138" s="134" t="s">
        <v>131</v>
      </c>
      <c r="F138" s="134" t="s">
        <v>1211</v>
      </c>
      <c r="G138" s="134" t="s">
        <v>240</v>
      </c>
      <c r="H138" s="134" t="s">
        <v>795</v>
      </c>
    </row>
    <row r="139" spans="1:8" ht="12.95" customHeight="1">
      <c r="A139" s="134"/>
      <c r="B139" s="154" t="s">
        <v>247</v>
      </c>
      <c r="C139" s="134"/>
      <c r="D139" s="134"/>
      <c r="E139" s="134"/>
      <c r="F139" s="134"/>
      <c r="G139" s="134"/>
      <c r="H139" s="134"/>
    </row>
    <row r="140" spans="1:8" ht="12.95" customHeight="1">
      <c r="A140" s="134">
        <v>127</v>
      </c>
      <c r="B140" s="134">
        <v>1</v>
      </c>
      <c r="C140" s="132" t="s">
        <v>820</v>
      </c>
      <c r="D140" s="134" t="s">
        <v>186</v>
      </c>
      <c r="E140" s="134" t="s">
        <v>131</v>
      </c>
      <c r="F140" s="134" t="s">
        <v>1211</v>
      </c>
      <c r="G140" s="134" t="s">
        <v>255</v>
      </c>
      <c r="H140" s="134" t="s">
        <v>795</v>
      </c>
    </row>
    <row r="141" spans="1:8" ht="12.95" customHeight="1">
      <c r="A141" s="134">
        <v>128</v>
      </c>
      <c r="B141" s="134">
        <v>2</v>
      </c>
      <c r="C141" s="132" t="s">
        <v>818</v>
      </c>
      <c r="D141" s="134" t="s">
        <v>76</v>
      </c>
      <c r="E141" s="134" t="s">
        <v>131</v>
      </c>
      <c r="F141" s="134" t="s">
        <v>1211</v>
      </c>
      <c r="G141" s="134" t="s">
        <v>823</v>
      </c>
      <c r="H141" s="134" t="s">
        <v>120</v>
      </c>
    </row>
    <row r="142" spans="1:8" ht="12.95" customHeight="1">
      <c r="A142" s="134">
        <v>129</v>
      </c>
      <c r="B142" s="134">
        <v>3</v>
      </c>
      <c r="C142" s="132" t="s">
        <v>814</v>
      </c>
      <c r="D142" s="134" t="s">
        <v>445</v>
      </c>
      <c r="E142" s="134" t="s">
        <v>131</v>
      </c>
      <c r="F142" s="134" t="s">
        <v>1211</v>
      </c>
      <c r="G142" s="134" t="s">
        <v>823</v>
      </c>
      <c r="H142" s="134" t="s">
        <v>120</v>
      </c>
    </row>
    <row r="143" spans="1:8" ht="12.95" customHeight="1">
      <c r="A143" s="134">
        <v>130</v>
      </c>
      <c r="B143" s="134">
        <v>4</v>
      </c>
      <c r="C143" s="132" t="s">
        <v>825</v>
      </c>
      <c r="D143" s="134" t="s">
        <v>143</v>
      </c>
      <c r="E143" s="134" t="s">
        <v>131</v>
      </c>
      <c r="F143" s="134" t="s">
        <v>1211</v>
      </c>
      <c r="G143" s="133" t="s">
        <v>827</v>
      </c>
      <c r="H143" s="131" t="s">
        <v>647</v>
      </c>
    </row>
    <row r="144" spans="1:8" ht="12.95" customHeight="1">
      <c r="A144" s="134">
        <v>131</v>
      </c>
      <c r="B144" s="134">
        <v>5</v>
      </c>
      <c r="C144" s="132" t="s">
        <v>817</v>
      </c>
      <c r="D144" s="134" t="s">
        <v>167</v>
      </c>
      <c r="E144" s="134" t="s">
        <v>131</v>
      </c>
      <c r="F144" s="134" t="s">
        <v>1211</v>
      </c>
      <c r="G144" s="133" t="s">
        <v>258</v>
      </c>
      <c r="H144" s="131" t="s">
        <v>647</v>
      </c>
    </row>
    <row r="145" spans="1:8" ht="12.95" customHeight="1">
      <c r="A145" s="134">
        <v>132</v>
      </c>
      <c r="B145" s="134">
        <v>6</v>
      </c>
      <c r="C145" s="132" t="s">
        <v>828</v>
      </c>
      <c r="D145" s="134" t="s">
        <v>227</v>
      </c>
      <c r="E145" s="134" t="s">
        <v>131</v>
      </c>
      <c r="F145" s="134" t="s">
        <v>1211</v>
      </c>
      <c r="G145" s="133" t="s">
        <v>258</v>
      </c>
      <c r="H145" s="134" t="s">
        <v>120</v>
      </c>
    </row>
    <row r="146" spans="1:8" ht="12.95" customHeight="1">
      <c r="A146" s="134">
        <v>133</v>
      </c>
      <c r="B146" s="134">
        <v>7</v>
      </c>
      <c r="C146" s="132" t="s">
        <v>816</v>
      </c>
      <c r="D146" s="134" t="s">
        <v>143</v>
      </c>
      <c r="E146" s="134" t="s">
        <v>131</v>
      </c>
      <c r="F146" s="134" t="s">
        <v>1211</v>
      </c>
      <c r="G146" s="133" t="s">
        <v>259</v>
      </c>
      <c r="H146" s="134" t="s">
        <v>795</v>
      </c>
    </row>
    <row r="147" spans="1:8" ht="12.95" customHeight="1">
      <c r="A147" s="134">
        <v>134</v>
      </c>
      <c r="B147" s="134">
        <v>8</v>
      </c>
      <c r="C147" s="132" t="s">
        <v>829</v>
      </c>
      <c r="D147" s="134" t="s">
        <v>227</v>
      </c>
      <c r="E147" s="134" t="s">
        <v>131</v>
      </c>
      <c r="F147" s="134" t="s">
        <v>1211</v>
      </c>
      <c r="G147" s="133" t="s">
        <v>259</v>
      </c>
      <c r="H147" s="134" t="s">
        <v>795</v>
      </c>
    </row>
    <row r="148" spans="1:8" ht="12.95" customHeight="1">
      <c r="A148" s="134">
        <v>135</v>
      </c>
      <c r="B148" s="134">
        <v>9</v>
      </c>
      <c r="C148" s="132" t="s">
        <v>118</v>
      </c>
      <c r="D148" s="134" t="s">
        <v>76</v>
      </c>
      <c r="E148" s="134" t="s">
        <v>131</v>
      </c>
      <c r="F148" s="134" t="s">
        <v>1211</v>
      </c>
      <c r="G148" s="133" t="s">
        <v>259</v>
      </c>
      <c r="H148" s="134" t="s">
        <v>237</v>
      </c>
    </row>
    <row r="149" spans="1:8" ht="12.95" customHeight="1">
      <c r="A149" s="134">
        <v>136</v>
      </c>
      <c r="B149" s="134">
        <v>10</v>
      </c>
      <c r="C149" s="132" t="s">
        <v>169</v>
      </c>
      <c r="D149" s="134" t="s">
        <v>76</v>
      </c>
      <c r="E149" s="134" t="s">
        <v>54</v>
      </c>
      <c r="F149" s="134" t="s">
        <v>1211</v>
      </c>
      <c r="G149" s="133" t="s">
        <v>259</v>
      </c>
      <c r="H149" s="134" t="s">
        <v>237</v>
      </c>
    </row>
    <row r="150" spans="1:8" ht="12.95" customHeight="1">
      <c r="A150" s="134">
        <v>137</v>
      </c>
      <c r="B150" s="134">
        <v>11</v>
      </c>
      <c r="C150" s="132" t="s">
        <v>147</v>
      </c>
      <c r="D150" s="134" t="s">
        <v>76</v>
      </c>
      <c r="E150" s="134" t="s">
        <v>210</v>
      </c>
      <c r="F150" s="134" t="s">
        <v>1211</v>
      </c>
      <c r="G150" s="133" t="s">
        <v>259</v>
      </c>
      <c r="H150" s="134" t="s">
        <v>237</v>
      </c>
    </row>
    <row r="151" spans="1:8" ht="12.95" customHeight="1">
      <c r="A151" s="134">
        <v>138</v>
      </c>
      <c r="B151" s="134">
        <v>12</v>
      </c>
      <c r="C151" s="132" t="s">
        <v>808</v>
      </c>
      <c r="D151" s="134" t="s">
        <v>809</v>
      </c>
      <c r="E151" s="134" t="s">
        <v>131</v>
      </c>
      <c r="F151" s="134" t="s">
        <v>1211</v>
      </c>
      <c r="G151" s="133" t="s">
        <v>259</v>
      </c>
      <c r="H151" s="134" t="s">
        <v>795</v>
      </c>
    </row>
    <row r="152" spans="1:8" ht="12.95" customHeight="1">
      <c r="A152" s="134">
        <v>139</v>
      </c>
      <c r="B152" s="134">
        <v>13</v>
      </c>
      <c r="C152" s="132" t="s">
        <v>811</v>
      </c>
      <c r="D152" s="134" t="s">
        <v>53</v>
      </c>
      <c r="E152" s="134" t="s">
        <v>131</v>
      </c>
      <c r="F152" s="134" t="s">
        <v>1211</v>
      </c>
      <c r="G152" s="133" t="s">
        <v>272</v>
      </c>
      <c r="H152" s="134" t="s">
        <v>120</v>
      </c>
    </row>
    <row r="153" spans="1:8" ht="12.95" customHeight="1">
      <c r="A153" s="134">
        <v>140</v>
      </c>
      <c r="B153" s="134">
        <v>14</v>
      </c>
      <c r="C153" s="132" t="s">
        <v>810</v>
      </c>
      <c r="D153" s="134" t="s">
        <v>186</v>
      </c>
      <c r="E153" s="134" t="s">
        <v>131</v>
      </c>
      <c r="F153" s="134" t="s">
        <v>1211</v>
      </c>
      <c r="G153" s="133" t="s">
        <v>272</v>
      </c>
      <c r="H153" s="134" t="s">
        <v>120</v>
      </c>
    </row>
    <row r="154" spans="1:8" ht="12.95" customHeight="1">
      <c r="A154" s="134">
        <v>141</v>
      </c>
      <c r="B154" s="134">
        <v>15</v>
      </c>
      <c r="C154" s="132" t="s">
        <v>830</v>
      </c>
      <c r="D154" s="134" t="s">
        <v>143</v>
      </c>
      <c r="E154" s="134" t="s">
        <v>131</v>
      </c>
      <c r="F154" s="134" t="s">
        <v>1211</v>
      </c>
      <c r="G154" s="134" t="s">
        <v>274</v>
      </c>
      <c r="H154" s="134" t="s">
        <v>795</v>
      </c>
    </row>
    <row r="155" spans="1:8" ht="12.95" customHeight="1">
      <c r="A155" s="162"/>
      <c r="B155" s="154" t="s">
        <v>1233</v>
      </c>
      <c r="C155" s="132"/>
      <c r="D155" s="134"/>
      <c r="E155" s="134"/>
      <c r="F155" s="134"/>
      <c r="G155" s="134"/>
      <c r="H155" s="134"/>
    </row>
    <row r="156" spans="1:8" ht="12.95" customHeight="1">
      <c r="A156" s="134">
        <v>142</v>
      </c>
      <c r="B156" s="134">
        <v>1</v>
      </c>
      <c r="C156" s="132" t="s">
        <v>821</v>
      </c>
      <c r="D156" s="134" t="s">
        <v>167</v>
      </c>
      <c r="E156" s="134" t="s">
        <v>131</v>
      </c>
      <c r="F156" s="134" t="s">
        <v>1211</v>
      </c>
      <c r="G156" s="134" t="s">
        <v>306</v>
      </c>
      <c r="H156" s="131" t="s">
        <v>647</v>
      </c>
    </row>
    <row r="157" spans="1:8" ht="12.95" customHeight="1">
      <c r="A157" s="162"/>
      <c r="B157" s="154" t="s">
        <v>303</v>
      </c>
      <c r="C157" s="162"/>
      <c r="D157" s="162"/>
      <c r="E157" s="162"/>
      <c r="F157" s="162"/>
    </row>
    <row r="158" spans="1:8" ht="12.95" customHeight="1">
      <c r="A158" s="134">
        <v>143</v>
      </c>
      <c r="B158" s="134">
        <v>1</v>
      </c>
      <c r="C158" s="132" t="s">
        <v>831</v>
      </c>
      <c r="D158" s="134" t="s">
        <v>140</v>
      </c>
      <c r="E158" s="134" t="s">
        <v>131</v>
      </c>
      <c r="F158" s="134" t="s">
        <v>1211</v>
      </c>
      <c r="G158" s="134" t="s">
        <v>314</v>
      </c>
      <c r="H158" s="134" t="s">
        <v>321</v>
      </c>
    </row>
    <row r="159" spans="1:8" ht="12.95" customHeight="1">
      <c r="A159" s="162"/>
      <c r="B159" s="154" t="s">
        <v>345</v>
      </c>
      <c r="C159" s="162"/>
      <c r="D159" s="162"/>
      <c r="E159" s="162"/>
      <c r="F159" s="162"/>
    </row>
    <row r="160" spans="1:8" ht="12.95" customHeight="1">
      <c r="A160" s="16">
        <v>144</v>
      </c>
      <c r="B160" s="16">
        <v>1</v>
      </c>
      <c r="C160" s="132" t="s">
        <v>834</v>
      </c>
      <c r="D160" s="16" t="s">
        <v>809</v>
      </c>
      <c r="E160" s="134" t="s">
        <v>131</v>
      </c>
      <c r="F160" s="134" t="s">
        <v>1211</v>
      </c>
      <c r="G160" s="134" t="s">
        <v>868</v>
      </c>
      <c r="H160" s="134" t="s">
        <v>237</v>
      </c>
    </row>
    <row r="161" spans="1:13" ht="12.95" customHeight="1">
      <c r="A161" s="16">
        <v>145</v>
      </c>
      <c r="B161" s="16">
        <v>2</v>
      </c>
      <c r="C161" s="132" t="s">
        <v>304</v>
      </c>
      <c r="D161" s="16" t="s">
        <v>351</v>
      </c>
      <c r="E161" s="134" t="s">
        <v>92</v>
      </c>
      <c r="F161" s="134" t="s">
        <v>1218</v>
      </c>
      <c r="G161" s="134" t="s">
        <v>1234</v>
      </c>
      <c r="H161" s="131" t="s">
        <v>673</v>
      </c>
    </row>
    <row r="162" spans="1:13" ht="12.95" customHeight="1">
      <c r="A162" s="16">
        <v>146</v>
      </c>
      <c r="B162" s="16">
        <v>3</v>
      </c>
      <c r="C162" s="132" t="s">
        <v>346</v>
      </c>
      <c r="D162" s="16" t="s">
        <v>805</v>
      </c>
      <c r="E162" s="134" t="s">
        <v>92</v>
      </c>
      <c r="F162" s="134" t="s">
        <v>1218</v>
      </c>
      <c r="G162" s="134" t="s">
        <v>353</v>
      </c>
      <c r="H162" s="131" t="s">
        <v>673</v>
      </c>
    </row>
    <row r="163" spans="1:13" ht="12.95" customHeight="1">
      <c r="A163" s="15"/>
      <c r="B163" s="154" t="s">
        <v>354</v>
      </c>
      <c r="C163" s="16"/>
      <c r="D163" s="16"/>
      <c r="E163" s="134"/>
      <c r="F163" s="134"/>
      <c r="H163" s="226"/>
    </row>
    <row r="164" spans="1:13" ht="12.95" customHeight="1">
      <c r="A164" s="16">
        <v>147</v>
      </c>
      <c r="B164" s="16">
        <v>1</v>
      </c>
      <c r="C164" s="132" t="s">
        <v>473</v>
      </c>
      <c r="D164" s="16" t="s">
        <v>243</v>
      </c>
      <c r="E164" s="134" t="s">
        <v>54</v>
      </c>
      <c r="F164" s="134" t="s">
        <v>1211</v>
      </c>
      <c r="G164" s="134" t="s">
        <v>849</v>
      </c>
      <c r="H164" s="131" t="s">
        <v>673</v>
      </c>
    </row>
    <row r="165" spans="1:13" ht="12.95" customHeight="1">
      <c r="A165" s="16">
        <v>148</v>
      </c>
      <c r="B165" s="16">
        <v>2</v>
      </c>
      <c r="C165" s="132" t="s">
        <v>495</v>
      </c>
      <c r="D165" s="16" t="s">
        <v>504</v>
      </c>
      <c r="E165" s="134" t="s">
        <v>54</v>
      </c>
      <c r="F165" s="134" t="s">
        <v>1211</v>
      </c>
      <c r="G165" s="134" t="s">
        <v>849</v>
      </c>
      <c r="H165" s="131" t="s">
        <v>673</v>
      </c>
      <c r="M165" s="160">
        <v>51</v>
      </c>
    </row>
    <row r="166" spans="1:13" ht="12.95" customHeight="1">
      <c r="A166" s="16">
        <v>149</v>
      </c>
      <c r="B166" s="16">
        <v>3</v>
      </c>
      <c r="C166" s="132" t="s">
        <v>845</v>
      </c>
      <c r="D166" s="16" t="s">
        <v>227</v>
      </c>
      <c r="E166" s="134" t="s">
        <v>131</v>
      </c>
      <c r="F166" s="134" t="s">
        <v>1211</v>
      </c>
      <c r="G166" s="134" t="s">
        <v>849</v>
      </c>
      <c r="H166" s="134" t="s">
        <v>739</v>
      </c>
      <c r="M166" s="160">
        <v>22</v>
      </c>
    </row>
    <row r="167" spans="1:13" ht="12.95" customHeight="1">
      <c r="A167" s="16">
        <v>150</v>
      </c>
      <c r="B167" s="16">
        <v>4</v>
      </c>
      <c r="C167" s="132" t="s">
        <v>844</v>
      </c>
      <c r="D167" s="16" t="s">
        <v>243</v>
      </c>
      <c r="E167" s="134" t="s">
        <v>131</v>
      </c>
      <c r="F167" s="134" t="s">
        <v>1211</v>
      </c>
      <c r="G167" s="134" t="s">
        <v>869</v>
      </c>
      <c r="H167" s="134" t="s">
        <v>739</v>
      </c>
    </row>
    <row r="168" spans="1:13" ht="12.95" customHeight="1">
      <c r="A168" s="16">
        <v>151</v>
      </c>
      <c r="B168" s="16">
        <v>5</v>
      </c>
      <c r="C168" s="132" t="s">
        <v>334</v>
      </c>
      <c r="D168" s="16" t="s">
        <v>76</v>
      </c>
      <c r="E168" s="134" t="s">
        <v>92</v>
      </c>
      <c r="F168" s="134" t="s">
        <v>1218</v>
      </c>
      <c r="G168" s="134" t="s">
        <v>1235</v>
      </c>
      <c r="H168" s="134" t="s">
        <v>237</v>
      </c>
    </row>
    <row r="169" spans="1:13" ht="12.95" customHeight="1">
      <c r="A169" s="16">
        <v>152</v>
      </c>
      <c r="B169" s="16">
        <v>6</v>
      </c>
      <c r="C169" s="132" t="s">
        <v>854</v>
      </c>
      <c r="D169" s="134" t="s">
        <v>855</v>
      </c>
      <c r="E169" s="134" t="s">
        <v>131</v>
      </c>
      <c r="F169" s="134" t="s">
        <v>1211</v>
      </c>
      <c r="G169" s="134" t="s">
        <v>1235</v>
      </c>
      <c r="H169" s="134" t="s">
        <v>739</v>
      </c>
    </row>
    <row r="170" spans="1:13" ht="12.95" customHeight="1">
      <c r="A170" s="16">
        <v>153</v>
      </c>
      <c r="B170" s="16">
        <v>7</v>
      </c>
      <c r="C170" s="132" t="s">
        <v>562</v>
      </c>
      <c r="D170" s="134" t="s">
        <v>76</v>
      </c>
      <c r="E170" s="134" t="s">
        <v>54</v>
      </c>
      <c r="F170" s="134" t="s">
        <v>1211</v>
      </c>
      <c r="G170" s="134" t="s">
        <v>362</v>
      </c>
      <c r="H170" s="134" t="s">
        <v>237</v>
      </c>
    </row>
    <row r="171" spans="1:13" ht="12.95" customHeight="1">
      <c r="A171" s="16">
        <v>154</v>
      </c>
      <c r="B171" s="16">
        <v>8</v>
      </c>
      <c r="C171" s="132" t="s">
        <v>852</v>
      </c>
      <c r="D171" s="134" t="s">
        <v>519</v>
      </c>
      <c r="E171" s="134" t="s">
        <v>131</v>
      </c>
      <c r="F171" s="134" t="s">
        <v>1211</v>
      </c>
      <c r="G171" s="134" t="s">
        <v>362</v>
      </c>
      <c r="H171" s="131" t="s">
        <v>673</v>
      </c>
    </row>
    <row r="172" spans="1:13" ht="12.95" customHeight="1">
      <c r="A172" s="16">
        <v>155</v>
      </c>
      <c r="B172" s="16">
        <v>9</v>
      </c>
      <c r="C172" s="132" t="s">
        <v>848</v>
      </c>
      <c r="D172" s="134" t="s">
        <v>167</v>
      </c>
      <c r="E172" s="134" t="s">
        <v>131</v>
      </c>
      <c r="F172" s="134" t="s">
        <v>1211</v>
      </c>
      <c r="G172" s="134" t="s">
        <v>362</v>
      </c>
      <c r="H172" s="131" t="s">
        <v>673</v>
      </c>
      <c r="L172" s="160">
        <f>23+25</f>
        <v>48</v>
      </c>
    </row>
    <row r="173" spans="1:13" ht="12.95" customHeight="1">
      <c r="A173" s="16">
        <v>156</v>
      </c>
      <c r="B173" s="16">
        <v>10</v>
      </c>
      <c r="C173" s="132" t="s">
        <v>858</v>
      </c>
      <c r="D173" s="134" t="s">
        <v>76</v>
      </c>
      <c r="E173" s="134" t="s">
        <v>54</v>
      </c>
      <c r="F173" s="134" t="s">
        <v>1211</v>
      </c>
      <c r="G173" s="134" t="s">
        <v>359</v>
      </c>
      <c r="H173" s="131" t="s">
        <v>673</v>
      </c>
      <c r="L173" s="160">
        <v>27</v>
      </c>
    </row>
    <row r="174" spans="1:13" ht="12.95" customHeight="1">
      <c r="A174" s="16">
        <v>157</v>
      </c>
      <c r="B174" s="16">
        <v>11</v>
      </c>
      <c r="C174" s="132" t="s">
        <v>865</v>
      </c>
      <c r="D174" s="134" t="s">
        <v>62</v>
      </c>
      <c r="E174" s="134" t="s">
        <v>54</v>
      </c>
      <c r="F174" s="134" t="s">
        <v>1211</v>
      </c>
      <c r="G174" s="134" t="s">
        <v>359</v>
      </c>
      <c r="H174" s="131" t="s">
        <v>647</v>
      </c>
    </row>
    <row r="175" spans="1:13" ht="12.95" customHeight="1">
      <c r="A175" s="16">
        <v>158</v>
      </c>
      <c r="B175" s="16">
        <v>12</v>
      </c>
      <c r="C175" s="132" t="s">
        <v>211</v>
      </c>
      <c r="D175" s="16" t="s">
        <v>305</v>
      </c>
      <c r="E175" s="134" t="s">
        <v>54</v>
      </c>
      <c r="F175" s="134" t="s">
        <v>1211</v>
      </c>
      <c r="G175" s="134" t="s">
        <v>870</v>
      </c>
      <c r="H175" s="131" t="s">
        <v>673</v>
      </c>
    </row>
    <row r="176" spans="1:13" ht="12.95" customHeight="1">
      <c r="A176" s="16">
        <v>159</v>
      </c>
      <c r="B176" s="16">
        <v>13</v>
      </c>
      <c r="C176" s="132" t="s">
        <v>875</v>
      </c>
      <c r="D176" s="134" t="s">
        <v>516</v>
      </c>
      <c r="E176" s="134" t="s">
        <v>131</v>
      </c>
      <c r="F176" s="134" t="s">
        <v>1211</v>
      </c>
      <c r="G176" s="134" t="s">
        <v>878</v>
      </c>
      <c r="H176" s="134" t="s">
        <v>739</v>
      </c>
    </row>
    <row r="177" spans="1:8" ht="12.95" customHeight="1">
      <c r="A177" s="16">
        <v>160</v>
      </c>
      <c r="B177" s="16">
        <v>14</v>
      </c>
      <c r="C177" s="132" t="s">
        <v>313</v>
      </c>
      <c r="D177" s="134" t="s">
        <v>167</v>
      </c>
      <c r="E177" s="134" t="s">
        <v>92</v>
      </c>
      <c r="F177" s="134" t="s">
        <v>1218</v>
      </c>
      <c r="G177" s="134" t="s">
        <v>878</v>
      </c>
      <c r="H177" s="131" t="s">
        <v>673</v>
      </c>
    </row>
    <row r="178" spans="1:8" ht="12.95" customHeight="1">
      <c r="B178" s="154" t="s">
        <v>368</v>
      </c>
    </row>
    <row r="179" spans="1:8" ht="12.95" customHeight="1">
      <c r="A179" s="16">
        <v>161</v>
      </c>
      <c r="B179" s="16">
        <v>1</v>
      </c>
      <c r="C179" s="132" t="s">
        <v>850</v>
      </c>
      <c r="D179" s="134" t="s">
        <v>76</v>
      </c>
      <c r="E179" s="134" t="s">
        <v>54</v>
      </c>
      <c r="F179" s="134" t="s">
        <v>1211</v>
      </c>
      <c r="G179" s="134" t="s">
        <v>373</v>
      </c>
      <c r="H179" s="134" t="s">
        <v>237</v>
      </c>
    </row>
    <row r="180" spans="1:8" ht="12.95" customHeight="1">
      <c r="A180" s="16">
        <v>162</v>
      </c>
      <c r="B180" s="16">
        <v>2</v>
      </c>
      <c r="C180" s="132" t="s">
        <v>853</v>
      </c>
      <c r="D180" s="134" t="s">
        <v>76</v>
      </c>
      <c r="E180" s="134" t="s">
        <v>361</v>
      </c>
      <c r="F180" s="134" t="s">
        <v>1211</v>
      </c>
      <c r="G180" s="134" t="s">
        <v>373</v>
      </c>
      <c r="H180" s="134" t="s">
        <v>237</v>
      </c>
    </row>
    <row r="181" spans="1:8" ht="12.95" customHeight="1">
      <c r="A181" s="16">
        <v>163</v>
      </c>
      <c r="B181" s="16">
        <v>3</v>
      </c>
      <c r="C181" s="132" t="s">
        <v>867</v>
      </c>
      <c r="D181" s="134" t="s">
        <v>76</v>
      </c>
      <c r="E181" s="134" t="s">
        <v>54</v>
      </c>
      <c r="F181" s="134" t="s">
        <v>1211</v>
      </c>
      <c r="G181" s="134" t="s">
        <v>373</v>
      </c>
      <c r="H181" s="134" t="s">
        <v>237</v>
      </c>
    </row>
    <row r="182" spans="1:8" ht="12.95" customHeight="1">
      <c r="A182" s="16">
        <v>164</v>
      </c>
      <c r="B182" s="16">
        <v>4</v>
      </c>
      <c r="C182" s="132" t="s">
        <v>872</v>
      </c>
      <c r="D182" s="134" t="s">
        <v>76</v>
      </c>
      <c r="E182" s="134" t="s">
        <v>54</v>
      </c>
      <c r="F182" s="134" t="s">
        <v>1211</v>
      </c>
      <c r="G182" s="134" t="s">
        <v>373</v>
      </c>
      <c r="H182" s="134" t="s">
        <v>237</v>
      </c>
    </row>
    <row r="183" spans="1:8" ht="12.95" customHeight="1">
      <c r="A183" s="16">
        <v>165</v>
      </c>
      <c r="B183" s="16">
        <v>5</v>
      </c>
      <c r="C183" s="132" t="s">
        <v>874</v>
      </c>
      <c r="D183" s="134" t="s">
        <v>62</v>
      </c>
      <c r="E183" s="134" t="s">
        <v>54</v>
      </c>
      <c r="F183" s="134" t="s">
        <v>1211</v>
      </c>
      <c r="G183" s="134" t="s">
        <v>373</v>
      </c>
      <c r="H183" s="131" t="s">
        <v>647</v>
      </c>
    </row>
    <row r="184" spans="1:8" ht="12.95" customHeight="1">
      <c r="A184" s="16">
        <v>166</v>
      </c>
      <c r="B184" s="16">
        <v>6</v>
      </c>
      <c r="C184" s="132" t="s">
        <v>418</v>
      </c>
      <c r="D184" s="134" t="s">
        <v>305</v>
      </c>
      <c r="E184" s="134" t="s">
        <v>54</v>
      </c>
      <c r="F184" s="134" t="s">
        <v>1211</v>
      </c>
      <c r="G184" s="134" t="s">
        <v>883</v>
      </c>
      <c r="H184" s="131" t="s">
        <v>411</v>
      </c>
    </row>
    <row r="185" spans="1:8" ht="12.95" customHeight="1">
      <c r="A185" s="16">
        <v>167</v>
      </c>
      <c r="B185" s="16">
        <v>7</v>
      </c>
      <c r="C185" s="132" t="s">
        <v>866</v>
      </c>
      <c r="D185" s="16" t="s">
        <v>76</v>
      </c>
      <c r="E185" s="134" t="s">
        <v>54</v>
      </c>
      <c r="F185" s="134" t="s">
        <v>1211</v>
      </c>
      <c r="G185" s="134" t="s">
        <v>371</v>
      </c>
      <c r="H185" s="131" t="s">
        <v>673</v>
      </c>
    </row>
    <row r="186" spans="1:8" ht="12.95" customHeight="1">
      <c r="A186" s="16">
        <v>168</v>
      </c>
      <c r="B186" s="16">
        <v>8</v>
      </c>
      <c r="C186" s="132" t="s">
        <v>378</v>
      </c>
      <c r="D186" s="16" t="s">
        <v>881</v>
      </c>
      <c r="E186" s="134" t="s">
        <v>92</v>
      </c>
      <c r="F186" s="134" t="s">
        <v>1218</v>
      </c>
      <c r="G186" s="134" t="s">
        <v>425</v>
      </c>
      <c r="H186" s="131" t="s">
        <v>673</v>
      </c>
    </row>
    <row r="187" spans="1:8" ht="12.95" customHeight="1">
      <c r="A187" s="16">
        <v>169</v>
      </c>
      <c r="B187" s="16">
        <v>9</v>
      </c>
      <c r="C187" s="132" t="s">
        <v>394</v>
      </c>
      <c r="D187" s="134" t="s">
        <v>76</v>
      </c>
      <c r="E187" s="134" t="s">
        <v>54</v>
      </c>
      <c r="F187" s="134" t="s">
        <v>1211</v>
      </c>
      <c r="G187" s="134" t="s">
        <v>371</v>
      </c>
      <c r="H187" s="134" t="s">
        <v>237</v>
      </c>
    </row>
    <row r="188" spans="1:8" ht="12.95" customHeight="1">
      <c r="A188" s="16">
        <v>170</v>
      </c>
      <c r="B188" s="16">
        <v>10</v>
      </c>
      <c r="C188" s="132" t="s">
        <v>200</v>
      </c>
      <c r="D188" s="134" t="s">
        <v>809</v>
      </c>
      <c r="E188" s="134" t="s">
        <v>54</v>
      </c>
      <c r="F188" s="134" t="s">
        <v>1211</v>
      </c>
      <c r="G188" s="134" t="s">
        <v>371</v>
      </c>
      <c r="H188" s="131" t="s">
        <v>411</v>
      </c>
    </row>
    <row r="189" spans="1:8" ht="12.95" customHeight="1">
      <c r="A189" s="16">
        <v>171</v>
      </c>
      <c r="B189" s="16">
        <v>11</v>
      </c>
      <c r="C189" s="132" t="s">
        <v>885</v>
      </c>
      <c r="D189" s="134" t="s">
        <v>167</v>
      </c>
      <c r="E189" s="134" t="s">
        <v>131</v>
      </c>
      <c r="F189" s="134" t="s">
        <v>1211</v>
      </c>
      <c r="G189" s="134" t="s">
        <v>374</v>
      </c>
      <c r="H189" s="134" t="s">
        <v>739</v>
      </c>
    </row>
    <row r="190" spans="1:8" ht="12.95" customHeight="1">
      <c r="A190" s="16">
        <v>172</v>
      </c>
      <c r="B190" s="16">
        <v>12</v>
      </c>
      <c r="C190" s="132" t="s">
        <v>861</v>
      </c>
      <c r="D190" s="134" t="s">
        <v>62</v>
      </c>
      <c r="E190" s="134" t="s">
        <v>54</v>
      </c>
      <c r="F190" s="134" t="s">
        <v>1211</v>
      </c>
      <c r="G190" s="134" t="s">
        <v>377</v>
      </c>
      <c r="H190" s="131" t="s">
        <v>647</v>
      </c>
    </row>
    <row r="191" spans="1:8" ht="12.95" customHeight="1">
      <c r="A191" s="16">
        <v>173</v>
      </c>
      <c r="B191" s="16">
        <v>13</v>
      </c>
      <c r="C191" s="132" t="s">
        <v>871</v>
      </c>
      <c r="D191" s="16" t="s">
        <v>62</v>
      </c>
      <c r="E191" s="134" t="s">
        <v>54</v>
      </c>
      <c r="F191" s="134" t="s">
        <v>1211</v>
      </c>
      <c r="G191" s="134" t="s">
        <v>377</v>
      </c>
      <c r="H191" s="131" t="s">
        <v>647</v>
      </c>
    </row>
    <row r="192" spans="1:8" ht="12.95" customHeight="1">
      <c r="A192" s="16">
        <v>174</v>
      </c>
      <c r="B192" s="16">
        <v>14</v>
      </c>
      <c r="C192" s="132" t="s">
        <v>887</v>
      </c>
      <c r="D192" s="16" t="s">
        <v>186</v>
      </c>
      <c r="E192" s="134" t="s">
        <v>131</v>
      </c>
      <c r="F192" s="134" t="s">
        <v>1211</v>
      </c>
      <c r="G192" s="134" t="s">
        <v>390</v>
      </c>
      <c r="H192" s="134" t="s">
        <v>739</v>
      </c>
    </row>
    <row r="193" spans="1:8" ht="12.95" customHeight="1">
      <c r="A193" s="16">
        <v>175</v>
      </c>
      <c r="B193" s="16">
        <v>15</v>
      </c>
      <c r="C193" s="132" t="s">
        <v>864</v>
      </c>
      <c r="D193" s="16" t="s">
        <v>62</v>
      </c>
      <c r="E193" s="134" t="s">
        <v>54</v>
      </c>
      <c r="F193" s="134" t="s">
        <v>1211</v>
      </c>
      <c r="G193" s="134" t="s">
        <v>390</v>
      </c>
      <c r="H193" s="131" t="s">
        <v>379</v>
      </c>
    </row>
    <row r="194" spans="1:8" ht="12.95" customHeight="1">
      <c r="A194" s="16">
        <v>176</v>
      </c>
      <c r="B194" s="16">
        <v>16</v>
      </c>
      <c r="C194" s="132" t="s">
        <v>857</v>
      </c>
      <c r="D194" s="16" t="s">
        <v>76</v>
      </c>
      <c r="E194" s="134" t="s">
        <v>54</v>
      </c>
      <c r="F194" s="134" t="s">
        <v>1211</v>
      </c>
      <c r="G194" s="134" t="s">
        <v>390</v>
      </c>
      <c r="H194" s="131" t="s">
        <v>379</v>
      </c>
    </row>
    <row r="195" spans="1:8" ht="12.95" customHeight="1">
      <c r="A195" s="16">
        <v>177</v>
      </c>
      <c r="B195" s="16">
        <v>17</v>
      </c>
      <c r="C195" s="132" t="s">
        <v>877</v>
      </c>
      <c r="D195" s="134" t="s">
        <v>62</v>
      </c>
      <c r="E195" s="134" t="s">
        <v>54</v>
      </c>
      <c r="F195" s="134" t="s">
        <v>1211</v>
      </c>
      <c r="G195" s="134" t="s">
        <v>390</v>
      </c>
      <c r="H195" s="131" t="s">
        <v>379</v>
      </c>
    </row>
    <row r="196" spans="1:8" ht="12.95" customHeight="1">
      <c r="A196" s="16">
        <v>178</v>
      </c>
      <c r="B196" s="16">
        <v>18</v>
      </c>
      <c r="C196" s="132" t="s">
        <v>421</v>
      </c>
      <c r="D196" s="134" t="s">
        <v>243</v>
      </c>
      <c r="E196" s="134" t="s">
        <v>54</v>
      </c>
      <c r="F196" s="134" t="s">
        <v>1211</v>
      </c>
      <c r="G196" s="134" t="s">
        <v>391</v>
      </c>
      <c r="H196" s="134" t="s">
        <v>237</v>
      </c>
    </row>
    <row r="197" spans="1:8" ht="12.95" customHeight="1">
      <c r="A197" s="16">
        <v>179</v>
      </c>
      <c r="B197" s="16">
        <v>19</v>
      </c>
      <c r="C197" s="132" t="s">
        <v>484</v>
      </c>
      <c r="D197" s="129" t="s">
        <v>76</v>
      </c>
      <c r="E197" s="129" t="s">
        <v>54</v>
      </c>
      <c r="F197" s="134" t="s">
        <v>1211</v>
      </c>
      <c r="G197" s="134" t="s">
        <v>391</v>
      </c>
      <c r="H197" s="131" t="s">
        <v>673</v>
      </c>
    </row>
    <row r="198" spans="1:8" ht="12.95" customHeight="1">
      <c r="A198" s="16">
        <v>180</v>
      </c>
      <c r="B198" s="16">
        <v>20</v>
      </c>
      <c r="C198" s="132" t="s">
        <v>888</v>
      </c>
      <c r="D198" s="134" t="s">
        <v>76</v>
      </c>
      <c r="E198" s="134" t="s">
        <v>54</v>
      </c>
      <c r="F198" s="134" t="s">
        <v>1211</v>
      </c>
      <c r="G198" s="134" t="s">
        <v>397</v>
      </c>
      <c r="H198" s="131" t="s">
        <v>647</v>
      </c>
    </row>
    <row r="199" spans="1:8" ht="12.95" customHeight="1">
      <c r="A199" s="16">
        <v>181</v>
      </c>
      <c r="B199" s="16">
        <v>21</v>
      </c>
      <c r="C199" s="132" t="s">
        <v>451</v>
      </c>
      <c r="D199" s="134" t="s">
        <v>76</v>
      </c>
      <c r="E199" s="134" t="s">
        <v>54</v>
      </c>
      <c r="F199" s="134" t="s">
        <v>1211</v>
      </c>
      <c r="G199" s="134" t="s">
        <v>398</v>
      </c>
      <c r="H199" s="131" t="s">
        <v>379</v>
      </c>
    </row>
    <row r="200" spans="1:8" ht="12.95" customHeight="1">
      <c r="A200" s="16">
        <v>182</v>
      </c>
      <c r="B200" s="16">
        <v>22</v>
      </c>
      <c r="C200" s="132" t="s">
        <v>889</v>
      </c>
      <c r="D200" s="134" t="s">
        <v>143</v>
      </c>
      <c r="E200" s="134" t="s">
        <v>131</v>
      </c>
      <c r="F200" s="134" t="s">
        <v>1211</v>
      </c>
      <c r="G200" s="134" t="s">
        <v>407</v>
      </c>
      <c r="H200" s="134" t="s">
        <v>739</v>
      </c>
    </row>
    <row r="201" spans="1:8" ht="12.95" customHeight="1">
      <c r="A201" s="16">
        <v>183</v>
      </c>
      <c r="B201" s="16">
        <v>23</v>
      </c>
      <c r="C201" s="132" t="s">
        <v>801</v>
      </c>
      <c r="D201" s="134" t="s">
        <v>186</v>
      </c>
      <c r="E201" s="134" t="s">
        <v>131</v>
      </c>
      <c r="F201" s="134" t="s">
        <v>1211</v>
      </c>
      <c r="G201" s="134" t="s">
        <v>407</v>
      </c>
      <c r="H201" s="131" t="s">
        <v>1236</v>
      </c>
    </row>
    <row r="202" spans="1:8" ht="12.95" customHeight="1">
      <c r="A202" s="16">
        <v>184</v>
      </c>
      <c r="B202" s="16">
        <v>24</v>
      </c>
      <c r="C202" s="132" t="s">
        <v>806</v>
      </c>
      <c r="D202" s="134" t="s">
        <v>143</v>
      </c>
      <c r="E202" s="134" t="s">
        <v>131</v>
      </c>
      <c r="F202" s="134" t="s">
        <v>1211</v>
      </c>
      <c r="G202" s="134" t="s">
        <v>407</v>
      </c>
      <c r="H202" s="131" t="s">
        <v>1236</v>
      </c>
    </row>
    <row r="203" spans="1:8" ht="12.95" customHeight="1">
      <c r="B203" s="154" t="s">
        <v>412</v>
      </c>
    </row>
    <row r="204" spans="1:8" ht="12.95" customHeight="1">
      <c r="A204" s="16">
        <v>185</v>
      </c>
      <c r="B204" s="16">
        <v>1</v>
      </c>
      <c r="C204" s="227" t="s">
        <v>893</v>
      </c>
      <c r="D204" s="16" t="s">
        <v>167</v>
      </c>
      <c r="E204" s="16" t="s">
        <v>131</v>
      </c>
      <c r="F204" s="16" t="s">
        <v>1211</v>
      </c>
      <c r="G204" s="16" t="s">
        <v>417</v>
      </c>
      <c r="H204" s="134" t="s">
        <v>739</v>
      </c>
    </row>
    <row r="205" spans="1:8" ht="12.95" customHeight="1">
      <c r="A205" s="16">
        <v>186</v>
      </c>
      <c r="B205" s="16">
        <v>2</v>
      </c>
      <c r="C205" s="227" t="s">
        <v>891</v>
      </c>
      <c r="D205" s="16" t="s">
        <v>143</v>
      </c>
      <c r="E205" s="134" t="s">
        <v>131</v>
      </c>
      <c r="F205" s="134" t="s">
        <v>1211</v>
      </c>
      <c r="G205" s="134" t="s">
        <v>417</v>
      </c>
      <c r="H205" s="134" t="s">
        <v>739</v>
      </c>
    </row>
    <row r="206" spans="1:8" ht="12.95" customHeight="1">
      <c r="A206" s="16">
        <v>187</v>
      </c>
      <c r="B206" s="16">
        <v>3</v>
      </c>
      <c r="C206" s="132" t="s">
        <v>890</v>
      </c>
      <c r="D206" s="134" t="s">
        <v>305</v>
      </c>
      <c r="E206" s="134" t="s">
        <v>54</v>
      </c>
      <c r="F206" s="134" t="s">
        <v>1211</v>
      </c>
      <c r="G206" s="134" t="s">
        <v>1224</v>
      </c>
      <c r="H206" s="131" t="s">
        <v>647</v>
      </c>
    </row>
    <row r="207" spans="1:8" ht="12.95" customHeight="1">
      <c r="A207" s="16">
        <v>188</v>
      </c>
      <c r="B207" s="16">
        <v>4</v>
      </c>
      <c r="C207" s="132" t="s">
        <v>882</v>
      </c>
      <c r="D207" s="134" t="s">
        <v>62</v>
      </c>
      <c r="E207" s="134" t="s">
        <v>54</v>
      </c>
      <c r="F207" s="134" t="s">
        <v>1211</v>
      </c>
      <c r="G207" s="134" t="s">
        <v>1224</v>
      </c>
      <c r="H207" s="131" t="s">
        <v>647</v>
      </c>
    </row>
    <row r="208" spans="1:8" ht="12.95" customHeight="1">
      <c r="A208" s="16">
        <v>189</v>
      </c>
      <c r="B208" s="16">
        <v>5</v>
      </c>
      <c r="C208" s="132" t="s">
        <v>884</v>
      </c>
      <c r="D208" s="134" t="s">
        <v>62</v>
      </c>
      <c r="E208" s="134" t="s">
        <v>54</v>
      </c>
      <c r="F208" s="134" t="s">
        <v>1211</v>
      </c>
      <c r="G208" s="134" t="s">
        <v>1224</v>
      </c>
      <c r="H208" s="134" t="s">
        <v>379</v>
      </c>
    </row>
    <row r="209" spans="1:8" ht="12.95" customHeight="1">
      <c r="A209" s="16">
        <v>190</v>
      </c>
      <c r="B209" s="16">
        <v>6</v>
      </c>
      <c r="C209" s="132" t="s">
        <v>405</v>
      </c>
      <c r="D209" s="134" t="s">
        <v>305</v>
      </c>
      <c r="E209" s="134" t="s">
        <v>54</v>
      </c>
      <c r="F209" s="134" t="s">
        <v>1211</v>
      </c>
      <c r="G209" s="134" t="s">
        <v>1224</v>
      </c>
      <c r="H209" s="134" t="s">
        <v>379</v>
      </c>
    </row>
    <row r="210" spans="1:8" ht="12.95" customHeight="1">
      <c r="A210" s="16">
        <v>191</v>
      </c>
      <c r="B210" s="16">
        <v>7</v>
      </c>
      <c r="C210" s="132" t="s">
        <v>254</v>
      </c>
      <c r="D210" s="134" t="s">
        <v>287</v>
      </c>
      <c r="E210" s="134" t="s">
        <v>54</v>
      </c>
      <c r="F210" s="134" t="s">
        <v>1211</v>
      </c>
      <c r="G210" s="134" t="s">
        <v>1224</v>
      </c>
      <c r="H210" s="131" t="s">
        <v>673</v>
      </c>
    </row>
    <row r="211" spans="1:8" ht="12.95" customHeight="1">
      <c r="A211" s="16">
        <v>192</v>
      </c>
      <c r="B211" s="16">
        <v>8</v>
      </c>
      <c r="C211" s="132" t="s">
        <v>458</v>
      </c>
      <c r="D211" s="134" t="s">
        <v>76</v>
      </c>
      <c r="E211" s="134" t="s">
        <v>54</v>
      </c>
      <c r="F211" s="134" t="s">
        <v>1211</v>
      </c>
      <c r="G211" s="134" t="s">
        <v>438</v>
      </c>
      <c r="H211" s="131" t="s">
        <v>673</v>
      </c>
    </row>
    <row r="212" spans="1:8" ht="12.95" customHeight="1">
      <c r="A212" s="16">
        <v>193</v>
      </c>
      <c r="B212" s="16">
        <v>9</v>
      </c>
      <c r="C212" s="132" t="s">
        <v>493</v>
      </c>
      <c r="D212" s="134" t="s">
        <v>896</v>
      </c>
      <c r="E212" s="134" t="s">
        <v>897</v>
      </c>
      <c r="F212" s="134" t="s">
        <v>1211</v>
      </c>
      <c r="G212" s="134" t="s">
        <v>898</v>
      </c>
      <c r="H212" s="131" t="s">
        <v>673</v>
      </c>
    </row>
    <row r="213" spans="1:8" ht="12.95" customHeight="1">
      <c r="A213" s="16">
        <v>194</v>
      </c>
      <c r="B213" s="16">
        <v>10</v>
      </c>
      <c r="C213" s="132" t="s">
        <v>899</v>
      </c>
      <c r="D213" s="134" t="s">
        <v>793</v>
      </c>
      <c r="E213" s="134" t="s">
        <v>131</v>
      </c>
      <c r="F213" s="134" t="s">
        <v>1211</v>
      </c>
      <c r="G213" s="134" t="s">
        <v>901</v>
      </c>
      <c r="H213" s="134" t="s">
        <v>739</v>
      </c>
    </row>
    <row r="214" spans="1:8" ht="12.95" customHeight="1">
      <c r="A214" s="16">
        <v>195</v>
      </c>
      <c r="B214" s="16">
        <v>11</v>
      </c>
      <c r="C214" s="132" t="s">
        <v>900</v>
      </c>
      <c r="D214" s="134" t="s">
        <v>76</v>
      </c>
      <c r="E214" s="134" t="s">
        <v>92</v>
      </c>
      <c r="F214" s="134" t="s">
        <v>1218</v>
      </c>
      <c r="G214" s="134" t="s">
        <v>912</v>
      </c>
      <c r="H214" s="131" t="s">
        <v>673</v>
      </c>
    </row>
    <row r="215" spans="1:8" ht="12.95" customHeight="1">
      <c r="A215" s="16">
        <v>196</v>
      </c>
      <c r="B215" s="16">
        <v>12</v>
      </c>
      <c r="C215" s="132" t="s">
        <v>111</v>
      </c>
      <c r="D215" s="134" t="s">
        <v>112</v>
      </c>
      <c r="E215" s="134" t="s">
        <v>54</v>
      </c>
      <c r="F215" s="134" t="s">
        <v>1211</v>
      </c>
      <c r="G215" s="134" t="s">
        <v>912</v>
      </c>
      <c r="H215" s="134" t="s">
        <v>237</v>
      </c>
    </row>
    <row r="216" spans="1:8" ht="12.95" customHeight="1">
      <c r="A216" s="16">
        <v>197</v>
      </c>
      <c r="B216" s="16">
        <v>13</v>
      </c>
      <c r="C216" s="228" t="s">
        <v>894</v>
      </c>
      <c r="D216" s="229" t="s">
        <v>167</v>
      </c>
      <c r="E216" s="219" t="s">
        <v>131</v>
      </c>
      <c r="F216" s="219" t="s">
        <v>1211</v>
      </c>
      <c r="G216" s="219" t="s">
        <v>434</v>
      </c>
      <c r="H216" s="134" t="s">
        <v>739</v>
      </c>
    </row>
    <row r="217" spans="1:8" ht="12.95" customHeight="1">
      <c r="A217" s="16">
        <v>198</v>
      </c>
      <c r="B217" s="16">
        <v>14</v>
      </c>
      <c r="C217" s="230" t="s">
        <v>895</v>
      </c>
      <c r="D217" s="229" t="s">
        <v>347</v>
      </c>
      <c r="E217" s="219" t="s">
        <v>131</v>
      </c>
      <c r="F217" s="219" t="s">
        <v>1211</v>
      </c>
      <c r="G217" s="219" t="s">
        <v>434</v>
      </c>
      <c r="H217" s="134" t="s">
        <v>739</v>
      </c>
    </row>
    <row r="218" spans="1:8" ht="12.95" customHeight="1">
      <c r="B218" s="154" t="s">
        <v>443</v>
      </c>
    </row>
    <row r="219" spans="1:8" ht="12.95" customHeight="1">
      <c r="A219" s="16">
        <v>199</v>
      </c>
      <c r="B219" s="16">
        <v>1</v>
      </c>
      <c r="C219" s="227" t="s">
        <v>904</v>
      </c>
      <c r="D219" s="134" t="s">
        <v>793</v>
      </c>
      <c r="E219" s="134" t="s">
        <v>131</v>
      </c>
      <c r="F219" s="219" t="s">
        <v>1211</v>
      </c>
      <c r="G219" s="219" t="s">
        <v>1237</v>
      </c>
      <c r="H219" s="134" t="s">
        <v>739</v>
      </c>
    </row>
    <row r="220" spans="1:8" ht="12.95" customHeight="1">
      <c r="A220" s="16">
        <v>200</v>
      </c>
      <c r="B220" s="16">
        <v>2</v>
      </c>
      <c r="C220" s="227" t="s">
        <v>909</v>
      </c>
      <c r="D220" s="134" t="s">
        <v>227</v>
      </c>
      <c r="E220" s="134" t="s">
        <v>131</v>
      </c>
      <c r="F220" s="219" t="s">
        <v>1211</v>
      </c>
      <c r="G220" s="219" t="s">
        <v>1238</v>
      </c>
      <c r="H220" s="134" t="s">
        <v>739</v>
      </c>
    </row>
    <row r="221" spans="1:8" ht="12.95" customHeight="1">
      <c r="A221" s="16">
        <v>201</v>
      </c>
      <c r="B221" s="16">
        <v>3</v>
      </c>
      <c r="C221" s="227" t="s">
        <v>917</v>
      </c>
      <c r="D221" s="134" t="s">
        <v>227</v>
      </c>
      <c r="E221" s="134" t="s">
        <v>131</v>
      </c>
      <c r="F221" s="219" t="s">
        <v>1211</v>
      </c>
      <c r="G221" s="134" t="s">
        <v>927</v>
      </c>
      <c r="H221" s="134" t="s">
        <v>739</v>
      </c>
    </row>
    <row r="222" spans="1:8" ht="12.95" customHeight="1">
      <c r="A222" s="16">
        <v>202</v>
      </c>
      <c r="B222" s="16">
        <v>4</v>
      </c>
      <c r="C222" s="227" t="s">
        <v>911</v>
      </c>
      <c r="D222" s="134" t="s">
        <v>566</v>
      </c>
      <c r="E222" s="134" t="s">
        <v>131</v>
      </c>
      <c r="F222" s="219" t="s">
        <v>1211</v>
      </c>
      <c r="G222" s="134" t="s">
        <v>927</v>
      </c>
      <c r="H222" s="134" t="s">
        <v>739</v>
      </c>
    </row>
    <row r="223" spans="1:8" ht="12.95" customHeight="1">
      <c r="A223" s="16">
        <v>203</v>
      </c>
      <c r="B223" s="16">
        <v>5</v>
      </c>
      <c r="C223" s="227" t="s">
        <v>906</v>
      </c>
      <c r="D223" s="134" t="s">
        <v>907</v>
      </c>
      <c r="E223" s="134" t="s">
        <v>131</v>
      </c>
      <c r="F223" s="219" t="s">
        <v>1211</v>
      </c>
      <c r="G223" s="134" t="s">
        <v>927</v>
      </c>
      <c r="H223" s="134" t="s">
        <v>739</v>
      </c>
    </row>
    <row r="224" spans="1:8" ht="12.95" customHeight="1">
      <c r="A224" s="16">
        <v>204</v>
      </c>
      <c r="B224" s="16">
        <v>6</v>
      </c>
      <c r="C224" s="227" t="s">
        <v>924</v>
      </c>
      <c r="D224" s="134" t="s">
        <v>76</v>
      </c>
      <c r="E224" s="134" t="s">
        <v>54</v>
      </c>
      <c r="F224" s="219" t="s">
        <v>1211</v>
      </c>
      <c r="G224" s="134" t="s">
        <v>452</v>
      </c>
      <c r="H224" s="134" t="s">
        <v>237</v>
      </c>
    </row>
    <row r="225" spans="1:8" ht="12.95" customHeight="1">
      <c r="B225" s="154" t="s">
        <v>935</v>
      </c>
    </row>
    <row r="226" spans="1:8" ht="12.95" customHeight="1">
      <c r="A226" s="16">
        <v>205</v>
      </c>
      <c r="B226" s="16">
        <v>1</v>
      </c>
      <c r="C226" s="227" t="s">
        <v>939</v>
      </c>
      <c r="D226" s="134" t="s">
        <v>186</v>
      </c>
      <c r="E226" s="134" t="s">
        <v>131</v>
      </c>
      <c r="F226" s="219" t="s">
        <v>1211</v>
      </c>
      <c r="G226" s="134" t="s">
        <v>940</v>
      </c>
      <c r="H226" s="134" t="s">
        <v>739</v>
      </c>
    </row>
    <row r="227" spans="1:8" ht="12.95" customHeight="1">
      <c r="A227" s="16">
        <v>206</v>
      </c>
      <c r="B227" s="16">
        <v>2</v>
      </c>
      <c r="C227" s="227" t="s">
        <v>946</v>
      </c>
      <c r="D227" s="134" t="s">
        <v>167</v>
      </c>
      <c r="E227" s="134" t="s">
        <v>131</v>
      </c>
      <c r="F227" s="219" t="s">
        <v>1211</v>
      </c>
      <c r="G227" s="134" t="s">
        <v>944</v>
      </c>
      <c r="H227" s="134" t="s">
        <v>928</v>
      </c>
    </row>
    <row r="228" spans="1:8" ht="12.95" customHeight="1">
      <c r="A228" s="16">
        <v>207</v>
      </c>
      <c r="B228" s="16">
        <v>3</v>
      </c>
      <c r="C228" s="227" t="s">
        <v>934</v>
      </c>
      <c r="D228" s="134" t="s">
        <v>76</v>
      </c>
      <c r="E228" s="134" t="s">
        <v>92</v>
      </c>
      <c r="F228" s="219" t="s">
        <v>1211</v>
      </c>
      <c r="G228" s="134" t="s">
        <v>466</v>
      </c>
      <c r="H228" s="131" t="s">
        <v>673</v>
      </c>
    </row>
    <row r="229" spans="1:8" ht="12.95" customHeight="1">
      <c r="A229" s="16">
        <v>208</v>
      </c>
      <c r="B229" s="16">
        <v>4</v>
      </c>
      <c r="C229" s="227" t="s">
        <v>178</v>
      </c>
      <c r="D229" s="231" t="s">
        <v>76</v>
      </c>
      <c r="E229" s="134" t="s">
        <v>54</v>
      </c>
      <c r="F229" s="219" t="s">
        <v>1211</v>
      </c>
      <c r="G229" s="134" t="s">
        <v>466</v>
      </c>
      <c r="H229" s="134" t="s">
        <v>237</v>
      </c>
    </row>
    <row r="230" spans="1:8" ht="12.95" customHeight="1">
      <c r="A230" s="16">
        <v>209</v>
      </c>
      <c r="B230" s="16">
        <v>5</v>
      </c>
      <c r="C230" s="227" t="s">
        <v>182</v>
      </c>
      <c r="D230" s="231" t="s">
        <v>62</v>
      </c>
      <c r="E230" s="134" t="s">
        <v>54</v>
      </c>
      <c r="F230" s="219" t="s">
        <v>1211</v>
      </c>
      <c r="G230" s="134" t="s">
        <v>953</v>
      </c>
      <c r="H230" s="134" t="s">
        <v>237</v>
      </c>
    </row>
    <row r="231" spans="1:8" ht="12.95" customHeight="1">
      <c r="A231" s="16">
        <v>210</v>
      </c>
      <c r="B231" s="16">
        <v>6</v>
      </c>
      <c r="C231" s="227" t="s">
        <v>956</v>
      </c>
      <c r="D231" s="231" t="s">
        <v>186</v>
      </c>
      <c r="E231" s="134" t="s">
        <v>131</v>
      </c>
      <c r="F231" s="219" t="s">
        <v>1211</v>
      </c>
      <c r="G231" s="134" t="s">
        <v>457</v>
      </c>
      <c r="H231" s="134" t="s">
        <v>739</v>
      </c>
    </row>
    <row r="232" spans="1:8" ht="12.95" customHeight="1">
      <c r="A232" s="16">
        <v>211</v>
      </c>
      <c r="B232" s="16">
        <v>7</v>
      </c>
      <c r="C232" s="227" t="s">
        <v>949</v>
      </c>
      <c r="D232" s="231" t="s">
        <v>76</v>
      </c>
      <c r="E232" s="134" t="s">
        <v>131</v>
      </c>
      <c r="F232" s="219" t="s">
        <v>1211</v>
      </c>
      <c r="G232" s="134" t="s">
        <v>457</v>
      </c>
      <c r="H232" s="134" t="s">
        <v>928</v>
      </c>
    </row>
    <row r="233" spans="1:8" ht="12.95" customHeight="1">
      <c r="A233" s="16">
        <v>212</v>
      </c>
      <c r="B233" s="16">
        <v>8</v>
      </c>
      <c r="C233" s="227" t="s">
        <v>144</v>
      </c>
      <c r="D233" s="231" t="s">
        <v>53</v>
      </c>
      <c r="E233" s="134" t="s">
        <v>54</v>
      </c>
      <c r="F233" s="219" t="s">
        <v>1211</v>
      </c>
      <c r="G233" s="134" t="s">
        <v>464</v>
      </c>
      <c r="H233" s="134" t="s">
        <v>237</v>
      </c>
    </row>
    <row r="234" spans="1:8" ht="12.95" customHeight="1">
      <c r="A234" s="16">
        <v>213</v>
      </c>
      <c r="B234" s="16">
        <v>9</v>
      </c>
      <c r="C234" s="227" t="s">
        <v>159</v>
      </c>
      <c r="D234" s="231" t="s">
        <v>76</v>
      </c>
      <c r="E234" s="134" t="s">
        <v>54</v>
      </c>
      <c r="F234" s="219" t="s">
        <v>1211</v>
      </c>
      <c r="G234" s="134" t="s">
        <v>464</v>
      </c>
      <c r="H234" s="134" t="s">
        <v>237</v>
      </c>
    </row>
    <row r="235" spans="1:8" ht="12.95" customHeight="1">
      <c r="A235" s="16">
        <v>214</v>
      </c>
      <c r="B235" s="16">
        <v>10</v>
      </c>
      <c r="C235" s="227" t="s">
        <v>958</v>
      </c>
      <c r="D235" s="231" t="s">
        <v>896</v>
      </c>
      <c r="E235" s="134" t="s">
        <v>897</v>
      </c>
      <c r="F235" s="219" t="s">
        <v>1211</v>
      </c>
      <c r="G235" s="134" t="s">
        <v>464</v>
      </c>
      <c r="H235" s="131" t="s">
        <v>673</v>
      </c>
    </row>
    <row r="236" spans="1:8" ht="12.95" customHeight="1">
      <c r="A236" s="16">
        <v>215</v>
      </c>
      <c r="B236" s="16">
        <v>11</v>
      </c>
      <c r="C236" s="227" t="s">
        <v>193</v>
      </c>
      <c r="D236" s="231" t="s">
        <v>62</v>
      </c>
      <c r="E236" s="134" t="s">
        <v>54</v>
      </c>
      <c r="F236" s="219" t="s">
        <v>1211</v>
      </c>
      <c r="G236" s="134" t="s">
        <v>966</v>
      </c>
      <c r="H236" s="134" t="s">
        <v>237</v>
      </c>
    </row>
    <row r="237" spans="1:8" ht="12.95" customHeight="1">
      <c r="A237" s="16">
        <v>216</v>
      </c>
      <c r="B237" s="16">
        <v>12</v>
      </c>
      <c r="C237" s="227" t="s">
        <v>967</v>
      </c>
      <c r="D237" s="134" t="s">
        <v>167</v>
      </c>
      <c r="E237" s="134" t="s">
        <v>131</v>
      </c>
      <c r="F237" s="219" t="s">
        <v>1211</v>
      </c>
      <c r="G237" s="134" t="s">
        <v>491</v>
      </c>
      <c r="H237" s="134" t="s">
        <v>928</v>
      </c>
    </row>
    <row r="238" spans="1:8" ht="12.95" customHeight="1">
      <c r="A238" s="16">
        <v>217</v>
      </c>
      <c r="B238" s="16">
        <v>13</v>
      </c>
      <c r="C238" s="227" t="s">
        <v>950</v>
      </c>
      <c r="D238" s="134" t="s">
        <v>212</v>
      </c>
      <c r="E238" s="134" t="s">
        <v>131</v>
      </c>
      <c r="F238" s="219" t="s">
        <v>1211</v>
      </c>
      <c r="G238" s="134" t="s">
        <v>494</v>
      </c>
      <c r="H238" s="134" t="s">
        <v>928</v>
      </c>
    </row>
    <row r="239" spans="1:8" ht="12.95" customHeight="1">
      <c r="A239" s="16">
        <v>218</v>
      </c>
      <c r="B239" s="16">
        <v>14</v>
      </c>
      <c r="C239" s="227" t="s">
        <v>969</v>
      </c>
      <c r="D239" s="134" t="s">
        <v>167</v>
      </c>
      <c r="E239" s="134" t="s">
        <v>131</v>
      </c>
      <c r="F239" s="219" t="s">
        <v>1211</v>
      </c>
      <c r="G239" s="134" t="s">
        <v>494</v>
      </c>
      <c r="H239" s="134" t="s">
        <v>928</v>
      </c>
    </row>
    <row r="240" spans="1:8" ht="12.95" customHeight="1">
      <c r="A240" s="16">
        <v>219</v>
      </c>
      <c r="B240" s="16">
        <v>15</v>
      </c>
      <c r="C240" s="227" t="s">
        <v>971</v>
      </c>
      <c r="D240" s="134" t="s">
        <v>167</v>
      </c>
      <c r="E240" s="134" t="s">
        <v>131</v>
      </c>
      <c r="F240" s="219" t="s">
        <v>1211</v>
      </c>
      <c r="G240" s="134" t="s">
        <v>494</v>
      </c>
      <c r="H240" s="134" t="s">
        <v>513</v>
      </c>
    </row>
    <row r="241" spans="1:8" ht="12.95" customHeight="1">
      <c r="B241" s="203">
        <v>45682</v>
      </c>
    </row>
    <row r="242" spans="1:8" ht="12.95" customHeight="1">
      <c r="A242" s="16">
        <v>220</v>
      </c>
      <c r="B242" s="16">
        <v>1</v>
      </c>
      <c r="C242" s="227" t="s">
        <v>914</v>
      </c>
      <c r="D242" s="134" t="s">
        <v>915</v>
      </c>
      <c r="E242" s="134" t="s">
        <v>131</v>
      </c>
      <c r="F242" s="219" t="s">
        <v>1211</v>
      </c>
      <c r="G242" s="134" t="s">
        <v>498</v>
      </c>
      <c r="H242" s="134" t="s">
        <v>739</v>
      </c>
    </row>
    <row r="243" spans="1:8" ht="12.95" customHeight="1">
      <c r="A243" s="16">
        <v>221</v>
      </c>
      <c r="B243" s="16">
        <v>2</v>
      </c>
      <c r="C243" s="227" t="s">
        <v>972</v>
      </c>
      <c r="D243" s="134" t="s">
        <v>143</v>
      </c>
      <c r="E243" s="134" t="s">
        <v>131</v>
      </c>
      <c r="F243" s="219" t="s">
        <v>1211</v>
      </c>
      <c r="G243" s="134" t="s">
        <v>496</v>
      </c>
      <c r="H243" s="134" t="s">
        <v>739</v>
      </c>
    </row>
    <row r="244" spans="1:8" ht="12.95" customHeight="1">
      <c r="A244" s="16">
        <v>222</v>
      </c>
      <c r="B244" s="16">
        <v>3</v>
      </c>
      <c r="C244" s="227" t="s">
        <v>962</v>
      </c>
      <c r="D244" s="134" t="s">
        <v>143</v>
      </c>
      <c r="E244" s="134" t="s">
        <v>131</v>
      </c>
      <c r="F244" s="219" t="s">
        <v>1211</v>
      </c>
      <c r="G244" s="134" t="s">
        <v>1239</v>
      </c>
      <c r="H244" s="134" t="s">
        <v>739</v>
      </c>
    </row>
    <row r="245" spans="1:8" ht="12.95" customHeight="1">
      <c r="A245" s="16">
        <v>223</v>
      </c>
      <c r="B245" s="16">
        <v>4</v>
      </c>
      <c r="C245" s="227" t="s">
        <v>156</v>
      </c>
      <c r="D245" s="134" t="s">
        <v>53</v>
      </c>
      <c r="E245" s="134" t="s">
        <v>54</v>
      </c>
      <c r="F245" s="219" t="s">
        <v>1211</v>
      </c>
      <c r="G245" s="134" t="s">
        <v>499</v>
      </c>
      <c r="H245" s="134" t="s">
        <v>237</v>
      </c>
    </row>
    <row r="246" spans="1:8" ht="12.95" customHeight="1">
      <c r="A246" s="16">
        <v>224</v>
      </c>
      <c r="B246" s="16">
        <v>5</v>
      </c>
      <c r="C246" s="227" t="s">
        <v>954</v>
      </c>
      <c r="D246" s="134" t="s">
        <v>143</v>
      </c>
      <c r="E246" s="134" t="s">
        <v>131</v>
      </c>
      <c r="F246" s="219" t="s">
        <v>1211</v>
      </c>
      <c r="G246" s="134" t="s">
        <v>505</v>
      </c>
      <c r="H246" s="134" t="s">
        <v>955</v>
      </c>
    </row>
    <row r="247" spans="1:8" ht="12.95" customHeight="1">
      <c r="A247" s="16">
        <v>225</v>
      </c>
      <c r="B247" s="16">
        <v>6</v>
      </c>
      <c r="C247" s="227" t="s">
        <v>961</v>
      </c>
      <c r="D247" s="134" t="s">
        <v>143</v>
      </c>
      <c r="E247" s="134" t="s">
        <v>131</v>
      </c>
      <c r="F247" s="219" t="s">
        <v>1211</v>
      </c>
      <c r="G247" s="134" t="s">
        <v>505</v>
      </c>
      <c r="H247" s="134" t="s">
        <v>955</v>
      </c>
    </row>
    <row r="248" spans="1:8" ht="12.95" customHeight="1">
      <c r="A248" s="16">
        <v>226</v>
      </c>
      <c r="B248" s="16">
        <v>7</v>
      </c>
      <c r="C248" s="227" t="s">
        <v>959</v>
      </c>
      <c r="D248" s="134" t="s">
        <v>227</v>
      </c>
      <c r="E248" s="134" t="s">
        <v>131</v>
      </c>
      <c r="F248" s="219" t="s">
        <v>1211</v>
      </c>
      <c r="G248" s="134" t="s">
        <v>505</v>
      </c>
      <c r="H248" s="134" t="s">
        <v>955</v>
      </c>
    </row>
    <row r="249" spans="1:8" ht="12.95" customHeight="1">
      <c r="A249" s="16">
        <v>227</v>
      </c>
      <c r="B249" s="16">
        <v>8</v>
      </c>
      <c r="C249" s="227" t="s">
        <v>964</v>
      </c>
      <c r="D249" s="134" t="s">
        <v>167</v>
      </c>
      <c r="E249" s="134" t="s">
        <v>131</v>
      </c>
      <c r="F249" s="219" t="s">
        <v>1211</v>
      </c>
      <c r="G249" s="134" t="s">
        <v>1240</v>
      </c>
      <c r="H249" s="134" t="s">
        <v>931</v>
      </c>
    </row>
    <row r="250" spans="1:8" ht="12.95" customHeight="1">
      <c r="A250" s="16">
        <v>228</v>
      </c>
      <c r="B250" s="16">
        <v>9</v>
      </c>
      <c r="C250" s="227" t="s">
        <v>963</v>
      </c>
      <c r="D250" s="134" t="s">
        <v>512</v>
      </c>
      <c r="E250" s="134" t="s">
        <v>131</v>
      </c>
      <c r="F250" s="219" t="s">
        <v>1211</v>
      </c>
      <c r="G250" s="134" t="s">
        <v>1240</v>
      </c>
      <c r="H250" s="134" t="s">
        <v>931</v>
      </c>
    </row>
    <row r="251" spans="1:8" ht="12.95" customHeight="1">
      <c r="A251" s="16">
        <v>229</v>
      </c>
      <c r="B251" s="16">
        <v>10</v>
      </c>
      <c r="C251" s="227" t="s">
        <v>965</v>
      </c>
      <c r="D251" s="134" t="s">
        <v>167</v>
      </c>
      <c r="E251" s="134" t="s">
        <v>131</v>
      </c>
      <c r="F251" s="219" t="s">
        <v>1211</v>
      </c>
      <c r="G251" s="134" t="s">
        <v>1240</v>
      </c>
      <c r="H251" s="134" t="s">
        <v>931</v>
      </c>
    </row>
    <row r="252" spans="1:8" ht="12.95" customHeight="1">
      <c r="A252" s="16">
        <v>230</v>
      </c>
      <c r="B252" s="16">
        <v>11</v>
      </c>
      <c r="C252" s="227" t="s">
        <v>929</v>
      </c>
      <c r="D252" s="193" t="s">
        <v>143</v>
      </c>
      <c r="E252" s="134" t="s">
        <v>131</v>
      </c>
      <c r="F252" s="219" t="s">
        <v>1211</v>
      </c>
      <c r="G252" s="134" t="s">
        <v>1240</v>
      </c>
      <c r="H252" s="134" t="s">
        <v>931</v>
      </c>
    </row>
    <row r="253" spans="1:8" ht="12.95" customHeight="1">
      <c r="A253" s="16">
        <v>231</v>
      </c>
      <c r="B253" s="16">
        <v>12</v>
      </c>
      <c r="C253" s="227" t="s">
        <v>942</v>
      </c>
      <c r="D253" s="134" t="s">
        <v>167</v>
      </c>
      <c r="E253" s="134" t="s">
        <v>131</v>
      </c>
      <c r="F253" s="219" t="s">
        <v>1211</v>
      </c>
      <c r="G253" s="134" t="s">
        <v>1240</v>
      </c>
      <c r="H253" s="134" t="s">
        <v>931</v>
      </c>
    </row>
    <row r="254" spans="1:8" ht="12.95" customHeight="1">
      <c r="A254" s="16">
        <v>232</v>
      </c>
      <c r="B254" s="16">
        <v>13</v>
      </c>
      <c r="C254" s="227" t="s">
        <v>948</v>
      </c>
      <c r="D254" s="134" t="s">
        <v>167</v>
      </c>
      <c r="E254" s="134" t="s">
        <v>131</v>
      </c>
      <c r="F254" s="219" t="s">
        <v>1211</v>
      </c>
      <c r="G254" s="134" t="s">
        <v>1240</v>
      </c>
      <c r="H254" s="134" t="s">
        <v>931</v>
      </c>
    </row>
    <row r="255" spans="1:8" ht="12.95" customHeight="1">
      <c r="A255" s="16">
        <v>233</v>
      </c>
      <c r="B255" s="16">
        <v>14</v>
      </c>
      <c r="C255" s="132" t="s">
        <v>265</v>
      </c>
      <c r="D255" s="134" t="s">
        <v>805</v>
      </c>
      <c r="E255" s="134" t="s">
        <v>54</v>
      </c>
      <c r="F255" s="219" t="s">
        <v>1211</v>
      </c>
      <c r="G255" s="134" t="s">
        <v>537</v>
      </c>
      <c r="H255" s="134" t="s">
        <v>237</v>
      </c>
    </row>
    <row r="256" spans="1:8" ht="12.95" customHeight="1">
      <c r="A256" s="16">
        <v>234</v>
      </c>
      <c r="B256" s="16">
        <v>15</v>
      </c>
      <c r="C256" s="132" t="s">
        <v>936</v>
      </c>
      <c r="D256" s="134" t="s">
        <v>937</v>
      </c>
      <c r="E256" s="134" t="s">
        <v>131</v>
      </c>
      <c r="F256" s="219" t="s">
        <v>1211</v>
      </c>
      <c r="G256" s="134" t="s">
        <v>546</v>
      </c>
      <c r="H256" s="134" t="s">
        <v>928</v>
      </c>
    </row>
    <row r="257" spans="1:8" ht="12.95" customHeight="1">
      <c r="A257" s="16">
        <v>235</v>
      </c>
      <c r="B257" s="16">
        <v>16</v>
      </c>
      <c r="C257" s="132" t="s">
        <v>932</v>
      </c>
      <c r="D257" s="134" t="s">
        <v>143</v>
      </c>
      <c r="E257" s="134" t="s">
        <v>131</v>
      </c>
      <c r="F257" s="219" t="s">
        <v>1211</v>
      </c>
      <c r="G257" s="134" t="s">
        <v>546</v>
      </c>
      <c r="H257" s="134" t="s">
        <v>928</v>
      </c>
    </row>
    <row r="258" spans="1:8" ht="12.95" customHeight="1">
      <c r="A258" s="16">
        <v>236</v>
      </c>
      <c r="B258" s="16">
        <v>17</v>
      </c>
      <c r="C258" s="132" t="s">
        <v>920</v>
      </c>
      <c r="D258" s="134" t="s">
        <v>167</v>
      </c>
      <c r="E258" s="134" t="s">
        <v>131</v>
      </c>
      <c r="F258" s="219" t="s">
        <v>1211</v>
      </c>
      <c r="G258" s="134" t="s">
        <v>546</v>
      </c>
      <c r="H258" s="134" t="s">
        <v>928</v>
      </c>
    </row>
    <row r="259" spans="1:8" ht="12.95" customHeight="1">
      <c r="A259" s="16">
        <v>237</v>
      </c>
      <c r="B259" s="16">
        <v>18</v>
      </c>
      <c r="C259" s="132" t="s">
        <v>926</v>
      </c>
      <c r="D259" s="134" t="s">
        <v>167</v>
      </c>
      <c r="E259" s="134" t="s">
        <v>131</v>
      </c>
      <c r="F259" s="219" t="s">
        <v>1211</v>
      </c>
      <c r="G259" s="134" t="s">
        <v>546</v>
      </c>
      <c r="H259" s="134" t="s">
        <v>928</v>
      </c>
    </row>
    <row r="260" spans="1:8" ht="12.95" customHeight="1">
      <c r="A260" s="134"/>
      <c r="B260" s="527" t="s">
        <v>17</v>
      </c>
      <c r="C260" s="134"/>
      <c r="D260" s="134"/>
      <c r="E260" s="134"/>
      <c r="F260" s="134"/>
      <c r="G260" s="134"/>
      <c r="H260" s="134"/>
    </row>
    <row r="261" spans="1:8" ht="12.95" customHeight="1">
      <c r="A261" s="134">
        <v>238</v>
      </c>
      <c r="B261" s="134">
        <v>1</v>
      </c>
      <c r="C261" s="132" t="s">
        <v>154</v>
      </c>
      <c r="D261" s="134" t="s">
        <v>76</v>
      </c>
      <c r="E261" s="134" t="s">
        <v>54</v>
      </c>
      <c r="F261" s="134" t="s">
        <v>1211</v>
      </c>
      <c r="G261" s="134" t="s">
        <v>568</v>
      </c>
      <c r="H261" s="134" t="s">
        <v>1241</v>
      </c>
    </row>
    <row r="262" spans="1:8" ht="12.95" customHeight="1">
      <c r="A262" s="134">
        <v>239</v>
      </c>
      <c r="B262" s="134">
        <v>2</v>
      </c>
      <c r="C262" s="132" t="s">
        <v>175</v>
      </c>
      <c r="D262" s="134" t="s">
        <v>76</v>
      </c>
      <c r="E262" s="134" t="s">
        <v>54</v>
      </c>
      <c r="F262" s="134" t="s">
        <v>1211</v>
      </c>
      <c r="G262" s="134" t="s">
        <v>568</v>
      </c>
      <c r="H262" s="134" t="s">
        <v>1241</v>
      </c>
    </row>
    <row r="263" spans="1:8" ht="12.95" customHeight="1">
      <c r="A263" s="134">
        <v>240</v>
      </c>
      <c r="B263" s="134">
        <v>3</v>
      </c>
      <c r="C263" s="132" t="s">
        <v>133</v>
      </c>
      <c r="D263" s="134" t="s">
        <v>62</v>
      </c>
      <c r="E263" s="134" t="s">
        <v>54</v>
      </c>
      <c r="F263" s="134" t="s">
        <v>1211</v>
      </c>
      <c r="G263" s="134" t="s">
        <v>568</v>
      </c>
      <c r="H263" s="134" t="s">
        <v>1241</v>
      </c>
    </row>
    <row r="264" spans="1:8" ht="12.95" customHeight="1">
      <c r="A264" s="134">
        <v>241</v>
      </c>
      <c r="B264" s="134">
        <v>4</v>
      </c>
      <c r="C264" s="132" t="s">
        <v>146</v>
      </c>
      <c r="D264" s="134" t="s">
        <v>62</v>
      </c>
      <c r="E264" s="134" t="s">
        <v>54</v>
      </c>
      <c r="F264" s="134" t="s">
        <v>1211</v>
      </c>
      <c r="G264" s="134" t="s">
        <v>568</v>
      </c>
      <c r="H264" s="134" t="s">
        <v>1241</v>
      </c>
    </row>
    <row r="265" spans="1:8" ht="12.95" customHeight="1">
      <c r="A265" s="134">
        <v>242</v>
      </c>
      <c r="B265" s="134">
        <v>5</v>
      </c>
      <c r="C265" s="542" t="s">
        <v>981</v>
      </c>
      <c r="D265" s="534" t="s">
        <v>76</v>
      </c>
      <c r="E265" s="534" t="s">
        <v>131</v>
      </c>
      <c r="F265" s="534" t="s">
        <v>1211</v>
      </c>
      <c r="G265" s="534" t="s">
        <v>1666</v>
      </c>
      <c r="H265" s="534" t="s">
        <v>1241</v>
      </c>
    </row>
    <row r="266" spans="1:8" ht="12.95" customHeight="1">
      <c r="A266" s="134">
        <v>243</v>
      </c>
      <c r="B266" s="134">
        <v>6</v>
      </c>
      <c r="C266" s="542" t="s">
        <v>534</v>
      </c>
      <c r="D266" s="534" t="s">
        <v>53</v>
      </c>
      <c r="E266" s="534" t="s">
        <v>543</v>
      </c>
      <c r="F266" s="534" t="s">
        <v>1218</v>
      </c>
      <c r="G266" s="534" t="s">
        <v>1666</v>
      </c>
      <c r="H266" s="134" t="s">
        <v>237</v>
      </c>
    </row>
    <row r="267" spans="1:8" ht="12.95" customHeight="1">
      <c r="A267" s="134">
        <v>244</v>
      </c>
      <c r="B267" s="134">
        <v>7</v>
      </c>
      <c r="C267" s="542" t="s">
        <v>982</v>
      </c>
      <c r="D267" s="534" t="s">
        <v>793</v>
      </c>
      <c r="E267" s="534" t="s">
        <v>131</v>
      </c>
      <c r="F267" s="534" t="s">
        <v>1211</v>
      </c>
      <c r="G267" s="534" t="s">
        <v>1681</v>
      </c>
      <c r="H267" s="134" t="s">
        <v>469</v>
      </c>
    </row>
    <row r="268" spans="1:8" ht="12.95" customHeight="1">
      <c r="A268" s="134">
        <v>245</v>
      </c>
      <c r="B268" s="134">
        <v>8</v>
      </c>
      <c r="C268" s="542" t="s">
        <v>1664</v>
      </c>
      <c r="D268" s="534" t="s">
        <v>76</v>
      </c>
      <c r="E268" s="134" t="s">
        <v>131</v>
      </c>
      <c r="F268" s="534" t="s">
        <v>1211</v>
      </c>
      <c r="G268" s="134" t="s">
        <v>1682</v>
      </c>
      <c r="H268" s="534" t="s">
        <v>469</v>
      </c>
    </row>
    <row r="269" spans="1:8" ht="12.95" customHeight="1">
      <c r="A269" s="134">
        <v>246</v>
      </c>
      <c r="B269" s="134">
        <v>9</v>
      </c>
      <c r="C269" s="227" t="s">
        <v>436</v>
      </c>
      <c r="D269" s="134" t="s">
        <v>76</v>
      </c>
      <c r="E269" s="134" t="s">
        <v>54</v>
      </c>
      <c r="F269" s="534" t="s">
        <v>1211</v>
      </c>
      <c r="G269" s="134" t="s">
        <v>1687</v>
      </c>
      <c r="H269" s="534" t="s">
        <v>237</v>
      </c>
    </row>
    <row r="270" spans="1:8" ht="12.95" customHeight="1">
      <c r="A270" s="134">
        <v>247</v>
      </c>
      <c r="B270" s="134">
        <v>10</v>
      </c>
      <c r="C270" s="227" t="s">
        <v>148</v>
      </c>
      <c r="D270" s="134" t="s">
        <v>445</v>
      </c>
      <c r="E270" s="134" t="s">
        <v>54</v>
      </c>
      <c r="F270" s="534" t="s">
        <v>1211</v>
      </c>
      <c r="G270" s="134" t="s">
        <v>1687</v>
      </c>
      <c r="H270" s="534" t="s">
        <v>237</v>
      </c>
    </row>
    <row r="271" spans="1:8" ht="12.95" customHeight="1">
      <c r="A271" s="134">
        <v>248</v>
      </c>
      <c r="B271" s="134">
        <v>11</v>
      </c>
      <c r="C271" s="227" t="s">
        <v>187</v>
      </c>
      <c r="D271" s="134" t="s">
        <v>76</v>
      </c>
      <c r="E271" s="134" t="s">
        <v>54</v>
      </c>
      <c r="F271" s="534" t="s">
        <v>1211</v>
      </c>
      <c r="G271" s="134" t="s">
        <v>1687</v>
      </c>
      <c r="H271" s="534" t="s">
        <v>237</v>
      </c>
    </row>
    <row r="272" spans="1:8" ht="12.95" customHeight="1">
      <c r="A272" s="134">
        <v>249</v>
      </c>
      <c r="B272" s="134">
        <v>12</v>
      </c>
      <c r="C272" s="227" t="s">
        <v>960</v>
      </c>
      <c r="D272" s="134" t="s">
        <v>167</v>
      </c>
      <c r="E272" s="134" t="s">
        <v>131</v>
      </c>
      <c r="F272" s="534" t="s">
        <v>1211</v>
      </c>
      <c r="G272" s="134" t="s">
        <v>1693</v>
      </c>
      <c r="H272" s="134" t="s">
        <v>469</v>
      </c>
    </row>
    <row r="273" spans="1:8" ht="12.95" customHeight="1">
      <c r="A273" s="134">
        <v>250</v>
      </c>
      <c r="B273" s="134">
        <v>13</v>
      </c>
      <c r="C273" s="227" t="s">
        <v>952</v>
      </c>
      <c r="D273" s="134" t="s">
        <v>167</v>
      </c>
      <c r="E273" s="134" t="s">
        <v>131</v>
      </c>
      <c r="F273" s="534" t="s">
        <v>1211</v>
      </c>
      <c r="G273" s="134" t="s">
        <v>1693</v>
      </c>
      <c r="H273" s="134" t="s">
        <v>469</v>
      </c>
    </row>
    <row r="274" spans="1:8" ht="12.95" customHeight="1">
      <c r="A274" s="134">
        <v>251</v>
      </c>
      <c r="B274" s="134">
        <v>14</v>
      </c>
      <c r="C274" s="227" t="s">
        <v>976</v>
      </c>
      <c r="D274" s="134" t="s">
        <v>977</v>
      </c>
      <c r="E274" s="134" t="s">
        <v>131</v>
      </c>
      <c r="F274" s="534" t="s">
        <v>1211</v>
      </c>
      <c r="G274" s="134" t="s">
        <v>1697</v>
      </c>
      <c r="H274" s="134" t="s">
        <v>928</v>
      </c>
    </row>
    <row r="275" spans="1:8" ht="12.95" customHeight="1">
      <c r="A275" s="134">
        <v>252</v>
      </c>
      <c r="B275" s="134">
        <v>15</v>
      </c>
      <c r="C275" s="227" t="s">
        <v>984</v>
      </c>
      <c r="D275" s="134" t="s">
        <v>167</v>
      </c>
      <c r="E275" s="134" t="s">
        <v>131</v>
      </c>
      <c r="F275" s="534" t="s">
        <v>1211</v>
      </c>
      <c r="G275" s="134" t="s">
        <v>1697</v>
      </c>
      <c r="H275" s="534" t="s">
        <v>955</v>
      </c>
    </row>
    <row r="276" spans="1:8" ht="12.95" customHeight="1">
      <c r="A276" s="134">
        <v>253</v>
      </c>
      <c r="B276" s="134">
        <v>16</v>
      </c>
      <c r="C276" s="227" t="s">
        <v>983</v>
      </c>
      <c r="D276" s="134" t="s">
        <v>227</v>
      </c>
      <c r="E276" s="134" t="s">
        <v>131</v>
      </c>
      <c r="F276" s="534" t="s">
        <v>1211</v>
      </c>
      <c r="G276" s="134" t="s">
        <v>1697</v>
      </c>
      <c r="H276" s="534" t="s">
        <v>955</v>
      </c>
    </row>
    <row r="277" spans="1:8" ht="12.95" customHeight="1">
      <c r="B277" s="527" t="s">
        <v>1704</v>
      </c>
    </row>
    <row r="278" spans="1:8" ht="12.95" customHeight="1">
      <c r="A278" s="134">
        <v>254</v>
      </c>
      <c r="B278" s="134">
        <v>1</v>
      </c>
      <c r="C278" s="134" t="s">
        <v>1180</v>
      </c>
      <c r="D278" s="134" t="s">
        <v>1698</v>
      </c>
      <c r="E278" s="134" t="s">
        <v>131</v>
      </c>
      <c r="F278" s="534" t="s">
        <v>1211</v>
      </c>
      <c r="G278" s="134" t="s">
        <v>1719</v>
      </c>
      <c r="H278" s="134" t="s">
        <v>1669</v>
      </c>
    </row>
    <row r="279" spans="1:8" ht="12.95" customHeight="1">
      <c r="A279" s="134">
        <v>255</v>
      </c>
      <c r="B279" s="134">
        <v>2</v>
      </c>
      <c r="C279" s="132" t="s">
        <v>974</v>
      </c>
      <c r="D279" s="134" t="s">
        <v>519</v>
      </c>
      <c r="E279" s="134" t="s">
        <v>131</v>
      </c>
      <c r="F279" s="534" t="s">
        <v>1211</v>
      </c>
      <c r="G279" s="134" t="s">
        <v>1719</v>
      </c>
      <c r="H279" s="134" t="s">
        <v>1669</v>
      </c>
    </row>
    <row r="280" spans="1:8" ht="12.95" customHeight="1">
      <c r="A280" s="134">
        <v>256</v>
      </c>
      <c r="B280" s="134">
        <v>3</v>
      </c>
      <c r="C280" s="132" t="s">
        <v>973</v>
      </c>
      <c r="D280" s="134" t="s">
        <v>186</v>
      </c>
      <c r="E280" s="134" t="s">
        <v>131</v>
      </c>
      <c r="F280" s="534" t="s">
        <v>1211</v>
      </c>
      <c r="G280" s="134" t="s">
        <v>1722</v>
      </c>
      <c r="H280" s="134" t="s">
        <v>739</v>
      </c>
    </row>
    <row r="281" spans="1:8" ht="12.95" customHeight="1">
      <c r="A281" s="134">
        <v>257</v>
      </c>
      <c r="B281" s="134">
        <v>4</v>
      </c>
      <c r="C281" s="132" t="s">
        <v>511</v>
      </c>
      <c r="D281" s="134" t="s">
        <v>1698</v>
      </c>
      <c r="E281" s="134" t="s">
        <v>131</v>
      </c>
      <c r="F281" s="534" t="s">
        <v>1211</v>
      </c>
      <c r="G281" s="134" t="s">
        <v>1726</v>
      </c>
      <c r="H281" s="134" t="s">
        <v>237</v>
      </c>
    </row>
    <row r="282" spans="1:8" ht="12.95" customHeight="1">
      <c r="A282" s="134">
        <v>258</v>
      </c>
      <c r="B282" s="134">
        <v>5</v>
      </c>
      <c r="C282" s="132" t="s">
        <v>1027</v>
      </c>
      <c r="D282" s="134" t="s">
        <v>1698</v>
      </c>
      <c r="E282" s="134" t="s">
        <v>131</v>
      </c>
      <c r="F282" s="534" t="s">
        <v>1211</v>
      </c>
      <c r="G282" s="134" t="s">
        <v>1726</v>
      </c>
      <c r="H282" s="134" t="s">
        <v>237</v>
      </c>
    </row>
    <row r="283" spans="1:8" ht="12.95" customHeight="1">
      <c r="A283" s="134">
        <v>259</v>
      </c>
      <c r="B283" s="134">
        <v>6</v>
      </c>
      <c r="C283" s="132" t="s">
        <v>985</v>
      </c>
      <c r="D283" s="134" t="s">
        <v>227</v>
      </c>
      <c r="E283" s="134" t="s">
        <v>131</v>
      </c>
      <c r="F283" s="534" t="s">
        <v>1211</v>
      </c>
      <c r="G283" s="134" t="s">
        <v>1726</v>
      </c>
      <c r="H283" s="134" t="s">
        <v>237</v>
      </c>
    </row>
    <row r="284" spans="1:8" ht="12.95" customHeight="1">
      <c r="A284" s="134">
        <v>260</v>
      </c>
      <c r="B284" s="134">
        <v>7</v>
      </c>
      <c r="C284" s="132" t="s">
        <v>980</v>
      </c>
      <c r="D284" s="134" t="s">
        <v>143</v>
      </c>
      <c r="E284" s="134" t="s">
        <v>131</v>
      </c>
      <c r="F284" s="534" t="s">
        <v>1211</v>
      </c>
      <c r="G284" s="134" t="s">
        <v>1728</v>
      </c>
      <c r="H284" s="134" t="s">
        <v>739</v>
      </c>
    </row>
    <row r="285" spans="1:8" ht="12.95" customHeight="1">
      <c r="A285" s="134">
        <v>261</v>
      </c>
      <c r="B285" s="134">
        <v>8</v>
      </c>
      <c r="C285" s="227" t="s">
        <v>968</v>
      </c>
      <c r="D285" s="134" t="s">
        <v>566</v>
      </c>
      <c r="E285" s="134" t="s">
        <v>131</v>
      </c>
      <c r="F285" s="534" t="s">
        <v>1211</v>
      </c>
      <c r="G285" s="134" t="s">
        <v>1728</v>
      </c>
      <c r="H285" s="131" t="s">
        <v>739</v>
      </c>
    </row>
    <row r="286" spans="1:8" ht="12.95" customHeight="1">
      <c r="A286" s="134">
        <v>262</v>
      </c>
      <c r="B286" s="134">
        <v>9</v>
      </c>
      <c r="C286" s="227" t="s">
        <v>1179</v>
      </c>
      <c r="D286" s="134" t="s">
        <v>1698</v>
      </c>
      <c r="E286" s="134" t="s">
        <v>131</v>
      </c>
      <c r="F286" s="534" t="s">
        <v>1211</v>
      </c>
      <c r="G286" s="134" t="s">
        <v>1729</v>
      </c>
      <c r="H286" s="131" t="s">
        <v>1669</v>
      </c>
    </row>
    <row r="287" spans="1:8" ht="12.95" customHeight="1">
      <c r="A287" s="134">
        <v>263</v>
      </c>
      <c r="B287" s="134">
        <v>10</v>
      </c>
      <c r="C287" s="227" t="s">
        <v>945</v>
      </c>
      <c r="D287" s="134" t="s">
        <v>143</v>
      </c>
      <c r="E287" s="134" t="s">
        <v>131</v>
      </c>
      <c r="F287" s="534" t="s">
        <v>1211</v>
      </c>
      <c r="G287" s="134" t="s">
        <v>944</v>
      </c>
    </row>
    <row r="288" spans="1:8" ht="12.95" customHeight="1">
      <c r="A288" s="134">
        <v>264</v>
      </c>
      <c r="B288" s="134">
        <v>11</v>
      </c>
      <c r="C288" s="132" t="s">
        <v>242</v>
      </c>
      <c r="D288" s="134" t="s">
        <v>474</v>
      </c>
      <c r="E288" s="134" t="s">
        <v>131</v>
      </c>
      <c r="F288" s="534" t="s">
        <v>1211</v>
      </c>
      <c r="G288" s="134" t="s">
        <v>1735</v>
      </c>
      <c r="H288" s="134" t="s">
        <v>237</v>
      </c>
    </row>
    <row r="289" spans="1:8" ht="12.95" customHeight="1">
      <c r="A289" s="134">
        <v>265</v>
      </c>
      <c r="B289" s="134">
        <v>12</v>
      </c>
      <c r="C289" s="132" t="s">
        <v>177</v>
      </c>
      <c r="D289" s="134" t="s">
        <v>62</v>
      </c>
      <c r="E289" s="134" t="s">
        <v>54</v>
      </c>
      <c r="F289" s="534" t="s">
        <v>1211</v>
      </c>
      <c r="G289" s="134" t="s">
        <v>1736</v>
      </c>
      <c r="H289" s="134" t="s">
        <v>237</v>
      </c>
    </row>
    <row r="334" spans="1:8" ht="12.95" customHeight="1">
      <c r="A334" s="215">
        <v>1</v>
      </c>
      <c r="C334" s="215"/>
      <c r="D334" s="215"/>
      <c r="E334" s="215">
        <v>1</v>
      </c>
      <c r="F334" s="215">
        <v>1</v>
      </c>
      <c r="G334" s="215"/>
      <c r="H334" s="224">
        <v>1</v>
      </c>
    </row>
    <row r="335" spans="1:8" ht="12.95" customHeight="1">
      <c r="A335" s="215">
        <v>1</v>
      </c>
      <c r="C335" s="215"/>
      <c r="D335" s="215"/>
      <c r="E335" s="215">
        <v>1</v>
      </c>
      <c r="F335" s="215">
        <v>1</v>
      </c>
      <c r="G335" s="215"/>
      <c r="H335" s="224">
        <v>1</v>
      </c>
    </row>
    <row r="336" spans="1:8" ht="12.95" customHeight="1">
      <c r="A336" s="215">
        <v>1</v>
      </c>
      <c r="C336" s="215"/>
      <c r="D336" s="215"/>
      <c r="E336" s="215">
        <v>1</v>
      </c>
      <c r="F336" s="215">
        <v>1</v>
      </c>
      <c r="G336" s="215"/>
      <c r="H336" s="224">
        <v>1</v>
      </c>
    </row>
    <row r="337" spans="1:8" ht="12.95" customHeight="1">
      <c r="A337" s="215">
        <v>1</v>
      </c>
      <c r="C337" s="215"/>
      <c r="D337" s="215"/>
      <c r="E337" s="215">
        <v>1</v>
      </c>
      <c r="F337" s="215">
        <v>1</v>
      </c>
      <c r="G337" s="215"/>
      <c r="H337" s="224">
        <v>1</v>
      </c>
    </row>
    <row r="338" spans="1:8" ht="12.95" customHeight="1">
      <c r="A338" s="215">
        <v>1</v>
      </c>
      <c r="C338" s="215"/>
      <c r="D338" s="215"/>
      <c r="E338" s="215">
        <v>1</v>
      </c>
      <c r="F338" s="215">
        <v>1</v>
      </c>
      <c r="G338" s="215"/>
      <c r="H338" s="224">
        <v>1</v>
      </c>
    </row>
    <row r="339" spans="1:8" ht="12.95"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5"/>
  <cols>
    <col min="1" max="1" width="4.85546875" customWidth="1"/>
    <col min="2" max="2" width="7.42578125" customWidth="1"/>
    <col min="3" max="3" width="8.5703125" customWidth="1"/>
    <col min="4" max="4" width="9.140625" customWidth="1"/>
    <col min="5" max="6" width="10.85546875" customWidth="1"/>
    <col min="7" max="7" width="21.42578125" customWidth="1"/>
    <col min="8" max="8" width="14.140625" customWidth="1"/>
    <col min="9" max="9" width="19.85546875" customWidth="1"/>
    <col min="10" max="10" width="20" customWidth="1"/>
    <col min="11" max="11" width="17.140625" customWidth="1"/>
    <col min="12" max="12" width="16.42578125" customWidth="1"/>
  </cols>
  <sheetData>
    <row r="4" spans="2:11">
      <c r="B4" s="1742" t="s">
        <v>986</v>
      </c>
      <c r="C4" s="1742"/>
      <c r="D4" s="1742"/>
      <c r="E4" s="1742"/>
      <c r="F4" s="1742"/>
      <c r="G4" s="1742"/>
      <c r="H4" s="1742"/>
      <c r="I4" s="1742"/>
      <c r="J4" s="1742"/>
      <c r="K4" s="1742"/>
    </row>
    <row r="5" spans="2:11" ht="51">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743" t="s">
        <v>994</v>
      </c>
      <c r="C13" s="1744"/>
      <c r="D13" s="1744"/>
      <c r="E13" s="174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140625" customWidth="1"/>
    <col min="14" max="14" width="7.42578125" customWidth="1"/>
    <col min="15" max="15" width="9" customWidth="1"/>
    <col min="16" max="16" width="8" customWidth="1"/>
    <col min="17" max="17" width="8.140625" customWidth="1"/>
    <col min="18" max="18" width="24.140625" customWidth="1"/>
  </cols>
  <sheetData>
    <row r="1" spans="1:23" ht="15.75">
      <c r="A1" s="1746" t="s">
        <v>995</v>
      </c>
      <c r="B1" s="1747"/>
      <c r="C1" s="1747"/>
      <c r="D1" s="1747"/>
      <c r="E1" s="1747"/>
      <c r="F1" s="1747"/>
      <c r="G1" s="1747"/>
      <c r="H1" s="1747"/>
      <c r="I1" s="1747"/>
      <c r="J1" s="1747"/>
      <c r="K1" s="1747"/>
      <c r="L1" s="1747"/>
      <c r="M1" s="1747"/>
      <c r="N1" s="1747"/>
      <c r="O1" s="1747"/>
      <c r="P1" s="1747"/>
      <c r="Q1" s="1747"/>
    </row>
    <row r="2" spans="1:23" ht="11.25" customHeight="1">
      <c r="A2" s="1749" t="s">
        <v>996</v>
      </c>
      <c r="B2" s="1752" t="s">
        <v>997</v>
      </c>
      <c r="C2" s="1754" t="s">
        <v>998</v>
      </c>
      <c r="D2" s="1757" t="s">
        <v>44</v>
      </c>
      <c r="E2" s="1757" t="s">
        <v>999</v>
      </c>
      <c r="F2" s="1757" t="s">
        <v>1000</v>
      </c>
      <c r="G2" s="1757" t="s">
        <v>1001</v>
      </c>
      <c r="H2" s="1757"/>
      <c r="I2" s="1757"/>
      <c r="J2" s="1757"/>
      <c r="K2" s="1761" t="s">
        <v>1002</v>
      </c>
      <c r="L2" s="1762"/>
      <c r="M2" s="1761" t="s">
        <v>1003</v>
      </c>
      <c r="N2" s="1762"/>
      <c r="O2" s="1754" t="s">
        <v>1004</v>
      </c>
      <c r="P2" s="1752" t="s">
        <v>1005</v>
      </c>
      <c r="Q2" s="1752" t="s">
        <v>1006</v>
      </c>
    </row>
    <row r="3" spans="1:23" ht="10.5" customHeight="1">
      <c r="A3" s="1750"/>
      <c r="B3" s="1753"/>
      <c r="C3" s="1755"/>
      <c r="D3" s="1758"/>
      <c r="E3" s="1758"/>
      <c r="F3" s="1758"/>
      <c r="G3" s="1758"/>
      <c r="H3" s="1758"/>
      <c r="I3" s="1758"/>
      <c r="J3" s="1758"/>
      <c r="K3" s="1763"/>
      <c r="L3" s="1764"/>
      <c r="M3" s="1763"/>
      <c r="N3" s="1764"/>
      <c r="O3" s="1755"/>
      <c r="P3" s="1753"/>
      <c r="Q3" s="1753"/>
    </row>
    <row r="4" spans="1:23" ht="26.25" customHeight="1">
      <c r="A4" s="1751"/>
      <c r="B4" s="1753"/>
      <c r="C4" s="1756"/>
      <c r="D4" s="1759"/>
      <c r="E4" s="1759"/>
      <c r="F4" s="1759"/>
      <c r="G4" s="348" t="s">
        <v>1007</v>
      </c>
      <c r="H4" s="348" t="s">
        <v>1008</v>
      </c>
      <c r="I4" s="348" t="s">
        <v>1009</v>
      </c>
      <c r="J4" s="348" t="s">
        <v>1010</v>
      </c>
      <c r="K4" s="347" t="s">
        <v>1011</v>
      </c>
      <c r="L4" s="347" t="s">
        <v>1012</v>
      </c>
      <c r="M4" s="362" t="s">
        <v>1011</v>
      </c>
      <c r="N4" s="347" t="s">
        <v>1012</v>
      </c>
      <c r="O4" s="1756"/>
      <c r="P4" s="1760"/>
      <c r="Q4" s="1760"/>
      <c r="R4" s="367"/>
      <c r="S4" s="367"/>
      <c r="T4" s="1748"/>
      <c r="U4" s="1748"/>
      <c r="V4" s="1748"/>
      <c r="W4" s="174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 customWidth="1"/>
    <col min="14" max="14" width="7.42578125" customWidth="1"/>
    <col min="15" max="15" width="9" customWidth="1"/>
    <col min="16" max="16" width="8" customWidth="1"/>
    <col min="17" max="17" width="8.42578125" customWidth="1"/>
  </cols>
  <sheetData>
    <row r="1" spans="1:17" ht="15.75">
      <c r="A1" s="1746" t="s">
        <v>995</v>
      </c>
      <c r="B1" s="1747"/>
      <c r="C1" s="1747"/>
      <c r="D1" s="1747"/>
      <c r="E1" s="1747"/>
      <c r="F1" s="1747"/>
      <c r="G1" s="1747"/>
      <c r="H1" s="1747"/>
      <c r="I1" s="1747"/>
      <c r="J1" s="1747"/>
      <c r="K1" s="1747"/>
      <c r="L1" s="1747"/>
      <c r="M1" s="1747"/>
      <c r="N1" s="1747"/>
      <c r="O1" s="1747"/>
      <c r="P1" s="1747"/>
      <c r="Q1" s="1747"/>
    </row>
    <row r="2" spans="1:17" ht="11.25" customHeight="1">
      <c r="A2" s="1749" t="s">
        <v>996</v>
      </c>
      <c r="B2" s="1752" t="s">
        <v>997</v>
      </c>
      <c r="C2" s="1754" t="s">
        <v>998</v>
      </c>
      <c r="D2" s="1757" t="s">
        <v>44</v>
      </c>
      <c r="E2" s="1757" t="s">
        <v>999</v>
      </c>
      <c r="F2" s="1757" t="s">
        <v>1000</v>
      </c>
      <c r="G2" s="1757" t="s">
        <v>1001</v>
      </c>
      <c r="H2" s="1757"/>
      <c r="I2" s="1757"/>
      <c r="J2" s="1757"/>
      <c r="K2" s="1761" t="s">
        <v>1002</v>
      </c>
      <c r="L2" s="1762"/>
      <c r="M2" s="1761" t="s">
        <v>1003</v>
      </c>
      <c r="N2" s="1762"/>
      <c r="O2" s="1754" t="s">
        <v>1004</v>
      </c>
      <c r="P2" s="1752" t="s">
        <v>1005</v>
      </c>
      <c r="Q2" s="1752" t="s">
        <v>1006</v>
      </c>
    </row>
    <row r="3" spans="1:17" ht="10.5" customHeight="1">
      <c r="A3" s="1750"/>
      <c r="B3" s="1753"/>
      <c r="C3" s="1755"/>
      <c r="D3" s="1758"/>
      <c r="E3" s="1758"/>
      <c r="F3" s="1758"/>
      <c r="G3" s="1758"/>
      <c r="H3" s="1758"/>
      <c r="I3" s="1758"/>
      <c r="J3" s="1758"/>
      <c r="K3" s="1763"/>
      <c r="L3" s="1764"/>
      <c r="M3" s="1763"/>
      <c r="N3" s="1764"/>
      <c r="O3" s="1755"/>
      <c r="P3" s="1753"/>
      <c r="Q3" s="1753"/>
    </row>
    <row r="4" spans="1:17">
      <c r="A4" s="1765"/>
      <c r="B4" s="1766"/>
      <c r="C4" s="1767"/>
      <c r="D4" s="1768"/>
      <c r="E4" s="1768"/>
      <c r="F4" s="1768"/>
      <c r="G4" s="233" t="s">
        <v>1007</v>
      </c>
      <c r="H4" s="233" t="s">
        <v>1008</v>
      </c>
      <c r="I4" s="233" t="s">
        <v>1009</v>
      </c>
      <c r="J4" s="233" t="s">
        <v>1010</v>
      </c>
      <c r="K4" s="232" t="s">
        <v>1011</v>
      </c>
      <c r="L4" s="232" t="s">
        <v>1012</v>
      </c>
      <c r="M4" s="256" t="s">
        <v>1011</v>
      </c>
      <c r="N4" s="232" t="s">
        <v>1012</v>
      </c>
      <c r="O4" s="1767"/>
      <c r="P4" s="1766"/>
      <c r="Q4" s="176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5"/>
  <cols>
    <col min="8" max="8" width="19.570312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515" t="s">
        <v>40</v>
      </c>
      <c r="B4" s="1739" t="s">
        <v>1209</v>
      </c>
      <c r="C4" s="1517" t="s">
        <v>43</v>
      </c>
      <c r="D4" s="1517" t="s">
        <v>44</v>
      </c>
      <c r="E4" s="1517" t="s">
        <v>45</v>
      </c>
      <c r="F4" s="1519" t="s">
        <v>1210</v>
      </c>
      <c r="G4" s="1737" t="s">
        <v>609</v>
      </c>
      <c r="H4" s="1518" t="s">
        <v>49</v>
      </c>
    </row>
    <row r="5" spans="1:8">
      <c r="A5" s="1515"/>
      <c r="B5" s="1740"/>
      <c r="C5" s="1517"/>
      <c r="D5" s="1517"/>
      <c r="E5" s="1517"/>
      <c r="F5" s="1520"/>
      <c r="G5" s="1737"/>
      <c r="H5" s="151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5"/>
  <cols>
    <col min="6" max="6" width="23.140625" customWidth="1"/>
    <col min="8" max="8" width="17.42578125" customWidth="1"/>
  </cols>
  <sheetData>
    <row r="5" spans="4:8">
      <c r="D5" s="9" t="s">
        <v>1212</v>
      </c>
      <c r="E5" s="1625" t="s">
        <v>1213</v>
      </c>
      <c r="F5" s="1625"/>
      <c r="G5" s="1625" t="s">
        <v>1214</v>
      </c>
      <c r="H5" s="1625"/>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140625" style="161" customWidth="1"/>
    <col min="7" max="7" width="11" style="162" customWidth="1"/>
    <col min="8" max="8" width="13" style="162" customWidth="1"/>
    <col min="9" max="9" width="15.42578125" style="160" customWidth="1"/>
    <col min="10" max="10" width="29.140625" style="160" customWidth="1"/>
    <col min="11"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515" t="s">
        <v>1255</v>
      </c>
      <c r="B4" s="1515" t="s">
        <v>41</v>
      </c>
      <c r="C4" s="1516" t="s">
        <v>42</v>
      </c>
      <c r="D4" s="1517" t="s">
        <v>43</v>
      </c>
      <c r="E4" s="1517" t="s">
        <v>44</v>
      </c>
      <c r="F4" s="1521" t="s">
        <v>47</v>
      </c>
      <c r="G4" s="1517" t="s">
        <v>1256</v>
      </c>
      <c r="H4" s="1519" t="s">
        <v>1257</v>
      </c>
      <c r="I4" s="1518" t="s">
        <v>49</v>
      </c>
      <c r="J4" s="1518" t="s">
        <v>1258</v>
      </c>
    </row>
    <row r="5" spans="1:10" s="159" customFormat="1" ht="12">
      <c r="A5" s="1515"/>
      <c r="B5" s="1515"/>
      <c r="C5" s="1516"/>
      <c r="D5" s="1517"/>
      <c r="E5" s="1517"/>
      <c r="F5" s="1521"/>
      <c r="G5" s="1517"/>
      <c r="H5" s="1520"/>
      <c r="I5" s="1518"/>
      <c r="J5" s="151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5" customHeight="1">
      <c r="A14" s="134">
        <v>7</v>
      </c>
      <c r="B14" s="134">
        <v>2</v>
      </c>
      <c r="C14" s="134"/>
      <c r="D14" s="132" t="s">
        <v>114</v>
      </c>
      <c r="E14" s="133" t="s">
        <v>76</v>
      </c>
      <c r="F14" s="134" t="s">
        <v>780</v>
      </c>
      <c r="G14" s="134" t="s">
        <v>1226</v>
      </c>
      <c r="H14" s="134" t="s">
        <v>1260</v>
      </c>
      <c r="I14" s="131" t="s">
        <v>1261</v>
      </c>
      <c r="J14" s="134"/>
    </row>
    <row r="15" spans="1:10" ht="12.95" customHeight="1">
      <c r="A15" s="134">
        <v>8</v>
      </c>
      <c r="B15" s="134">
        <v>3</v>
      </c>
      <c r="C15" s="134"/>
      <c r="D15" s="132" t="s">
        <v>125</v>
      </c>
      <c r="E15" s="133" t="s">
        <v>76</v>
      </c>
      <c r="F15" s="134" t="s">
        <v>1226</v>
      </c>
      <c r="G15" s="134" t="s">
        <v>1262</v>
      </c>
      <c r="H15" s="134" t="s">
        <v>1260</v>
      </c>
      <c r="I15" s="131" t="s">
        <v>1261</v>
      </c>
      <c r="J15" s="134"/>
    </row>
    <row r="16" spans="1:10" ht="12.95" customHeight="1">
      <c r="A16" s="134">
        <v>9</v>
      </c>
      <c r="B16" s="134">
        <v>4</v>
      </c>
      <c r="C16" s="134"/>
      <c r="D16" s="132" t="s">
        <v>142</v>
      </c>
      <c r="E16" s="133" t="s">
        <v>62</v>
      </c>
      <c r="F16" s="134" t="s">
        <v>1262</v>
      </c>
      <c r="G16" s="134" t="s">
        <v>653</v>
      </c>
      <c r="H16" s="134" t="s">
        <v>1260</v>
      </c>
      <c r="I16" s="131" t="s">
        <v>1261</v>
      </c>
      <c r="J16" s="134"/>
    </row>
    <row r="17" spans="1:10" ht="12.95" customHeight="1">
      <c r="A17" s="134">
        <v>10</v>
      </c>
      <c r="B17" s="134">
        <v>5</v>
      </c>
      <c r="C17" s="134"/>
      <c r="D17" s="132" t="s">
        <v>701</v>
      </c>
      <c r="E17" s="133" t="s">
        <v>76</v>
      </c>
      <c r="F17" s="134" t="s">
        <v>1263</v>
      </c>
      <c r="G17" s="134" t="s">
        <v>1264</v>
      </c>
      <c r="H17" s="134" t="s">
        <v>1260</v>
      </c>
      <c r="I17" s="131" t="s">
        <v>1261</v>
      </c>
      <c r="J17" s="134"/>
    </row>
    <row r="18" spans="1:10" ht="12.95" customHeight="1">
      <c r="A18" s="134">
        <v>11</v>
      </c>
      <c r="B18" s="134">
        <v>6</v>
      </c>
      <c r="C18" s="134"/>
      <c r="D18" s="132" t="s">
        <v>675</v>
      </c>
      <c r="E18" s="133" t="s">
        <v>76</v>
      </c>
      <c r="F18" s="134" t="s">
        <v>1264</v>
      </c>
      <c r="G18" s="134" t="s">
        <v>783</v>
      </c>
      <c r="H18" s="134" t="s">
        <v>1260</v>
      </c>
      <c r="I18" s="131" t="s">
        <v>1261</v>
      </c>
      <c r="J18" s="134"/>
    </row>
    <row r="19" spans="1:10" ht="12.95" customHeight="1">
      <c r="A19" s="134">
        <v>12</v>
      </c>
      <c r="B19" s="134">
        <v>7</v>
      </c>
      <c r="C19" s="134"/>
      <c r="D19" s="132" t="s">
        <v>695</v>
      </c>
      <c r="E19" s="134" t="s">
        <v>62</v>
      </c>
      <c r="F19" s="134" t="s">
        <v>783</v>
      </c>
      <c r="G19" s="134" t="s">
        <v>1227</v>
      </c>
      <c r="H19" s="134" t="s">
        <v>1260</v>
      </c>
      <c r="I19" s="131" t="s">
        <v>1261</v>
      </c>
      <c r="J19" s="134"/>
    </row>
    <row r="20" spans="1:10" ht="12.95" customHeight="1">
      <c r="A20" s="134">
        <v>13</v>
      </c>
      <c r="B20" s="134">
        <v>8</v>
      </c>
      <c r="C20" s="134"/>
      <c r="D20" s="132" t="s">
        <v>688</v>
      </c>
      <c r="E20" s="134" t="s">
        <v>62</v>
      </c>
      <c r="F20" s="134" t="s">
        <v>784</v>
      </c>
      <c r="G20" s="134" t="s">
        <v>787</v>
      </c>
      <c r="H20" s="134" t="s">
        <v>1260</v>
      </c>
      <c r="I20" s="131" t="s">
        <v>1261</v>
      </c>
      <c r="J20" s="134"/>
    </row>
    <row r="21" spans="1:10" ht="12.95" customHeight="1">
      <c r="A21" s="134">
        <v>14</v>
      </c>
      <c r="B21" s="134">
        <v>9</v>
      </c>
      <c r="C21" s="134"/>
      <c r="D21" s="132" t="s">
        <v>672</v>
      </c>
      <c r="E21" s="134" t="s">
        <v>76</v>
      </c>
      <c r="F21" s="134" t="s">
        <v>787</v>
      </c>
      <c r="G21" s="134" t="s">
        <v>666</v>
      </c>
      <c r="H21" s="134" t="s">
        <v>1260</v>
      </c>
      <c r="I21" s="131" t="s">
        <v>1261</v>
      </c>
      <c r="J21" s="134"/>
    </row>
    <row r="22" spans="1:10" ht="12.95" customHeight="1">
      <c r="A22" s="134">
        <v>15</v>
      </c>
      <c r="B22" s="134">
        <v>10</v>
      </c>
      <c r="C22" s="134"/>
      <c r="D22" s="132" t="s">
        <v>554</v>
      </c>
      <c r="E22" s="134" t="s">
        <v>62</v>
      </c>
      <c r="F22" s="134" t="s">
        <v>666</v>
      </c>
      <c r="G22" s="134" t="s">
        <v>669</v>
      </c>
      <c r="H22" s="134" t="s">
        <v>1260</v>
      </c>
      <c r="I22" s="131" t="s">
        <v>1261</v>
      </c>
      <c r="J22" s="134"/>
    </row>
    <row r="23" spans="1:10" ht="12.95" customHeight="1">
      <c r="A23" s="134"/>
      <c r="B23" s="184">
        <v>45261</v>
      </c>
      <c r="C23" s="162"/>
      <c r="D23" s="134"/>
      <c r="E23" s="134"/>
      <c r="F23" s="134"/>
      <c r="G23" s="134"/>
      <c r="H23" s="134"/>
      <c r="I23" s="131"/>
      <c r="J23" s="134"/>
    </row>
    <row r="24" spans="1:10" ht="12.95" customHeight="1">
      <c r="A24" s="134">
        <v>16</v>
      </c>
      <c r="B24" s="134">
        <v>1</v>
      </c>
      <c r="D24" s="132" t="s">
        <v>726</v>
      </c>
      <c r="E24" s="134" t="s">
        <v>62</v>
      </c>
      <c r="F24" s="133" t="s">
        <v>669</v>
      </c>
      <c r="G24" s="134" t="s">
        <v>1230</v>
      </c>
      <c r="H24" s="134" t="s">
        <v>1260</v>
      </c>
      <c r="I24" s="131" t="s">
        <v>1261</v>
      </c>
      <c r="J24" s="176"/>
    </row>
    <row r="25" spans="1:10" ht="12.95" customHeight="1">
      <c r="A25" s="134">
        <v>17</v>
      </c>
      <c r="B25" s="134">
        <v>2</v>
      </c>
      <c r="D25" s="178" t="s">
        <v>729</v>
      </c>
      <c r="E25" s="137" t="s">
        <v>62</v>
      </c>
      <c r="F25" s="137" t="s">
        <v>1230</v>
      </c>
      <c r="G25" s="137" t="s">
        <v>1265</v>
      </c>
      <c r="H25" s="137" t="s">
        <v>1260</v>
      </c>
      <c r="I25" s="200" t="s">
        <v>1261</v>
      </c>
      <c r="J25" s="182"/>
    </row>
    <row r="26" spans="1:10" ht="12.95" customHeight="1">
      <c r="A26" s="134">
        <v>18</v>
      </c>
      <c r="B26" s="134">
        <v>3</v>
      </c>
      <c r="C26" s="176"/>
      <c r="D26" s="132" t="s">
        <v>732</v>
      </c>
      <c r="E26" s="134" t="s">
        <v>62</v>
      </c>
      <c r="F26" s="133" t="s">
        <v>790</v>
      </c>
      <c r="G26" s="133" t="s">
        <v>790</v>
      </c>
      <c r="H26" s="134" t="s">
        <v>1260</v>
      </c>
      <c r="I26" s="131" t="s">
        <v>1261</v>
      </c>
      <c r="J26" s="176"/>
    </row>
    <row r="27" spans="1:10" ht="12.95" customHeight="1">
      <c r="A27" s="134">
        <v>19</v>
      </c>
      <c r="B27" s="134">
        <v>4</v>
      </c>
      <c r="C27" s="176"/>
      <c r="D27" s="132" t="s">
        <v>674</v>
      </c>
      <c r="E27" s="134" t="s">
        <v>76</v>
      </c>
      <c r="F27" s="133" t="s">
        <v>789</v>
      </c>
      <c r="G27" s="133" t="s">
        <v>789</v>
      </c>
      <c r="H27" s="134" t="s">
        <v>1260</v>
      </c>
      <c r="I27" s="131" t="s">
        <v>1261</v>
      </c>
      <c r="J27" s="176"/>
    </row>
    <row r="28" spans="1:10" ht="12.95" customHeight="1">
      <c r="A28" s="134">
        <v>20</v>
      </c>
      <c r="B28" s="134">
        <v>5</v>
      </c>
      <c r="C28" s="176"/>
      <c r="D28" s="132" t="s">
        <v>696</v>
      </c>
      <c r="E28" s="134" t="s">
        <v>76</v>
      </c>
      <c r="F28" s="133" t="s">
        <v>56</v>
      </c>
      <c r="G28" s="133" t="s">
        <v>56</v>
      </c>
      <c r="H28" s="134" t="s">
        <v>1260</v>
      </c>
      <c r="I28" s="131" t="s">
        <v>1261</v>
      </c>
      <c r="J28" s="176"/>
    </row>
    <row r="29" spans="1:10" ht="12.95" customHeight="1">
      <c r="A29" s="134">
        <v>21</v>
      </c>
      <c r="B29" s="134">
        <v>6</v>
      </c>
      <c r="C29" s="176"/>
      <c r="D29" s="132" t="s">
        <v>680</v>
      </c>
      <c r="E29" s="134" t="s">
        <v>62</v>
      </c>
      <c r="F29" s="133" t="s">
        <v>57</v>
      </c>
      <c r="G29" s="133" t="s">
        <v>99</v>
      </c>
      <c r="H29" s="134" t="s">
        <v>1260</v>
      </c>
      <c r="I29" s="131" t="s">
        <v>1261</v>
      </c>
      <c r="J29" s="176"/>
    </row>
    <row r="30" spans="1:10" ht="12.95" customHeight="1">
      <c r="A30" s="134">
        <v>22</v>
      </c>
      <c r="B30" s="134">
        <v>7</v>
      </c>
      <c r="C30" s="176"/>
      <c r="D30" s="132" t="s">
        <v>401</v>
      </c>
      <c r="E30" s="134" t="s">
        <v>76</v>
      </c>
      <c r="F30" s="133" t="s">
        <v>65</v>
      </c>
      <c r="G30" s="133" t="s">
        <v>65</v>
      </c>
      <c r="H30" s="134" t="s">
        <v>1260</v>
      </c>
      <c r="I30" s="131" t="s">
        <v>1261</v>
      </c>
      <c r="J30" s="176"/>
    </row>
    <row r="31" spans="1:10" ht="12.95" customHeight="1">
      <c r="A31" s="134">
        <v>23</v>
      </c>
      <c r="B31" s="134">
        <v>8</v>
      </c>
      <c r="C31" s="176"/>
      <c r="D31" s="132" t="s">
        <v>357</v>
      </c>
      <c r="E31" s="134" t="s">
        <v>76</v>
      </c>
      <c r="F31" s="133" t="s">
        <v>69</v>
      </c>
      <c r="G31" s="133" t="s">
        <v>69</v>
      </c>
      <c r="H31" s="134" t="s">
        <v>1260</v>
      </c>
      <c r="I31" s="131" t="s">
        <v>1261</v>
      </c>
      <c r="J31" s="176"/>
    </row>
    <row r="32" spans="1:10" ht="12.95" customHeight="1">
      <c r="A32" s="134">
        <v>24</v>
      </c>
      <c r="B32" s="134">
        <v>9</v>
      </c>
      <c r="C32" s="176"/>
      <c r="D32" s="132" t="s">
        <v>109</v>
      </c>
      <c r="E32" s="134" t="s">
        <v>76</v>
      </c>
      <c r="F32" s="133" t="s">
        <v>77</v>
      </c>
      <c r="G32" s="133" t="s">
        <v>77</v>
      </c>
      <c r="H32" s="134" t="s">
        <v>1260</v>
      </c>
      <c r="I32" s="131" t="s">
        <v>1261</v>
      </c>
      <c r="J32" s="176"/>
    </row>
    <row r="33" spans="1:10" ht="12.95" customHeight="1">
      <c r="A33" s="134">
        <v>25</v>
      </c>
      <c r="B33" s="134">
        <v>10</v>
      </c>
      <c r="C33" s="134"/>
      <c r="D33" s="132" t="s">
        <v>98</v>
      </c>
      <c r="E33" s="134" t="s">
        <v>76</v>
      </c>
      <c r="F33" s="133" t="s">
        <v>70</v>
      </c>
      <c r="G33" s="133" t="s">
        <v>70</v>
      </c>
      <c r="H33" s="134" t="s">
        <v>1260</v>
      </c>
      <c r="I33" s="131" t="s">
        <v>1261</v>
      </c>
      <c r="J33" s="134"/>
    </row>
    <row r="34" spans="1:10" ht="12.95" customHeight="1">
      <c r="A34" s="134">
        <v>26</v>
      </c>
      <c r="B34" s="134">
        <v>11</v>
      </c>
      <c r="C34" s="134"/>
      <c r="D34" s="132" t="s">
        <v>91</v>
      </c>
      <c r="E34" s="134" t="s">
        <v>76</v>
      </c>
      <c r="F34" s="133" t="s">
        <v>1231</v>
      </c>
      <c r="G34" s="134" t="s">
        <v>1231</v>
      </c>
      <c r="H34" s="134" t="s">
        <v>1260</v>
      </c>
      <c r="I34" s="131" t="s">
        <v>1261</v>
      </c>
      <c r="J34" s="134"/>
    </row>
    <row r="35" spans="1:10" ht="12.95" customHeight="1">
      <c r="A35" s="134">
        <v>27</v>
      </c>
      <c r="B35" s="134">
        <v>12</v>
      </c>
      <c r="C35" s="134"/>
      <c r="D35" s="132" t="s">
        <v>735</v>
      </c>
      <c r="E35" s="134" t="s">
        <v>76</v>
      </c>
      <c r="F35" s="133" t="s">
        <v>78</v>
      </c>
      <c r="G35" s="134" t="s">
        <v>78</v>
      </c>
      <c r="H35" s="134" t="s">
        <v>1260</v>
      </c>
      <c r="I35" s="134" t="s">
        <v>1261</v>
      </c>
      <c r="J35" s="134"/>
    </row>
    <row r="36" spans="1:10" ht="12.95" customHeight="1">
      <c r="A36" s="134">
        <v>28</v>
      </c>
      <c r="B36" s="134">
        <v>13</v>
      </c>
      <c r="C36" s="134"/>
      <c r="D36" s="132" t="s">
        <v>746</v>
      </c>
      <c r="E36" s="134" t="s">
        <v>62</v>
      </c>
      <c r="F36" s="133" t="s">
        <v>73</v>
      </c>
      <c r="G36" s="134" t="s">
        <v>73</v>
      </c>
      <c r="H36" s="134" t="s">
        <v>1260</v>
      </c>
      <c r="I36" s="134" t="s">
        <v>1261</v>
      </c>
      <c r="J36" s="134"/>
    </row>
    <row r="37" spans="1:10" ht="12.95" customHeight="1">
      <c r="A37" s="134">
        <v>29</v>
      </c>
      <c r="B37" s="134">
        <v>14</v>
      </c>
      <c r="C37" s="134"/>
      <c r="D37" s="132" t="s">
        <v>139</v>
      </c>
      <c r="E37" s="134" t="s">
        <v>62</v>
      </c>
      <c r="F37" s="133" t="s">
        <v>80</v>
      </c>
      <c r="G37" s="134" t="s">
        <v>80</v>
      </c>
      <c r="H37" s="134" t="s">
        <v>1260</v>
      </c>
      <c r="I37" s="134" t="s">
        <v>1261</v>
      </c>
      <c r="J37" s="134"/>
    </row>
    <row r="38" spans="1:10" ht="12.95" customHeight="1">
      <c r="A38" s="134">
        <v>30</v>
      </c>
      <c r="B38" s="134">
        <v>15</v>
      </c>
      <c r="C38" s="134"/>
      <c r="D38" s="132" t="s">
        <v>166</v>
      </c>
      <c r="E38" s="134" t="s">
        <v>76</v>
      </c>
      <c r="F38" s="133" t="s">
        <v>82</v>
      </c>
      <c r="G38" s="134" t="s">
        <v>82</v>
      </c>
      <c r="H38" s="134" t="s">
        <v>1260</v>
      </c>
      <c r="I38" s="134" t="s">
        <v>1261</v>
      </c>
      <c r="J38" s="134"/>
    </row>
    <row r="39" spans="1:10" ht="12.95" customHeight="1">
      <c r="A39" s="134">
        <v>31</v>
      </c>
      <c r="B39" s="134">
        <v>16</v>
      </c>
      <c r="C39" s="134"/>
      <c r="D39" s="132" t="s">
        <v>684</v>
      </c>
      <c r="E39" s="134" t="s">
        <v>76</v>
      </c>
      <c r="F39" s="133" t="s">
        <v>70</v>
      </c>
      <c r="G39" s="134" t="s">
        <v>82</v>
      </c>
      <c r="H39" s="134" t="s">
        <v>1260</v>
      </c>
      <c r="I39" s="134" t="s">
        <v>1266</v>
      </c>
      <c r="J39" s="134"/>
    </row>
    <row r="40" spans="1:10" ht="12.95" customHeight="1">
      <c r="A40" s="134">
        <v>32</v>
      </c>
      <c r="B40" s="134">
        <v>17</v>
      </c>
      <c r="C40" s="134"/>
      <c r="D40" s="132" t="s">
        <v>699</v>
      </c>
      <c r="E40" s="134" t="s">
        <v>62</v>
      </c>
      <c r="F40" s="133" t="s">
        <v>70</v>
      </c>
      <c r="G40" s="134" t="s">
        <v>82</v>
      </c>
      <c r="H40" s="134" t="s">
        <v>1260</v>
      </c>
      <c r="I40" s="134" t="s">
        <v>1266</v>
      </c>
      <c r="J40" s="134"/>
    </row>
    <row r="41" spans="1:10" ht="12.95" customHeight="1">
      <c r="A41" s="134">
        <v>33</v>
      </c>
      <c r="B41" s="134">
        <v>18</v>
      </c>
      <c r="C41" s="134"/>
      <c r="D41" s="132" t="s">
        <v>704</v>
      </c>
      <c r="E41" s="134" t="s">
        <v>76</v>
      </c>
      <c r="F41" s="133" t="s">
        <v>82</v>
      </c>
      <c r="G41" s="134" t="s">
        <v>84</v>
      </c>
      <c r="H41" s="134" t="s">
        <v>1260</v>
      </c>
      <c r="I41" s="134" t="s">
        <v>1266</v>
      </c>
      <c r="J41" s="134"/>
    </row>
    <row r="42" spans="1:10" ht="12.95" customHeight="1">
      <c r="A42" s="134">
        <v>34</v>
      </c>
      <c r="B42" s="134">
        <v>19</v>
      </c>
      <c r="C42" s="134"/>
      <c r="D42" s="132" t="s">
        <v>329</v>
      </c>
      <c r="E42" s="134" t="s">
        <v>76</v>
      </c>
      <c r="F42" s="133" t="s">
        <v>84</v>
      </c>
      <c r="G42" s="134" t="s">
        <v>88</v>
      </c>
      <c r="H42" s="134" t="s">
        <v>1260</v>
      </c>
      <c r="I42" s="134" t="s">
        <v>1266</v>
      </c>
      <c r="J42" s="134"/>
    </row>
    <row r="43" spans="1:10" ht="12.95" customHeight="1">
      <c r="A43" s="134">
        <v>35</v>
      </c>
      <c r="B43" s="134">
        <v>20</v>
      </c>
      <c r="C43" s="134"/>
      <c r="D43" s="132" t="s">
        <v>168</v>
      </c>
      <c r="E43" s="134" t="s">
        <v>62</v>
      </c>
      <c r="F43" s="133" t="s">
        <v>93</v>
      </c>
      <c r="G43" s="134" t="s">
        <v>93</v>
      </c>
      <c r="H43" s="134" t="s">
        <v>1260</v>
      </c>
      <c r="I43" s="134" t="s">
        <v>1261</v>
      </c>
      <c r="J43" s="134"/>
    </row>
    <row r="44" spans="1:10" ht="12.95" customHeight="1">
      <c r="A44" s="134">
        <v>36</v>
      </c>
      <c r="B44" s="134">
        <v>21</v>
      </c>
      <c r="C44" s="134"/>
      <c r="D44" s="132" t="s">
        <v>678</v>
      </c>
      <c r="E44" s="134" t="s">
        <v>62</v>
      </c>
      <c r="F44" s="133" t="s">
        <v>93</v>
      </c>
      <c r="G44" s="134" t="s">
        <v>93</v>
      </c>
      <c r="H44" s="134" t="s">
        <v>1260</v>
      </c>
      <c r="I44" s="134" t="s">
        <v>1266</v>
      </c>
      <c r="J44" s="134"/>
    </row>
    <row r="45" spans="1:10" ht="12.95" customHeight="1">
      <c r="A45" s="134">
        <v>37</v>
      </c>
      <c r="B45" s="134">
        <v>22</v>
      </c>
      <c r="C45" s="134"/>
      <c r="D45" s="132" t="s">
        <v>714</v>
      </c>
      <c r="E45" s="134" t="s">
        <v>62</v>
      </c>
      <c r="F45" s="133" t="s">
        <v>93</v>
      </c>
      <c r="G45" s="134" t="s">
        <v>97</v>
      </c>
      <c r="H45" s="134" t="s">
        <v>1260</v>
      </c>
      <c r="I45" s="134" t="s">
        <v>1266</v>
      </c>
      <c r="J45" s="134"/>
    </row>
    <row r="46" spans="1:10" ht="12.95" customHeight="1">
      <c r="A46" s="134">
        <v>38</v>
      </c>
      <c r="B46" s="134">
        <v>23</v>
      </c>
      <c r="C46" s="134"/>
      <c r="D46" s="132" t="s">
        <v>468</v>
      </c>
      <c r="E46" s="134" t="s">
        <v>76</v>
      </c>
      <c r="F46" s="133" t="s">
        <v>97</v>
      </c>
      <c r="G46" s="134" t="s">
        <v>97</v>
      </c>
      <c r="H46" s="134" t="s">
        <v>1260</v>
      </c>
      <c r="I46" s="134" t="s">
        <v>1266</v>
      </c>
      <c r="J46" s="134"/>
    </row>
    <row r="47" spans="1:10" ht="12.95" customHeight="1">
      <c r="A47" s="134">
        <v>39</v>
      </c>
      <c r="B47" s="134">
        <v>24</v>
      </c>
      <c r="C47" s="134"/>
      <c r="D47" s="132" t="s">
        <v>173</v>
      </c>
      <c r="E47" s="134" t="s">
        <v>76</v>
      </c>
      <c r="F47" s="133" t="s">
        <v>97</v>
      </c>
      <c r="G47" s="134" t="s">
        <v>97</v>
      </c>
      <c r="H47" s="134" t="s">
        <v>1260</v>
      </c>
      <c r="I47" s="134" t="s">
        <v>1261</v>
      </c>
      <c r="J47" s="134"/>
    </row>
    <row r="48" spans="1:10" ht="12.95" customHeight="1">
      <c r="A48" s="134">
        <v>40</v>
      </c>
      <c r="B48" s="134">
        <v>25</v>
      </c>
      <c r="C48" s="134"/>
      <c r="D48" s="132" t="s">
        <v>710</v>
      </c>
      <c r="E48" s="134" t="s">
        <v>62</v>
      </c>
      <c r="F48" s="133" t="s">
        <v>100</v>
      </c>
      <c r="G48" s="134" t="s">
        <v>100</v>
      </c>
      <c r="H48" s="134" t="s">
        <v>1260</v>
      </c>
      <c r="I48" s="134" t="s">
        <v>1261</v>
      </c>
      <c r="J48" s="134"/>
    </row>
    <row r="49" spans="1:10" ht="12.95" customHeight="1">
      <c r="A49" s="134">
        <v>41</v>
      </c>
      <c r="B49" s="134">
        <v>26</v>
      </c>
      <c r="C49" s="134"/>
      <c r="D49" s="132" t="s">
        <v>483</v>
      </c>
      <c r="E49" s="134" t="s">
        <v>62</v>
      </c>
      <c r="F49" s="133" t="s">
        <v>100</v>
      </c>
      <c r="G49" s="134" t="s">
        <v>100</v>
      </c>
      <c r="H49" s="134" t="s">
        <v>1260</v>
      </c>
      <c r="I49" s="134" t="s">
        <v>1266</v>
      </c>
      <c r="J49" s="134"/>
    </row>
    <row r="50" spans="1:10" ht="12.95" customHeight="1">
      <c r="A50" s="134"/>
      <c r="B50" s="184">
        <v>45292</v>
      </c>
      <c r="C50" s="134"/>
      <c r="D50" s="134"/>
      <c r="E50" s="134"/>
      <c r="F50" s="133"/>
      <c r="G50" s="134"/>
      <c r="H50" s="134"/>
      <c r="I50" s="134"/>
      <c r="J50" s="134"/>
    </row>
    <row r="51" spans="1:10" ht="12.95" customHeight="1">
      <c r="A51" s="134">
        <v>42</v>
      </c>
      <c r="B51" s="134">
        <v>1</v>
      </c>
      <c r="C51" s="134"/>
      <c r="D51" s="132" t="s">
        <v>731</v>
      </c>
      <c r="E51" s="134" t="s">
        <v>62</v>
      </c>
      <c r="F51" s="133" t="s">
        <v>108</v>
      </c>
      <c r="G51" s="134" t="s">
        <v>108</v>
      </c>
      <c r="H51" s="134" t="s">
        <v>1260</v>
      </c>
      <c r="I51" s="134" t="s">
        <v>1261</v>
      </c>
      <c r="J51" s="134"/>
    </row>
    <row r="52" spans="1:10" ht="12.95" customHeight="1">
      <c r="A52" s="134">
        <v>43</v>
      </c>
      <c r="B52" s="134">
        <v>2</v>
      </c>
      <c r="C52" s="134"/>
      <c r="D52" s="132" t="s">
        <v>749</v>
      </c>
      <c r="E52" s="134" t="s">
        <v>62</v>
      </c>
      <c r="F52" s="133" t="s">
        <v>108</v>
      </c>
      <c r="G52" s="134" t="s">
        <v>108</v>
      </c>
      <c r="H52" s="134" t="s">
        <v>1260</v>
      </c>
      <c r="I52" s="134" t="s">
        <v>1261</v>
      </c>
      <c r="J52" s="134"/>
    </row>
    <row r="53" spans="1:10" ht="12.95" customHeight="1">
      <c r="A53" s="134">
        <v>44</v>
      </c>
      <c r="B53" s="134">
        <v>3</v>
      </c>
      <c r="C53" s="134"/>
      <c r="D53" s="132" t="s">
        <v>185</v>
      </c>
      <c r="E53" s="134" t="s">
        <v>62</v>
      </c>
      <c r="F53" s="133" t="s">
        <v>108</v>
      </c>
      <c r="G53" s="134" t="s">
        <v>108</v>
      </c>
      <c r="H53" s="134" t="s">
        <v>1260</v>
      </c>
      <c r="I53" s="134" t="s">
        <v>1266</v>
      </c>
      <c r="J53" s="134"/>
    </row>
    <row r="54" spans="1:10" ht="12.95" customHeight="1">
      <c r="A54" s="134">
        <v>45</v>
      </c>
      <c r="B54" s="134">
        <v>4</v>
      </c>
      <c r="C54" s="134"/>
      <c r="D54" s="132" t="s">
        <v>355</v>
      </c>
      <c r="E54" s="134" t="s">
        <v>62</v>
      </c>
      <c r="F54" s="133" t="s">
        <v>110</v>
      </c>
      <c r="G54" s="134" t="s">
        <v>110</v>
      </c>
      <c r="H54" s="134" t="s">
        <v>1260</v>
      </c>
      <c r="I54" s="134" t="s">
        <v>1261</v>
      </c>
      <c r="J54" s="134"/>
    </row>
    <row r="55" spans="1:10" ht="12.95" customHeight="1">
      <c r="A55" s="134">
        <v>46</v>
      </c>
      <c r="B55" s="134">
        <v>5</v>
      </c>
      <c r="C55" s="134"/>
      <c r="D55" s="132" t="s">
        <v>682</v>
      </c>
      <c r="E55" s="134" t="s">
        <v>62</v>
      </c>
      <c r="F55" s="133" t="s">
        <v>103</v>
      </c>
      <c r="G55" s="134" t="s">
        <v>104</v>
      </c>
      <c r="H55" s="134" t="s">
        <v>1260</v>
      </c>
      <c r="I55" s="134" t="s">
        <v>1261</v>
      </c>
      <c r="J55" s="134"/>
    </row>
    <row r="56" spans="1:10" ht="12.95" customHeight="1">
      <c r="A56" s="134">
        <v>47</v>
      </c>
      <c r="B56" s="134">
        <v>6</v>
      </c>
      <c r="C56" s="134"/>
      <c r="D56" s="132" t="s">
        <v>155</v>
      </c>
      <c r="E56" s="134" t="s">
        <v>243</v>
      </c>
      <c r="F56" s="133" t="s">
        <v>115</v>
      </c>
      <c r="G56" s="134" t="s">
        <v>115</v>
      </c>
      <c r="H56" s="134" t="s">
        <v>1260</v>
      </c>
      <c r="I56" s="134" t="s">
        <v>1261</v>
      </c>
      <c r="J56" s="210"/>
    </row>
    <row r="57" spans="1:10" ht="12.95" customHeight="1">
      <c r="A57" s="134">
        <v>48</v>
      </c>
      <c r="B57" s="134">
        <v>7</v>
      </c>
      <c r="C57" s="134"/>
      <c r="D57" s="132" t="s">
        <v>775</v>
      </c>
      <c r="E57" s="134" t="s">
        <v>112</v>
      </c>
      <c r="F57" s="133" t="s">
        <v>126</v>
      </c>
      <c r="G57" s="134" t="s">
        <v>126</v>
      </c>
      <c r="H57" s="134" t="s">
        <v>1260</v>
      </c>
      <c r="I57" s="134" t="s">
        <v>1261</v>
      </c>
      <c r="J57" s="176"/>
    </row>
    <row r="58" spans="1:10" ht="12.95" customHeight="1">
      <c r="A58" s="134">
        <v>49</v>
      </c>
      <c r="B58" s="134">
        <v>8</v>
      </c>
      <c r="C58" s="134"/>
      <c r="D58" s="132" t="s">
        <v>740</v>
      </c>
      <c r="E58" s="134" t="s">
        <v>62</v>
      </c>
      <c r="F58" s="133" t="s">
        <v>113</v>
      </c>
      <c r="G58" s="134" t="s">
        <v>113</v>
      </c>
      <c r="H58" s="134" t="s">
        <v>1260</v>
      </c>
      <c r="I58" s="134" t="s">
        <v>1261</v>
      </c>
      <c r="J58" s="134"/>
    </row>
    <row r="59" spans="1:10" ht="12.95" customHeight="1">
      <c r="A59" s="134">
        <v>50</v>
      </c>
      <c r="B59" s="134">
        <v>9</v>
      </c>
      <c r="C59" s="134"/>
      <c r="D59" s="132" t="s">
        <v>761</v>
      </c>
      <c r="E59" s="134" t="s">
        <v>62</v>
      </c>
      <c r="F59" s="133" t="s">
        <v>124</v>
      </c>
      <c r="G59" s="134" t="s">
        <v>132</v>
      </c>
      <c r="H59" s="134" t="s">
        <v>1260</v>
      </c>
      <c r="I59" s="134" t="s">
        <v>1261</v>
      </c>
      <c r="J59" s="134"/>
    </row>
    <row r="60" spans="1:10" ht="12.95" customHeight="1">
      <c r="A60" s="134">
        <v>51</v>
      </c>
      <c r="B60" s="134">
        <v>10</v>
      </c>
      <c r="C60" s="134"/>
      <c r="D60" s="132" t="s">
        <v>751</v>
      </c>
      <c r="E60" s="129" t="s">
        <v>76</v>
      </c>
      <c r="F60" s="133" t="s">
        <v>128</v>
      </c>
      <c r="G60" s="133" t="s">
        <v>128</v>
      </c>
      <c r="H60" s="134" t="s">
        <v>1260</v>
      </c>
      <c r="I60" s="134" t="s">
        <v>1261</v>
      </c>
      <c r="J60" s="134"/>
    </row>
    <row r="61" spans="1:10" ht="12.95" customHeight="1">
      <c r="A61" s="134">
        <v>52</v>
      </c>
      <c r="B61" s="134">
        <v>11</v>
      </c>
      <c r="C61" s="134"/>
      <c r="D61" s="132" t="s">
        <v>778</v>
      </c>
      <c r="E61" s="129" t="s">
        <v>243</v>
      </c>
      <c r="F61" s="133" t="s">
        <v>128</v>
      </c>
      <c r="G61" s="133" t="s">
        <v>128</v>
      </c>
      <c r="H61" s="134" t="s">
        <v>1260</v>
      </c>
      <c r="I61" s="134" t="s">
        <v>1261</v>
      </c>
      <c r="J61" s="134"/>
    </row>
    <row r="62" spans="1:10" ht="12.95" customHeight="1">
      <c r="A62" s="134">
        <v>53</v>
      </c>
      <c r="B62" s="134">
        <v>12</v>
      </c>
      <c r="C62" s="134"/>
      <c r="D62" s="132" t="s">
        <v>557</v>
      </c>
      <c r="E62" s="129" t="s">
        <v>62</v>
      </c>
      <c r="F62" s="133" t="s">
        <v>1267</v>
      </c>
      <c r="G62" s="133" t="s">
        <v>1267</v>
      </c>
      <c r="H62" s="134" t="s">
        <v>1260</v>
      </c>
      <c r="I62" s="134" t="s">
        <v>1261</v>
      </c>
      <c r="J62" s="134"/>
    </row>
    <row r="63" spans="1:10" ht="12.95" customHeight="1">
      <c r="A63" s="134">
        <v>54</v>
      </c>
      <c r="B63" s="134">
        <v>13</v>
      </c>
      <c r="C63" s="134"/>
      <c r="D63" s="132" t="s">
        <v>676</v>
      </c>
      <c r="E63" s="129" t="s">
        <v>76</v>
      </c>
      <c r="F63" s="133" t="s">
        <v>138</v>
      </c>
      <c r="G63" s="133" t="s">
        <v>138</v>
      </c>
      <c r="H63" s="134" t="s">
        <v>1260</v>
      </c>
      <c r="I63" s="134" t="s">
        <v>1261</v>
      </c>
      <c r="J63" s="134"/>
    </row>
    <row r="64" spans="1:10" ht="12.95" customHeight="1">
      <c r="A64" s="134">
        <v>55</v>
      </c>
      <c r="B64" s="134">
        <v>14</v>
      </c>
      <c r="C64" s="134"/>
      <c r="D64" s="132" t="s">
        <v>759</v>
      </c>
      <c r="E64" s="129" t="s">
        <v>76</v>
      </c>
      <c r="F64" s="133" t="s">
        <v>141</v>
      </c>
      <c r="G64" s="133" t="s">
        <v>141</v>
      </c>
      <c r="H64" s="134" t="s">
        <v>1260</v>
      </c>
      <c r="I64" s="134" t="s">
        <v>1261</v>
      </c>
      <c r="J64" s="134"/>
    </row>
    <row r="65" spans="1:10" ht="12.95" customHeight="1">
      <c r="A65" s="134">
        <v>56</v>
      </c>
      <c r="B65" s="134">
        <v>15</v>
      </c>
      <c r="C65" s="134"/>
      <c r="D65" s="132" t="s">
        <v>694</v>
      </c>
      <c r="E65" s="134" t="s">
        <v>62</v>
      </c>
      <c r="F65" s="133" t="s">
        <v>149</v>
      </c>
      <c r="G65" s="134" t="s">
        <v>149</v>
      </c>
      <c r="H65" s="134" t="s">
        <v>1260</v>
      </c>
      <c r="I65" s="134" t="s">
        <v>1261</v>
      </c>
      <c r="J65" s="134"/>
    </row>
    <row r="66" spans="1:10" ht="12.95" customHeight="1">
      <c r="A66" s="134">
        <v>57</v>
      </c>
      <c r="B66" s="134">
        <v>16</v>
      </c>
      <c r="C66" s="134"/>
      <c r="D66" s="132" t="s">
        <v>326</v>
      </c>
      <c r="E66" s="134" t="s">
        <v>62</v>
      </c>
      <c r="F66" s="133" t="s">
        <v>160</v>
      </c>
      <c r="G66" s="134" t="s">
        <v>160</v>
      </c>
      <c r="H66" s="134" t="s">
        <v>1260</v>
      </c>
      <c r="I66" s="134" t="s">
        <v>1268</v>
      </c>
      <c r="J66" s="134"/>
    </row>
    <row r="67" spans="1:10" ht="12.95" customHeight="1">
      <c r="A67" s="134">
        <v>58</v>
      </c>
      <c r="B67" s="134">
        <v>17</v>
      </c>
      <c r="C67" s="134"/>
      <c r="D67" s="132" t="s">
        <v>375</v>
      </c>
      <c r="E67" s="134" t="s">
        <v>76</v>
      </c>
      <c r="F67" s="133" t="s">
        <v>161</v>
      </c>
      <c r="G67" s="134" t="s">
        <v>161</v>
      </c>
      <c r="H67" s="134" t="s">
        <v>1260</v>
      </c>
      <c r="I67" s="134" t="s">
        <v>1268</v>
      </c>
      <c r="J67" s="134"/>
    </row>
    <row r="68" spans="1:10" ht="12.95" customHeight="1">
      <c r="A68" s="134">
        <v>59</v>
      </c>
      <c r="B68" s="134">
        <v>18</v>
      </c>
      <c r="C68" s="134"/>
      <c r="D68" s="132" t="s">
        <v>521</v>
      </c>
      <c r="E68" s="134" t="s">
        <v>76</v>
      </c>
      <c r="F68" s="133" t="s">
        <v>165</v>
      </c>
      <c r="G68" s="134" t="s">
        <v>165</v>
      </c>
      <c r="H68" s="134" t="s">
        <v>1260</v>
      </c>
      <c r="I68" s="134" t="s">
        <v>1268</v>
      </c>
      <c r="J68" s="134"/>
    </row>
    <row r="69" spans="1:10" ht="12.95" customHeight="1">
      <c r="A69" s="134">
        <v>60</v>
      </c>
      <c r="B69" s="134">
        <v>19</v>
      </c>
      <c r="C69" s="176"/>
      <c r="D69" s="132" t="s">
        <v>677</v>
      </c>
      <c r="E69" s="134" t="s">
        <v>62</v>
      </c>
      <c r="F69" s="133" t="s">
        <v>171</v>
      </c>
      <c r="G69" s="133" t="s">
        <v>171</v>
      </c>
      <c r="H69" s="134" t="s">
        <v>1260</v>
      </c>
      <c r="I69" s="134" t="s">
        <v>1261</v>
      </c>
      <c r="J69" s="176"/>
    </row>
    <row r="70" spans="1:10" ht="12.95" customHeight="1">
      <c r="A70" s="134">
        <v>61</v>
      </c>
      <c r="B70" s="134">
        <v>20</v>
      </c>
      <c r="C70" s="176"/>
      <c r="D70" s="132" t="s">
        <v>503</v>
      </c>
      <c r="E70" s="134" t="s">
        <v>76</v>
      </c>
      <c r="F70" s="133" t="s">
        <v>171</v>
      </c>
      <c r="G70" s="133" t="s">
        <v>171</v>
      </c>
      <c r="H70" s="134" t="s">
        <v>1260</v>
      </c>
      <c r="I70" s="134" t="s">
        <v>1268</v>
      </c>
      <c r="J70" s="176"/>
    </row>
    <row r="71" spans="1:10" ht="12.95" customHeight="1">
      <c r="A71" s="134">
        <v>62</v>
      </c>
      <c r="B71" s="134">
        <v>21</v>
      </c>
      <c r="C71" s="176"/>
      <c r="D71" s="132" t="s">
        <v>738</v>
      </c>
      <c r="E71" s="134" t="s">
        <v>76</v>
      </c>
      <c r="F71" s="133" t="s">
        <v>172</v>
      </c>
      <c r="G71" s="133" t="s">
        <v>172</v>
      </c>
      <c r="H71" s="134" t="s">
        <v>1260</v>
      </c>
      <c r="I71" s="134" t="s">
        <v>1268</v>
      </c>
      <c r="J71" s="176"/>
    </row>
    <row r="72" spans="1:10" ht="12.95" customHeight="1">
      <c r="A72" s="134">
        <v>63</v>
      </c>
      <c r="B72" s="134">
        <v>22</v>
      </c>
      <c r="C72" s="176"/>
      <c r="D72" s="132" t="s">
        <v>748</v>
      </c>
      <c r="E72" s="134" t="s">
        <v>62</v>
      </c>
      <c r="F72" s="133" t="s">
        <v>174</v>
      </c>
      <c r="G72" s="133" t="s">
        <v>174</v>
      </c>
      <c r="H72" s="134" t="s">
        <v>1260</v>
      </c>
      <c r="I72" s="134" t="s">
        <v>1268</v>
      </c>
      <c r="J72" s="176"/>
    </row>
    <row r="73" spans="1:10" ht="12.95" customHeight="1">
      <c r="A73" s="134">
        <v>64</v>
      </c>
      <c r="B73" s="134">
        <v>23</v>
      </c>
      <c r="C73" s="176"/>
      <c r="D73" s="132" t="s">
        <v>762</v>
      </c>
      <c r="E73" s="134" t="s">
        <v>1269</v>
      </c>
      <c r="F73" s="133" t="s">
        <v>174</v>
      </c>
      <c r="G73" s="133" t="s">
        <v>174</v>
      </c>
      <c r="H73" s="134" t="s">
        <v>1260</v>
      </c>
      <c r="I73" s="134" t="s">
        <v>1261</v>
      </c>
      <c r="J73" s="176"/>
    </row>
    <row r="74" spans="1:10" ht="12.95" customHeight="1">
      <c r="A74" s="134">
        <v>65</v>
      </c>
      <c r="B74" s="134">
        <v>24</v>
      </c>
      <c r="C74" s="176"/>
      <c r="D74" s="132" t="s">
        <v>756</v>
      </c>
      <c r="E74" s="135" t="s">
        <v>62</v>
      </c>
      <c r="F74" s="133" t="s">
        <v>176</v>
      </c>
      <c r="G74" s="133" t="s">
        <v>176</v>
      </c>
      <c r="H74" s="134" t="s">
        <v>1260</v>
      </c>
      <c r="I74" s="134" t="s">
        <v>1268</v>
      </c>
      <c r="J74" s="176"/>
    </row>
    <row r="75" spans="1:10" ht="12.95" customHeight="1">
      <c r="A75" s="134">
        <v>66</v>
      </c>
      <c r="B75" s="134">
        <v>25</v>
      </c>
      <c r="C75" s="134"/>
      <c r="D75" s="132" t="s">
        <v>691</v>
      </c>
      <c r="E75" s="134" t="s">
        <v>62</v>
      </c>
      <c r="F75" s="133" t="s">
        <v>176</v>
      </c>
      <c r="G75" s="133" t="s">
        <v>176</v>
      </c>
      <c r="H75" s="134" t="s">
        <v>1260</v>
      </c>
      <c r="I75" s="134" t="s">
        <v>1261</v>
      </c>
      <c r="J75" s="134"/>
    </row>
    <row r="76" spans="1:10" ht="12.95" customHeight="1">
      <c r="A76" s="134">
        <v>67</v>
      </c>
      <c r="B76" s="134">
        <v>26</v>
      </c>
      <c r="C76" s="134"/>
      <c r="D76" s="132" t="s">
        <v>322</v>
      </c>
      <c r="E76" s="134" t="s">
        <v>76</v>
      </c>
      <c r="F76" s="133" t="s">
        <v>179</v>
      </c>
      <c r="G76" s="134" t="s">
        <v>179</v>
      </c>
      <c r="H76" s="134" t="s">
        <v>1260</v>
      </c>
      <c r="I76" s="134" t="s">
        <v>1268</v>
      </c>
      <c r="J76" s="134"/>
    </row>
    <row r="77" spans="1:10" ht="12.95" customHeight="1">
      <c r="A77" s="134"/>
      <c r="B77" s="527" t="s">
        <v>181</v>
      </c>
      <c r="C77" s="134"/>
      <c r="D77" s="134"/>
      <c r="E77" s="134"/>
      <c r="F77" s="133"/>
      <c r="G77" s="134"/>
      <c r="H77" s="134"/>
      <c r="I77" s="134"/>
      <c r="J77" s="134"/>
    </row>
    <row r="78" spans="1:10" ht="12.95" customHeight="1">
      <c r="A78" s="134">
        <v>68</v>
      </c>
      <c r="B78" s="134">
        <v>1</v>
      </c>
      <c r="C78" s="134"/>
      <c r="D78" s="132" t="s">
        <v>416</v>
      </c>
      <c r="E78" s="134" t="s">
        <v>1269</v>
      </c>
      <c r="F78" s="133" t="s">
        <v>183</v>
      </c>
      <c r="G78" s="134" t="s">
        <v>183</v>
      </c>
      <c r="H78" s="134" t="s">
        <v>1260</v>
      </c>
      <c r="I78" s="134" t="s">
        <v>1261</v>
      </c>
      <c r="J78" s="134"/>
    </row>
    <row r="79" spans="1:10" ht="12.95" customHeight="1">
      <c r="A79" s="134">
        <v>69</v>
      </c>
      <c r="B79" s="134">
        <v>2</v>
      </c>
      <c r="C79" s="134"/>
      <c r="D79" s="132" t="s">
        <v>786</v>
      </c>
      <c r="E79" s="134" t="s">
        <v>76</v>
      </c>
      <c r="F79" s="133" t="s">
        <v>183</v>
      </c>
      <c r="G79" s="134" t="s">
        <v>183</v>
      </c>
      <c r="H79" s="134" t="s">
        <v>1260</v>
      </c>
      <c r="I79" s="134" t="s">
        <v>1268</v>
      </c>
      <c r="J79" s="134"/>
    </row>
    <row r="80" spans="1:10" ht="12.95" customHeight="1">
      <c r="A80" s="134">
        <v>70</v>
      </c>
      <c r="B80" s="134">
        <v>3</v>
      </c>
      <c r="C80" s="134"/>
      <c r="D80" s="132" t="s">
        <v>170</v>
      </c>
      <c r="E80" s="134" t="s">
        <v>76</v>
      </c>
      <c r="F80" s="133" t="s">
        <v>184</v>
      </c>
      <c r="G80" s="134" t="s">
        <v>184</v>
      </c>
      <c r="H80" s="134" t="s">
        <v>1260</v>
      </c>
      <c r="I80" s="134" t="s">
        <v>1261</v>
      </c>
      <c r="J80" s="134"/>
    </row>
    <row r="81" spans="1:13" ht="12.95" customHeight="1">
      <c r="A81" s="134">
        <v>71</v>
      </c>
      <c r="B81" s="134">
        <v>4</v>
      </c>
      <c r="C81" s="134"/>
      <c r="D81" s="132" t="s">
        <v>294</v>
      </c>
      <c r="E81" s="134" t="s">
        <v>76</v>
      </c>
      <c r="F81" s="133" t="s">
        <v>189</v>
      </c>
      <c r="G81" s="133" t="s">
        <v>189</v>
      </c>
      <c r="H81" s="134" t="s">
        <v>1260</v>
      </c>
      <c r="I81" s="134" t="s">
        <v>1268</v>
      </c>
      <c r="J81" s="134"/>
      <c r="K81" s="211"/>
      <c r="L81" s="211"/>
      <c r="M81" s="211"/>
    </row>
    <row r="82" spans="1:13" ht="12.95" customHeight="1">
      <c r="A82" s="134">
        <v>72</v>
      </c>
      <c r="B82" s="134">
        <v>5</v>
      </c>
      <c r="C82" s="134"/>
      <c r="D82" s="132" t="s">
        <v>782</v>
      </c>
      <c r="E82" s="134" t="s">
        <v>62</v>
      </c>
      <c r="F82" s="133" t="s">
        <v>190</v>
      </c>
      <c r="G82" s="133" t="s">
        <v>190</v>
      </c>
      <c r="H82" s="134" t="s">
        <v>1260</v>
      </c>
      <c r="I82" s="134" t="s">
        <v>1268</v>
      </c>
      <c r="J82" s="134"/>
      <c r="K82" s="211"/>
      <c r="L82" s="211"/>
      <c r="M82" s="211"/>
    </row>
    <row r="83" spans="1:13" ht="12.95" customHeight="1">
      <c r="A83" s="134">
        <v>73</v>
      </c>
      <c r="B83" s="134">
        <v>6</v>
      </c>
      <c r="C83" s="134"/>
      <c r="D83" s="132" t="s">
        <v>702</v>
      </c>
      <c r="E83" s="134" t="s">
        <v>62</v>
      </c>
      <c r="F83" s="133" t="s">
        <v>190</v>
      </c>
      <c r="G83" s="133" t="s">
        <v>190</v>
      </c>
      <c r="H83" s="134" t="s">
        <v>1260</v>
      </c>
      <c r="I83" s="134" t="s">
        <v>1261</v>
      </c>
      <c r="J83" s="134"/>
      <c r="K83" s="211"/>
      <c r="L83" s="211"/>
      <c r="M83" s="211"/>
    </row>
    <row r="84" spans="1:13" ht="12.95" customHeight="1">
      <c r="A84" s="134">
        <v>74</v>
      </c>
      <c r="B84" s="134">
        <v>7</v>
      </c>
      <c r="C84" s="134"/>
      <c r="D84" s="132" t="s">
        <v>542</v>
      </c>
      <c r="E84" s="134" t="s">
        <v>62</v>
      </c>
      <c r="F84" s="133" t="s">
        <v>190</v>
      </c>
      <c r="G84" s="134" t="s">
        <v>197</v>
      </c>
      <c r="H84" s="134" t="s">
        <v>1260</v>
      </c>
      <c r="I84" s="134" t="s">
        <v>1261</v>
      </c>
      <c r="J84" s="134"/>
      <c r="K84" s="211"/>
      <c r="L84" s="211"/>
      <c r="M84" s="211"/>
    </row>
    <row r="85" spans="1:13" ht="12.95" customHeight="1">
      <c r="A85" s="134">
        <v>75</v>
      </c>
      <c r="B85" s="134">
        <v>8</v>
      </c>
      <c r="C85" s="134"/>
      <c r="D85" s="132" t="s">
        <v>492</v>
      </c>
      <c r="E85" s="134" t="s">
        <v>76</v>
      </c>
      <c r="F85" s="133" t="s">
        <v>190</v>
      </c>
      <c r="G85" s="134" t="s">
        <v>197</v>
      </c>
      <c r="H85" s="134" t="s">
        <v>1260</v>
      </c>
      <c r="I85" s="134" t="s">
        <v>1268</v>
      </c>
      <c r="J85" s="134"/>
      <c r="K85" s="211"/>
      <c r="L85" s="211"/>
      <c r="M85" s="211"/>
    </row>
    <row r="86" spans="1:13" ht="12.95" customHeight="1">
      <c r="A86" s="134">
        <v>76</v>
      </c>
      <c r="B86" s="134">
        <v>9</v>
      </c>
      <c r="C86" s="134"/>
      <c r="D86" s="132" t="s">
        <v>135</v>
      </c>
      <c r="E86" s="134" t="s">
        <v>76</v>
      </c>
      <c r="F86" s="133" t="s">
        <v>192</v>
      </c>
      <c r="G86" s="133" t="s">
        <v>192</v>
      </c>
      <c r="H86" s="134" t="s">
        <v>1260</v>
      </c>
      <c r="I86" s="134" t="s">
        <v>1261</v>
      </c>
      <c r="J86" s="134"/>
      <c r="K86" s="211"/>
      <c r="L86" s="211"/>
      <c r="M86" s="211"/>
    </row>
    <row r="87" spans="1:13" ht="12.95"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5"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5" customHeight="1">
      <c r="A89" s="134">
        <v>79</v>
      </c>
      <c r="B89" s="134">
        <v>12</v>
      </c>
      <c r="C89" s="134"/>
      <c r="D89" s="154" t="s">
        <v>526</v>
      </c>
      <c r="E89" s="134" t="s">
        <v>62</v>
      </c>
      <c r="F89" s="133" t="s">
        <v>202</v>
      </c>
      <c r="G89" s="133" t="s">
        <v>202</v>
      </c>
      <c r="H89" s="134" t="s">
        <v>1260</v>
      </c>
      <c r="I89" s="134" t="s">
        <v>1261</v>
      </c>
      <c r="J89" s="134"/>
      <c r="K89" s="211"/>
      <c r="L89" s="211"/>
      <c r="M89" s="211"/>
    </row>
    <row r="90" spans="1:13" ht="12.95" customHeight="1">
      <c r="A90" s="134">
        <v>80</v>
      </c>
      <c r="B90" s="134">
        <v>13</v>
      </c>
      <c r="C90" s="134"/>
      <c r="D90" s="132" t="s">
        <v>785</v>
      </c>
      <c r="E90" s="134" t="s">
        <v>76</v>
      </c>
      <c r="F90" s="133" t="s">
        <v>199</v>
      </c>
      <c r="G90" s="133" t="s">
        <v>199</v>
      </c>
      <c r="H90" s="134" t="s">
        <v>1260</v>
      </c>
      <c r="I90" s="134" t="s">
        <v>1268</v>
      </c>
      <c r="J90" s="134"/>
      <c r="K90" s="211"/>
      <c r="L90" s="211"/>
      <c r="M90" s="211"/>
    </row>
    <row r="91" spans="1:13" ht="12.95" customHeight="1">
      <c r="A91" s="134">
        <v>81</v>
      </c>
      <c r="B91" s="134">
        <v>14</v>
      </c>
      <c r="C91" s="134"/>
      <c r="D91" s="132" t="s">
        <v>765</v>
      </c>
      <c r="E91" s="134" t="s">
        <v>249</v>
      </c>
      <c r="F91" s="133" t="s">
        <v>203</v>
      </c>
      <c r="G91" s="133" t="s">
        <v>203</v>
      </c>
      <c r="H91" s="134" t="s">
        <v>1260</v>
      </c>
      <c r="I91" s="134" t="s">
        <v>1268</v>
      </c>
      <c r="J91" s="134"/>
      <c r="K91" s="211"/>
      <c r="L91" s="211"/>
      <c r="M91" s="211"/>
    </row>
    <row r="92" spans="1:13" ht="12.95" customHeight="1">
      <c r="A92" s="134">
        <v>82</v>
      </c>
      <c r="B92" s="134">
        <v>15</v>
      </c>
      <c r="C92" s="134"/>
      <c r="D92" s="154" t="s">
        <v>712</v>
      </c>
      <c r="E92" s="134" t="s">
        <v>62</v>
      </c>
      <c r="F92" s="133" t="s">
        <v>207</v>
      </c>
      <c r="G92" s="133" t="s">
        <v>207</v>
      </c>
      <c r="H92" s="134" t="s">
        <v>1260</v>
      </c>
      <c r="I92" s="134" t="s">
        <v>1261</v>
      </c>
      <c r="J92" s="134"/>
      <c r="K92" s="211"/>
      <c r="L92" s="211"/>
      <c r="M92" s="211"/>
    </row>
    <row r="93" spans="1:13" ht="12.95" customHeight="1">
      <c r="A93" s="134">
        <v>83</v>
      </c>
      <c r="B93" s="134">
        <v>16</v>
      </c>
      <c r="C93" s="134"/>
      <c r="D93" s="132" t="s">
        <v>792</v>
      </c>
      <c r="E93" s="134" t="s">
        <v>76</v>
      </c>
      <c r="F93" s="133" t="s">
        <v>217</v>
      </c>
      <c r="G93" s="133" t="s">
        <v>217</v>
      </c>
      <c r="H93" s="134" t="s">
        <v>1260</v>
      </c>
      <c r="I93" s="134" t="s">
        <v>1268</v>
      </c>
      <c r="J93" s="134"/>
      <c r="K93" s="211"/>
      <c r="L93" s="211"/>
      <c r="M93" s="211"/>
    </row>
    <row r="94" spans="1:13" ht="12.95"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5"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5"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5"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5" customHeight="1">
      <c r="A98" s="134">
        <v>88</v>
      </c>
      <c r="B98" s="134">
        <v>21</v>
      </c>
      <c r="C98" s="134"/>
      <c r="D98" s="132" t="s">
        <v>555</v>
      </c>
      <c r="E98" s="134" t="s">
        <v>62</v>
      </c>
      <c r="F98" s="133" t="s">
        <v>246</v>
      </c>
      <c r="G98" s="133" t="s">
        <v>246</v>
      </c>
      <c r="H98" s="134" t="s">
        <v>1260</v>
      </c>
      <c r="I98" s="134" t="s">
        <v>1268</v>
      </c>
      <c r="J98" s="134"/>
      <c r="K98" s="211"/>
      <c r="L98" s="211"/>
      <c r="M98" s="211"/>
    </row>
    <row r="99" spans="1:13" ht="12.95" customHeight="1">
      <c r="A99" s="134">
        <v>89</v>
      </c>
      <c r="B99" s="134">
        <v>22</v>
      </c>
      <c r="C99" s="134"/>
      <c r="D99" s="132" t="s">
        <v>724</v>
      </c>
      <c r="E99" s="134" t="s">
        <v>76</v>
      </c>
      <c r="F99" s="133" t="s">
        <v>241</v>
      </c>
      <c r="G99" s="133" t="s">
        <v>241</v>
      </c>
      <c r="H99" s="134" t="s">
        <v>1260</v>
      </c>
      <c r="I99" s="134" t="s">
        <v>1268</v>
      </c>
      <c r="J99" s="134"/>
      <c r="K99" s="211"/>
      <c r="L99" s="211"/>
      <c r="M99" s="211"/>
    </row>
    <row r="100" spans="1:13" ht="12.95"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5" customHeight="1">
      <c r="A101" s="134"/>
      <c r="B101" s="154" t="s">
        <v>247</v>
      </c>
      <c r="C101" s="134"/>
      <c r="D101" s="134"/>
      <c r="E101" s="134"/>
      <c r="F101" s="133"/>
      <c r="G101" s="134"/>
      <c r="H101" s="134"/>
      <c r="I101" s="134"/>
      <c r="J101" s="134"/>
      <c r="K101" s="211"/>
      <c r="L101" s="211"/>
      <c r="M101" s="211"/>
    </row>
    <row r="102" spans="1:13" ht="12.95"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5"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5"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5"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5" customHeight="1">
      <c r="A106" s="134">
        <v>95</v>
      </c>
      <c r="B106" s="134">
        <v>5</v>
      </c>
      <c r="D106" s="132" t="s">
        <v>719</v>
      </c>
      <c r="E106" s="134" t="s">
        <v>249</v>
      </c>
      <c r="F106" s="133" t="s">
        <v>824</v>
      </c>
      <c r="G106" s="133" t="s">
        <v>824</v>
      </c>
      <c r="H106" s="134" t="s">
        <v>1260</v>
      </c>
      <c r="I106" s="134" t="s">
        <v>1268</v>
      </c>
      <c r="J106" s="134"/>
      <c r="K106" s="211"/>
      <c r="L106" s="211"/>
      <c r="M106" s="214"/>
    </row>
    <row r="107" spans="1:13" ht="12.95" customHeight="1">
      <c r="A107" s="137">
        <v>96</v>
      </c>
      <c r="B107" s="137">
        <v>6</v>
      </c>
      <c r="D107" s="178" t="s">
        <v>292</v>
      </c>
      <c r="E107" s="137" t="s">
        <v>76</v>
      </c>
      <c r="F107" s="186" t="s">
        <v>261</v>
      </c>
      <c r="G107" s="186" t="s">
        <v>261</v>
      </c>
      <c r="H107" s="137" t="s">
        <v>1260</v>
      </c>
      <c r="I107" s="134" t="s">
        <v>1268</v>
      </c>
      <c r="J107" s="137"/>
      <c r="K107" s="211"/>
      <c r="L107" s="211"/>
      <c r="M107" s="214"/>
    </row>
    <row r="108" spans="1:13" ht="12.95"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5" customHeight="1">
      <c r="A109" s="135"/>
      <c r="B109" s="154" t="s">
        <v>1233</v>
      </c>
      <c r="C109" s="135"/>
      <c r="D109" s="135"/>
      <c r="E109" s="135"/>
      <c r="F109" s="190"/>
      <c r="G109" s="190"/>
      <c r="H109" s="135"/>
      <c r="I109" s="135"/>
      <c r="J109" s="135"/>
      <c r="K109" s="211"/>
      <c r="L109" s="211"/>
      <c r="M109" s="214" t="s">
        <v>718</v>
      </c>
    </row>
    <row r="110" spans="1:13" ht="12.95"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5"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5" customHeight="1">
      <c r="B112" s="154" t="s">
        <v>303</v>
      </c>
      <c r="E112" s="134"/>
      <c r="F112" s="133"/>
      <c r="G112" s="133"/>
      <c r="H112" s="134"/>
      <c r="I112" s="134"/>
      <c r="J112" s="134"/>
      <c r="K112" s="211"/>
      <c r="L112" s="211"/>
      <c r="M112" s="214" t="s">
        <v>1275</v>
      </c>
    </row>
    <row r="113" spans="1:10" ht="12.95" customHeight="1">
      <c r="A113" s="134">
        <v>100</v>
      </c>
      <c r="B113" s="134">
        <v>1</v>
      </c>
      <c r="D113" s="132" t="s">
        <v>350</v>
      </c>
      <c r="E113" s="134" t="s">
        <v>287</v>
      </c>
      <c r="F113" s="133" t="s">
        <v>310</v>
      </c>
      <c r="G113" s="133" t="s">
        <v>310</v>
      </c>
      <c r="H113" s="134" t="s">
        <v>1260</v>
      </c>
      <c r="I113" s="134" t="s">
        <v>1261</v>
      </c>
      <c r="J113" s="134"/>
    </row>
    <row r="114" spans="1:10" ht="12.95" customHeight="1">
      <c r="A114" s="134">
        <v>101</v>
      </c>
      <c r="B114" s="134">
        <v>2</v>
      </c>
      <c r="D114" s="132" t="s">
        <v>180</v>
      </c>
      <c r="E114" s="134" t="s">
        <v>76</v>
      </c>
      <c r="F114" s="133" t="s">
        <v>1276</v>
      </c>
      <c r="G114" s="133" t="s">
        <v>1276</v>
      </c>
      <c r="H114" s="134" t="s">
        <v>1260</v>
      </c>
      <c r="I114" s="134" t="s">
        <v>1261</v>
      </c>
      <c r="J114" s="134"/>
    </row>
    <row r="115" spans="1:10" ht="12.95" customHeight="1">
      <c r="A115" s="134">
        <v>102</v>
      </c>
      <c r="B115" s="134">
        <v>3</v>
      </c>
      <c r="D115" s="132" t="s">
        <v>502</v>
      </c>
      <c r="E115" s="134" t="s">
        <v>76</v>
      </c>
      <c r="F115" s="133" t="s">
        <v>314</v>
      </c>
      <c r="G115" s="133" t="s">
        <v>314</v>
      </c>
      <c r="H115" s="134" t="s">
        <v>1260</v>
      </c>
      <c r="I115" s="134" t="s">
        <v>1268</v>
      </c>
      <c r="J115" s="134"/>
    </row>
    <row r="116" spans="1:10" ht="12.95" customHeight="1">
      <c r="A116" s="134">
        <v>103</v>
      </c>
      <c r="B116" s="134">
        <v>4</v>
      </c>
      <c r="D116" s="132" t="s">
        <v>565</v>
      </c>
      <c r="E116" s="134" t="s">
        <v>1277</v>
      </c>
      <c r="F116" s="133" t="s">
        <v>330</v>
      </c>
      <c r="G116" s="133" t="s">
        <v>330</v>
      </c>
      <c r="H116" s="134" t="s">
        <v>1260</v>
      </c>
      <c r="I116" s="134" t="s">
        <v>1261</v>
      </c>
      <c r="J116" s="134"/>
    </row>
    <row r="117" spans="1:10" ht="12.95" customHeight="1">
      <c r="A117" s="134">
        <v>104</v>
      </c>
      <c r="B117" s="134">
        <v>5</v>
      </c>
      <c r="D117" s="132" t="s">
        <v>151</v>
      </c>
      <c r="E117" s="134" t="s">
        <v>76</v>
      </c>
      <c r="F117" s="133" t="s">
        <v>1278</v>
      </c>
      <c r="G117" s="133" t="s">
        <v>1278</v>
      </c>
      <c r="H117" s="134" t="s">
        <v>1260</v>
      </c>
      <c r="I117" s="134" t="s">
        <v>1261</v>
      </c>
      <c r="J117" s="134"/>
    </row>
    <row r="118" spans="1:10" ht="12.95" customHeight="1">
      <c r="A118" s="134">
        <v>105</v>
      </c>
      <c r="B118" s="134">
        <v>6</v>
      </c>
      <c r="D118" s="132" t="s">
        <v>163</v>
      </c>
      <c r="E118" s="134" t="s">
        <v>76</v>
      </c>
      <c r="F118" s="133" t="s">
        <v>331</v>
      </c>
      <c r="G118" s="133" t="s">
        <v>331</v>
      </c>
      <c r="H118" s="134" t="s">
        <v>1260</v>
      </c>
      <c r="I118" s="134" t="s">
        <v>1261</v>
      </c>
      <c r="J118" s="134"/>
    </row>
    <row r="119" spans="1:10" ht="12.95" customHeight="1">
      <c r="A119" s="162"/>
      <c r="B119" s="154" t="s">
        <v>335</v>
      </c>
      <c r="D119" s="162"/>
      <c r="E119" s="162"/>
      <c r="G119" s="161"/>
      <c r="I119" s="162"/>
      <c r="J119" s="162"/>
    </row>
    <row r="120" spans="1:10" ht="12.95" customHeight="1">
      <c r="A120" s="134">
        <v>106</v>
      </c>
      <c r="B120" s="134">
        <v>1</v>
      </c>
      <c r="D120" s="132" t="s">
        <v>711</v>
      </c>
      <c r="E120" s="134" t="s">
        <v>76</v>
      </c>
      <c r="F120" s="133" t="s">
        <v>337</v>
      </c>
      <c r="G120" s="133" t="s">
        <v>337</v>
      </c>
      <c r="H120" s="134" t="s">
        <v>1260</v>
      </c>
      <c r="I120" s="134" t="s">
        <v>1261</v>
      </c>
      <c r="J120" s="134"/>
    </row>
    <row r="121" spans="1:10" ht="12.95" customHeight="1">
      <c r="A121" s="134">
        <v>107</v>
      </c>
      <c r="B121" s="134">
        <v>2</v>
      </c>
      <c r="D121" s="132" t="s">
        <v>134</v>
      </c>
      <c r="E121" s="134" t="s">
        <v>76</v>
      </c>
      <c r="F121" s="133" t="s">
        <v>337</v>
      </c>
      <c r="G121" s="133" t="s">
        <v>337</v>
      </c>
      <c r="H121" s="134" t="s">
        <v>1260</v>
      </c>
      <c r="I121" s="134" t="s">
        <v>1261</v>
      </c>
      <c r="J121" s="134"/>
    </row>
    <row r="122" spans="1:10" ht="12.95" customHeight="1">
      <c r="A122" s="134">
        <v>108</v>
      </c>
      <c r="B122" s="134">
        <v>3</v>
      </c>
      <c r="D122" s="132" t="s">
        <v>515</v>
      </c>
      <c r="E122" s="134" t="s">
        <v>805</v>
      </c>
      <c r="F122" s="133" t="s">
        <v>1279</v>
      </c>
      <c r="G122" s="133" t="s">
        <v>1279</v>
      </c>
      <c r="H122" s="134" t="s">
        <v>1260</v>
      </c>
      <c r="I122" s="134" t="s">
        <v>1261</v>
      </c>
      <c r="J122" s="134"/>
    </row>
    <row r="123" spans="1:10" ht="12.95" customHeight="1">
      <c r="A123" s="134">
        <v>109</v>
      </c>
      <c r="B123" s="134">
        <v>4</v>
      </c>
      <c r="D123" s="132" t="s">
        <v>319</v>
      </c>
      <c r="E123" s="134" t="s">
        <v>76</v>
      </c>
      <c r="F123" s="133" t="s">
        <v>1280</v>
      </c>
      <c r="G123" s="133" t="s">
        <v>1280</v>
      </c>
      <c r="H123" s="134" t="s">
        <v>1260</v>
      </c>
      <c r="I123" s="134" t="s">
        <v>1261</v>
      </c>
      <c r="J123" s="134"/>
    </row>
    <row r="124" spans="1:10" ht="12.95" customHeight="1">
      <c r="A124" s="162"/>
      <c r="B124" s="194" t="s">
        <v>345</v>
      </c>
      <c r="D124" s="178"/>
      <c r="E124" s="137"/>
      <c r="G124" s="161"/>
      <c r="I124" s="162"/>
      <c r="J124" s="162"/>
    </row>
    <row r="125" spans="1:10" ht="12.95" customHeight="1">
      <c r="A125" s="134">
        <v>110</v>
      </c>
      <c r="B125" s="134">
        <v>1</v>
      </c>
      <c r="C125" s="134"/>
      <c r="D125" s="132" t="s">
        <v>286</v>
      </c>
      <c r="E125" s="135" t="s">
        <v>1269</v>
      </c>
      <c r="F125" s="133" t="s">
        <v>352</v>
      </c>
      <c r="G125" s="133" t="s">
        <v>352</v>
      </c>
      <c r="H125" s="134" t="s">
        <v>1260</v>
      </c>
      <c r="I125" s="134" t="s">
        <v>1261</v>
      </c>
      <c r="J125" s="134"/>
    </row>
    <row r="126" spans="1:10" ht="12.95" customHeight="1">
      <c r="A126" s="162"/>
      <c r="B126" s="194" t="s">
        <v>368</v>
      </c>
      <c r="C126" s="162"/>
      <c r="D126" s="178"/>
      <c r="E126" s="213"/>
      <c r="G126" s="161"/>
      <c r="I126" s="162"/>
      <c r="J126" s="162"/>
    </row>
    <row r="127" spans="1:10" ht="12.95" customHeight="1">
      <c r="A127" s="134">
        <v>111</v>
      </c>
      <c r="B127" s="134">
        <v>1</v>
      </c>
      <c r="C127" s="134"/>
      <c r="D127" s="132" t="s">
        <v>800</v>
      </c>
      <c r="E127" s="16" t="s">
        <v>76</v>
      </c>
      <c r="F127" s="133" t="s">
        <v>391</v>
      </c>
      <c r="G127" s="133" t="s">
        <v>391</v>
      </c>
      <c r="H127" s="134" t="s">
        <v>1260</v>
      </c>
      <c r="I127" s="134" t="s">
        <v>1261</v>
      </c>
      <c r="J127" s="134"/>
    </row>
    <row r="128" spans="1:10" ht="12.95" customHeight="1">
      <c r="A128" s="134">
        <v>112</v>
      </c>
      <c r="B128" s="134">
        <v>2</v>
      </c>
      <c r="C128" s="134"/>
      <c r="D128" s="132" t="s">
        <v>562</v>
      </c>
      <c r="E128" s="16" t="s">
        <v>76</v>
      </c>
      <c r="F128" s="133" t="s">
        <v>393</v>
      </c>
      <c r="G128" s="133" t="s">
        <v>393</v>
      </c>
      <c r="H128" s="134" t="s">
        <v>1260</v>
      </c>
      <c r="I128" s="134" t="s">
        <v>1261</v>
      </c>
      <c r="J128" s="134"/>
    </row>
    <row r="129" spans="1:10" ht="12.95" customHeight="1">
      <c r="A129" s="134">
        <v>113</v>
      </c>
      <c r="B129" s="134">
        <v>3</v>
      </c>
      <c r="C129" s="134"/>
      <c r="D129" s="132" t="s">
        <v>334</v>
      </c>
      <c r="E129" s="16" t="s">
        <v>76</v>
      </c>
      <c r="F129" s="133" t="s">
        <v>395</v>
      </c>
      <c r="G129" s="133" t="s">
        <v>395</v>
      </c>
      <c r="H129" s="134" t="s">
        <v>1260</v>
      </c>
      <c r="I129" s="134" t="s">
        <v>1261</v>
      </c>
      <c r="J129" s="134"/>
    </row>
    <row r="130" spans="1:10" ht="12.95" customHeight="1">
      <c r="A130" s="134">
        <v>114</v>
      </c>
      <c r="B130" s="134">
        <v>4</v>
      </c>
      <c r="D130" s="132" t="s">
        <v>313</v>
      </c>
      <c r="E130" s="16" t="s">
        <v>76</v>
      </c>
      <c r="F130" s="133" t="s">
        <v>397</v>
      </c>
      <c r="G130" s="133" t="s">
        <v>397</v>
      </c>
      <c r="H130" s="134" t="s">
        <v>1260</v>
      </c>
      <c r="I130" s="134" t="s">
        <v>1261</v>
      </c>
      <c r="J130" s="134"/>
    </row>
    <row r="131" spans="1:10" ht="12.95" customHeight="1">
      <c r="A131" s="134">
        <v>115</v>
      </c>
      <c r="B131" s="134">
        <v>5</v>
      </c>
      <c r="D131" s="132" t="s">
        <v>722</v>
      </c>
      <c r="E131" s="134" t="s">
        <v>76</v>
      </c>
      <c r="F131" s="133" t="s">
        <v>1281</v>
      </c>
      <c r="G131" s="133" t="s">
        <v>1281</v>
      </c>
      <c r="H131" s="134" t="s">
        <v>1260</v>
      </c>
      <c r="I131" s="134" t="s">
        <v>1261</v>
      </c>
      <c r="J131" s="134"/>
    </row>
    <row r="132" spans="1:10" ht="12.95" customHeight="1">
      <c r="A132" s="134">
        <v>116</v>
      </c>
      <c r="B132" s="134">
        <v>6</v>
      </c>
      <c r="D132" s="132" t="s">
        <v>737</v>
      </c>
      <c r="E132" s="16" t="s">
        <v>76</v>
      </c>
      <c r="F132" s="133" t="s">
        <v>1281</v>
      </c>
      <c r="G132" s="133" t="s">
        <v>1281</v>
      </c>
      <c r="H132" s="134" t="s">
        <v>1260</v>
      </c>
      <c r="I132" s="134" t="s">
        <v>1261</v>
      </c>
      <c r="J132" s="134"/>
    </row>
    <row r="133" spans="1:10" ht="12.95" customHeight="1">
      <c r="A133" s="134">
        <v>117</v>
      </c>
      <c r="B133" s="134">
        <v>7</v>
      </c>
      <c r="D133" s="132" t="s">
        <v>430</v>
      </c>
      <c r="E133" s="16" t="s">
        <v>76</v>
      </c>
      <c r="F133" s="133" t="s">
        <v>414</v>
      </c>
      <c r="G133" s="133" t="s">
        <v>414</v>
      </c>
      <c r="H133" s="134" t="s">
        <v>1260</v>
      </c>
      <c r="I133" s="134" t="s">
        <v>1261</v>
      </c>
      <c r="J133" s="134"/>
    </row>
    <row r="134" spans="1:10" ht="12.95" customHeight="1">
      <c r="A134" s="134">
        <v>118</v>
      </c>
      <c r="B134" s="134">
        <v>8</v>
      </c>
      <c r="D134" s="132" t="s">
        <v>848</v>
      </c>
      <c r="E134" s="16" t="s">
        <v>76</v>
      </c>
      <c r="F134" s="133" t="s">
        <v>414</v>
      </c>
      <c r="G134" s="133" t="s">
        <v>414</v>
      </c>
      <c r="H134" s="134" t="s">
        <v>1260</v>
      </c>
      <c r="I134" s="134" t="s">
        <v>1261</v>
      </c>
      <c r="J134" s="134"/>
    </row>
    <row r="135" spans="1:10" ht="12.95" customHeight="1">
      <c r="A135" s="134">
        <v>119</v>
      </c>
      <c r="B135" s="134">
        <v>9</v>
      </c>
      <c r="D135" s="132" t="s">
        <v>484</v>
      </c>
      <c r="E135" s="16" t="s">
        <v>76</v>
      </c>
      <c r="F135" s="133" t="s">
        <v>414</v>
      </c>
      <c r="G135" s="133" t="s">
        <v>414</v>
      </c>
      <c r="H135" s="134" t="s">
        <v>1260</v>
      </c>
      <c r="I135" s="134" t="s">
        <v>1261</v>
      </c>
      <c r="J135" s="134"/>
    </row>
    <row r="136" spans="1:10" ht="12.95" customHeight="1">
      <c r="B136" s="194" t="s">
        <v>412</v>
      </c>
    </row>
    <row r="137" spans="1:10" ht="12.95" customHeight="1">
      <c r="A137" s="134">
        <v>120</v>
      </c>
      <c r="B137" s="134">
        <v>1</v>
      </c>
      <c r="C137" s="134"/>
      <c r="D137" s="132" t="s">
        <v>473</v>
      </c>
      <c r="E137" s="16" t="s">
        <v>243</v>
      </c>
      <c r="F137" s="133" t="s">
        <v>417</v>
      </c>
      <c r="G137" s="133" t="s">
        <v>417</v>
      </c>
      <c r="H137" s="134" t="s">
        <v>1260</v>
      </c>
      <c r="I137" s="134" t="s">
        <v>1261</v>
      </c>
      <c r="J137" s="134"/>
    </row>
    <row r="138" spans="1:10" ht="12.95" customHeight="1">
      <c r="A138" s="134">
        <v>121</v>
      </c>
      <c r="B138" s="134">
        <v>2</v>
      </c>
      <c r="C138" s="134"/>
      <c r="D138" s="132" t="s">
        <v>346</v>
      </c>
      <c r="E138" s="134" t="s">
        <v>805</v>
      </c>
      <c r="F138" s="133" t="s">
        <v>417</v>
      </c>
      <c r="G138" s="134" t="s">
        <v>420</v>
      </c>
      <c r="H138" s="134" t="s">
        <v>1260</v>
      </c>
      <c r="I138" s="134" t="s">
        <v>1261</v>
      </c>
      <c r="J138" s="134"/>
    </row>
    <row r="139" spans="1:10" ht="12.95" customHeight="1">
      <c r="A139" s="134">
        <v>122</v>
      </c>
      <c r="B139" s="134">
        <v>3</v>
      </c>
      <c r="C139" s="134"/>
      <c r="D139" s="132" t="s">
        <v>479</v>
      </c>
      <c r="E139" s="134" t="s">
        <v>76</v>
      </c>
      <c r="F139" s="133" t="s">
        <v>1282</v>
      </c>
      <c r="G139" s="134" t="s">
        <v>1282</v>
      </c>
      <c r="H139" s="134" t="s">
        <v>1260</v>
      </c>
      <c r="I139" s="134" t="s">
        <v>1261</v>
      </c>
      <c r="J139" s="134"/>
    </row>
    <row r="140" spans="1:10" ht="12.95" customHeight="1">
      <c r="A140" s="134">
        <v>123</v>
      </c>
      <c r="B140" s="134">
        <v>4</v>
      </c>
      <c r="C140" s="134"/>
      <c r="D140" s="132" t="s">
        <v>402</v>
      </c>
      <c r="E140" s="134" t="s">
        <v>76</v>
      </c>
      <c r="F140" s="133" t="s">
        <v>431</v>
      </c>
      <c r="G140" s="134" t="s">
        <v>431</v>
      </c>
      <c r="H140" s="134" t="s">
        <v>1260</v>
      </c>
      <c r="I140" s="134" t="s">
        <v>1261</v>
      </c>
      <c r="J140" s="134"/>
    </row>
    <row r="141" spans="1:10" ht="12.95" customHeight="1">
      <c r="A141" s="134">
        <v>124</v>
      </c>
      <c r="B141" s="134">
        <v>5</v>
      </c>
      <c r="C141" s="134"/>
      <c r="D141" s="132" t="s">
        <v>495</v>
      </c>
      <c r="E141" s="134" t="s">
        <v>76</v>
      </c>
      <c r="F141" s="133" t="s">
        <v>432</v>
      </c>
      <c r="G141" s="133" t="s">
        <v>432</v>
      </c>
      <c r="H141" s="134" t="s">
        <v>1260</v>
      </c>
      <c r="I141" s="134" t="s">
        <v>1261</v>
      </c>
      <c r="J141" s="134"/>
    </row>
    <row r="142" spans="1:10" ht="12.95" customHeight="1">
      <c r="A142" s="134">
        <v>125</v>
      </c>
      <c r="B142" s="134">
        <v>6</v>
      </c>
      <c r="C142" s="134"/>
      <c r="D142" s="132" t="s">
        <v>497</v>
      </c>
      <c r="E142" s="134" t="s">
        <v>76</v>
      </c>
      <c r="F142" s="133" t="s">
        <v>1250</v>
      </c>
      <c r="G142" s="134" t="s">
        <v>1250</v>
      </c>
      <c r="H142" s="134" t="s">
        <v>1260</v>
      </c>
      <c r="I142" s="134" t="s">
        <v>1261</v>
      </c>
      <c r="J142" s="134"/>
    </row>
    <row r="143" spans="1:10" ht="12.95" customHeight="1">
      <c r="A143" s="134">
        <v>126</v>
      </c>
      <c r="B143" s="134">
        <v>7</v>
      </c>
      <c r="C143" s="134"/>
      <c r="D143" s="132" t="s">
        <v>882</v>
      </c>
      <c r="E143" s="134" t="s">
        <v>62</v>
      </c>
      <c r="F143" s="133" t="s">
        <v>438</v>
      </c>
      <c r="G143" s="134" t="s">
        <v>438</v>
      </c>
      <c r="H143" s="134" t="s">
        <v>1260</v>
      </c>
      <c r="I143" s="134" t="s">
        <v>1261</v>
      </c>
      <c r="J143" s="134"/>
    </row>
    <row r="144" spans="1:10" ht="12.95" customHeight="1">
      <c r="A144" s="134">
        <v>127</v>
      </c>
      <c r="B144" s="134">
        <v>8</v>
      </c>
      <c r="C144" s="134"/>
      <c r="D144" s="132" t="s">
        <v>458</v>
      </c>
      <c r="E144" s="134" t="s">
        <v>76</v>
      </c>
      <c r="F144" s="133" t="s">
        <v>438</v>
      </c>
      <c r="G144" s="134" t="s">
        <v>438</v>
      </c>
      <c r="H144" s="134" t="s">
        <v>1260</v>
      </c>
      <c r="I144" s="134" t="s">
        <v>1261</v>
      </c>
      <c r="J144" s="134"/>
    </row>
    <row r="145" spans="1:10" ht="12.95" customHeight="1">
      <c r="B145" s="194" t="s">
        <v>443</v>
      </c>
    </row>
    <row r="146" spans="1:10" ht="12.95" customHeight="1">
      <c r="A146" s="134">
        <v>128</v>
      </c>
      <c r="B146" s="134">
        <v>1</v>
      </c>
      <c r="C146" s="134"/>
      <c r="D146" s="132" t="s">
        <v>858</v>
      </c>
      <c r="E146" s="134" t="s">
        <v>76</v>
      </c>
      <c r="F146" s="133" t="s">
        <v>1283</v>
      </c>
      <c r="G146" s="134" t="s">
        <v>1283</v>
      </c>
      <c r="H146" s="134" t="s">
        <v>1260</v>
      </c>
      <c r="I146" s="134" t="s">
        <v>1261</v>
      </c>
      <c r="J146" s="134"/>
    </row>
    <row r="147" spans="1:10" ht="12.95" customHeight="1">
      <c r="A147" s="134">
        <v>129</v>
      </c>
      <c r="B147" s="134">
        <v>2</v>
      </c>
      <c r="C147" s="134"/>
      <c r="D147" s="132" t="s">
        <v>852</v>
      </c>
      <c r="E147" s="134" t="s">
        <v>809</v>
      </c>
      <c r="F147" s="133" t="s">
        <v>913</v>
      </c>
      <c r="G147" s="134" t="s">
        <v>913</v>
      </c>
      <c r="H147" s="134" t="s">
        <v>1260</v>
      </c>
      <c r="I147" s="134" t="s">
        <v>1261</v>
      </c>
      <c r="J147" s="134"/>
    </row>
    <row r="148" spans="1:10" ht="12.95" customHeight="1">
      <c r="A148" s="134">
        <v>130</v>
      </c>
      <c r="B148" s="134">
        <v>3</v>
      </c>
      <c r="C148" s="134"/>
      <c r="D148" s="132" t="s">
        <v>871</v>
      </c>
      <c r="E148" s="134" t="s">
        <v>62</v>
      </c>
      <c r="F148" s="133" t="s">
        <v>918</v>
      </c>
      <c r="G148" s="134" t="s">
        <v>918</v>
      </c>
      <c r="H148" s="134" t="s">
        <v>1260</v>
      </c>
      <c r="I148" s="134" t="s">
        <v>1261</v>
      </c>
      <c r="J148" s="134"/>
    </row>
    <row r="149" spans="1:10" ht="12.95" customHeight="1">
      <c r="A149" s="134">
        <v>131</v>
      </c>
      <c r="B149" s="134">
        <v>4</v>
      </c>
      <c r="C149" s="134"/>
      <c r="D149" s="132" t="s">
        <v>490</v>
      </c>
      <c r="E149" s="134" t="s">
        <v>76</v>
      </c>
      <c r="F149" s="133" t="s">
        <v>918</v>
      </c>
      <c r="G149" s="134" t="s">
        <v>918</v>
      </c>
      <c r="H149" s="134" t="s">
        <v>1260</v>
      </c>
      <c r="I149" s="134" t="s">
        <v>1261</v>
      </c>
      <c r="J149" s="134"/>
    </row>
    <row r="150" spans="1:10" ht="12.95" customHeight="1">
      <c r="A150" s="134">
        <v>132</v>
      </c>
      <c r="B150" s="134">
        <v>5</v>
      </c>
      <c r="C150" s="134"/>
      <c r="D150" s="132" t="s">
        <v>888</v>
      </c>
      <c r="E150" s="134" t="s">
        <v>76</v>
      </c>
      <c r="F150" s="133" t="s">
        <v>918</v>
      </c>
      <c r="G150" s="134" t="s">
        <v>918</v>
      </c>
      <c r="H150" s="134" t="s">
        <v>1260</v>
      </c>
      <c r="I150" s="134" t="s">
        <v>1261</v>
      </c>
      <c r="J150" s="134"/>
    </row>
    <row r="151" spans="1:10" ht="12.95" customHeight="1">
      <c r="A151" s="134">
        <v>133</v>
      </c>
      <c r="B151" s="134">
        <v>6</v>
      </c>
      <c r="C151" s="134"/>
      <c r="D151" s="132" t="s">
        <v>857</v>
      </c>
      <c r="E151" s="134" t="s">
        <v>76</v>
      </c>
      <c r="F151" s="133" t="s">
        <v>918</v>
      </c>
      <c r="G151" s="134" t="s">
        <v>918</v>
      </c>
      <c r="H151" s="134" t="s">
        <v>1260</v>
      </c>
      <c r="I151" s="134" t="s">
        <v>1261</v>
      </c>
      <c r="J151" s="134"/>
    </row>
    <row r="152" spans="1:10" ht="12.95" customHeight="1">
      <c r="A152" s="134">
        <v>134</v>
      </c>
      <c r="B152" s="134">
        <v>7</v>
      </c>
      <c r="C152" s="134"/>
      <c r="D152" s="132" t="s">
        <v>378</v>
      </c>
      <c r="E152" s="134" t="s">
        <v>881</v>
      </c>
      <c r="F152" s="133" t="s">
        <v>921</v>
      </c>
      <c r="G152" s="134" t="s">
        <v>921</v>
      </c>
      <c r="H152" s="134" t="s">
        <v>1260</v>
      </c>
      <c r="I152" s="134" t="s">
        <v>1261</v>
      </c>
      <c r="J152" s="134"/>
    </row>
    <row r="153" spans="1:10" ht="12.95" customHeight="1">
      <c r="A153" s="134">
        <v>135</v>
      </c>
      <c r="B153" s="134">
        <v>8</v>
      </c>
      <c r="C153" s="134"/>
      <c r="D153" s="132" t="s">
        <v>861</v>
      </c>
      <c r="E153" s="134" t="s">
        <v>62</v>
      </c>
      <c r="F153" s="133" t="s">
        <v>919</v>
      </c>
      <c r="G153" s="134" t="s">
        <v>919</v>
      </c>
      <c r="H153" s="134" t="s">
        <v>1260</v>
      </c>
      <c r="I153" s="134" t="s">
        <v>1261</v>
      </c>
      <c r="J153" s="134"/>
    </row>
    <row r="154" spans="1:10" ht="12.95" customHeight="1">
      <c r="A154" s="134">
        <v>136</v>
      </c>
      <c r="B154" s="134">
        <v>9</v>
      </c>
      <c r="D154" s="132" t="s">
        <v>874</v>
      </c>
      <c r="E154" s="15" t="s">
        <v>62</v>
      </c>
      <c r="F154" s="133" t="s">
        <v>919</v>
      </c>
      <c r="G154" s="134" t="s">
        <v>919</v>
      </c>
      <c r="H154" s="134" t="s">
        <v>1260</v>
      </c>
      <c r="I154" s="134" t="s">
        <v>1261</v>
      </c>
      <c r="J154" s="134"/>
    </row>
    <row r="155" spans="1:10" ht="12.95" customHeight="1">
      <c r="A155" s="134">
        <v>137</v>
      </c>
      <c r="B155" s="134">
        <v>10</v>
      </c>
      <c r="D155" s="178" t="s">
        <v>865</v>
      </c>
      <c r="E155" s="134" t="s">
        <v>62</v>
      </c>
      <c r="F155" s="133" t="s">
        <v>919</v>
      </c>
      <c r="G155" s="134" t="s">
        <v>919</v>
      </c>
      <c r="H155" s="134" t="s">
        <v>1260</v>
      </c>
      <c r="I155" s="134" t="s">
        <v>1261</v>
      </c>
      <c r="J155" s="134"/>
    </row>
    <row r="156" spans="1:10" ht="12.95" customHeight="1">
      <c r="A156" s="134">
        <v>138</v>
      </c>
      <c r="B156" s="134">
        <v>11</v>
      </c>
      <c r="D156" s="132" t="s">
        <v>866</v>
      </c>
      <c r="E156" s="134" t="s">
        <v>76</v>
      </c>
      <c r="F156" s="133" t="s">
        <v>927</v>
      </c>
      <c r="G156" s="134" t="s">
        <v>927</v>
      </c>
      <c r="H156" s="134" t="s">
        <v>1260</v>
      </c>
      <c r="I156" s="134" t="s">
        <v>1261</v>
      </c>
      <c r="J156" s="134"/>
    </row>
    <row r="157" spans="1:10" ht="12.95" customHeight="1">
      <c r="B157" s="194" t="s">
        <v>935</v>
      </c>
    </row>
    <row r="158" spans="1:10" ht="12.95" customHeight="1">
      <c r="A158" s="134">
        <v>139</v>
      </c>
      <c r="B158" s="134">
        <v>1</v>
      </c>
      <c r="D158" s="132" t="s">
        <v>872</v>
      </c>
      <c r="E158" s="134" t="s">
        <v>76</v>
      </c>
      <c r="F158" s="133" t="s">
        <v>466</v>
      </c>
      <c r="G158" s="134" t="s">
        <v>466</v>
      </c>
      <c r="H158" s="134" t="s">
        <v>1260</v>
      </c>
      <c r="I158" s="134" t="s">
        <v>1261</v>
      </c>
      <c r="J158" s="134"/>
    </row>
    <row r="159" spans="1:10" ht="12.95" customHeight="1">
      <c r="A159" s="134">
        <v>140</v>
      </c>
      <c r="B159" s="134">
        <v>2</v>
      </c>
      <c r="D159" s="132" t="s">
        <v>394</v>
      </c>
      <c r="E159" s="134" t="s">
        <v>76</v>
      </c>
      <c r="F159" s="133" t="s">
        <v>463</v>
      </c>
      <c r="G159" s="134" t="s">
        <v>463</v>
      </c>
      <c r="H159" s="134" t="s">
        <v>1260</v>
      </c>
      <c r="I159" s="134" t="s">
        <v>1261</v>
      </c>
      <c r="J159" s="134"/>
    </row>
    <row r="160" spans="1:10" ht="12.95" customHeight="1">
      <c r="A160" s="134">
        <v>141</v>
      </c>
      <c r="B160" s="134">
        <v>3</v>
      </c>
      <c r="D160" s="132" t="s">
        <v>850</v>
      </c>
      <c r="E160" s="134" t="s">
        <v>76</v>
      </c>
      <c r="F160" s="133" t="s">
        <v>951</v>
      </c>
      <c r="G160" s="134" t="s">
        <v>951</v>
      </c>
      <c r="H160" s="134" t="s">
        <v>1260</v>
      </c>
      <c r="I160" s="134" t="s">
        <v>1261</v>
      </c>
      <c r="J160" s="134"/>
    </row>
    <row r="161" spans="1:10" ht="12.95" customHeight="1">
      <c r="A161" s="134">
        <v>142</v>
      </c>
      <c r="B161" s="134">
        <v>4</v>
      </c>
      <c r="D161" s="178" t="s">
        <v>877</v>
      </c>
      <c r="E161" s="134" t="s">
        <v>62</v>
      </c>
      <c r="F161" s="133" t="s">
        <v>953</v>
      </c>
      <c r="G161" s="134" t="s">
        <v>953</v>
      </c>
      <c r="H161" s="134" t="s">
        <v>1260</v>
      </c>
      <c r="I161" s="134" t="s">
        <v>1261</v>
      </c>
      <c r="J161" s="134"/>
    </row>
    <row r="162" spans="1:10" ht="12.95" customHeight="1">
      <c r="A162" s="134">
        <v>143</v>
      </c>
      <c r="B162" s="134">
        <v>5</v>
      </c>
      <c r="D162" s="178" t="s">
        <v>864</v>
      </c>
      <c r="E162" s="134" t="s">
        <v>62</v>
      </c>
      <c r="F162" s="133" t="s">
        <v>480</v>
      </c>
      <c r="G162" s="134" t="s">
        <v>480</v>
      </c>
      <c r="H162" s="134" t="s">
        <v>1260</v>
      </c>
      <c r="I162" s="134" t="s">
        <v>1261</v>
      </c>
      <c r="J162" s="134"/>
    </row>
    <row r="163" spans="1:10" ht="12.95" customHeight="1">
      <c r="A163" s="134">
        <v>144</v>
      </c>
      <c r="B163" s="134">
        <v>6</v>
      </c>
      <c r="D163" s="178" t="s">
        <v>890</v>
      </c>
      <c r="E163" s="134" t="s">
        <v>305</v>
      </c>
      <c r="F163" s="133" t="s">
        <v>456</v>
      </c>
      <c r="G163" s="134" t="s">
        <v>456</v>
      </c>
      <c r="H163" s="134" t="s">
        <v>1260</v>
      </c>
      <c r="I163" s="134" t="s">
        <v>1261</v>
      </c>
      <c r="J163" s="134"/>
    </row>
    <row r="164" spans="1:10" ht="12.95" customHeight="1">
      <c r="A164" s="134">
        <v>145</v>
      </c>
      <c r="B164" s="134">
        <v>7</v>
      </c>
      <c r="D164" s="178" t="s">
        <v>200</v>
      </c>
      <c r="E164" s="134" t="s">
        <v>809</v>
      </c>
      <c r="F164" s="133" t="s">
        <v>467</v>
      </c>
      <c r="G164" s="134" t="s">
        <v>467</v>
      </c>
      <c r="H164" s="134" t="s">
        <v>1260</v>
      </c>
      <c r="I164" s="134" t="s">
        <v>1261</v>
      </c>
      <c r="J164" s="134"/>
    </row>
    <row r="165" spans="1:10" ht="12.95" customHeight="1">
      <c r="A165" s="134">
        <v>146</v>
      </c>
      <c r="B165" s="134">
        <v>8</v>
      </c>
      <c r="D165" s="178" t="s">
        <v>806</v>
      </c>
      <c r="E165" s="134" t="s">
        <v>62</v>
      </c>
      <c r="F165" s="133" t="s">
        <v>472</v>
      </c>
      <c r="G165" s="134" t="s">
        <v>472</v>
      </c>
      <c r="H165" s="134" t="s">
        <v>1260</v>
      </c>
      <c r="I165" s="134" t="s">
        <v>1261</v>
      </c>
      <c r="J165" s="134"/>
    </row>
    <row r="166" spans="1:10" ht="12.95" customHeight="1">
      <c r="A166" s="134">
        <v>147</v>
      </c>
      <c r="B166" s="134">
        <v>9</v>
      </c>
      <c r="D166" s="132" t="s">
        <v>421</v>
      </c>
      <c r="E166" s="134" t="s">
        <v>243</v>
      </c>
      <c r="F166" s="133" t="s">
        <v>475</v>
      </c>
      <c r="G166" s="134" t="s">
        <v>475</v>
      </c>
      <c r="H166" s="134" t="s">
        <v>1260</v>
      </c>
      <c r="I166" s="134" t="s">
        <v>1261</v>
      </c>
      <c r="J166" s="134"/>
    </row>
    <row r="167" spans="1:10" ht="12.95" customHeight="1">
      <c r="A167" s="134">
        <v>148</v>
      </c>
      <c r="B167" s="134">
        <v>10</v>
      </c>
      <c r="D167" s="132" t="s">
        <v>924</v>
      </c>
      <c r="E167" s="134" t="s">
        <v>76</v>
      </c>
      <c r="F167" s="133" t="s">
        <v>485</v>
      </c>
      <c r="G167" s="134" t="s">
        <v>485</v>
      </c>
      <c r="H167" s="134" t="s">
        <v>1260</v>
      </c>
      <c r="I167" s="134" t="s">
        <v>1261</v>
      </c>
      <c r="J167" s="134"/>
    </row>
    <row r="168" spans="1:10" ht="12.95" customHeight="1">
      <c r="A168" s="134">
        <v>149</v>
      </c>
      <c r="B168" s="134">
        <v>11</v>
      </c>
      <c r="D168" s="132" t="s">
        <v>853</v>
      </c>
      <c r="E168" s="134" t="s">
        <v>76</v>
      </c>
      <c r="F168" s="133" t="s">
        <v>485</v>
      </c>
      <c r="G168" s="134" t="s">
        <v>485</v>
      </c>
      <c r="H168" s="134" t="s">
        <v>1260</v>
      </c>
      <c r="I168" s="134" t="s">
        <v>1261</v>
      </c>
      <c r="J168" s="134"/>
    </row>
    <row r="169" spans="1:10" ht="12.95" customHeight="1">
      <c r="A169" s="134">
        <v>150</v>
      </c>
      <c r="B169" s="134">
        <v>12</v>
      </c>
      <c r="D169" s="132" t="s">
        <v>867</v>
      </c>
      <c r="E169" s="134"/>
      <c r="F169" s="133" t="s">
        <v>486</v>
      </c>
      <c r="G169" s="134" t="s">
        <v>486</v>
      </c>
      <c r="H169" s="134" t="s">
        <v>1260</v>
      </c>
      <c r="I169" s="134" t="s">
        <v>1261</v>
      </c>
      <c r="J169" s="134"/>
    </row>
    <row r="170" spans="1:10" ht="12.95" customHeight="1">
      <c r="A170" s="134">
        <v>151</v>
      </c>
      <c r="B170" s="134">
        <v>14</v>
      </c>
      <c r="D170" s="132" t="s">
        <v>1284</v>
      </c>
      <c r="E170" s="134" t="s">
        <v>62</v>
      </c>
      <c r="F170" s="133" t="s">
        <v>489</v>
      </c>
      <c r="G170" s="134" t="s">
        <v>489</v>
      </c>
      <c r="H170" s="134" t="s">
        <v>1260</v>
      </c>
      <c r="I170" s="134" t="s">
        <v>1261</v>
      </c>
      <c r="J170" s="134"/>
    </row>
    <row r="171" spans="1:10" ht="12.95" customHeight="1">
      <c r="A171" s="134">
        <v>152</v>
      </c>
      <c r="B171" s="134">
        <v>15</v>
      </c>
      <c r="D171" s="132" t="s">
        <v>811</v>
      </c>
      <c r="E171" s="134" t="s">
        <v>53</v>
      </c>
      <c r="F171" s="133" t="s">
        <v>491</v>
      </c>
      <c r="G171" s="134" t="s">
        <v>491</v>
      </c>
      <c r="H171" s="134" t="s">
        <v>1260</v>
      </c>
      <c r="I171" s="134" t="s">
        <v>1261</v>
      </c>
      <c r="J171" s="134"/>
    </row>
    <row r="172" spans="1:10" ht="12.95" customHeight="1">
      <c r="A172" s="134">
        <v>153</v>
      </c>
      <c r="B172" s="134">
        <v>16</v>
      </c>
      <c r="D172" s="132" t="s">
        <v>934</v>
      </c>
      <c r="E172" s="134" t="s">
        <v>76</v>
      </c>
      <c r="F172" s="133" t="s">
        <v>494</v>
      </c>
      <c r="G172" s="134" t="s">
        <v>494</v>
      </c>
      <c r="H172" s="134" t="s">
        <v>1260</v>
      </c>
      <c r="I172" s="134" t="s">
        <v>1261</v>
      </c>
      <c r="J172" s="134"/>
    </row>
    <row r="173" spans="1:10" ht="12.95" customHeight="1">
      <c r="A173" s="134">
        <v>154</v>
      </c>
      <c r="B173" s="134">
        <v>17</v>
      </c>
      <c r="D173" s="132" t="s">
        <v>900</v>
      </c>
      <c r="E173" s="134" t="s">
        <v>76</v>
      </c>
      <c r="F173" s="133" t="s">
        <v>494</v>
      </c>
      <c r="G173" s="134" t="s">
        <v>494</v>
      </c>
      <c r="H173" s="134" t="s">
        <v>1260</v>
      </c>
      <c r="I173" s="134" t="s">
        <v>1261</v>
      </c>
      <c r="J173" s="134"/>
    </row>
    <row r="174" spans="1:10" ht="12.95" customHeight="1">
      <c r="B174" s="194" t="s">
        <v>15</v>
      </c>
    </row>
    <row r="175" spans="1:10" ht="12.95" customHeight="1">
      <c r="A175" s="134">
        <v>155</v>
      </c>
      <c r="B175" s="134">
        <v>1</v>
      </c>
      <c r="D175" s="132" t="s">
        <v>818</v>
      </c>
      <c r="E175" s="134" t="s">
        <v>76</v>
      </c>
      <c r="F175" s="133" t="s">
        <v>501</v>
      </c>
      <c r="G175" s="134" t="s">
        <v>501</v>
      </c>
      <c r="H175" s="134" t="s">
        <v>1260</v>
      </c>
      <c r="I175" s="134" t="s">
        <v>1261</v>
      </c>
      <c r="J175" s="134"/>
    </row>
    <row r="176" spans="1:10" ht="12.95" customHeight="1">
      <c r="A176" s="134">
        <v>156</v>
      </c>
      <c r="B176" s="134">
        <v>2</v>
      </c>
      <c r="D176" s="132" t="s">
        <v>810</v>
      </c>
      <c r="E176" s="134" t="s">
        <v>249</v>
      </c>
      <c r="F176" s="133" t="s">
        <v>496</v>
      </c>
      <c r="G176" s="134" t="s">
        <v>496</v>
      </c>
      <c r="H176" s="134" t="s">
        <v>1260</v>
      </c>
      <c r="I176" s="134" t="s">
        <v>1261</v>
      </c>
      <c r="J176" s="134"/>
    </row>
    <row r="177" spans="1:10" ht="12.95" customHeight="1">
      <c r="A177" s="134">
        <v>157</v>
      </c>
      <c r="B177" s="134">
        <v>3</v>
      </c>
      <c r="D177" s="132" t="s">
        <v>828</v>
      </c>
      <c r="E177" s="134" t="s">
        <v>53</v>
      </c>
      <c r="F177" s="133" t="s">
        <v>509</v>
      </c>
      <c r="G177" s="134" t="s">
        <v>509</v>
      </c>
      <c r="H177" s="134" t="s">
        <v>1260</v>
      </c>
      <c r="I177" s="134" t="s">
        <v>1261</v>
      </c>
      <c r="J177" s="134"/>
    </row>
    <row r="178" spans="1:10" ht="12.95" customHeight="1">
      <c r="A178" s="134">
        <v>158</v>
      </c>
      <c r="B178" s="134">
        <v>4</v>
      </c>
      <c r="D178" s="132" t="s">
        <v>418</v>
      </c>
      <c r="E178" s="134" t="s">
        <v>305</v>
      </c>
      <c r="F178" s="133" t="s">
        <v>525</v>
      </c>
      <c r="G178" s="134" t="s">
        <v>525</v>
      </c>
      <c r="H178" s="134" t="s">
        <v>1260</v>
      </c>
      <c r="I178" s="134" t="s">
        <v>1261</v>
      </c>
      <c r="J178" s="134"/>
    </row>
    <row r="179" spans="1:10" ht="12.95" customHeight="1">
      <c r="A179" s="134">
        <v>159</v>
      </c>
      <c r="B179" s="134">
        <v>5</v>
      </c>
      <c r="D179" s="178" t="s">
        <v>436</v>
      </c>
      <c r="E179" s="137" t="s">
        <v>76</v>
      </c>
      <c r="F179" s="186" t="s">
        <v>548</v>
      </c>
      <c r="G179" s="137" t="s">
        <v>548</v>
      </c>
      <c r="H179" s="137" t="s">
        <v>1260</v>
      </c>
      <c r="I179" s="137" t="s">
        <v>1261</v>
      </c>
      <c r="J179" s="137"/>
    </row>
    <row r="180" spans="1:10" ht="12.95" customHeight="1">
      <c r="A180" s="134">
        <v>160</v>
      </c>
      <c r="B180" s="134">
        <v>6</v>
      </c>
      <c r="C180" s="134"/>
      <c r="D180" s="132" t="s">
        <v>920</v>
      </c>
      <c r="E180" s="134" t="s">
        <v>76</v>
      </c>
      <c r="F180" s="133" t="s">
        <v>532</v>
      </c>
      <c r="G180" s="134" t="s">
        <v>532</v>
      </c>
      <c r="H180" s="134" t="s">
        <v>1260</v>
      </c>
      <c r="I180" s="134" t="s">
        <v>1261</v>
      </c>
      <c r="J180" s="134"/>
    </row>
    <row r="181" spans="1:10" ht="12.95" customHeight="1">
      <c r="A181" s="134">
        <v>161</v>
      </c>
      <c r="B181" s="134">
        <v>7</v>
      </c>
      <c r="C181" s="134"/>
      <c r="D181" s="132" t="s">
        <v>493</v>
      </c>
      <c r="E181" s="134" t="s">
        <v>896</v>
      </c>
      <c r="F181" s="133" t="s">
        <v>517</v>
      </c>
      <c r="G181" s="134" t="s">
        <v>517</v>
      </c>
      <c r="H181" s="134" t="s">
        <v>1260</v>
      </c>
      <c r="I181" s="134" t="s">
        <v>1261</v>
      </c>
      <c r="J181" s="134"/>
    </row>
    <row r="182" spans="1:10" ht="12.95" customHeight="1">
      <c r="A182" s="134">
        <v>162</v>
      </c>
      <c r="B182" s="134">
        <v>8</v>
      </c>
      <c r="C182" s="134"/>
      <c r="D182" s="132" t="s">
        <v>814</v>
      </c>
      <c r="E182" s="134" t="s">
        <v>445</v>
      </c>
      <c r="F182" s="133" t="s">
        <v>537</v>
      </c>
      <c r="G182" s="134" t="s">
        <v>537</v>
      </c>
      <c r="H182" s="134" t="s">
        <v>1260</v>
      </c>
      <c r="I182" s="134" t="s">
        <v>1261</v>
      </c>
      <c r="J182" s="134"/>
    </row>
    <row r="183" spans="1:10" ht="12.95" customHeight="1">
      <c r="A183" s="134">
        <v>163</v>
      </c>
      <c r="B183" s="134">
        <v>9</v>
      </c>
      <c r="C183" s="134"/>
      <c r="D183" s="132" t="s">
        <v>958</v>
      </c>
      <c r="E183" s="134" t="s">
        <v>896</v>
      </c>
      <c r="F183" s="133" t="s">
        <v>552</v>
      </c>
      <c r="G183" s="134" t="s">
        <v>552</v>
      </c>
      <c r="H183" s="134" t="s">
        <v>1260</v>
      </c>
      <c r="I183" s="134" t="s">
        <v>1261</v>
      </c>
      <c r="J183" s="134"/>
    </row>
    <row r="184" spans="1:10" ht="12.95" customHeight="1">
      <c r="A184" s="137"/>
      <c r="B184" s="527" t="s">
        <v>17</v>
      </c>
      <c r="C184" s="134"/>
      <c r="D184" s="134"/>
      <c r="E184" s="134"/>
      <c r="F184" s="133"/>
      <c r="G184" s="134"/>
      <c r="H184" s="134"/>
      <c r="I184" s="134"/>
      <c r="J184" s="134"/>
    </row>
    <row r="185" spans="1:10" ht="12.95" customHeight="1">
      <c r="A185" s="134">
        <v>164</v>
      </c>
      <c r="B185" s="134">
        <v>1</v>
      </c>
      <c r="C185" s="134"/>
      <c r="D185" s="132" t="s">
        <v>799</v>
      </c>
      <c r="E185" s="536" t="s">
        <v>62</v>
      </c>
      <c r="F185" s="133" t="s">
        <v>563</v>
      </c>
      <c r="G185" s="134" t="s">
        <v>563</v>
      </c>
      <c r="H185" s="134" t="s">
        <v>1260</v>
      </c>
      <c r="I185" s="134" t="s">
        <v>1261</v>
      </c>
      <c r="J185" s="134"/>
    </row>
    <row r="186" spans="1:10" ht="12.95" customHeight="1">
      <c r="A186" s="134">
        <v>165</v>
      </c>
      <c r="B186" s="134">
        <v>2</v>
      </c>
      <c r="C186" s="134"/>
      <c r="D186" s="132" t="s">
        <v>926</v>
      </c>
      <c r="E186" s="536" t="s">
        <v>76</v>
      </c>
      <c r="F186" s="133" t="s">
        <v>563</v>
      </c>
      <c r="G186" s="134" t="s">
        <v>563</v>
      </c>
      <c r="H186" s="134" t="s">
        <v>1260</v>
      </c>
      <c r="I186" s="134" t="s">
        <v>1261</v>
      </c>
      <c r="J186" s="134"/>
    </row>
    <row r="187" spans="1:10" ht="12.95" customHeight="1">
      <c r="A187" s="134">
        <v>166</v>
      </c>
      <c r="B187" s="134">
        <v>3</v>
      </c>
      <c r="C187" s="134"/>
      <c r="D187" s="132" t="s">
        <v>961</v>
      </c>
      <c r="E187" s="536" t="s">
        <v>62</v>
      </c>
      <c r="F187" s="133" t="s">
        <v>975</v>
      </c>
      <c r="G187" s="134" t="s">
        <v>975</v>
      </c>
      <c r="H187" s="134" t="s">
        <v>1260</v>
      </c>
      <c r="I187" s="134" t="s">
        <v>1261</v>
      </c>
      <c r="J187" s="134"/>
    </row>
    <row r="188" spans="1:10" ht="12.95" customHeight="1">
      <c r="A188" s="134">
        <v>167</v>
      </c>
      <c r="B188" s="134">
        <v>4</v>
      </c>
      <c r="C188" s="536"/>
      <c r="D188" s="537" t="s">
        <v>959</v>
      </c>
      <c r="E188" s="536" t="s">
        <v>53</v>
      </c>
      <c r="F188" s="538" t="s">
        <v>568</v>
      </c>
      <c r="G188" s="536" t="s">
        <v>979</v>
      </c>
      <c r="H188" s="536" t="s">
        <v>1260</v>
      </c>
      <c r="I188" s="536" t="s">
        <v>1261</v>
      </c>
      <c r="J188" s="536"/>
    </row>
    <row r="189" spans="1:10" ht="12.95" customHeight="1">
      <c r="A189" s="134">
        <v>168</v>
      </c>
      <c r="B189" s="134">
        <v>5</v>
      </c>
      <c r="C189" s="539"/>
      <c r="D189" s="537" t="s">
        <v>954</v>
      </c>
      <c r="E189" s="541" t="s">
        <v>62</v>
      </c>
      <c r="F189" s="540" t="s">
        <v>979</v>
      </c>
      <c r="G189" s="541" t="s">
        <v>979</v>
      </c>
      <c r="H189" s="536" t="s">
        <v>1260</v>
      </c>
      <c r="I189" s="536" t="s">
        <v>1261</v>
      </c>
      <c r="J189" s="539"/>
    </row>
    <row r="190" spans="1:10" ht="12.95" customHeight="1">
      <c r="A190" s="134">
        <v>169</v>
      </c>
      <c r="B190" s="134">
        <v>6</v>
      </c>
      <c r="C190" s="536"/>
      <c r="D190" s="537" t="s">
        <v>949</v>
      </c>
      <c r="E190" s="541" t="s">
        <v>76</v>
      </c>
      <c r="F190" s="540" t="s">
        <v>1665</v>
      </c>
      <c r="G190" s="541" t="s">
        <v>1665</v>
      </c>
      <c r="H190" s="536" t="s">
        <v>1260</v>
      </c>
      <c r="I190" s="536" t="s">
        <v>1261</v>
      </c>
      <c r="J190" s="536"/>
    </row>
    <row r="191" spans="1:10" s="162" customFormat="1" ht="12.95" customHeight="1">
      <c r="A191" s="134">
        <v>170</v>
      </c>
      <c r="B191" s="134">
        <v>7</v>
      </c>
      <c r="C191" s="134"/>
      <c r="D191" s="132" t="s">
        <v>932</v>
      </c>
      <c r="E191" s="134" t="s">
        <v>62</v>
      </c>
      <c r="F191" s="133" t="s">
        <v>1666</v>
      </c>
      <c r="G191" s="134" t="s">
        <v>1666</v>
      </c>
      <c r="H191" s="536" t="s">
        <v>1260</v>
      </c>
      <c r="I191" s="536" t="s">
        <v>1261</v>
      </c>
      <c r="J191" s="134"/>
    </row>
    <row r="192" spans="1:10" ht="12.95" customHeight="1">
      <c r="A192" s="134">
        <v>171</v>
      </c>
      <c r="B192" s="134">
        <v>8</v>
      </c>
      <c r="C192" s="134"/>
      <c r="D192" s="542" t="s">
        <v>854</v>
      </c>
      <c r="E192" s="534" t="s">
        <v>1139</v>
      </c>
      <c r="F192" s="535" t="s">
        <v>1668</v>
      </c>
      <c r="G192" s="535" t="s">
        <v>1668</v>
      </c>
      <c r="H192" s="536" t="s">
        <v>1260</v>
      </c>
      <c r="I192" s="536" t="s">
        <v>1261</v>
      </c>
      <c r="J192" s="134"/>
    </row>
    <row r="193" spans="1:10" ht="12.95" customHeight="1">
      <c r="A193" s="134">
        <v>172</v>
      </c>
      <c r="B193" s="134">
        <v>9</v>
      </c>
      <c r="C193" s="134"/>
      <c r="D193" s="542" t="s">
        <v>147</v>
      </c>
      <c r="E193" s="134" t="s">
        <v>76</v>
      </c>
      <c r="F193" s="535" t="s">
        <v>1688</v>
      </c>
      <c r="G193" s="535" t="s">
        <v>1688</v>
      </c>
      <c r="H193" s="536" t="s">
        <v>1260</v>
      </c>
      <c r="I193" s="536" t="s">
        <v>1261</v>
      </c>
      <c r="J193" s="134"/>
    </row>
    <row r="194" spans="1:10" ht="12.95" customHeight="1">
      <c r="A194" s="134">
        <v>173</v>
      </c>
      <c r="B194" s="134">
        <v>10</v>
      </c>
      <c r="C194" s="134"/>
      <c r="D194" s="542" t="s">
        <v>451</v>
      </c>
      <c r="E194" s="134" t="s">
        <v>76</v>
      </c>
      <c r="F194" s="535" t="s">
        <v>1691</v>
      </c>
      <c r="G194" s="535" t="s">
        <v>1691</v>
      </c>
      <c r="H194" s="536" t="s">
        <v>1260</v>
      </c>
      <c r="I194" s="536" t="s">
        <v>1261</v>
      </c>
      <c r="J194" s="134"/>
    </row>
    <row r="195" spans="1:10" ht="12.95" customHeight="1">
      <c r="A195" s="134">
        <v>174</v>
      </c>
      <c r="B195" s="134">
        <v>11</v>
      </c>
      <c r="C195" s="134"/>
      <c r="D195" s="542" t="s">
        <v>804</v>
      </c>
      <c r="E195" s="134" t="s">
        <v>62</v>
      </c>
      <c r="F195" s="535" t="s">
        <v>1696</v>
      </c>
      <c r="G195" s="535" t="s">
        <v>1696</v>
      </c>
      <c r="H195" s="536" t="s">
        <v>1260</v>
      </c>
      <c r="I195" s="536" t="s">
        <v>1261</v>
      </c>
      <c r="J195" s="134"/>
    </row>
    <row r="196" spans="1:10" ht="12.95" customHeight="1">
      <c r="A196" s="134">
        <v>175</v>
      </c>
      <c r="B196" s="134">
        <v>12</v>
      </c>
      <c r="C196" s="134"/>
      <c r="D196" s="542" t="s">
        <v>807</v>
      </c>
      <c r="E196" s="134" t="s">
        <v>62</v>
      </c>
      <c r="F196" s="535" t="s">
        <v>1696</v>
      </c>
      <c r="G196" s="535" t="s">
        <v>1696</v>
      </c>
      <c r="H196" s="536" t="s">
        <v>1260</v>
      </c>
      <c r="I196" s="536" t="s">
        <v>1261</v>
      </c>
      <c r="J196" s="134"/>
    </row>
    <row r="197" spans="1:10" ht="12.95" customHeight="1">
      <c r="A197" s="134">
        <v>176</v>
      </c>
      <c r="B197" s="134">
        <v>13</v>
      </c>
      <c r="C197" s="134"/>
      <c r="D197" s="542" t="s">
        <v>834</v>
      </c>
      <c r="E197" s="134"/>
      <c r="F197" s="535" t="s">
        <v>1697</v>
      </c>
      <c r="G197" s="535" t="s">
        <v>1697</v>
      </c>
      <c r="H197" s="536" t="s">
        <v>1260</v>
      </c>
      <c r="I197" s="536" t="s">
        <v>1261</v>
      </c>
      <c r="J197" s="134"/>
    </row>
    <row r="198" spans="1:10" ht="12.95" customHeight="1">
      <c r="A198" s="134">
        <v>177</v>
      </c>
      <c r="B198" s="134">
        <v>14</v>
      </c>
      <c r="C198" s="134"/>
      <c r="D198" s="542" t="s">
        <v>936</v>
      </c>
      <c r="E198" s="134"/>
      <c r="F198" s="535" t="s">
        <v>1701</v>
      </c>
      <c r="G198" s="535" t="s">
        <v>1701</v>
      </c>
      <c r="H198" s="536" t="s">
        <v>1260</v>
      </c>
      <c r="I198" s="536" t="s">
        <v>1261</v>
      </c>
      <c r="J198" s="134"/>
    </row>
    <row r="199" spans="1:10" ht="12.95" customHeight="1">
      <c r="B199" s="527" t="s">
        <v>1704</v>
      </c>
    </row>
    <row r="200" spans="1:10" ht="12.95" customHeight="1">
      <c r="A200" s="134">
        <v>178</v>
      </c>
      <c r="B200" s="134">
        <v>1</v>
      </c>
      <c r="C200" s="134"/>
      <c r="D200" s="542" t="s">
        <v>946</v>
      </c>
      <c r="E200" s="134"/>
      <c r="F200" s="535" t="s">
        <v>1710</v>
      </c>
      <c r="G200" s="535" t="s">
        <v>1710</v>
      </c>
      <c r="H200" s="536" t="s">
        <v>1260</v>
      </c>
      <c r="I200" s="536" t="s">
        <v>1261</v>
      </c>
      <c r="J200" s="134"/>
    </row>
    <row r="201" spans="1:10" ht="12.95" customHeight="1">
      <c r="A201" s="134">
        <v>179</v>
      </c>
      <c r="B201" s="134">
        <v>2</v>
      </c>
      <c r="C201" s="134"/>
      <c r="D201" s="542" t="s">
        <v>950</v>
      </c>
      <c r="E201" s="134"/>
      <c r="F201" s="535" t="s">
        <v>1712</v>
      </c>
      <c r="G201" s="535" t="s">
        <v>1712</v>
      </c>
      <c r="H201" s="536" t="s">
        <v>1260</v>
      </c>
      <c r="I201" s="536" t="s">
        <v>1261</v>
      </c>
      <c r="J201" s="134"/>
    </row>
    <row r="202" spans="1:10" ht="12.95" customHeight="1">
      <c r="A202" s="134">
        <v>180</v>
      </c>
      <c r="B202" s="134">
        <v>3</v>
      </c>
      <c r="C202" s="134"/>
      <c r="D202" s="542" t="s">
        <v>812</v>
      </c>
      <c r="E202" s="134"/>
      <c r="F202" s="535" t="s">
        <v>1714</v>
      </c>
      <c r="G202" s="535" t="s">
        <v>1714</v>
      </c>
      <c r="H202" s="536" t="s">
        <v>1260</v>
      </c>
      <c r="I202" s="536" t="s">
        <v>1261</v>
      </c>
      <c r="J202" s="134"/>
    </row>
    <row r="203" spans="1:10" ht="12.95" customHeight="1">
      <c r="A203" s="134">
        <v>181</v>
      </c>
      <c r="B203" s="134">
        <v>4</v>
      </c>
      <c r="C203" s="134"/>
      <c r="D203" s="542" t="s">
        <v>945</v>
      </c>
      <c r="E203" s="134"/>
      <c r="F203" s="535" t="s">
        <v>1715</v>
      </c>
      <c r="G203" s="535" t="s">
        <v>1715</v>
      </c>
      <c r="H203" s="536" t="s">
        <v>1260</v>
      </c>
      <c r="I203" s="536" t="s">
        <v>1261</v>
      </c>
      <c r="J203" s="134"/>
    </row>
    <row r="204" spans="1:10" ht="12.95" customHeight="1">
      <c r="A204" s="134">
        <v>182</v>
      </c>
      <c r="B204" s="134">
        <v>5</v>
      </c>
      <c r="C204" s="134"/>
      <c r="D204" s="542" t="s">
        <v>265</v>
      </c>
      <c r="E204" s="134"/>
      <c r="F204" s="535" t="s">
        <v>1721</v>
      </c>
      <c r="G204" s="535" t="s">
        <v>1721</v>
      </c>
      <c r="H204" s="536" t="s">
        <v>1260</v>
      </c>
      <c r="I204" s="536" t="s">
        <v>1261</v>
      </c>
      <c r="J204" s="134"/>
    </row>
    <row r="205" spans="1:10" ht="12.95" customHeight="1">
      <c r="A205" s="134">
        <v>183</v>
      </c>
      <c r="B205" s="134">
        <v>6</v>
      </c>
      <c r="C205" s="134"/>
      <c r="D205" s="542" t="s">
        <v>906</v>
      </c>
      <c r="E205" s="134"/>
      <c r="F205" s="535" t="s">
        <v>1725</v>
      </c>
      <c r="G205" s="535" t="s">
        <v>1725</v>
      </c>
      <c r="H205" s="536" t="s">
        <v>1260</v>
      </c>
      <c r="I205" s="536" t="s">
        <v>1261</v>
      </c>
      <c r="J205" s="134"/>
    </row>
    <row r="206" spans="1:10" ht="12.95" customHeight="1">
      <c r="A206" s="134">
        <v>184</v>
      </c>
      <c r="B206" s="134">
        <v>7</v>
      </c>
      <c r="C206" s="134"/>
      <c r="D206" s="542" t="s">
        <v>963</v>
      </c>
      <c r="E206" s="134"/>
      <c r="F206" s="535" t="s">
        <v>1726</v>
      </c>
      <c r="G206" s="535" t="s">
        <v>1726</v>
      </c>
      <c r="H206" s="536" t="s">
        <v>1260</v>
      </c>
      <c r="I206" s="536" t="s">
        <v>1261</v>
      </c>
      <c r="J206" s="134"/>
    </row>
    <row r="207" spans="1:10" ht="12.95" customHeight="1">
      <c r="A207" s="134">
        <v>185</v>
      </c>
      <c r="B207" s="134">
        <v>8</v>
      </c>
      <c r="C207" s="134"/>
      <c r="D207" s="542" t="s">
        <v>964</v>
      </c>
      <c r="E207" s="134"/>
      <c r="F207" s="535" t="s">
        <v>1727</v>
      </c>
      <c r="G207" s="535" t="s">
        <v>1727</v>
      </c>
      <c r="H207" s="536" t="s">
        <v>1260</v>
      </c>
      <c r="I207" s="536" t="s">
        <v>1261</v>
      </c>
      <c r="J207" s="134"/>
    </row>
    <row r="208" spans="1:10" ht="12.95" customHeight="1">
      <c r="A208" s="134">
        <v>186</v>
      </c>
      <c r="B208" s="134">
        <v>9</v>
      </c>
      <c r="C208" s="134"/>
      <c r="D208" s="542" t="s">
        <v>821</v>
      </c>
      <c r="E208" s="134"/>
      <c r="F208" s="535" t="s">
        <v>1729</v>
      </c>
      <c r="G208" s="535" t="s">
        <v>1729</v>
      </c>
      <c r="H208" s="536" t="s">
        <v>1260</v>
      </c>
      <c r="I208" s="536" t="s">
        <v>1261</v>
      </c>
      <c r="J208" s="134"/>
    </row>
    <row r="209" spans="1:10" ht="12.95" customHeight="1">
      <c r="A209" s="134">
        <v>187</v>
      </c>
      <c r="B209" s="134">
        <v>10</v>
      </c>
      <c r="C209" s="134"/>
      <c r="D209" s="542" t="s">
        <v>911</v>
      </c>
      <c r="E209" s="134"/>
      <c r="F209" s="535" t="s">
        <v>1730</v>
      </c>
      <c r="G209" s="535" t="s">
        <v>1730</v>
      </c>
      <c r="H209" s="536" t="s">
        <v>1260</v>
      </c>
      <c r="I209" s="536" t="s">
        <v>1261</v>
      </c>
      <c r="J209" s="134"/>
    </row>
    <row r="210" spans="1:10" ht="12.95"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206"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515" t="s">
        <v>1255</v>
      </c>
      <c r="B4" s="1515" t="s">
        <v>41</v>
      </c>
      <c r="C4" s="1516" t="s">
        <v>42</v>
      </c>
      <c r="D4" s="1517" t="s">
        <v>43</v>
      </c>
      <c r="E4" s="1517" t="s">
        <v>44</v>
      </c>
      <c r="F4" s="1517" t="s">
        <v>1285</v>
      </c>
      <c r="G4" s="1521" t="s">
        <v>47</v>
      </c>
      <c r="H4" s="1517" t="s">
        <v>1256</v>
      </c>
      <c r="I4" s="1519" t="s">
        <v>1257</v>
      </c>
      <c r="J4" s="1518" t="s">
        <v>49</v>
      </c>
      <c r="K4" s="1518" t="s">
        <v>1258</v>
      </c>
    </row>
    <row r="5" spans="1:11" s="159" customFormat="1" ht="12">
      <c r="A5" s="1515"/>
      <c r="B5" s="1515"/>
      <c r="C5" s="1516"/>
      <c r="D5" s="1517"/>
      <c r="E5" s="1517"/>
      <c r="F5" s="1517"/>
      <c r="G5" s="1521"/>
      <c r="H5" s="1517"/>
      <c r="I5" s="1520"/>
      <c r="J5" s="1518"/>
      <c r="K5" s="151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5" customHeight="1">
      <c r="A8" s="134">
        <v>2</v>
      </c>
      <c r="B8" s="134">
        <v>2</v>
      </c>
      <c r="D8" s="132" t="s">
        <v>66</v>
      </c>
      <c r="E8" s="134" t="s">
        <v>53</v>
      </c>
      <c r="G8" s="133" t="s">
        <v>233</v>
      </c>
      <c r="H8" s="133" t="s">
        <v>233</v>
      </c>
      <c r="I8" s="134" t="s">
        <v>1260</v>
      </c>
      <c r="J8" s="134" t="s">
        <v>1261</v>
      </c>
      <c r="K8" s="134"/>
    </row>
    <row r="9" spans="1:11" ht="12.95" customHeight="1">
      <c r="A9" s="137">
        <v>3</v>
      </c>
      <c r="B9" s="137">
        <v>3</v>
      </c>
      <c r="D9" s="132" t="s">
        <v>79</v>
      </c>
      <c r="E9" s="137" t="s">
        <v>76</v>
      </c>
      <c r="G9" s="186" t="s">
        <v>246</v>
      </c>
      <c r="H9" s="186" t="s">
        <v>246</v>
      </c>
      <c r="I9" s="137" t="s">
        <v>1260</v>
      </c>
      <c r="J9" s="137" t="s">
        <v>1261</v>
      </c>
      <c r="K9" s="137"/>
    </row>
    <row r="10" spans="1:11" ht="12.95" customHeight="1">
      <c r="A10" s="134">
        <v>4</v>
      </c>
      <c r="B10" s="134">
        <v>4</v>
      </c>
      <c r="C10" s="134"/>
      <c r="D10" s="132" t="s">
        <v>94</v>
      </c>
      <c r="E10" s="134" t="s">
        <v>62</v>
      </c>
      <c r="F10" s="134"/>
      <c r="G10" s="197" t="s">
        <v>241</v>
      </c>
      <c r="H10" s="197" t="s">
        <v>241</v>
      </c>
      <c r="I10" s="134" t="s">
        <v>1260</v>
      </c>
      <c r="J10" s="134" t="s">
        <v>1261</v>
      </c>
      <c r="K10" s="134"/>
    </row>
    <row r="11" spans="1:11" ht="12.95" customHeight="1">
      <c r="A11" s="134"/>
      <c r="B11" s="154" t="s">
        <v>247</v>
      </c>
      <c r="C11" s="134"/>
      <c r="D11" s="134"/>
      <c r="E11" s="134"/>
      <c r="F11" s="134"/>
      <c r="G11" s="133"/>
      <c r="H11" s="134"/>
      <c r="I11" s="134"/>
      <c r="J11" s="134"/>
      <c r="K11" s="134"/>
    </row>
    <row r="12" spans="1:11" ht="12.95" customHeight="1">
      <c r="A12" s="134">
        <v>5</v>
      </c>
      <c r="B12" s="134">
        <v>1</v>
      </c>
      <c r="C12" s="134"/>
      <c r="D12" s="132" t="s">
        <v>72</v>
      </c>
      <c r="E12" s="134" t="s">
        <v>62</v>
      </c>
      <c r="F12" s="134"/>
      <c r="G12" s="133" t="s">
        <v>822</v>
      </c>
      <c r="H12" s="134" t="s">
        <v>819</v>
      </c>
      <c r="I12" s="134" t="s">
        <v>1260</v>
      </c>
      <c r="J12" s="134" t="s">
        <v>1261</v>
      </c>
      <c r="K12" s="134"/>
    </row>
    <row r="13" spans="1:11" ht="12.95" customHeight="1">
      <c r="A13" s="134">
        <v>6</v>
      </c>
      <c r="B13" s="134">
        <v>2</v>
      </c>
      <c r="C13" s="134"/>
      <c r="D13" s="132" t="s">
        <v>101</v>
      </c>
      <c r="E13" s="134" t="s">
        <v>76</v>
      </c>
      <c r="F13" s="134"/>
      <c r="G13" s="133" t="s">
        <v>189</v>
      </c>
      <c r="H13" s="134" t="s">
        <v>189</v>
      </c>
      <c r="I13" s="134" t="s">
        <v>1260</v>
      </c>
      <c r="J13" s="134" t="s">
        <v>1261</v>
      </c>
      <c r="K13" s="134"/>
    </row>
    <row r="14" spans="1:11" ht="12.95" customHeight="1">
      <c r="A14" s="134">
        <v>7</v>
      </c>
      <c r="B14" s="134">
        <v>3</v>
      </c>
      <c r="D14" s="132" t="s">
        <v>87</v>
      </c>
      <c r="E14" s="134" t="s">
        <v>62</v>
      </c>
      <c r="F14" s="176"/>
      <c r="G14" s="133" t="s">
        <v>250</v>
      </c>
      <c r="H14" s="133" t="s">
        <v>250</v>
      </c>
      <c r="I14" s="134" t="s">
        <v>1260</v>
      </c>
      <c r="J14" s="134" t="s">
        <v>1261</v>
      </c>
      <c r="K14" s="134"/>
    </row>
    <row r="15" spans="1:11" ht="12.95" customHeight="1">
      <c r="A15" s="134">
        <v>8</v>
      </c>
      <c r="B15" s="134">
        <v>4</v>
      </c>
      <c r="D15" s="132" t="s">
        <v>102</v>
      </c>
      <c r="E15" s="134" t="s">
        <v>53</v>
      </c>
      <c r="F15" s="176"/>
      <c r="G15" s="133" t="s">
        <v>253</v>
      </c>
      <c r="H15" s="133" t="s">
        <v>253</v>
      </c>
      <c r="I15" s="134" t="s">
        <v>1260</v>
      </c>
      <c r="J15" s="134" t="s">
        <v>1261</v>
      </c>
      <c r="K15" s="134"/>
    </row>
    <row r="16" spans="1:11" ht="12.95" customHeight="1">
      <c r="A16" s="134">
        <v>9</v>
      </c>
      <c r="B16" s="134">
        <v>5</v>
      </c>
      <c r="D16" s="132" t="s">
        <v>75</v>
      </c>
      <c r="E16" s="134" t="s">
        <v>76</v>
      </c>
      <c r="F16" s="176"/>
      <c r="G16" s="133" t="s">
        <v>255</v>
      </c>
      <c r="H16" s="133" t="s">
        <v>255</v>
      </c>
      <c r="I16" s="134" t="s">
        <v>1260</v>
      </c>
      <c r="J16" s="134" t="s">
        <v>1261</v>
      </c>
      <c r="K16" s="134"/>
    </row>
    <row r="17" spans="1:11" ht="12.95" customHeight="1">
      <c r="A17" s="134">
        <v>10</v>
      </c>
      <c r="B17" s="134">
        <v>6</v>
      </c>
      <c r="D17" s="132" t="s">
        <v>81</v>
      </c>
      <c r="E17" s="134" t="s">
        <v>62</v>
      </c>
      <c r="G17" s="133" t="s">
        <v>826</v>
      </c>
      <c r="H17" s="133" t="s">
        <v>826</v>
      </c>
      <c r="I17" s="134" t="s">
        <v>1260</v>
      </c>
      <c r="J17" s="134" t="s">
        <v>1261</v>
      </c>
      <c r="K17" s="134"/>
    </row>
    <row r="18" spans="1:11" ht="12.95" customHeight="1">
      <c r="A18" s="134">
        <v>11</v>
      </c>
      <c r="B18" s="134">
        <v>7</v>
      </c>
      <c r="D18" s="132" t="s">
        <v>105</v>
      </c>
      <c r="E18" s="134" t="s">
        <v>62</v>
      </c>
      <c r="G18" s="133" t="s">
        <v>824</v>
      </c>
      <c r="H18" s="133" t="s">
        <v>824</v>
      </c>
      <c r="I18" s="134" t="s">
        <v>1260</v>
      </c>
      <c r="J18" s="134" t="s">
        <v>1261</v>
      </c>
      <c r="K18" s="134"/>
    </row>
    <row r="19" spans="1:11" ht="12.95" customHeight="1">
      <c r="A19" s="134">
        <v>12</v>
      </c>
      <c r="B19" s="134">
        <v>8</v>
      </c>
      <c r="D19" s="132" t="s">
        <v>106</v>
      </c>
      <c r="E19" s="134" t="s">
        <v>62</v>
      </c>
      <c r="G19" s="133" t="s">
        <v>256</v>
      </c>
      <c r="H19" s="133" t="s">
        <v>256</v>
      </c>
      <c r="I19" s="134" t="s">
        <v>1260</v>
      </c>
      <c r="J19" s="134" t="s">
        <v>1261</v>
      </c>
      <c r="K19" s="134"/>
    </row>
    <row r="20" spans="1:11" ht="12.95" customHeight="1">
      <c r="A20" s="134">
        <v>13</v>
      </c>
      <c r="B20" s="134">
        <v>9</v>
      </c>
      <c r="D20" s="132" t="s">
        <v>68</v>
      </c>
      <c r="E20" s="140" t="s">
        <v>62</v>
      </c>
      <c r="G20" s="133" t="s">
        <v>261</v>
      </c>
      <c r="H20" s="133" t="s">
        <v>261</v>
      </c>
      <c r="I20" s="134" t="s">
        <v>1260</v>
      </c>
      <c r="J20" s="134" t="s">
        <v>1261</v>
      </c>
      <c r="K20" s="134"/>
    </row>
    <row r="21" spans="1:11" ht="12.95" customHeight="1">
      <c r="A21" s="134">
        <v>14</v>
      </c>
      <c r="B21" s="134">
        <v>10</v>
      </c>
      <c r="D21" s="132" t="s">
        <v>144</v>
      </c>
      <c r="E21" s="134" t="s">
        <v>76</v>
      </c>
      <c r="G21" s="133" t="s">
        <v>827</v>
      </c>
      <c r="H21" s="133" t="s">
        <v>827</v>
      </c>
      <c r="I21" s="134" t="s">
        <v>1260</v>
      </c>
      <c r="J21" s="134" t="s">
        <v>1261</v>
      </c>
      <c r="K21" s="134"/>
    </row>
    <row r="22" spans="1:11" ht="12.95" customHeight="1">
      <c r="A22" s="134">
        <v>15</v>
      </c>
      <c r="B22" s="134">
        <v>11</v>
      </c>
      <c r="D22" s="132" t="s">
        <v>96</v>
      </c>
      <c r="E22" s="134" t="s">
        <v>62</v>
      </c>
      <c r="G22" s="133" t="s">
        <v>827</v>
      </c>
      <c r="H22" s="133" t="s">
        <v>827</v>
      </c>
      <c r="I22" s="134" t="s">
        <v>1260</v>
      </c>
      <c r="J22" s="134" t="s">
        <v>1268</v>
      </c>
      <c r="K22" s="134"/>
    </row>
    <row r="23" spans="1:11" ht="12.95" customHeight="1">
      <c r="A23" s="134">
        <v>16</v>
      </c>
      <c r="B23" s="134">
        <v>12</v>
      </c>
      <c r="D23" s="132" t="s">
        <v>133</v>
      </c>
      <c r="E23" s="140" t="s">
        <v>62</v>
      </c>
      <c r="G23" s="133" t="s">
        <v>258</v>
      </c>
      <c r="H23" s="133" t="s">
        <v>258</v>
      </c>
      <c r="I23" s="134" t="s">
        <v>1260</v>
      </c>
      <c r="J23" s="134" t="s">
        <v>1261</v>
      </c>
      <c r="K23" s="134"/>
    </row>
    <row r="24" spans="1:11" ht="12.95" customHeight="1">
      <c r="A24" s="134">
        <v>17</v>
      </c>
      <c r="B24" s="134">
        <v>13</v>
      </c>
      <c r="D24" s="132" t="s">
        <v>162</v>
      </c>
      <c r="E24" s="134" t="s">
        <v>62</v>
      </c>
      <c r="G24" s="133" t="s">
        <v>262</v>
      </c>
      <c r="H24" s="133" t="s">
        <v>262</v>
      </c>
      <c r="I24" s="134" t="s">
        <v>1260</v>
      </c>
      <c r="J24" s="134" t="s">
        <v>1268</v>
      </c>
      <c r="K24" s="134"/>
    </row>
    <row r="25" spans="1:11" ht="12.95" customHeight="1">
      <c r="A25" s="134">
        <v>18</v>
      </c>
      <c r="B25" s="134">
        <v>14</v>
      </c>
      <c r="D25" s="132" t="s">
        <v>137</v>
      </c>
      <c r="E25" s="140" t="s">
        <v>76</v>
      </c>
      <c r="G25" s="133" t="s">
        <v>262</v>
      </c>
      <c r="H25" s="133" t="s">
        <v>262</v>
      </c>
      <c r="I25" s="134" t="s">
        <v>1260</v>
      </c>
      <c r="J25" s="134" t="s">
        <v>1261</v>
      </c>
      <c r="K25" s="134"/>
    </row>
    <row r="26" spans="1:11" ht="12.95" customHeight="1">
      <c r="A26" s="134">
        <v>19</v>
      </c>
      <c r="B26" s="134">
        <v>15</v>
      </c>
      <c r="D26" s="132" t="s">
        <v>118</v>
      </c>
      <c r="E26" s="140" t="s">
        <v>76</v>
      </c>
      <c r="G26" s="134" t="s">
        <v>272</v>
      </c>
      <c r="H26" s="134" t="s">
        <v>272</v>
      </c>
      <c r="I26" s="134" t="s">
        <v>1260</v>
      </c>
      <c r="J26" s="134" t="s">
        <v>1261</v>
      </c>
      <c r="K26" s="134"/>
    </row>
    <row r="27" spans="1:11" ht="12.95" customHeight="1">
      <c r="A27" s="134">
        <v>20</v>
      </c>
      <c r="B27" s="134">
        <v>16</v>
      </c>
      <c r="D27" s="132" t="s">
        <v>123</v>
      </c>
      <c r="E27" s="140" t="s">
        <v>76</v>
      </c>
      <c r="G27" s="134" t="s">
        <v>272</v>
      </c>
      <c r="H27" s="134" t="s">
        <v>272</v>
      </c>
      <c r="I27" s="134" t="s">
        <v>1260</v>
      </c>
      <c r="J27" s="134" t="s">
        <v>1268</v>
      </c>
      <c r="K27" s="134"/>
    </row>
    <row r="28" spans="1:11" ht="12.95" customHeight="1">
      <c r="A28" s="134">
        <v>21</v>
      </c>
      <c r="B28" s="134">
        <v>17</v>
      </c>
      <c r="D28" s="132" t="s">
        <v>163</v>
      </c>
      <c r="E28" s="140" t="s">
        <v>76</v>
      </c>
      <c r="G28" s="134" t="s">
        <v>264</v>
      </c>
      <c r="H28" s="134" t="s">
        <v>264</v>
      </c>
      <c r="I28" s="134" t="s">
        <v>1260</v>
      </c>
      <c r="J28" s="134" t="s">
        <v>1261</v>
      </c>
      <c r="K28" s="134"/>
    </row>
    <row r="29" spans="1:11" ht="12.95" customHeight="1">
      <c r="A29" s="134">
        <v>22</v>
      </c>
      <c r="B29" s="134">
        <v>18</v>
      </c>
      <c r="D29" s="132" t="s">
        <v>146</v>
      </c>
      <c r="E29" s="140" t="s">
        <v>62</v>
      </c>
      <c r="G29" s="134" t="s">
        <v>269</v>
      </c>
      <c r="H29" s="134" t="s">
        <v>269</v>
      </c>
      <c r="I29" s="134" t="s">
        <v>1260</v>
      </c>
      <c r="J29" s="134" t="s">
        <v>1261</v>
      </c>
      <c r="K29" s="134"/>
    </row>
    <row r="30" spans="1:11" ht="12.95" customHeight="1">
      <c r="A30" s="134">
        <v>23</v>
      </c>
      <c r="B30" s="134">
        <v>19</v>
      </c>
      <c r="D30" s="132" t="s">
        <v>150</v>
      </c>
      <c r="E30" s="140" t="s">
        <v>62</v>
      </c>
      <c r="G30" s="134" t="s">
        <v>266</v>
      </c>
      <c r="H30" s="134" t="s">
        <v>266</v>
      </c>
      <c r="I30" s="134" t="s">
        <v>1260</v>
      </c>
      <c r="J30" s="134" t="s">
        <v>1261</v>
      </c>
      <c r="K30" s="134"/>
    </row>
    <row r="31" spans="1:11" ht="12.95" customHeight="1">
      <c r="A31" s="134">
        <v>24</v>
      </c>
      <c r="B31" s="134">
        <v>20</v>
      </c>
      <c r="D31" s="132" t="s">
        <v>95</v>
      </c>
      <c r="E31" s="134" t="s">
        <v>76</v>
      </c>
      <c r="G31" s="134" t="s">
        <v>266</v>
      </c>
      <c r="H31" s="134" t="s">
        <v>266</v>
      </c>
      <c r="I31" s="134" t="s">
        <v>1260</v>
      </c>
      <c r="J31" s="134" t="s">
        <v>1268</v>
      </c>
      <c r="K31" s="134"/>
    </row>
    <row r="32" spans="1:11" ht="12.95" customHeight="1">
      <c r="A32" s="134">
        <v>25</v>
      </c>
      <c r="B32" s="134">
        <v>21</v>
      </c>
      <c r="D32" s="132" t="s">
        <v>127</v>
      </c>
      <c r="E32" s="140" t="s">
        <v>76</v>
      </c>
      <c r="G32" s="134" t="s">
        <v>274</v>
      </c>
      <c r="H32" s="134" t="s">
        <v>274</v>
      </c>
      <c r="I32" s="134" t="s">
        <v>1260</v>
      </c>
      <c r="J32" s="134" t="s">
        <v>1261</v>
      </c>
      <c r="K32" s="134"/>
    </row>
    <row r="33" spans="1:11" ht="12.95" customHeight="1">
      <c r="A33" s="134">
        <v>26</v>
      </c>
      <c r="B33" s="134">
        <v>22</v>
      </c>
      <c r="D33" s="132" t="s">
        <v>134</v>
      </c>
      <c r="E33" s="140" t="s">
        <v>76</v>
      </c>
      <c r="G33" s="134" t="s">
        <v>277</v>
      </c>
      <c r="H33" s="134" t="s">
        <v>277</v>
      </c>
      <c r="I33" s="134" t="s">
        <v>1260</v>
      </c>
      <c r="J33" s="134" t="s">
        <v>1261</v>
      </c>
      <c r="K33" s="134"/>
    </row>
    <row r="34" spans="1:11" ht="12.95" customHeight="1">
      <c r="A34" s="134">
        <v>27</v>
      </c>
      <c r="B34" s="134">
        <v>23</v>
      </c>
      <c r="D34" s="132" t="s">
        <v>91</v>
      </c>
      <c r="E34" s="134" t="s">
        <v>62</v>
      </c>
      <c r="G34" s="134" t="s">
        <v>277</v>
      </c>
      <c r="H34" s="134" t="s">
        <v>277</v>
      </c>
      <c r="I34" s="134" t="s">
        <v>1260</v>
      </c>
      <c r="J34" s="134" t="s">
        <v>1268</v>
      </c>
      <c r="K34" s="134"/>
    </row>
    <row r="35" spans="1:11" ht="12.95" customHeight="1">
      <c r="A35" s="134">
        <v>28</v>
      </c>
      <c r="B35" s="134">
        <v>24</v>
      </c>
      <c r="D35" s="132" t="s">
        <v>136</v>
      </c>
      <c r="E35" s="134" t="s">
        <v>76</v>
      </c>
      <c r="G35" s="134" t="s">
        <v>1286</v>
      </c>
      <c r="H35" s="134" t="s">
        <v>1286</v>
      </c>
      <c r="I35" s="134" t="s">
        <v>1260</v>
      </c>
      <c r="J35" s="134" t="s">
        <v>1261</v>
      </c>
      <c r="K35" s="134"/>
    </row>
    <row r="36" spans="1:11" ht="12.95" customHeight="1">
      <c r="A36" s="134">
        <v>29</v>
      </c>
      <c r="B36" s="134">
        <v>25</v>
      </c>
      <c r="D36" s="132" t="s">
        <v>204</v>
      </c>
      <c r="E36" s="134" t="s">
        <v>62</v>
      </c>
      <c r="G36" s="134" t="s">
        <v>1271</v>
      </c>
      <c r="H36" s="134" t="s">
        <v>1271</v>
      </c>
      <c r="I36" s="134" t="s">
        <v>1260</v>
      </c>
      <c r="J36" s="134" t="s">
        <v>1261</v>
      </c>
      <c r="K36" s="134"/>
    </row>
    <row r="37" spans="1:11" ht="12.95" customHeight="1">
      <c r="A37" s="134">
        <v>30</v>
      </c>
      <c r="B37" s="134">
        <v>26</v>
      </c>
      <c r="D37" s="132" t="s">
        <v>151</v>
      </c>
      <c r="E37" s="140" t="s">
        <v>76</v>
      </c>
      <c r="G37" s="134" t="s">
        <v>279</v>
      </c>
      <c r="H37" s="134" t="s">
        <v>279</v>
      </c>
      <c r="I37" s="134" t="s">
        <v>1260</v>
      </c>
      <c r="J37" s="134" t="s">
        <v>1261</v>
      </c>
      <c r="K37" s="134"/>
    </row>
    <row r="38" spans="1:11" ht="12.95" customHeight="1">
      <c r="A38" s="134"/>
      <c r="B38" s="154" t="s">
        <v>283</v>
      </c>
      <c r="C38" s="134"/>
      <c r="D38" s="134"/>
      <c r="E38" s="134"/>
      <c r="F38" s="134"/>
      <c r="G38" s="133"/>
      <c r="H38" s="134"/>
      <c r="I38" s="134"/>
      <c r="J38" s="134"/>
      <c r="K38" s="134"/>
    </row>
    <row r="39" spans="1:11" ht="12.95" customHeight="1">
      <c r="A39" s="134">
        <v>31</v>
      </c>
      <c r="B39" s="134">
        <v>1</v>
      </c>
      <c r="C39" s="176"/>
      <c r="D39" s="132" t="s">
        <v>193</v>
      </c>
      <c r="E39" s="140" t="s">
        <v>76</v>
      </c>
      <c r="F39" s="176"/>
      <c r="G39" s="134" t="s">
        <v>285</v>
      </c>
      <c r="H39" s="134" t="s">
        <v>285</v>
      </c>
      <c r="I39" s="134" t="s">
        <v>1260</v>
      </c>
      <c r="J39" s="134" t="s">
        <v>1261</v>
      </c>
      <c r="K39" s="134"/>
    </row>
    <row r="40" spans="1:11" ht="12.95" customHeight="1">
      <c r="A40" s="134">
        <v>32</v>
      </c>
      <c r="B40" s="134">
        <v>2</v>
      </c>
      <c r="D40" s="132" t="s">
        <v>215</v>
      </c>
      <c r="E40" s="140" t="s">
        <v>249</v>
      </c>
      <c r="G40" s="134" t="s">
        <v>288</v>
      </c>
      <c r="H40" s="134" t="s">
        <v>288</v>
      </c>
      <c r="I40" s="134" t="s">
        <v>1260</v>
      </c>
      <c r="J40" s="134" t="s">
        <v>1261</v>
      </c>
      <c r="K40" s="134"/>
    </row>
    <row r="41" spans="1:11" ht="12.95" customHeight="1">
      <c r="A41" s="137">
        <v>33</v>
      </c>
      <c r="B41" s="137">
        <v>3</v>
      </c>
      <c r="D41" s="178" t="s">
        <v>147</v>
      </c>
      <c r="E41" s="179" t="s">
        <v>76</v>
      </c>
      <c r="G41" s="137" t="s">
        <v>295</v>
      </c>
      <c r="H41" s="137" t="s">
        <v>295</v>
      </c>
      <c r="I41" s="137" t="s">
        <v>1260</v>
      </c>
      <c r="J41" s="137" t="s">
        <v>1261</v>
      </c>
      <c r="K41" s="137"/>
    </row>
    <row r="42" spans="1:11" ht="12.95" customHeight="1">
      <c r="A42" s="134">
        <v>34</v>
      </c>
      <c r="B42" s="134">
        <v>4</v>
      </c>
      <c r="C42" s="134"/>
      <c r="D42" s="132" t="s">
        <v>182</v>
      </c>
      <c r="E42" s="140" t="s">
        <v>62</v>
      </c>
      <c r="F42" s="134"/>
      <c r="G42" s="134" t="s">
        <v>1287</v>
      </c>
      <c r="H42" s="134" t="s">
        <v>1287</v>
      </c>
      <c r="I42" s="134" t="s">
        <v>1260</v>
      </c>
      <c r="J42" s="134" t="s">
        <v>1261</v>
      </c>
      <c r="K42" s="134"/>
    </row>
    <row r="43" spans="1:11" ht="12.95" customHeight="1">
      <c r="A43" s="134">
        <v>35</v>
      </c>
      <c r="B43" s="134">
        <v>5</v>
      </c>
      <c r="C43" s="134"/>
      <c r="D43" s="132" t="s">
        <v>164</v>
      </c>
      <c r="E43" s="134" t="s">
        <v>62</v>
      </c>
      <c r="F43" s="134"/>
      <c r="G43" s="133" t="s">
        <v>306</v>
      </c>
      <c r="H43" s="134" t="s">
        <v>307</v>
      </c>
      <c r="I43" s="134" t="s">
        <v>1260</v>
      </c>
      <c r="J43" s="134" t="s">
        <v>1261</v>
      </c>
      <c r="K43" s="134"/>
    </row>
    <row r="44" spans="1:11" ht="12.95" customHeight="1">
      <c r="A44" s="134">
        <v>36</v>
      </c>
      <c r="B44" s="134">
        <v>6</v>
      </c>
      <c r="C44" s="162"/>
      <c r="D44" s="132" t="s">
        <v>159</v>
      </c>
      <c r="E44" s="140" t="s">
        <v>62</v>
      </c>
      <c r="F44" s="162"/>
      <c r="G44" s="133" t="s">
        <v>1273</v>
      </c>
      <c r="H44" s="133" t="s">
        <v>1273</v>
      </c>
      <c r="I44" s="134" t="s">
        <v>1260</v>
      </c>
      <c r="J44" s="134" t="s">
        <v>1261</v>
      </c>
      <c r="K44" s="134"/>
    </row>
    <row r="45" spans="1:11" ht="12.95" customHeight="1">
      <c r="A45" s="134">
        <v>37</v>
      </c>
      <c r="B45" s="134">
        <v>7</v>
      </c>
      <c r="C45" s="162"/>
      <c r="D45" s="132" t="s">
        <v>148</v>
      </c>
      <c r="E45" s="140" t="s">
        <v>1269</v>
      </c>
      <c r="F45" s="162"/>
      <c r="G45" s="133" t="s">
        <v>1288</v>
      </c>
      <c r="H45" s="133" t="s">
        <v>1288</v>
      </c>
      <c r="I45" s="134" t="s">
        <v>1260</v>
      </c>
      <c r="J45" s="134" t="s">
        <v>1268</v>
      </c>
      <c r="K45" s="134"/>
    </row>
    <row r="46" spans="1:11" ht="12.95" customHeight="1">
      <c r="A46" s="134">
        <v>38</v>
      </c>
      <c r="B46" s="134">
        <v>8</v>
      </c>
      <c r="C46" s="162"/>
      <c r="D46" s="132" t="s">
        <v>129</v>
      </c>
      <c r="E46" s="140" t="s">
        <v>76</v>
      </c>
      <c r="F46" s="162"/>
      <c r="G46" s="133" t="s">
        <v>1289</v>
      </c>
      <c r="H46" s="133" t="s">
        <v>1289</v>
      </c>
      <c r="I46" s="134" t="s">
        <v>1260</v>
      </c>
      <c r="J46" s="134" t="s">
        <v>1261</v>
      </c>
      <c r="K46" s="134"/>
    </row>
    <row r="47" spans="1:11" ht="12.95" customHeight="1">
      <c r="A47" s="137">
        <v>39</v>
      </c>
      <c r="B47" s="137">
        <v>9</v>
      </c>
      <c r="C47" s="162"/>
      <c r="D47" s="178" t="s">
        <v>122</v>
      </c>
      <c r="E47" s="179" t="s">
        <v>76</v>
      </c>
      <c r="F47" s="162"/>
      <c r="G47" s="186" t="s">
        <v>1290</v>
      </c>
      <c r="H47" s="186" t="s">
        <v>1290</v>
      </c>
      <c r="I47" s="137" t="s">
        <v>1260</v>
      </c>
      <c r="J47" s="137" t="s">
        <v>1261</v>
      </c>
      <c r="K47" s="137"/>
    </row>
    <row r="48" spans="1:11" ht="12.95" customHeight="1">
      <c r="A48" s="134">
        <v>40</v>
      </c>
      <c r="B48" s="134">
        <v>10</v>
      </c>
      <c r="C48" s="134"/>
      <c r="D48" s="132" t="s">
        <v>188</v>
      </c>
      <c r="E48" s="140" t="s">
        <v>76</v>
      </c>
      <c r="F48" s="134"/>
      <c r="G48" s="133" t="s">
        <v>832</v>
      </c>
      <c r="H48" s="133" t="s">
        <v>832</v>
      </c>
      <c r="I48" s="134" t="s">
        <v>1260</v>
      </c>
      <c r="J48" s="134" t="s">
        <v>1261</v>
      </c>
      <c r="K48" s="134"/>
    </row>
    <row r="49" spans="1:11" ht="12.95" customHeight="1">
      <c r="A49" s="134">
        <v>41</v>
      </c>
      <c r="B49" s="134">
        <v>11</v>
      </c>
      <c r="C49" s="134"/>
      <c r="D49" s="132" t="s">
        <v>180</v>
      </c>
      <c r="E49" s="134" t="s">
        <v>53</v>
      </c>
      <c r="F49" s="134"/>
      <c r="G49" s="133" t="s">
        <v>832</v>
      </c>
      <c r="H49" s="134" t="s">
        <v>1291</v>
      </c>
      <c r="I49" s="134" t="s">
        <v>1260</v>
      </c>
      <c r="J49" s="134" t="s">
        <v>1268</v>
      </c>
      <c r="K49" s="134"/>
    </row>
    <row r="50" spans="1:11" ht="12.95" customHeight="1">
      <c r="B50" s="154" t="s">
        <v>303</v>
      </c>
    </row>
    <row r="51" spans="1:11" ht="12.95" customHeight="1">
      <c r="A51" s="134">
        <v>42</v>
      </c>
      <c r="B51" s="134">
        <v>1</v>
      </c>
      <c r="C51" s="134"/>
      <c r="D51" s="132" t="s">
        <v>201</v>
      </c>
      <c r="E51" s="134" t="s">
        <v>62</v>
      </c>
      <c r="F51" s="134"/>
      <c r="G51" s="133" t="s">
        <v>311</v>
      </c>
      <c r="H51" s="134" t="s">
        <v>311</v>
      </c>
      <c r="I51" s="134" t="s">
        <v>1260</v>
      </c>
      <c r="J51" s="134" t="s">
        <v>1261</v>
      </c>
      <c r="K51" s="134"/>
    </row>
    <row r="52" spans="1:11" ht="12.95" customHeight="1">
      <c r="A52" s="134">
        <v>43</v>
      </c>
      <c r="B52" s="134">
        <v>2</v>
      </c>
      <c r="D52" s="132" t="s">
        <v>200</v>
      </c>
      <c r="E52" s="140" t="s">
        <v>76</v>
      </c>
      <c r="G52" s="133" t="s">
        <v>1292</v>
      </c>
      <c r="H52" s="133" t="s">
        <v>1292</v>
      </c>
      <c r="I52" s="134" t="s">
        <v>1260</v>
      </c>
      <c r="J52" s="134" t="s">
        <v>1261</v>
      </c>
      <c r="K52" s="134"/>
    </row>
    <row r="53" spans="1:11" ht="12.95" customHeight="1">
      <c r="A53" s="134">
        <v>44</v>
      </c>
      <c r="B53" s="134">
        <v>3</v>
      </c>
      <c r="D53" s="132" t="s">
        <v>178</v>
      </c>
      <c r="E53" s="140" t="s">
        <v>62</v>
      </c>
      <c r="G53" s="133" t="s">
        <v>833</v>
      </c>
      <c r="H53" s="133" t="s">
        <v>833</v>
      </c>
      <c r="I53" s="134" t="s">
        <v>1260</v>
      </c>
      <c r="J53" s="134" t="s">
        <v>1261</v>
      </c>
      <c r="K53" s="134"/>
    </row>
    <row r="54" spans="1:11" ht="12.95" customHeight="1">
      <c r="A54" s="134">
        <v>45</v>
      </c>
      <c r="B54" s="134">
        <v>4</v>
      </c>
      <c r="D54" s="132" t="s">
        <v>251</v>
      </c>
      <c r="E54" s="134" t="s">
        <v>76</v>
      </c>
      <c r="G54" s="133" t="s">
        <v>312</v>
      </c>
      <c r="H54" s="133" t="s">
        <v>312</v>
      </c>
      <c r="I54" s="134" t="s">
        <v>1260</v>
      </c>
      <c r="J54" s="134" t="s">
        <v>1261</v>
      </c>
      <c r="K54" s="134"/>
    </row>
    <row r="55" spans="1:11" ht="12.95" customHeight="1">
      <c r="A55" s="134">
        <v>46</v>
      </c>
      <c r="B55" s="134">
        <v>5</v>
      </c>
      <c r="D55" s="132" t="s">
        <v>242</v>
      </c>
      <c r="E55" s="134" t="s">
        <v>243</v>
      </c>
      <c r="G55" s="133" t="s">
        <v>312</v>
      </c>
      <c r="H55" s="133" t="s">
        <v>312</v>
      </c>
      <c r="I55" s="134" t="s">
        <v>1260</v>
      </c>
      <c r="J55" s="134" t="s">
        <v>1261</v>
      </c>
      <c r="K55" s="134"/>
    </row>
    <row r="56" spans="1:11" ht="12.95" customHeight="1">
      <c r="A56" s="134">
        <v>47</v>
      </c>
      <c r="B56" s="134">
        <v>6</v>
      </c>
      <c r="D56" s="132" t="s">
        <v>170</v>
      </c>
      <c r="E56" s="134" t="s">
        <v>53</v>
      </c>
      <c r="G56" s="133" t="s">
        <v>312</v>
      </c>
      <c r="H56" s="133" t="s">
        <v>312</v>
      </c>
      <c r="I56" s="134" t="s">
        <v>1260</v>
      </c>
      <c r="J56" s="134" t="s">
        <v>1268</v>
      </c>
      <c r="K56" s="134"/>
    </row>
    <row r="57" spans="1:11" ht="12.95" customHeight="1">
      <c r="A57" s="134">
        <v>48</v>
      </c>
      <c r="B57" s="134">
        <v>7</v>
      </c>
      <c r="D57" s="132" t="s">
        <v>83</v>
      </c>
      <c r="E57" s="134" t="s">
        <v>62</v>
      </c>
      <c r="G57" s="133" t="s">
        <v>1293</v>
      </c>
      <c r="H57" s="133" t="s">
        <v>1293</v>
      </c>
      <c r="I57" s="134" t="s">
        <v>1260</v>
      </c>
      <c r="J57" s="134" t="s">
        <v>1268</v>
      </c>
      <c r="K57" s="134"/>
    </row>
    <row r="58" spans="1:11" ht="12.95" customHeight="1">
      <c r="A58" s="134">
        <v>49</v>
      </c>
      <c r="B58" s="134">
        <v>8</v>
      </c>
      <c r="D58" s="132" t="s">
        <v>187</v>
      </c>
      <c r="E58" s="134" t="s">
        <v>76</v>
      </c>
      <c r="G58" s="133" t="s">
        <v>315</v>
      </c>
      <c r="H58" s="133" t="s">
        <v>315</v>
      </c>
      <c r="I58" s="134" t="s">
        <v>1260</v>
      </c>
      <c r="J58" s="134" t="s">
        <v>1261</v>
      </c>
      <c r="K58" s="134"/>
    </row>
    <row r="59" spans="1:11" ht="12.95" customHeight="1">
      <c r="A59" s="134">
        <v>50</v>
      </c>
      <c r="B59" s="134">
        <v>9</v>
      </c>
      <c r="D59" s="132" t="s">
        <v>177</v>
      </c>
      <c r="E59" s="140" t="s">
        <v>62</v>
      </c>
      <c r="G59" s="133" t="s">
        <v>318</v>
      </c>
      <c r="H59" s="133" t="s">
        <v>318</v>
      </c>
      <c r="I59" s="134" t="s">
        <v>1260</v>
      </c>
      <c r="J59" s="134" t="s">
        <v>1261</v>
      </c>
      <c r="K59" s="134"/>
    </row>
    <row r="60" spans="1:11" ht="12.95" customHeight="1">
      <c r="A60" s="134">
        <v>51</v>
      </c>
      <c r="B60" s="134">
        <v>10</v>
      </c>
      <c r="D60" s="132" t="s">
        <v>195</v>
      </c>
      <c r="E60" s="140" t="s">
        <v>62</v>
      </c>
      <c r="G60" s="133" t="s">
        <v>1294</v>
      </c>
      <c r="H60" s="133" t="s">
        <v>1294</v>
      </c>
      <c r="I60" s="134" t="s">
        <v>1260</v>
      </c>
      <c r="J60" s="134" t="s">
        <v>1261</v>
      </c>
      <c r="K60" s="134"/>
    </row>
    <row r="61" spans="1:11" ht="12.95" customHeight="1">
      <c r="A61" s="134">
        <v>52</v>
      </c>
      <c r="B61" s="134">
        <v>11</v>
      </c>
      <c r="D61" s="132" t="s">
        <v>52</v>
      </c>
      <c r="E61" s="134" t="s">
        <v>53</v>
      </c>
      <c r="G61" s="133" t="s">
        <v>1295</v>
      </c>
      <c r="H61" s="133" t="s">
        <v>1295</v>
      </c>
      <c r="I61" s="134" t="s">
        <v>1260</v>
      </c>
      <c r="J61" s="134" t="s">
        <v>1268</v>
      </c>
      <c r="K61" s="134"/>
    </row>
    <row r="62" spans="1:11" ht="12.95" customHeight="1">
      <c r="A62" s="134">
        <v>53</v>
      </c>
      <c r="B62" s="134">
        <v>12</v>
      </c>
      <c r="D62" s="132" t="s">
        <v>121</v>
      </c>
      <c r="E62" s="134" t="s">
        <v>62</v>
      </c>
      <c r="G62" s="133" t="s">
        <v>323</v>
      </c>
      <c r="H62" s="133" t="s">
        <v>323</v>
      </c>
      <c r="I62" s="134" t="s">
        <v>1260</v>
      </c>
      <c r="J62" s="134" t="s">
        <v>1261</v>
      </c>
      <c r="K62" s="134"/>
    </row>
    <row r="63" spans="1:11" ht="12.95" customHeight="1">
      <c r="A63" s="134">
        <v>54</v>
      </c>
      <c r="B63" s="134">
        <v>13</v>
      </c>
      <c r="D63" s="132" t="s">
        <v>257</v>
      </c>
      <c r="E63" s="134" t="s">
        <v>62</v>
      </c>
      <c r="G63" s="133" t="s">
        <v>324</v>
      </c>
      <c r="H63" s="133" t="s">
        <v>324</v>
      </c>
      <c r="I63" s="134" t="s">
        <v>1260</v>
      </c>
      <c r="J63" s="134" t="s">
        <v>1261</v>
      </c>
      <c r="K63" s="134"/>
    </row>
    <row r="64" spans="1:11" ht="12.95" customHeight="1">
      <c r="A64" s="134">
        <v>55</v>
      </c>
      <c r="B64" s="134">
        <v>14</v>
      </c>
      <c r="D64" s="132" t="s">
        <v>198</v>
      </c>
      <c r="E64" s="134" t="s">
        <v>62</v>
      </c>
      <c r="G64" s="133" t="s">
        <v>320</v>
      </c>
      <c r="H64" s="133" t="s">
        <v>320</v>
      </c>
      <c r="I64" s="134" t="s">
        <v>1260</v>
      </c>
      <c r="J64" s="134" t="s">
        <v>1261</v>
      </c>
      <c r="K64" s="134"/>
    </row>
    <row r="65" spans="1:15" ht="12.95" customHeight="1">
      <c r="B65" s="154" t="s">
        <v>1296</v>
      </c>
    </row>
    <row r="66" spans="1:15" ht="12.95" customHeight="1">
      <c r="A66" s="134">
        <v>56</v>
      </c>
      <c r="B66" s="134">
        <v>1</v>
      </c>
      <c r="D66" s="132" t="s">
        <v>154</v>
      </c>
      <c r="E66" s="134" t="s">
        <v>62</v>
      </c>
      <c r="G66" s="133" t="s">
        <v>338</v>
      </c>
      <c r="H66" s="133" t="s">
        <v>338</v>
      </c>
      <c r="I66" s="134" t="s">
        <v>1260</v>
      </c>
      <c r="J66" s="134" t="s">
        <v>1261</v>
      </c>
      <c r="K66" s="134"/>
    </row>
    <row r="67" spans="1:15" ht="12.95" customHeight="1">
      <c r="A67" s="134">
        <v>57</v>
      </c>
      <c r="B67" s="134">
        <v>2</v>
      </c>
      <c r="D67" s="132" t="s">
        <v>175</v>
      </c>
      <c r="E67" s="134" t="s">
        <v>76</v>
      </c>
      <c r="G67" s="133" t="s">
        <v>1297</v>
      </c>
      <c r="H67" s="133" t="s">
        <v>1297</v>
      </c>
      <c r="I67" s="134" t="s">
        <v>1260</v>
      </c>
      <c r="J67" s="134" t="s">
        <v>1261</v>
      </c>
      <c r="K67" s="134"/>
      <c r="O67" s="160">
        <f>53+72</f>
        <v>125</v>
      </c>
    </row>
    <row r="68" spans="1:15" ht="12.95" customHeight="1">
      <c r="A68" s="134">
        <v>58</v>
      </c>
      <c r="B68" s="134">
        <v>3</v>
      </c>
      <c r="D68" s="132" t="s">
        <v>111</v>
      </c>
      <c r="E68" s="134" t="s">
        <v>112</v>
      </c>
      <c r="G68" s="133" t="s">
        <v>1297</v>
      </c>
      <c r="H68" s="133" t="s">
        <v>1297</v>
      </c>
      <c r="I68" s="134" t="s">
        <v>1260</v>
      </c>
      <c r="J68" s="134" t="s">
        <v>1261</v>
      </c>
      <c r="K68" s="134"/>
    </row>
    <row r="69" spans="1:15" ht="12.95" customHeight="1">
      <c r="A69" s="134">
        <v>59</v>
      </c>
      <c r="B69" s="134">
        <v>4</v>
      </c>
      <c r="D69" s="132" t="s">
        <v>248</v>
      </c>
      <c r="E69" s="134" t="s">
        <v>249</v>
      </c>
      <c r="G69" s="133" t="s">
        <v>1298</v>
      </c>
      <c r="H69" s="133" t="s">
        <v>1298</v>
      </c>
      <c r="I69" s="134" t="s">
        <v>1260</v>
      </c>
      <c r="J69" s="134" t="s">
        <v>1261</v>
      </c>
      <c r="K69" s="134"/>
    </row>
    <row r="70" spans="1:15" ht="12.95" customHeight="1">
      <c r="A70" s="134">
        <v>60</v>
      </c>
      <c r="B70" s="134">
        <v>5</v>
      </c>
      <c r="D70" s="132" t="s">
        <v>226</v>
      </c>
      <c r="E70" s="134" t="s">
        <v>53</v>
      </c>
      <c r="G70" s="133" t="s">
        <v>339</v>
      </c>
      <c r="H70" s="133" t="s">
        <v>339</v>
      </c>
      <c r="I70" s="134" t="s">
        <v>1260</v>
      </c>
      <c r="J70" s="134" t="s">
        <v>1268</v>
      </c>
      <c r="K70" s="134"/>
    </row>
    <row r="71" spans="1:15" ht="12.95" customHeight="1">
      <c r="A71" s="134">
        <v>61</v>
      </c>
      <c r="B71" s="134">
        <v>6</v>
      </c>
      <c r="D71" s="132" t="s">
        <v>169</v>
      </c>
      <c r="E71" s="134" t="s">
        <v>76</v>
      </c>
      <c r="G71" s="133" t="s">
        <v>339</v>
      </c>
      <c r="H71" s="133" t="s">
        <v>339</v>
      </c>
      <c r="I71" s="134" t="s">
        <v>1260</v>
      </c>
      <c r="J71" s="134" t="s">
        <v>1261</v>
      </c>
      <c r="K71" s="134"/>
    </row>
    <row r="72" spans="1:15" ht="12.95" customHeight="1">
      <c r="A72" s="134">
        <v>62</v>
      </c>
      <c r="B72" s="134">
        <v>7</v>
      </c>
      <c r="D72" s="132" t="s">
        <v>216</v>
      </c>
      <c r="E72" s="134" t="s">
        <v>76</v>
      </c>
      <c r="G72" s="133" t="s">
        <v>1299</v>
      </c>
      <c r="H72" s="133" t="s">
        <v>1299</v>
      </c>
      <c r="I72" s="134" t="s">
        <v>1260</v>
      </c>
      <c r="J72" s="134" t="s">
        <v>1268</v>
      </c>
      <c r="K72" s="134"/>
    </row>
    <row r="73" spans="1:15" ht="12.95" customHeight="1">
      <c r="A73" s="134">
        <v>63</v>
      </c>
      <c r="B73" s="134">
        <v>8</v>
      </c>
      <c r="D73" s="132" t="s">
        <v>156</v>
      </c>
      <c r="E73" s="134" t="s">
        <v>62</v>
      </c>
      <c r="G73" s="133" t="s">
        <v>1299</v>
      </c>
      <c r="H73" s="133" t="s">
        <v>1299</v>
      </c>
      <c r="I73" s="134" t="s">
        <v>1260</v>
      </c>
      <c r="J73" s="134" t="s">
        <v>1261</v>
      </c>
      <c r="K73" s="134"/>
    </row>
    <row r="74" spans="1:15" ht="12.95" customHeight="1">
      <c r="A74" s="134">
        <v>64</v>
      </c>
      <c r="B74" s="134">
        <v>9</v>
      </c>
      <c r="D74" s="132" t="s">
        <v>98</v>
      </c>
      <c r="E74" s="134" t="s">
        <v>62</v>
      </c>
      <c r="G74" s="133" t="s">
        <v>341</v>
      </c>
      <c r="H74" s="133" t="s">
        <v>341</v>
      </c>
      <c r="I74" s="134" t="s">
        <v>1260</v>
      </c>
      <c r="J74" s="134" t="s">
        <v>1268</v>
      </c>
      <c r="K74" s="134"/>
      <c r="O74" s="160" t="s">
        <v>208</v>
      </c>
    </row>
    <row r="75" spans="1:15" ht="12.95" customHeight="1">
      <c r="A75" s="134">
        <v>65</v>
      </c>
      <c r="B75" s="134">
        <v>10</v>
      </c>
      <c r="D75" s="132" t="s">
        <v>211</v>
      </c>
      <c r="E75" s="134" t="s">
        <v>212</v>
      </c>
      <c r="G75" s="133" t="s">
        <v>341</v>
      </c>
      <c r="H75" s="133" t="s">
        <v>1247</v>
      </c>
      <c r="I75" s="134" t="s">
        <v>1260</v>
      </c>
      <c r="J75" s="134" t="s">
        <v>1261</v>
      </c>
      <c r="K75" s="134"/>
      <c r="O75" s="160" t="s">
        <v>286</v>
      </c>
    </row>
    <row r="76" spans="1:15" ht="12.95" customHeight="1">
      <c r="A76" s="134">
        <v>66</v>
      </c>
      <c r="B76" s="134">
        <v>11</v>
      </c>
      <c r="D76" s="132" t="s">
        <v>116</v>
      </c>
      <c r="E76" s="140" t="s">
        <v>62</v>
      </c>
      <c r="G76" s="133" t="s">
        <v>1247</v>
      </c>
      <c r="H76" s="133" t="s">
        <v>1247</v>
      </c>
      <c r="I76" s="134" t="s">
        <v>1260</v>
      </c>
      <c r="J76" s="134" t="s">
        <v>1268</v>
      </c>
      <c r="K76" s="134"/>
    </row>
    <row r="77" spans="1:15" ht="12.95" customHeight="1">
      <c r="A77" s="134">
        <v>67</v>
      </c>
      <c r="B77" s="134">
        <v>12</v>
      </c>
      <c r="D77" s="132" t="s">
        <v>245</v>
      </c>
      <c r="E77" s="140" t="s">
        <v>62</v>
      </c>
      <c r="G77" s="133" t="s">
        <v>1300</v>
      </c>
      <c r="H77" s="133" t="s">
        <v>1300</v>
      </c>
      <c r="I77" s="134" t="s">
        <v>1260</v>
      </c>
      <c r="J77" s="134" t="s">
        <v>1268</v>
      </c>
      <c r="K77" s="134"/>
    </row>
    <row r="78" spans="1:15" ht="12.95" customHeight="1">
      <c r="A78" s="134">
        <v>68</v>
      </c>
      <c r="B78" s="134">
        <v>13</v>
      </c>
      <c r="D78" s="132" t="s">
        <v>239</v>
      </c>
      <c r="E78" s="140" t="s">
        <v>62</v>
      </c>
      <c r="G78" s="133" t="s">
        <v>1301</v>
      </c>
      <c r="H78" s="133" t="s">
        <v>1301</v>
      </c>
      <c r="I78" s="134" t="s">
        <v>1260</v>
      </c>
      <c r="J78" s="134" t="s">
        <v>1268</v>
      </c>
      <c r="K78" s="134"/>
    </row>
    <row r="79" spans="1:15" ht="12.95" customHeight="1">
      <c r="A79" s="134">
        <v>69</v>
      </c>
      <c r="B79" s="134">
        <v>14</v>
      </c>
      <c r="D79" s="132" t="s">
        <v>238</v>
      </c>
      <c r="E79" s="140" t="s">
        <v>62</v>
      </c>
      <c r="G79" s="133" t="s">
        <v>1302</v>
      </c>
      <c r="H79" s="133" t="s">
        <v>1302</v>
      </c>
      <c r="I79" s="134" t="s">
        <v>1260</v>
      </c>
      <c r="J79" s="134" t="s">
        <v>1268</v>
      </c>
      <c r="K79" s="134"/>
    </row>
    <row r="80" spans="1:15" ht="12.95" customHeight="1">
      <c r="A80" s="134">
        <v>70</v>
      </c>
      <c r="B80" s="134">
        <v>15</v>
      </c>
      <c r="D80" s="132" t="s">
        <v>219</v>
      </c>
      <c r="E80" s="134" t="s">
        <v>53</v>
      </c>
      <c r="G80" s="133" t="s">
        <v>1303</v>
      </c>
      <c r="H80" s="133" t="s">
        <v>1303</v>
      </c>
      <c r="I80" s="134" t="s">
        <v>1260</v>
      </c>
      <c r="J80" s="134" t="s">
        <v>1268</v>
      </c>
      <c r="K80" s="134"/>
    </row>
    <row r="81" spans="1:11" ht="12.95" customHeight="1">
      <c r="A81" s="162"/>
      <c r="B81" s="194" t="s">
        <v>1304</v>
      </c>
      <c r="D81" s="178"/>
      <c r="E81" s="137"/>
      <c r="H81" s="161"/>
      <c r="J81" s="162"/>
      <c r="K81" s="162"/>
    </row>
    <row r="82" spans="1:11" ht="12.95" customHeight="1">
      <c r="A82" s="134">
        <v>71</v>
      </c>
      <c r="B82" s="134">
        <v>1</v>
      </c>
      <c r="C82" s="134"/>
      <c r="D82" s="132" t="s">
        <v>208</v>
      </c>
      <c r="E82" s="140" t="s">
        <v>249</v>
      </c>
      <c r="F82" s="134"/>
      <c r="G82" s="133" t="s">
        <v>1305</v>
      </c>
      <c r="H82" s="133" t="s">
        <v>1305</v>
      </c>
      <c r="I82" s="134" t="s">
        <v>1260</v>
      </c>
      <c r="J82" s="134" t="s">
        <v>1261</v>
      </c>
      <c r="K82" s="134"/>
    </row>
    <row r="83" spans="1:11" ht="12.95" customHeight="1">
      <c r="A83" s="134">
        <v>72</v>
      </c>
      <c r="B83" s="134">
        <v>2</v>
      </c>
      <c r="D83" s="132" t="s">
        <v>196</v>
      </c>
      <c r="E83" s="134" t="s">
        <v>53</v>
      </c>
      <c r="G83" s="133" t="s">
        <v>835</v>
      </c>
      <c r="H83" s="133" t="s">
        <v>835</v>
      </c>
      <c r="I83" s="134" t="s">
        <v>1260</v>
      </c>
      <c r="J83" s="134" t="s">
        <v>1261</v>
      </c>
      <c r="K83" s="134"/>
    </row>
    <row r="84" spans="1:11" ht="12.95" customHeight="1">
      <c r="A84" s="134">
        <v>73</v>
      </c>
      <c r="B84" s="134">
        <v>3</v>
      </c>
      <c r="D84" s="132" t="s">
        <v>265</v>
      </c>
      <c r="E84" s="134" t="s">
        <v>1277</v>
      </c>
      <c r="G84" s="133" t="s">
        <v>1306</v>
      </c>
      <c r="H84" s="133" t="s">
        <v>1306</v>
      </c>
      <c r="I84" s="134" t="s">
        <v>1260</v>
      </c>
      <c r="J84" s="134" t="s">
        <v>1261</v>
      </c>
      <c r="K84" s="134"/>
    </row>
    <row r="85" spans="1:11" ht="12.95" customHeight="1">
      <c r="A85" s="134">
        <v>74</v>
      </c>
      <c r="B85" s="134">
        <v>4</v>
      </c>
      <c r="D85" s="132" t="s">
        <v>89</v>
      </c>
      <c r="E85" s="140" t="s">
        <v>1026</v>
      </c>
      <c r="G85" s="133" t="s">
        <v>841</v>
      </c>
      <c r="H85" s="133" t="s">
        <v>841</v>
      </c>
      <c r="I85" s="134" t="s">
        <v>1260</v>
      </c>
      <c r="J85" s="134" t="s">
        <v>1261</v>
      </c>
      <c r="K85" s="134"/>
    </row>
    <row r="86" spans="1:11" ht="12.95" customHeight="1">
      <c r="A86" s="162"/>
      <c r="B86" s="194" t="s">
        <v>354</v>
      </c>
      <c r="D86" s="204"/>
      <c r="E86" s="8"/>
      <c r="H86" s="161"/>
      <c r="J86" s="162"/>
      <c r="K86" s="162"/>
    </row>
    <row r="87" spans="1:11" ht="12.95" customHeight="1">
      <c r="A87" s="134">
        <v>75</v>
      </c>
      <c r="B87" s="134">
        <v>1</v>
      </c>
      <c r="D87" s="132" t="s">
        <v>135</v>
      </c>
      <c r="E87" s="140" t="s">
        <v>76</v>
      </c>
      <c r="G87" s="133" t="s">
        <v>359</v>
      </c>
      <c r="H87" s="133" t="s">
        <v>359</v>
      </c>
      <c r="I87" s="134" t="s">
        <v>1260</v>
      </c>
      <c r="J87" s="134" t="s">
        <v>1261</v>
      </c>
      <c r="K87" s="134"/>
    </row>
    <row r="88" spans="1:11" ht="12.95" customHeight="1">
      <c r="A88" s="134">
        <v>76</v>
      </c>
      <c r="B88" s="134">
        <v>2</v>
      </c>
      <c r="D88" s="132" t="s">
        <v>139</v>
      </c>
      <c r="E88" s="134" t="s">
        <v>76</v>
      </c>
      <c r="G88" s="133" t="s">
        <v>870</v>
      </c>
      <c r="H88" s="133" t="s">
        <v>870</v>
      </c>
      <c r="I88" s="134" t="s">
        <v>1260</v>
      </c>
      <c r="J88" s="134" t="s">
        <v>1261</v>
      </c>
      <c r="K88" s="134"/>
    </row>
    <row r="89" spans="1:11" ht="12.95" customHeight="1">
      <c r="A89" s="134">
        <v>77</v>
      </c>
      <c r="B89" s="134">
        <v>4</v>
      </c>
      <c r="D89" s="132" t="s">
        <v>155</v>
      </c>
      <c r="E89" s="134" t="s">
        <v>62</v>
      </c>
      <c r="G89" s="133" t="s">
        <v>879</v>
      </c>
      <c r="H89" s="133" t="s">
        <v>879</v>
      </c>
      <c r="I89" s="134" t="s">
        <v>1260</v>
      </c>
      <c r="J89" s="134" t="s">
        <v>1261</v>
      </c>
      <c r="K89" s="134"/>
    </row>
    <row r="90" spans="1:11" ht="12.95" customHeight="1">
      <c r="A90" s="134">
        <v>78</v>
      </c>
      <c r="B90" s="134">
        <v>5</v>
      </c>
      <c r="D90" s="132" t="s">
        <v>114</v>
      </c>
      <c r="E90" s="134" t="s">
        <v>76</v>
      </c>
      <c r="G90" s="133" t="s">
        <v>363</v>
      </c>
      <c r="H90" s="133" t="s">
        <v>363</v>
      </c>
      <c r="I90" s="134" t="s">
        <v>1260</v>
      </c>
      <c r="J90" s="134" t="s">
        <v>1261</v>
      </c>
      <c r="K90" s="134"/>
    </row>
    <row r="91" spans="1:11" ht="12.95" customHeight="1">
      <c r="A91" s="134">
        <v>79</v>
      </c>
      <c r="B91" s="134">
        <v>6</v>
      </c>
      <c r="D91" s="132" t="s">
        <v>130</v>
      </c>
      <c r="E91" s="134" t="s">
        <v>76</v>
      </c>
      <c r="G91" s="133" t="s">
        <v>370</v>
      </c>
      <c r="H91" s="133" t="s">
        <v>370</v>
      </c>
      <c r="I91" s="134" t="s">
        <v>1260</v>
      </c>
      <c r="J91" s="134" t="s">
        <v>1261</v>
      </c>
      <c r="K91" s="134"/>
    </row>
    <row r="92" spans="1:11" ht="12.95" customHeight="1">
      <c r="A92" s="134">
        <v>80</v>
      </c>
      <c r="B92" s="134">
        <v>7</v>
      </c>
      <c r="D92" s="132" t="s">
        <v>142</v>
      </c>
      <c r="E92" s="134" t="s">
        <v>62</v>
      </c>
      <c r="G92" s="133" t="s">
        <v>370</v>
      </c>
      <c r="H92" s="133" t="s">
        <v>370</v>
      </c>
      <c r="I92" s="134" t="s">
        <v>1260</v>
      </c>
      <c r="J92" s="134" t="s">
        <v>1261</v>
      </c>
      <c r="K92" s="134"/>
    </row>
    <row r="93" spans="1:11" ht="12.95" customHeight="1">
      <c r="B93" s="194" t="s">
        <v>368</v>
      </c>
    </row>
    <row r="94" spans="1:11" ht="12.95" customHeight="1">
      <c r="A94" s="134">
        <v>81</v>
      </c>
      <c r="B94" s="134">
        <v>1</v>
      </c>
      <c r="C94" s="134"/>
      <c r="D94" s="132" t="s">
        <v>254</v>
      </c>
      <c r="E94" s="134" t="s">
        <v>112</v>
      </c>
      <c r="F94" s="134"/>
      <c r="G94" s="133" t="s">
        <v>390</v>
      </c>
      <c r="H94" s="133" t="s">
        <v>390</v>
      </c>
      <c r="I94" s="134" t="s">
        <v>1260</v>
      </c>
      <c r="J94" s="134" t="s">
        <v>1261</v>
      </c>
      <c r="K94" s="134"/>
    </row>
    <row r="95" spans="1:11" ht="12.95" customHeight="1">
      <c r="A95" s="134">
        <v>82</v>
      </c>
      <c r="B95" s="134">
        <v>2</v>
      </c>
      <c r="C95" s="134"/>
      <c r="D95" s="132" t="s">
        <v>229</v>
      </c>
      <c r="E95" s="134" t="s">
        <v>62</v>
      </c>
      <c r="F95" s="134"/>
      <c r="G95" s="133" t="s">
        <v>398</v>
      </c>
      <c r="H95" s="134" t="s">
        <v>892</v>
      </c>
      <c r="I95" s="134" t="s">
        <v>1260</v>
      </c>
      <c r="J95" s="134" t="s">
        <v>1261</v>
      </c>
      <c r="K95" s="134"/>
    </row>
    <row r="96" spans="1:11" ht="12.95" customHeight="1">
      <c r="A96" s="134">
        <v>83</v>
      </c>
      <c r="B96" s="134">
        <v>3</v>
      </c>
      <c r="C96" s="134"/>
      <c r="D96" s="132" t="s">
        <v>61</v>
      </c>
      <c r="E96" s="134" t="s">
        <v>62</v>
      </c>
      <c r="F96" s="134"/>
      <c r="G96" s="133" t="s">
        <v>400</v>
      </c>
      <c r="H96" s="134" t="s">
        <v>1281</v>
      </c>
      <c r="I96" s="134" t="s">
        <v>1260</v>
      </c>
      <c r="J96" s="134" t="s">
        <v>1261</v>
      </c>
      <c r="K96" s="134"/>
    </row>
    <row r="97" spans="1:11" ht="12.95" customHeight="1">
      <c r="A97" s="134"/>
      <c r="B97" s="154" t="s">
        <v>412</v>
      </c>
      <c r="C97" s="134"/>
      <c r="D97" s="205"/>
      <c r="E97" s="206"/>
      <c r="F97" s="206"/>
      <c r="G97" s="206"/>
      <c r="H97" s="206"/>
      <c r="I97" s="206"/>
      <c r="J97" s="206"/>
      <c r="K97" s="207"/>
    </row>
    <row r="98" spans="1:11" ht="12.95" customHeight="1">
      <c r="A98" s="134">
        <v>84</v>
      </c>
      <c r="B98" s="134">
        <v>1</v>
      </c>
      <c r="C98" s="134"/>
      <c r="D98" s="132" t="s">
        <v>355</v>
      </c>
      <c r="E98" s="134" t="s">
        <v>62</v>
      </c>
      <c r="F98" s="134"/>
      <c r="G98" s="133" t="s">
        <v>420</v>
      </c>
      <c r="H98" s="134" t="s">
        <v>1307</v>
      </c>
      <c r="I98" s="134" t="s">
        <v>1260</v>
      </c>
      <c r="J98" s="134" t="s">
        <v>1261</v>
      </c>
      <c r="K98" s="134"/>
    </row>
    <row r="99" spans="1:11" ht="12.95" customHeight="1">
      <c r="A99" s="134">
        <v>85</v>
      </c>
      <c r="B99" s="134">
        <v>2</v>
      </c>
      <c r="C99" s="134"/>
      <c r="D99" s="132" t="s">
        <v>284</v>
      </c>
      <c r="E99" s="134" t="s">
        <v>76</v>
      </c>
      <c r="F99" s="134"/>
      <c r="G99" s="133" t="s">
        <v>1307</v>
      </c>
      <c r="H99" s="134" t="s">
        <v>425</v>
      </c>
      <c r="I99" s="134" t="s">
        <v>1260</v>
      </c>
      <c r="J99" s="134" t="s">
        <v>1261</v>
      </c>
      <c r="K99" s="134"/>
    </row>
    <row r="100" spans="1:11" ht="12.95" customHeight="1">
      <c r="A100" s="134">
        <v>86</v>
      </c>
      <c r="B100" s="134">
        <v>3</v>
      </c>
      <c r="C100" s="134"/>
      <c r="D100" s="132" t="s">
        <v>290</v>
      </c>
      <c r="E100" s="134" t="s">
        <v>62</v>
      </c>
      <c r="F100" s="134"/>
      <c r="G100" s="133" t="s">
        <v>423</v>
      </c>
      <c r="H100" s="134" t="s">
        <v>423</v>
      </c>
      <c r="I100" s="134" t="s">
        <v>1260</v>
      </c>
      <c r="J100" s="134" t="s">
        <v>1261</v>
      </c>
      <c r="K100" s="134"/>
    </row>
    <row r="101" spans="1:11" ht="12.95" customHeight="1">
      <c r="A101" s="134">
        <v>87</v>
      </c>
      <c r="B101" s="134">
        <v>4</v>
      </c>
      <c r="C101" s="134"/>
      <c r="D101" s="132" t="s">
        <v>346</v>
      </c>
      <c r="E101" s="134" t="s">
        <v>112</v>
      </c>
      <c r="F101" s="134"/>
      <c r="G101" s="133" t="s">
        <v>429</v>
      </c>
      <c r="H101" s="134" t="s">
        <v>429</v>
      </c>
      <c r="I101" s="134" t="s">
        <v>1260</v>
      </c>
      <c r="J101" s="134" t="s">
        <v>1261</v>
      </c>
      <c r="K101" s="134"/>
    </row>
    <row r="102" spans="1:11" ht="12.95" customHeight="1">
      <c r="A102" s="134">
        <v>88</v>
      </c>
      <c r="B102" s="134">
        <v>5</v>
      </c>
      <c r="C102" s="134"/>
      <c r="D102" s="132" t="s">
        <v>375</v>
      </c>
      <c r="E102" s="134" t="s">
        <v>53</v>
      </c>
      <c r="F102" s="134"/>
      <c r="G102" s="133" t="s">
        <v>902</v>
      </c>
      <c r="H102" s="134" t="s">
        <v>902</v>
      </c>
      <c r="I102" s="134" t="s">
        <v>1260</v>
      </c>
      <c r="J102" s="134" t="s">
        <v>1261</v>
      </c>
      <c r="K102" s="134"/>
    </row>
    <row r="103" spans="1:11" ht="12.95" customHeight="1">
      <c r="A103" s="134">
        <v>89</v>
      </c>
      <c r="B103" s="134">
        <v>6</v>
      </c>
      <c r="C103" s="134"/>
      <c r="D103" s="132" t="s">
        <v>313</v>
      </c>
      <c r="E103" s="134" t="s">
        <v>53</v>
      </c>
      <c r="F103" s="134"/>
      <c r="G103" s="133" t="s">
        <v>903</v>
      </c>
      <c r="H103" s="134" t="s">
        <v>903</v>
      </c>
      <c r="I103" s="134" t="s">
        <v>1260</v>
      </c>
      <c r="J103" s="134" t="s">
        <v>1261</v>
      </c>
      <c r="K103" s="134"/>
    </row>
    <row r="104" spans="1:11" ht="12.95" customHeight="1">
      <c r="A104" s="134">
        <v>90</v>
      </c>
      <c r="B104" s="134">
        <v>7</v>
      </c>
      <c r="C104" s="134"/>
      <c r="D104" s="132" t="s">
        <v>292</v>
      </c>
      <c r="E104" s="134" t="s">
        <v>76</v>
      </c>
      <c r="F104" s="134"/>
      <c r="G104" s="133" t="s">
        <v>903</v>
      </c>
      <c r="H104" s="134" t="s">
        <v>903</v>
      </c>
      <c r="I104" s="134" t="s">
        <v>1260</v>
      </c>
      <c r="J104" s="134" t="s">
        <v>1261</v>
      </c>
      <c r="K104" s="134"/>
    </row>
    <row r="105" spans="1:11" ht="12.95" customHeight="1">
      <c r="A105" s="134">
        <v>91</v>
      </c>
      <c r="B105" s="134">
        <v>8</v>
      </c>
      <c r="C105" s="134"/>
      <c r="D105" s="132" t="s">
        <v>334</v>
      </c>
      <c r="E105" s="134" t="s">
        <v>249</v>
      </c>
      <c r="F105" s="134"/>
      <c r="G105" s="133" t="s">
        <v>1308</v>
      </c>
      <c r="H105" s="134" t="s">
        <v>1308</v>
      </c>
      <c r="I105" s="134" t="s">
        <v>1260</v>
      </c>
      <c r="J105" s="134" t="s">
        <v>1261</v>
      </c>
      <c r="K105" s="134"/>
    </row>
    <row r="106" spans="1:11" ht="12.95" customHeight="1">
      <c r="A106" s="134">
        <v>92</v>
      </c>
      <c r="B106" s="134">
        <v>9</v>
      </c>
      <c r="D106" s="132" t="s">
        <v>234</v>
      </c>
      <c r="E106" s="142" t="s">
        <v>62</v>
      </c>
      <c r="G106" s="133" t="s">
        <v>905</v>
      </c>
      <c r="H106" s="133" t="s">
        <v>905</v>
      </c>
      <c r="I106" s="134" t="s">
        <v>1260</v>
      </c>
      <c r="J106" s="134" t="s">
        <v>1261</v>
      </c>
      <c r="K106" s="134"/>
    </row>
    <row r="107" spans="1:11" ht="12.95" customHeight="1">
      <c r="A107" s="162"/>
      <c r="B107" s="154" t="s">
        <v>443</v>
      </c>
      <c r="D107" s="132"/>
      <c r="E107" s="142"/>
      <c r="H107" s="161"/>
      <c r="J107" s="162"/>
      <c r="K107" s="162"/>
    </row>
    <row r="108" spans="1:11" ht="12.95" customHeight="1">
      <c r="A108" s="134">
        <v>93</v>
      </c>
      <c r="B108" s="134">
        <v>1</v>
      </c>
      <c r="D108" s="132" t="s">
        <v>408</v>
      </c>
      <c r="E108" s="142" t="s">
        <v>53</v>
      </c>
      <c r="G108" s="133" t="s">
        <v>1309</v>
      </c>
      <c r="H108" s="133" t="s">
        <v>1309</v>
      </c>
      <c r="I108" s="134" t="s">
        <v>1260</v>
      </c>
      <c r="J108" s="134" t="s">
        <v>1261</v>
      </c>
      <c r="K108" s="134"/>
    </row>
    <row r="109" spans="1:11" ht="12.95" customHeight="1">
      <c r="A109" s="134">
        <v>94</v>
      </c>
      <c r="B109" s="134">
        <v>2</v>
      </c>
      <c r="D109" s="132" t="s">
        <v>309</v>
      </c>
      <c r="E109" s="142" t="s">
        <v>76</v>
      </c>
      <c r="G109" s="133" t="s">
        <v>918</v>
      </c>
      <c r="H109" s="133" t="s">
        <v>918</v>
      </c>
      <c r="I109" s="134" t="s">
        <v>1260</v>
      </c>
      <c r="J109" s="134" t="s">
        <v>1261</v>
      </c>
      <c r="K109" s="134"/>
    </row>
    <row r="110" spans="1:11" ht="12.95" customHeight="1">
      <c r="A110" s="134">
        <v>95</v>
      </c>
      <c r="B110" s="134">
        <v>3</v>
      </c>
      <c r="D110" s="132" t="s">
        <v>389</v>
      </c>
      <c r="E110" s="142" t="s">
        <v>76</v>
      </c>
      <c r="G110" s="133" t="s">
        <v>918</v>
      </c>
      <c r="H110" s="133" t="s">
        <v>918</v>
      </c>
      <c r="I110" s="134" t="s">
        <v>1260</v>
      </c>
      <c r="J110" s="134" t="s">
        <v>1261</v>
      </c>
      <c r="K110" s="134"/>
    </row>
    <row r="111" spans="1:11" ht="12.95" customHeight="1">
      <c r="A111" s="134">
        <v>96</v>
      </c>
      <c r="B111" s="134">
        <v>4</v>
      </c>
      <c r="D111" s="132" t="s">
        <v>384</v>
      </c>
      <c r="E111" s="142" t="s">
        <v>76</v>
      </c>
      <c r="G111" s="133" t="s">
        <v>1310</v>
      </c>
      <c r="H111" s="133" t="s">
        <v>1310</v>
      </c>
      <c r="I111" s="134" t="s">
        <v>1260</v>
      </c>
      <c r="J111" s="134" t="s">
        <v>1261</v>
      </c>
      <c r="K111" s="134"/>
    </row>
    <row r="112" spans="1:11" ht="12.95" customHeight="1">
      <c r="A112" s="134">
        <v>97</v>
      </c>
      <c r="B112" s="134">
        <v>5</v>
      </c>
      <c r="D112" s="132" t="s">
        <v>380</v>
      </c>
      <c r="E112" s="142" t="s">
        <v>76</v>
      </c>
      <c r="G112" s="133" t="s">
        <v>919</v>
      </c>
      <c r="H112" s="133" t="s">
        <v>919</v>
      </c>
      <c r="I112" s="134" t="s">
        <v>1260</v>
      </c>
      <c r="J112" s="134" t="s">
        <v>1261</v>
      </c>
      <c r="K112" s="134"/>
    </row>
    <row r="113" spans="1:11 16384:16384" ht="12.95" customHeight="1">
      <c r="A113" s="134">
        <v>98</v>
      </c>
      <c r="B113" s="134">
        <v>6</v>
      </c>
      <c r="D113" s="132" t="s">
        <v>206</v>
      </c>
      <c r="E113" s="142" t="s">
        <v>62</v>
      </c>
      <c r="G113" s="133" t="s">
        <v>933</v>
      </c>
      <c r="H113" s="133" t="s">
        <v>933</v>
      </c>
      <c r="I113" s="134" t="s">
        <v>1260</v>
      </c>
      <c r="J113" s="134" t="s">
        <v>1261</v>
      </c>
      <c r="K113" s="134"/>
    </row>
    <row r="114" spans="1:11 16384:16384" ht="12.95" customHeight="1">
      <c r="A114" s="134">
        <v>99</v>
      </c>
      <c r="B114" s="134">
        <v>7</v>
      </c>
      <c r="D114" s="132" t="s">
        <v>191</v>
      </c>
      <c r="E114" s="142" t="s">
        <v>53</v>
      </c>
      <c r="G114" s="133" t="s">
        <v>933</v>
      </c>
      <c r="H114" s="133" t="s">
        <v>933</v>
      </c>
      <c r="I114" s="134" t="s">
        <v>1260</v>
      </c>
      <c r="J114" s="134" t="s">
        <v>1261</v>
      </c>
      <c r="K114" s="134"/>
    </row>
    <row r="115" spans="1:11 16384:16384" ht="12.95" customHeight="1">
      <c r="A115" s="134">
        <v>100</v>
      </c>
      <c r="B115" s="134">
        <v>8</v>
      </c>
      <c r="D115" s="132" t="s">
        <v>214</v>
      </c>
      <c r="E115" s="142" t="s">
        <v>53</v>
      </c>
      <c r="G115" s="133" t="s">
        <v>925</v>
      </c>
      <c r="H115" s="133" t="s">
        <v>925</v>
      </c>
      <c r="I115" s="134" t="s">
        <v>1260</v>
      </c>
      <c r="J115" s="134" t="s">
        <v>1261</v>
      </c>
      <c r="K115" s="134"/>
    </row>
    <row r="116" spans="1:11 16384:16384" ht="12.95" customHeight="1">
      <c r="A116" s="134">
        <v>101</v>
      </c>
      <c r="B116" s="134">
        <v>9</v>
      </c>
      <c r="D116" s="132" t="s">
        <v>286</v>
      </c>
      <c r="E116" s="142" t="s">
        <v>287</v>
      </c>
      <c r="G116" s="133" t="s">
        <v>450</v>
      </c>
      <c r="H116" s="133" t="s">
        <v>450</v>
      </c>
      <c r="I116" s="134" t="s">
        <v>1260</v>
      </c>
      <c r="J116" s="134" t="s">
        <v>1261</v>
      </c>
      <c r="K116" s="134"/>
    </row>
    <row r="117" spans="1:11 16384:16384" ht="12.95" customHeight="1">
      <c r="A117" s="134">
        <v>102</v>
      </c>
      <c r="B117" s="134">
        <v>10</v>
      </c>
      <c r="D117" s="132" t="s">
        <v>267</v>
      </c>
      <c r="E117" s="142" t="s">
        <v>62</v>
      </c>
      <c r="G117" s="133" t="s">
        <v>450</v>
      </c>
      <c r="H117" s="133" t="s">
        <v>450</v>
      </c>
      <c r="I117" s="134" t="s">
        <v>1260</v>
      </c>
      <c r="J117" s="134" t="s">
        <v>1261</v>
      </c>
      <c r="K117" s="134"/>
    </row>
    <row r="118" spans="1:11 16384:16384" ht="12.95" customHeight="1">
      <c r="A118" s="134">
        <v>103</v>
      </c>
      <c r="B118" s="134">
        <v>11</v>
      </c>
      <c r="D118" s="132" t="s">
        <v>294</v>
      </c>
      <c r="E118" s="142" t="s">
        <v>249</v>
      </c>
      <c r="G118" s="133" t="s">
        <v>452</v>
      </c>
      <c r="H118" s="133" t="s">
        <v>452</v>
      </c>
      <c r="I118" s="134" t="s">
        <v>1260</v>
      </c>
      <c r="J118" s="134" t="s">
        <v>1261</v>
      </c>
      <c r="K118" s="134"/>
    </row>
    <row r="119" spans="1:11 16384:16384" ht="12.95" customHeight="1">
      <c r="A119" s="134">
        <v>104</v>
      </c>
      <c r="B119" s="134">
        <v>12</v>
      </c>
      <c r="D119" s="132" t="s">
        <v>271</v>
      </c>
      <c r="E119" s="142" t="s">
        <v>53</v>
      </c>
      <c r="G119" s="133" t="s">
        <v>452</v>
      </c>
      <c r="H119" s="133" t="s">
        <v>452</v>
      </c>
      <c r="I119" s="134" t="s">
        <v>1260</v>
      </c>
      <c r="J119" s="134" t="s">
        <v>1261</v>
      </c>
      <c r="K119" s="134"/>
    </row>
    <row r="120" spans="1:11 16384:16384" ht="12.95" customHeight="1">
      <c r="B120" s="154" t="s">
        <v>935</v>
      </c>
    </row>
    <row r="121" spans="1:11 16384:16384" ht="12.95" customHeight="1">
      <c r="A121" s="134">
        <v>105</v>
      </c>
      <c r="B121" s="134">
        <v>1</v>
      </c>
      <c r="D121" s="132" t="s">
        <v>442</v>
      </c>
      <c r="E121" s="134" t="s">
        <v>76</v>
      </c>
      <c r="G121" s="133" t="s">
        <v>938</v>
      </c>
      <c r="H121" s="133" t="s">
        <v>938</v>
      </c>
      <c r="I121" s="134" t="s">
        <v>1260</v>
      </c>
      <c r="J121" s="134" t="s">
        <v>1261</v>
      </c>
      <c r="K121" s="134"/>
    </row>
    <row r="122" spans="1:11 16384:16384" ht="12.95" customHeight="1">
      <c r="A122" s="134">
        <v>106</v>
      </c>
      <c r="B122" s="134">
        <v>2</v>
      </c>
      <c r="D122" s="132" t="s">
        <v>263</v>
      </c>
      <c r="E122" s="140" t="s">
        <v>76</v>
      </c>
      <c r="G122" s="133" t="s">
        <v>957</v>
      </c>
      <c r="H122" s="133" t="s">
        <v>957</v>
      </c>
      <c r="I122" s="134" t="s">
        <v>1260</v>
      </c>
      <c r="J122" s="134" t="s">
        <v>1261</v>
      </c>
      <c r="K122" s="134"/>
    </row>
    <row r="123" spans="1:11 16384:16384" ht="12.95" customHeight="1">
      <c r="A123" s="134">
        <v>107</v>
      </c>
      <c r="B123" s="134">
        <v>3</v>
      </c>
      <c r="D123" s="132" t="s">
        <v>268</v>
      </c>
      <c r="E123" s="140" t="s">
        <v>62</v>
      </c>
      <c r="G123" s="133" t="s">
        <v>940</v>
      </c>
      <c r="H123" s="133" t="s">
        <v>940</v>
      </c>
      <c r="I123" s="134" t="s">
        <v>1260</v>
      </c>
      <c r="J123" s="134" t="s">
        <v>1261</v>
      </c>
      <c r="K123" s="134"/>
    </row>
    <row r="124" spans="1:11 16384:16384" ht="12.95" customHeight="1">
      <c r="A124" s="134">
        <v>108</v>
      </c>
      <c r="B124" s="134">
        <v>4</v>
      </c>
      <c r="D124" s="132" t="s">
        <v>109</v>
      </c>
      <c r="E124" s="140" t="s">
        <v>62</v>
      </c>
      <c r="G124" s="133" t="s">
        <v>941</v>
      </c>
      <c r="H124" s="133" t="s">
        <v>941</v>
      </c>
      <c r="I124" s="134" t="s">
        <v>1260</v>
      </c>
      <c r="J124" s="134" t="s">
        <v>1261</v>
      </c>
      <c r="K124" s="134"/>
      <c r="XFD124" s="161" t="s">
        <v>941</v>
      </c>
    </row>
    <row r="125" spans="1:11 16384:16384" ht="12.95" customHeight="1">
      <c r="A125" s="134">
        <v>109</v>
      </c>
      <c r="B125" s="134">
        <v>5</v>
      </c>
      <c r="D125" s="132" t="s">
        <v>436</v>
      </c>
      <c r="E125" s="140" t="s">
        <v>62</v>
      </c>
      <c r="G125" s="133" t="s">
        <v>944</v>
      </c>
      <c r="H125" s="133" t="s">
        <v>944</v>
      </c>
      <c r="I125" s="134" t="s">
        <v>1260</v>
      </c>
      <c r="J125" s="134" t="s">
        <v>1261</v>
      </c>
      <c r="K125" s="134"/>
    </row>
    <row r="126" spans="1:11 16384:16384" ht="12.95" customHeight="1">
      <c r="A126" s="134">
        <v>110</v>
      </c>
      <c r="B126" s="134">
        <v>6</v>
      </c>
      <c r="D126" s="132" t="s">
        <v>392</v>
      </c>
      <c r="E126" s="140" t="s">
        <v>76</v>
      </c>
      <c r="G126" s="133" t="s">
        <v>478</v>
      </c>
      <c r="H126" s="133" t="s">
        <v>478</v>
      </c>
      <c r="I126" s="134" t="s">
        <v>1260</v>
      </c>
      <c r="J126" s="134" t="s">
        <v>1261</v>
      </c>
      <c r="K126" s="134"/>
    </row>
    <row r="127" spans="1:11 16384:16384" ht="12.95" customHeight="1">
      <c r="A127" s="134">
        <v>111</v>
      </c>
      <c r="B127" s="134">
        <v>7</v>
      </c>
      <c r="D127" s="132" t="s">
        <v>430</v>
      </c>
      <c r="E127" s="140" t="s">
        <v>62</v>
      </c>
      <c r="G127" s="133" t="s">
        <v>457</v>
      </c>
      <c r="H127" s="133" t="s">
        <v>457</v>
      </c>
      <c r="I127" s="134" t="s">
        <v>1260</v>
      </c>
      <c r="J127" s="134" t="s">
        <v>1261</v>
      </c>
      <c r="K127" s="134"/>
    </row>
    <row r="128" spans="1:11 16384:16384" ht="12.95" customHeight="1">
      <c r="A128" s="134">
        <v>112</v>
      </c>
      <c r="B128" s="134">
        <v>8</v>
      </c>
      <c r="D128" s="132" t="s">
        <v>401</v>
      </c>
      <c r="E128" s="140" t="s">
        <v>62</v>
      </c>
      <c r="G128" s="133" t="s">
        <v>460</v>
      </c>
      <c r="H128" s="133" t="s">
        <v>460</v>
      </c>
      <c r="I128" s="134" t="s">
        <v>1260</v>
      </c>
      <c r="J128" s="134" t="s">
        <v>1261</v>
      </c>
      <c r="K128" s="134"/>
    </row>
    <row r="129" spans="1:11" ht="12.95" customHeight="1">
      <c r="A129" s="134">
        <v>113</v>
      </c>
      <c r="B129" s="134">
        <v>9</v>
      </c>
      <c r="D129" s="132" t="s">
        <v>357</v>
      </c>
      <c r="E129" s="134" t="s">
        <v>62</v>
      </c>
      <c r="G129" s="133" t="s">
        <v>467</v>
      </c>
      <c r="H129" s="133" t="s">
        <v>467</v>
      </c>
      <c r="I129" s="134" t="s">
        <v>1260</v>
      </c>
      <c r="J129" s="134" t="s">
        <v>1261</v>
      </c>
      <c r="K129" s="134"/>
    </row>
    <row r="130" spans="1:11" ht="12.95" customHeight="1">
      <c r="A130" s="134">
        <v>114</v>
      </c>
      <c r="B130" s="134">
        <v>10</v>
      </c>
      <c r="D130" s="132" t="s">
        <v>297</v>
      </c>
      <c r="E130" s="142" t="s">
        <v>249</v>
      </c>
      <c r="G130" s="133" t="s">
        <v>476</v>
      </c>
      <c r="H130" s="133" t="s">
        <v>476</v>
      </c>
      <c r="I130" s="134" t="s">
        <v>1260</v>
      </c>
      <c r="J130" s="134" t="s">
        <v>1261</v>
      </c>
      <c r="K130" s="134"/>
    </row>
    <row r="131" spans="1:11" ht="12.95" customHeight="1">
      <c r="A131" s="134">
        <v>115</v>
      </c>
      <c r="B131" s="134">
        <v>11</v>
      </c>
      <c r="D131" s="132" t="s">
        <v>399</v>
      </c>
      <c r="E131" s="134" t="s">
        <v>76</v>
      </c>
      <c r="G131" s="133" t="s">
        <v>482</v>
      </c>
      <c r="H131" s="133" t="s">
        <v>482</v>
      </c>
      <c r="I131" s="134" t="s">
        <v>1260</v>
      </c>
      <c r="J131" s="134" t="s">
        <v>1261</v>
      </c>
      <c r="K131" s="134"/>
    </row>
    <row r="132" spans="1:11" ht="12.95" customHeight="1">
      <c r="A132" s="134">
        <v>116</v>
      </c>
      <c r="B132" s="134">
        <v>12</v>
      </c>
      <c r="D132" s="132" t="s">
        <v>329</v>
      </c>
      <c r="E132" s="134" t="s">
        <v>76</v>
      </c>
      <c r="G132" s="133" t="s">
        <v>1311</v>
      </c>
      <c r="H132" s="133" t="s">
        <v>1311</v>
      </c>
      <c r="I132" s="134" t="s">
        <v>1260</v>
      </c>
      <c r="J132" s="134" t="s">
        <v>1261</v>
      </c>
      <c r="K132" s="134"/>
    </row>
    <row r="133" spans="1:11" ht="12.95" customHeight="1">
      <c r="A133" s="134">
        <v>117</v>
      </c>
      <c r="B133" s="134">
        <v>13</v>
      </c>
      <c r="D133" s="132" t="s">
        <v>222</v>
      </c>
      <c r="E133" s="134" t="s">
        <v>76</v>
      </c>
      <c r="G133" s="133" t="s">
        <v>1311</v>
      </c>
      <c r="H133" s="133" t="s">
        <v>1311</v>
      </c>
      <c r="I133" s="134" t="s">
        <v>1260</v>
      </c>
      <c r="J133" s="134" t="s">
        <v>1261</v>
      </c>
      <c r="K133" s="134"/>
    </row>
    <row r="134" spans="1:11" ht="12.95" customHeight="1">
      <c r="A134" s="134">
        <v>118</v>
      </c>
      <c r="B134" s="134">
        <v>14</v>
      </c>
      <c r="D134" s="132" t="s">
        <v>260</v>
      </c>
      <c r="E134" s="134" t="s">
        <v>62</v>
      </c>
      <c r="G134" s="133" t="s">
        <v>1311</v>
      </c>
      <c r="H134" s="133" t="s">
        <v>1311</v>
      </c>
      <c r="I134" s="134" t="s">
        <v>1260</v>
      </c>
      <c r="J134" s="134" t="s">
        <v>1261</v>
      </c>
      <c r="K134" s="134"/>
    </row>
    <row r="135" spans="1:11" ht="12.95" customHeight="1">
      <c r="A135" s="134">
        <v>119</v>
      </c>
      <c r="B135" s="134">
        <v>15</v>
      </c>
      <c r="D135" s="132" t="s">
        <v>300</v>
      </c>
      <c r="E135" s="134" t="s">
        <v>76</v>
      </c>
      <c r="G135" s="133" t="s">
        <v>966</v>
      </c>
      <c r="H135" s="134" t="s">
        <v>966</v>
      </c>
      <c r="I135" s="134" t="s">
        <v>1260</v>
      </c>
      <c r="J135" s="134" t="s">
        <v>1261</v>
      </c>
      <c r="K135" s="134"/>
    </row>
    <row r="136" spans="1:11" ht="12.95" customHeight="1">
      <c r="B136" s="208">
        <v>45682</v>
      </c>
    </row>
    <row r="137" spans="1:11" ht="12.95" customHeight="1">
      <c r="A137" s="134">
        <v>120</v>
      </c>
      <c r="B137" s="134">
        <v>1</v>
      </c>
      <c r="D137" s="132" t="s">
        <v>326</v>
      </c>
      <c r="E137" s="134" t="s">
        <v>249</v>
      </c>
      <c r="G137" s="133" t="s">
        <v>499</v>
      </c>
      <c r="H137" s="134" t="s">
        <v>499</v>
      </c>
      <c r="I137" s="134" t="s">
        <v>1260</v>
      </c>
      <c r="J137" s="134" t="s">
        <v>1261</v>
      </c>
      <c r="K137" s="134"/>
    </row>
    <row r="138" spans="1:11" ht="12.95" customHeight="1">
      <c r="A138" s="134">
        <v>121</v>
      </c>
      <c r="B138" s="134">
        <v>2</v>
      </c>
      <c r="D138" s="132" t="s">
        <v>416</v>
      </c>
      <c r="E138" s="134" t="s">
        <v>287</v>
      </c>
      <c r="G138" s="133" t="s">
        <v>505</v>
      </c>
      <c r="H138" s="134" t="s">
        <v>505</v>
      </c>
      <c r="I138" s="134" t="s">
        <v>1260</v>
      </c>
      <c r="J138" s="134" t="s">
        <v>1261</v>
      </c>
      <c r="K138" s="134"/>
    </row>
    <row r="139" spans="1:11" ht="12.95" customHeight="1">
      <c r="A139" s="134">
        <v>122</v>
      </c>
      <c r="B139" s="134">
        <v>3</v>
      </c>
      <c r="D139" s="132" t="s">
        <v>360</v>
      </c>
      <c r="E139" s="134" t="s">
        <v>249</v>
      </c>
      <c r="G139" s="133" t="s">
        <v>517</v>
      </c>
      <c r="H139" s="134" t="s">
        <v>517</v>
      </c>
      <c r="I139" s="134" t="s">
        <v>1260</v>
      </c>
      <c r="J139" s="134" t="s">
        <v>1261</v>
      </c>
      <c r="K139" s="134"/>
    </row>
    <row r="140" spans="1:11" ht="12.95" customHeight="1">
      <c r="A140" s="134">
        <v>123</v>
      </c>
      <c r="B140" s="134">
        <v>4</v>
      </c>
      <c r="D140" s="178" t="s">
        <v>451</v>
      </c>
      <c r="E140" s="137" t="s">
        <v>76</v>
      </c>
      <c r="G140" s="186" t="s">
        <v>528</v>
      </c>
      <c r="H140" s="137" t="s">
        <v>528</v>
      </c>
      <c r="I140" s="137" t="s">
        <v>1260</v>
      </c>
      <c r="J140" s="137" t="s">
        <v>1261</v>
      </c>
      <c r="K140" s="137"/>
    </row>
    <row r="141" spans="1:11" ht="12.95" customHeight="1">
      <c r="A141" s="134">
        <v>124</v>
      </c>
      <c r="B141" s="134">
        <v>5</v>
      </c>
      <c r="C141" s="134"/>
      <c r="D141" s="132" t="s">
        <v>448</v>
      </c>
      <c r="E141" s="134" t="s">
        <v>76</v>
      </c>
      <c r="F141" s="134"/>
      <c r="G141" s="133" t="s">
        <v>532</v>
      </c>
      <c r="H141" s="134" t="s">
        <v>532</v>
      </c>
      <c r="I141" s="134" t="s">
        <v>1260</v>
      </c>
      <c r="J141" s="134" t="s">
        <v>1261</v>
      </c>
      <c r="K141" s="134"/>
    </row>
    <row r="142" spans="1:11" ht="12.95" customHeight="1">
      <c r="A142" s="134">
        <v>125</v>
      </c>
      <c r="B142" s="134">
        <v>6</v>
      </c>
      <c r="C142" s="134"/>
      <c r="D142" s="132" t="s">
        <v>409</v>
      </c>
      <c r="E142" s="134" t="s">
        <v>76</v>
      </c>
      <c r="F142" s="134"/>
      <c r="G142" s="133" t="s">
        <v>553</v>
      </c>
      <c r="H142" s="134" t="s">
        <v>553</v>
      </c>
      <c r="I142" s="134" t="s">
        <v>1260</v>
      </c>
      <c r="J142" s="134" t="s">
        <v>1261</v>
      </c>
      <c r="K142" s="134"/>
    </row>
    <row r="143" spans="1:11" ht="12.95" customHeight="1">
      <c r="A143" s="134">
        <v>126</v>
      </c>
      <c r="B143" s="134">
        <v>7</v>
      </c>
      <c r="C143" s="134"/>
      <c r="D143" s="132" t="s">
        <v>424</v>
      </c>
      <c r="E143" s="134" t="s">
        <v>76</v>
      </c>
      <c r="F143" s="134"/>
      <c r="G143" s="133" t="s">
        <v>556</v>
      </c>
      <c r="H143" s="134" t="s">
        <v>978</v>
      </c>
      <c r="I143" s="134" t="s">
        <v>1260</v>
      </c>
      <c r="J143" s="134" t="s">
        <v>1261</v>
      </c>
      <c r="K143" s="134"/>
    </row>
    <row r="144" spans="1:11" ht="12.95" customHeight="1">
      <c r="A144" s="162"/>
      <c r="B144" s="208">
        <v>45713</v>
      </c>
      <c r="C144" s="162"/>
      <c r="D144" s="204"/>
      <c r="E144" s="134"/>
      <c r="F144" s="162"/>
      <c r="J144" s="162"/>
      <c r="K144" s="162"/>
    </row>
    <row r="145" spans="1:11" ht="12.95" customHeight="1">
      <c r="A145" s="134">
        <v>127</v>
      </c>
      <c r="B145" s="134">
        <v>1</v>
      </c>
      <c r="C145" s="134"/>
      <c r="D145" s="132" t="s">
        <v>413</v>
      </c>
      <c r="E145" s="134" t="s">
        <v>76</v>
      </c>
      <c r="F145" s="134"/>
      <c r="G145" s="133" t="s">
        <v>1680</v>
      </c>
      <c r="H145" s="134" t="s">
        <v>1680</v>
      </c>
      <c r="I145" s="134" t="s">
        <v>1260</v>
      </c>
      <c r="J145" s="134" t="s">
        <v>1261</v>
      </c>
      <c r="K145" s="134"/>
    </row>
    <row r="146" spans="1:11" ht="12.95" customHeight="1">
      <c r="A146" s="134">
        <v>128</v>
      </c>
      <c r="B146" s="134">
        <v>2</v>
      </c>
      <c r="C146" s="134"/>
      <c r="D146" s="132" t="s">
        <v>427</v>
      </c>
      <c r="E146" s="134" t="s">
        <v>1269</v>
      </c>
      <c r="F146" s="134"/>
      <c r="G146" s="133" t="s">
        <v>1681</v>
      </c>
      <c r="H146" s="134" t="s">
        <v>1681</v>
      </c>
      <c r="I146" s="134" t="s">
        <v>1260</v>
      </c>
      <c r="J146" s="134" t="s">
        <v>1261</v>
      </c>
      <c r="K146" s="134"/>
    </row>
    <row r="147" spans="1:11" ht="12.95" customHeight="1">
      <c r="A147" s="134">
        <v>129</v>
      </c>
      <c r="B147" s="134">
        <v>3</v>
      </c>
      <c r="C147" s="134"/>
      <c r="D147" s="132" t="s">
        <v>396</v>
      </c>
      <c r="E147" s="134" t="s">
        <v>76</v>
      </c>
      <c r="F147" s="134"/>
      <c r="G147" s="133" t="s">
        <v>1682</v>
      </c>
      <c r="H147" s="134" t="s">
        <v>1682</v>
      </c>
      <c r="I147" s="134" t="s">
        <v>1260</v>
      </c>
      <c r="J147" s="134" t="s">
        <v>1261</v>
      </c>
      <c r="K147" s="134"/>
    </row>
    <row r="148" spans="1:11" ht="12.95" customHeight="1">
      <c r="A148" s="134">
        <v>130</v>
      </c>
      <c r="B148" s="134">
        <v>4</v>
      </c>
      <c r="C148" s="134"/>
      <c r="D148" s="132" t="s">
        <v>551</v>
      </c>
      <c r="E148" s="134" t="s">
        <v>76</v>
      </c>
      <c r="F148" s="134"/>
      <c r="G148" s="133" t="s">
        <v>1684</v>
      </c>
      <c r="H148" s="134" t="s">
        <v>1684</v>
      </c>
      <c r="I148" s="134" t="s">
        <v>1260</v>
      </c>
      <c r="J148" s="134" t="s">
        <v>1261</v>
      </c>
      <c r="K148" s="134"/>
    </row>
    <row r="149" spans="1:11" ht="12.95" customHeight="1">
      <c r="A149" s="134">
        <v>131</v>
      </c>
      <c r="B149" s="134">
        <v>5</v>
      </c>
      <c r="C149" s="134"/>
      <c r="D149" s="132" t="s">
        <v>405</v>
      </c>
      <c r="E149" s="134" t="s">
        <v>406</v>
      </c>
      <c r="F149" s="134"/>
      <c r="G149" s="133" t="s">
        <v>1687</v>
      </c>
      <c r="H149" s="134" t="s">
        <v>1687</v>
      </c>
      <c r="I149" s="134" t="s">
        <v>1260</v>
      </c>
      <c r="J149" s="134" t="s">
        <v>1261</v>
      </c>
      <c r="K149" s="134"/>
    </row>
    <row r="150" spans="1:11" ht="12.95" customHeight="1">
      <c r="A150" s="134">
        <v>132</v>
      </c>
      <c r="B150" s="134">
        <v>6</v>
      </c>
      <c r="C150" s="134"/>
      <c r="D150" s="132" t="s">
        <v>340</v>
      </c>
      <c r="E150" s="134" t="s">
        <v>287</v>
      </c>
      <c r="F150" s="134"/>
      <c r="G150" s="133" t="s">
        <v>1697</v>
      </c>
      <c r="H150" s="134" t="s">
        <v>1697</v>
      </c>
      <c r="I150" s="134" t="s">
        <v>1260</v>
      </c>
      <c r="J150" s="134" t="s">
        <v>1261</v>
      </c>
      <c r="K150" s="134"/>
    </row>
    <row r="152" spans="1:11" ht="12.95" customHeight="1">
      <c r="A152" s="134">
        <v>133</v>
      </c>
      <c r="B152" s="134">
        <v>1</v>
      </c>
      <c r="C152" s="134"/>
      <c r="D152" s="132" t="s">
        <v>547</v>
      </c>
      <c r="E152" s="134"/>
      <c r="F152" s="134"/>
      <c r="G152" s="133" t="s">
        <v>1708</v>
      </c>
      <c r="H152" s="134" t="s">
        <v>1708</v>
      </c>
      <c r="I152" s="134" t="s">
        <v>1260</v>
      </c>
      <c r="J152" s="134" t="s">
        <v>1261</v>
      </c>
      <c r="K152" s="134"/>
    </row>
    <row r="153" spans="1:11" ht="12.95" customHeight="1">
      <c r="A153" s="134">
        <v>134</v>
      </c>
      <c r="B153" s="134">
        <v>2</v>
      </c>
      <c r="C153" s="134"/>
      <c r="D153" s="132" t="s">
        <v>533</v>
      </c>
      <c r="E153" s="134"/>
      <c r="F153" s="134"/>
      <c r="G153" s="133" t="s">
        <v>1711</v>
      </c>
      <c r="H153" s="134" t="s">
        <v>1711</v>
      </c>
      <c r="I153" s="134" t="s">
        <v>1260</v>
      </c>
      <c r="J153" s="134" t="s">
        <v>1261</v>
      </c>
      <c r="K153" s="134"/>
    </row>
    <row r="154" spans="1:11" ht="12.95" customHeight="1">
      <c r="A154" s="134">
        <v>135</v>
      </c>
      <c r="B154" s="134">
        <v>3</v>
      </c>
      <c r="C154" s="134"/>
      <c r="D154" s="132" t="s">
        <v>304</v>
      </c>
      <c r="E154" s="134"/>
      <c r="F154" s="134"/>
      <c r="G154" s="133" t="s">
        <v>1716</v>
      </c>
      <c r="H154" s="134" t="s">
        <v>1716</v>
      </c>
      <c r="I154" s="134" t="s">
        <v>1260</v>
      </c>
      <c r="J154" s="134" t="s">
        <v>1261</v>
      </c>
      <c r="K154" s="134"/>
    </row>
    <row r="155" spans="1:11" ht="12.95" customHeight="1">
      <c r="A155" s="134">
        <v>136</v>
      </c>
      <c r="B155" s="134">
        <v>4</v>
      </c>
      <c r="C155" s="134"/>
      <c r="D155" s="132" t="s">
        <v>224</v>
      </c>
      <c r="E155" s="134"/>
      <c r="F155" s="134"/>
      <c r="G155" s="133" t="s">
        <v>1719</v>
      </c>
      <c r="H155" s="134" t="s">
        <v>1719</v>
      </c>
      <c r="I155" s="134" t="s">
        <v>1260</v>
      </c>
      <c r="J155" s="134" t="s">
        <v>1261</v>
      </c>
      <c r="K155" s="134"/>
    </row>
    <row r="156" spans="1:11" ht="12.95" customHeight="1">
      <c r="A156" s="134">
        <v>137</v>
      </c>
      <c r="B156" s="134">
        <v>5</v>
      </c>
      <c r="C156" s="134"/>
      <c r="D156" s="132" t="s">
        <v>220</v>
      </c>
      <c r="E156" s="134"/>
      <c r="F156" s="134"/>
      <c r="G156" s="133" t="s">
        <v>1720</v>
      </c>
      <c r="H156" s="134" t="s">
        <v>1720</v>
      </c>
      <c r="I156" s="134" t="s">
        <v>1260</v>
      </c>
      <c r="J156" s="134" t="s">
        <v>1261</v>
      </c>
      <c r="K156" s="134"/>
    </row>
    <row r="157" spans="1:11" ht="12.95" customHeight="1">
      <c r="A157" s="134">
        <v>138</v>
      </c>
      <c r="B157" s="134">
        <v>6</v>
      </c>
      <c r="D157" s="132" t="s">
        <v>378</v>
      </c>
      <c r="E157" s="134"/>
      <c r="G157" s="535" t="s">
        <v>1721</v>
      </c>
      <c r="H157" s="535" t="s">
        <v>1721</v>
      </c>
      <c r="I157" s="536" t="s">
        <v>1260</v>
      </c>
      <c r="J157" s="536" t="s">
        <v>1261</v>
      </c>
      <c r="K157" s="134"/>
    </row>
    <row r="158" spans="1:11" ht="12.95"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15" t="s">
        <v>1255</v>
      </c>
      <c r="B4" s="1515" t="s">
        <v>41</v>
      </c>
      <c r="C4" s="1516" t="s">
        <v>42</v>
      </c>
      <c r="D4" s="1517" t="s">
        <v>43</v>
      </c>
      <c r="E4" s="1517" t="s">
        <v>44</v>
      </c>
      <c r="F4" s="1517" t="s">
        <v>1285</v>
      </c>
      <c r="G4" s="1521" t="s">
        <v>47</v>
      </c>
      <c r="H4" s="1517" t="s">
        <v>1256</v>
      </c>
      <c r="I4" s="1519" t="s">
        <v>1257</v>
      </c>
      <c r="J4" s="1518" t="s">
        <v>49</v>
      </c>
      <c r="K4" s="1518" t="s">
        <v>1258</v>
      </c>
    </row>
    <row r="5" spans="1:11" s="159" customFormat="1" ht="12">
      <c r="A5" s="1515"/>
      <c r="B5" s="1515"/>
      <c r="C5" s="1516"/>
      <c r="D5" s="1517"/>
      <c r="E5" s="1517"/>
      <c r="F5" s="1517"/>
      <c r="G5" s="1521"/>
      <c r="H5" s="1517"/>
      <c r="I5" s="1520"/>
      <c r="J5" s="1518"/>
      <c r="K5" s="1518"/>
    </row>
    <row r="6" spans="1:11" ht="12.95" customHeight="1">
      <c r="A6" s="134"/>
      <c r="B6" s="184">
        <v>45261</v>
      </c>
      <c r="C6" s="162"/>
      <c r="D6" s="134"/>
      <c r="E6" s="134"/>
      <c r="F6" s="134"/>
      <c r="G6" s="134"/>
      <c r="H6" s="134"/>
      <c r="I6" s="134"/>
      <c r="J6" s="131"/>
      <c r="K6" s="134"/>
    </row>
    <row r="7" spans="1:11" ht="12.95" customHeight="1">
      <c r="A7" s="134">
        <v>1</v>
      </c>
      <c r="B7" s="134">
        <v>1</v>
      </c>
      <c r="D7" s="132" t="s">
        <v>726</v>
      </c>
      <c r="E7" s="134" t="s">
        <v>62</v>
      </c>
      <c r="F7" s="176"/>
      <c r="G7" s="133" t="s">
        <v>1230</v>
      </c>
      <c r="H7" s="134" t="s">
        <v>1265</v>
      </c>
      <c r="I7" s="134" t="s">
        <v>1260</v>
      </c>
      <c r="J7" s="131" t="s">
        <v>1261</v>
      </c>
      <c r="K7" s="176"/>
    </row>
    <row r="8" spans="1:11" ht="12.95" customHeight="1">
      <c r="A8" s="134">
        <v>2</v>
      </c>
      <c r="B8" s="137">
        <v>2</v>
      </c>
      <c r="D8" s="178" t="s">
        <v>554</v>
      </c>
      <c r="E8" s="137" t="s">
        <v>62</v>
      </c>
      <c r="F8" s="182"/>
      <c r="G8" s="186" t="s">
        <v>1230</v>
      </c>
      <c r="H8" s="137" t="s">
        <v>1265</v>
      </c>
      <c r="I8" s="137" t="s">
        <v>1260</v>
      </c>
      <c r="J8" s="200" t="s">
        <v>1261</v>
      </c>
      <c r="K8" s="182"/>
    </row>
    <row r="9" spans="1:11" ht="12.95" customHeight="1">
      <c r="A9" s="134">
        <v>3</v>
      </c>
      <c r="B9" s="134">
        <v>3</v>
      </c>
      <c r="C9" s="134"/>
      <c r="D9" s="178" t="s">
        <v>729</v>
      </c>
      <c r="E9" s="134" t="s">
        <v>62</v>
      </c>
      <c r="F9" s="134"/>
      <c r="G9" s="134" t="s">
        <v>1265</v>
      </c>
      <c r="H9" s="134" t="s">
        <v>790</v>
      </c>
      <c r="I9" s="137" t="s">
        <v>1260</v>
      </c>
      <c r="J9" s="131" t="s">
        <v>1261</v>
      </c>
      <c r="K9" s="134"/>
    </row>
    <row r="10" spans="1:11" ht="12.95" customHeight="1">
      <c r="A10" s="134">
        <v>4</v>
      </c>
      <c r="B10" s="134">
        <v>4</v>
      </c>
      <c r="C10" s="134"/>
      <c r="D10" s="178" t="s">
        <v>125</v>
      </c>
      <c r="E10" s="134" t="s">
        <v>76</v>
      </c>
      <c r="F10" s="134"/>
      <c r="G10" s="133" t="s">
        <v>670</v>
      </c>
      <c r="H10" s="134" t="s">
        <v>63</v>
      </c>
      <c r="I10" s="137" t="s">
        <v>1260</v>
      </c>
      <c r="J10" s="131" t="s">
        <v>1261</v>
      </c>
      <c r="K10" s="134"/>
    </row>
    <row r="11" spans="1:11" ht="12.95" customHeight="1">
      <c r="A11" s="134">
        <v>5</v>
      </c>
      <c r="B11" s="134">
        <v>5</v>
      </c>
      <c r="C11" s="134"/>
      <c r="D11" s="178" t="s">
        <v>114</v>
      </c>
      <c r="E11" s="134" t="s">
        <v>76</v>
      </c>
      <c r="F11" s="134"/>
      <c r="G11" s="133" t="s">
        <v>670</v>
      </c>
      <c r="H11" s="134" t="s">
        <v>63</v>
      </c>
      <c r="I11" s="137" t="s">
        <v>1260</v>
      </c>
      <c r="J11" s="131" t="s">
        <v>1261</v>
      </c>
      <c r="K11" s="134"/>
    </row>
    <row r="12" spans="1:11" ht="12.95" customHeight="1">
      <c r="A12" s="134">
        <v>6</v>
      </c>
      <c r="B12" s="137">
        <v>6</v>
      </c>
      <c r="C12" s="134"/>
      <c r="D12" s="178" t="s">
        <v>130</v>
      </c>
      <c r="E12" s="134" t="s">
        <v>76</v>
      </c>
      <c r="F12" s="134"/>
      <c r="G12" s="133" t="s">
        <v>670</v>
      </c>
      <c r="H12" s="134" t="s">
        <v>63</v>
      </c>
      <c r="I12" s="137" t="s">
        <v>1260</v>
      </c>
      <c r="J12" s="131" t="s">
        <v>1261</v>
      </c>
      <c r="K12" s="134"/>
    </row>
    <row r="13" spans="1:11" ht="12.95" customHeight="1">
      <c r="A13" s="134">
        <v>7</v>
      </c>
      <c r="B13" s="134">
        <v>7</v>
      </c>
      <c r="C13" s="134"/>
      <c r="D13" s="178" t="s">
        <v>142</v>
      </c>
      <c r="E13" s="134" t="s">
        <v>62</v>
      </c>
      <c r="F13" s="134"/>
      <c r="G13" s="133" t="s">
        <v>670</v>
      </c>
      <c r="H13" s="134" t="s">
        <v>63</v>
      </c>
      <c r="I13" s="137" t="s">
        <v>1260</v>
      </c>
      <c r="J13" s="131" t="s">
        <v>1261</v>
      </c>
      <c r="K13" s="134"/>
    </row>
    <row r="14" spans="1:11" ht="12.95" customHeight="1">
      <c r="A14" s="134">
        <v>8</v>
      </c>
      <c r="B14" s="134">
        <v>8</v>
      </c>
      <c r="C14" s="134"/>
      <c r="D14" s="178" t="s">
        <v>695</v>
      </c>
      <c r="E14" s="134" t="s">
        <v>62</v>
      </c>
      <c r="F14" s="134"/>
      <c r="G14" s="133" t="s">
        <v>788</v>
      </c>
      <c r="H14" s="134" t="s">
        <v>459</v>
      </c>
      <c r="I14" s="137" t="s">
        <v>1260</v>
      </c>
      <c r="J14" s="131" t="s">
        <v>1261</v>
      </c>
      <c r="K14" s="134"/>
    </row>
    <row r="15" spans="1:11" ht="12.95" customHeight="1">
      <c r="A15" s="134">
        <v>9</v>
      </c>
      <c r="B15" s="134">
        <v>9</v>
      </c>
      <c r="C15" s="134"/>
      <c r="D15" s="178" t="s">
        <v>681</v>
      </c>
      <c r="E15" s="134" t="s">
        <v>76</v>
      </c>
      <c r="F15" s="134"/>
      <c r="G15" s="133" t="s">
        <v>788</v>
      </c>
      <c r="H15" s="134" t="s">
        <v>459</v>
      </c>
      <c r="I15" s="137" t="s">
        <v>1260</v>
      </c>
      <c r="J15" s="131" t="s">
        <v>1261</v>
      </c>
      <c r="K15" s="134"/>
    </row>
    <row r="16" spans="1:11" ht="12.95" customHeight="1">
      <c r="A16" s="134">
        <v>10</v>
      </c>
      <c r="B16" s="137">
        <v>10</v>
      </c>
      <c r="C16" s="134"/>
      <c r="D16" s="178" t="s">
        <v>683</v>
      </c>
      <c r="E16" s="134" t="s">
        <v>76</v>
      </c>
      <c r="F16" s="134"/>
      <c r="G16" s="133" t="s">
        <v>788</v>
      </c>
      <c r="H16" s="134" t="s">
        <v>459</v>
      </c>
      <c r="I16" s="137" t="s">
        <v>1260</v>
      </c>
      <c r="J16" s="131" t="s">
        <v>1261</v>
      </c>
      <c r="K16" s="134"/>
    </row>
    <row r="17" spans="1:11" ht="12.95" customHeight="1">
      <c r="A17" s="134">
        <v>11</v>
      </c>
      <c r="B17" s="134">
        <v>11</v>
      </c>
      <c r="C17" s="134"/>
      <c r="D17" s="178" t="s">
        <v>689</v>
      </c>
      <c r="E17" s="134" t="s">
        <v>76</v>
      </c>
      <c r="F17" s="134"/>
      <c r="G17" s="133" t="s">
        <v>459</v>
      </c>
      <c r="H17" s="134" t="s">
        <v>1313</v>
      </c>
      <c r="I17" s="137" t="s">
        <v>1260</v>
      </c>
      <c r="J17" s="131" t="s">
        <v>1261</v>
      </c>
      <c r="K17" s="134"/>
    </row>
    <row r="18" spans="1:11" ht="12.95" customHeight="1">
      <c r="A18" s="134">
        <v>12</v>
      </c>
      <c r="B18" s="134">
        <v>12</v>
      </c>
      <c r="C18" s="134"/>
      <c r="D18" s="178" t="s">
        <v>693</v>
      </c>
      <c r="E18" s="134" t="s">
        <v>62</v>
      </c>
      <c r="F18" s="134"/>
      <c r="G18" s="133" t="s">
        <v>1313</v>
      </c>
      <c r="H18" s="134" t="s">
        <v>55</v>
      </c>
      <c r="I18" s="137" t="s">
        <v>1260</v>
      </c>
      <c r="J18" s="131" t="s">
        <v>1261</v>
      </c>
      <c r="K18" s="134"/>
    </row>
    <row r="19" spans="1:11" ht="12.95" customHeight="1">
      <c r="A19" s="134">
        <v>13</v>
      </c>
      <c r="B19" s="134">
        <v>13</v>
      </c>
      <c r="C19" s="134"/>
      <c r="D19" s="132" t="s">
        <v>674</v>
      </c>
      <c r="E19" s="134" t="s">
        <v>76</v>
      </c>
      <c r="F19" s="134"/>
      <c r="G19" s="133" t="s">
        <v>63</v>
      </c>
      <c r="H19" s="134" t="s">
        <v>55</v>
      </c>
      <c r="I19" s="134" t="s">
        <v>1260</v>
      </c>
      <c r="J19" s="131" t="s">
        <v>1261</v>
      </c>
      <c r="K19" s="134"/>
    </row>
    <row r="20" spans="1:11" ht="12.95" customHeight="1">
      <c r="A20" s="134">
        <v>14</v>
      </c>
      <c r="B20" s="137">
        <v>14</v>
      </c>
      <c r="C20" s="134"/>
      <c r="D20" s="132" t="s">
        <v>687</v>
      </c>
      <c r="E20" s="134" t="s">
        <v>76</v>
      </c>
      <c r="F20" s="134"/>
      <c r="G20" s="133" t="s">
        <v>1314</v>
      </c>
      <c r="H20" s="134" t="s">
        <v>64</v>
      </c>
      <c r="I20" s="134" t="s">
        <v>1260</v>
      </c>
      <c r="J20" s="131" t="s">
        <v>1261</v>
      </c>
      <c r="K20" s="134"/>
    </row>
    <row r="21" spans="1:11" ht="12.95" customHeight="1">
      <c r="A21" s="134">
        <v>15</v>
      </c>
      <c r="B21" s="134">
        <v>15</v>
      </c>
      <c r="C21" s="134"/>
      <c r="D21" s="132" t="s">
        <v>701</v>
      </c>
      <c r="E21" s="134" t="s">
        <v>76</v>
      </c>
      <c r="F21" s="134"/>
      <c r="G21" s="133" t="s">
        <v>1314</v>
      </c>
      <c r="H21" s="134" t="s">
        <v>64</v>
      </c>
      <c r="I21" s="134" t="s">
        <v>1260</v>
      </c>
      <c r="J21" s="131" t="s">
        <v>1261</v>
      </c>
      <c r="K21" s="134"/>
    </row>
    <row r="22" spans="1:11" ht="12.95" customHeight="1">
      <c r="A22" s="134">
        <v>16</v>
      </c>
      <c r="B22" s="134">
        <v>16</v>
      </c>
      <c r="C22" s="134"/>
      <c r="D22" s="132" t="s">
        <v>675</v>
      </c>
      <c r="E22" s="134" t="s">
        <v>76</v>
      </c>
      <c r="F22" s="134"/>
      <c r="G22" s="133" t="s">
        <v>1314</v>
      </c>
      <c r="H22" s="134" t="s">
        <v>64</v>
      </c>
      <c r="I22" s="134" t="s">
        <v>1260</v>
      </c>
      <c r="J22" s="131" t="s">
        <v>1261</v>
      </c>
      <c r="K22" s="134"/>
    </row>
    <row r="23" spans="1:11" ht="12.95" customHeight="1">
      <c r="A23" s="134">
        <v>17</v>
      </c>
      <c r="B23" s="134">
        <v>17</v>
      </c>
      <c r="C23" s="134"/>
      <c r="D23" s="132" t="s">
        <v>688</v>
      </c>
      <c r="E23" s="134" t="s">
        <v>62</v>
      </c>
      <c r="F23" s="134"/>
      <c r="G23" s="133" t="s">
        <v>57</v>
      </c>
      <c r="H23" s="134" t="s">
        <v>67</v>
      </c>
      <c r="I23" s="134" t="s">
        <v>1260</v>
      </c>
      <c r="J23" s="131" t="s">
        <v>1261</v>
      </c>
      <c r="K23" s="134"/>
    </row>
    <row r="24" spans="1:11" ht="12.95" customHeight="1">
      <c r="A24" s="134">
        <v>18</v>
      </c>
      <c r="B24" s="137">
        <v>18</v>
      </c>
      <c r="C24" s="134"/>
      <c r="D24" s="132" t="s">
        <v>680</v>
      </c>
      <c r="E24" s="134" t="s">
        <v>62</v>
      </c>
      <c r="F24" s="134"/>
      <c r="G24" s="133" t="s">
        <v>99</v>
      </c>
      <c r="H24" s="134" t="s">
        <v>67</v>
      </c>
      <c r="I24" s="134" t="s">
        <v>1260</v>
      </c>
      <c r="J24" s="131" t="s">
        <v>1261</v>
      </c>
      <c r="K24" s="134"/>
    </row>
    <row r="25" spans="1:11" ht="12.95" customHeight="1">
      <c r="A25" s="134">
        <v>19</v>
      </c>
      <c r="B25" s="134">
        <v>19</v>
      </c>
      <c r="C25" s="134"/>
      <c r="D25" s="132" t="s">
        <v>672</v>
      </c>
      <c r="E25" s="134" t="s">
        <v>76</v>
      </c>
      <c r="F25" s="134"/>
      <c r="G25" s="133" t="s">
        <v>99</v>
      </c>
      <c r="H25" s="134" t="s">
        <v>67</v>
      </c>
      <c r="I25" s="134" t="s">
        <v>1260</v>
      </c>
      <c r="J25" s="131" t="s">
        <v>1261</v>
      </c>
      <c r="K25" s="134"/>
    </row>
    <row r="26" spans="1:11" ht="12.95" customHeight="1">
      <c r="A26" s="134">
        <v>20</v>
      </c>
      <c r="B26" s="134">
        <v>20</v>
      </c>
      <c r="C26" s="134"/>
      <c r="D26" s="132" t="s">
        <v>732</v>
      </c>
      <c r="E26" s="134" t="s">
        <v>62</v>
      </c>
      <c r="F26" s="134"/>
      <c r="G26" s="133" t="s">
        <v>67</v>
      </c>
      <c r="H26" s="134" t="s">
        <v>67</v>
      </c>
      <c r="I26" s="134" t="s">
        <v>1260</v>
      </c>
      <c r="J26" s="131" t="s">
        <v>1261</v>
      </c>
      <c r="K26" s="134"/>
    </row>
    <row r="27" spans="1:11" ht="12.95" customHeight="1">
      <c r="A27" s="134">
        <v>21</v>
      </c>
      <c r="B27" s="134">
        <v>21</v>
      </c>
      <c r="C27" s="134"/>
      <c r="D27" s="132" t="s">
        <v>696</v>
      </c>
      <c r="E27" s="134" t="s">
        <v>76</v>
      </c>
      <c r="F27" s="134"/>
      <c r="G27" s="133" t="s">
        <v>65</v>
      </c>
      <c r="H27" s="134" t="s">
        <v>65</v>
      </c>
      <c r="I27" s="134" t="s">
        <v>1260</v>
      </c>
      <c r="J27" s="131" t="s">
        <v>1261</v>
      </c>
      <c r="K27" s="134"/>
    </row>
    <row r="28" spans="1:11" ht="12.95" customHeight="1">
      <c r="A28" s="134">
        <v>22</v>
      </c>
      <c r="B28" s="134">
        <v>22</v>
      </c>
      <c r="D28" s="132" t="s">
        <v>401</v>
      </c>
      <c r="E28" s="134" t="s">
        <v>76</v>
      </c>
      <c r="F28" s="176"/>
      <c r="G28" s="133" t="s">
        <v>65</v>
      </c>
      <c r="H28" s="133" t="s">
        <v>65</v>
      </c>
      <c r="I28" s="134" t="s">
        <v>1260</v>
      </c>
      <c r="J28" s="131" t="s">
        <v>1261</v>
      </c>
      <c r="K28" s="134"/>
    </row>
    <row r="29" spans="1:11" ht="12.95" customHeight="1">
      <c r="A29" s="134">
        <v>23</v>
      </c>
      <c r="B29" s="134">
        <v>23</v>
      </c>
      <c r="D29" s="132" t="s">
        <v>357</v>
      </c>
      <c r="E29" s="134" t="s">
        <v>76</v>
      </c>
      <c r="F29" s="176"/>
      <c r="G29" s="133" t="s">
        <v>77</v>
      </c>
      <c r="H29" s="133" t="s">
        <v>77</v>
      </c>
      <c r="I29" s="134" t="s">
        <v>1260</v>
      </c>
      <c r="J29" s="131" t="s">
        <v>1261</v>
      </c>
      <c r="K29" s="134"/>
    </row>
    <row r="30" spans="1:11" ht="12.95" customHeight="1">
      <c r="A30" s="137">
        <v>24</v>
      </c>
      <c r="B30" s="137">
        <v>24</v>
      </c>
      <c r="D30" s="178" t="s">
        <v>109</v>
      </c>
      <c r="E30" s="137" t="s">
        <v>76</v>
      </c>
      <c r="F30" s="182"/>
      <c r="G30" s="186" t="s">
        <v>70</v>
      </c>
      <c r="H30" s="186" t="s">
        <v>70</v>
      </c>
      <c r="I30" s="137" t="s">
        <v>1260</v>
      </c>
      <c r="J30" s="200" t="s">
        <v>1261</v>
      </c>
      <c r="K30" s="137"/>
    </row>
    <row r="31" spans="1:11" ht="12.95" customHeight="1">
      <c r="A31" s="134">
        <v>25</v>
      </c>
      <c r="B31" s="134">
        <v>25</v>
      </c>
      <c r="C31" s="134"/>
      <c r="D31" s="132" t="s">
        <v>98</v>
      </c>
      <c r="E31" s="134" t="s">
        <v>76</v>
      </c>
      <c r="F31" s="134"/>
      <c r="G31" s="133" t="s">
        <v>1231</v>
      </c>
      <c r="H31" s="134" t="s">
        <v>1231</v>
      </c>
      <c r="I31" s="134" t="s">
        <v>1260</v>
      </c>
      <c r="J31" s="131" t="s">
        <v>1261</v>
      </c>
      <c r="K31" s="134"/>
    </row>
    <row r="32" spans="1:11" ht="12.95" customHeight="1">
      <c r="A32" s="134">
        <v>26</v>
      </c>
      <c r="B32" s="134">
        <v>26</v>
      </c>
      <c r="C32" s="134"/>
      <c r="D32" s="132" t="s">
        <v>91</v>
      </c>
      <c r="E32" s="134" t="s">
        <v>76</v>
      </c>
      <c r="F32" s="134"/>
      <c r="G32" s="133" t="s">
        <v>78</v>
      </c>
      <c r="H32" s="134" t="s">
        <v>73</v>
      </c>
      <c r="I32" s="134" t="s">
        <v>1260</v>
      </c>
      <c r="J32" s="134" t="s">
        <v>1261</v>
      </c>
      <c r="K32" s="134"/>
    </row>
    <row r="33" spans="1:11" ht="12.95" customHeight="1">
      <c r="A33" s="134">
        <v>27</v>
      </c>
      <c r="B33" s="134">
        <v>27</v>
      </c>
      <c r="C33" s="134"/>
      <c r="D33" s="132" t="s">
        <v>735</v>
      </c>
      <c r="E33" s="134" t="s">
        <v>76</v>
      </c>
      <c r="F33" s="134"/>
      <c r="G33" s="133" t="s">
        <v>80</v>
      </c>
      <c r="H33" s="133" t="s">
        <v>84</v>
      </c>
      <c r="I33" s="134" t="s">
        <v>1260</v>
      </c>
      <c r="J33" s="134" t="s">
        <v>1261</v>
      </c>
      <c r="K33" s="134"/>
    </row>
    <row r="34" spans="1:11" ht="12.95" customHeight="1">
      <c r="A34" s="134">
        <v>28</v>
      </c>
      <c r="B34" s="134">
        <v>28</v>
      </c>
      <c r="C34" s="134"/>
      <c r="D34" s="132" t="s">
        <v>746</v>
      </c>
      <c r="E34" s="134" t="s">
        <v>62</v>
      </c>
      <c r="F34" s="134"/>
      <c r="G34" s="133" t="s">
        <v>82</v>
      </c>
      <c r="H34" s="133" t="s">
        <v>84</v>
      </c>
      <c r="I34" s="134" t="s">
        <v>1260</v>
      </c>
      <c r="J34" s="134" t="s">
        <v>1261</v>
      </c>
      <c r="K34" s="134"/>
    </row>
    <row r="35" spans="1:11" ht="12.95" customHeight="1">
      <c r="A35" s="134">
        <v>29</v>
      </c>
      <c r="B35" s="134">
        <v>29</v>
      </c>
      <c r="C35" s="134"/>
      <c r="D35" s="132" t="s">
        <v>139</v>
      </c>
      <c r="E35" s="134" t="s">
        <v>62</v>
      </c>
      <c r="F35" s="134"/>
      <c r="G35" s="133" t="s">
        <v>82</v>
      </c>
      <c r="H35" s="133" t="s">
        <v>84</v>
      </c>
      <c r="I35" s="134" t="s">
        <v>1260</v>
      </c>
      <c r="J35" s="134" t="s">
        <v>1261</v>
      </c>
      <c r="K35" s="134"/>
    </row>
    <row r="36" spans="1:11" ht="12.95" customHeight="1">
      <c r="A36" s="134">
        <v>30</v>
      </c>
      <c r="B36" s="134">
        <v>30</v>
      </c>
      <c r="C36" s="134"/>
      <c r="D36" s="132" t="s">
        <v>166</v>
      </c>
      <c r="E36" s="134" t="s">
        <v>76</v>
      </c>
      <c r="F36" s="134"/>
      <c r="G36" s="133" t="s">
        <v>88</v>
      </c>
      <c r="H36" s="134" t="s">
        <v>88</v>
      </c>
      <c r="I36" s="134" t="s">
        <v>1260</v>
      </c>
      <c r="J36" s="134" t="s">
        <v>1261</v>
      </c>
      <c r="K36" s="134"/>
    </row>
    <row r="37" spans="1:11" ht="12.95" customHeight="1">
      <c r="A37" s="134">
        <v>31</v>
      </c>
      <c r="B37" s="134">
        <v>31</v>
      </c>
      <c r="C37" s="134"/>
      <c r="D37" s="132" t="s">
        <v>168</v>
      </c>
      <c r="E37" s="134" t="s">
        <v>62</v>
      </c>
      <c r="F37" s="134"/>
      <c r="G37" s="133" t="s">
        <v>93</v>
      </c>
      <c r="H37" s="134" t="s">
        <v>97</v>
      </c>
      <c r="I37" s="134" t="s">
        <v>1260</v>
      </c>
      <c r="J37" s="134" t="s">
        <v>1261</v>
      </c>
      <c r="K37" s="134"/>
    </row>
    <row r="38" spans="1:11" ht="12.95" customHeight="1">
      <c r="A38" s="134"/>
      <c r="B38" s="184">
        <v>45292</v>
      </c>
      <c r="C38" s="134"/>
      <c r="D38" s="134"/>
      <c r="E38" s="134"/>
      <c r="F38" s="134"/>
      <c r="G38" s="133"/>
      <c r="H38" s="134"/>
      <c r="I38" s="134"/>
      <c r="J38" s="134"/>
      <c r="K38" s="134"/>
    </row>
    <row r="39" spans="1:11" ht="12.95" customHeight="1">
      <c r="A39" s="134">
        <v>32</v>
      </c>
      <c r="B39" s="134">
        <v>1</v>
      </c>
      <c r="C39" s="134"/>
      <c r="D39" s="132" t="s">
        <v>749</v>
      </c>
      <c r="E39" s="134" t="s">
        <v>62</v>
      </c>
      <c r="F39" s="134"/>
      <c r="G39" s="133" t="s">
        <v>113</v>
      </c>
      <c r="H39" s="134" t="s">
        <v>117</v>
      </c>
      <c r="I39" s="134" t="s">
        <v>1260</v>
      </c>
      <c r="J39" s="134" t="s">
        <v>1261</v>
      </c>
      <c r="K39" s="134"/>
    </row>
    <row r="40" spans="1:11" ht="12.95" customHeight="1">
      <c r="A40" s="134">
        <v>33</v>
      </c>
      <c r="B40" s="134">
        <v>2</v>
      </c>
      <c r="C40" s="134"/>
      <c r="D40" s="132" t="s">
        <v>731</v>
      </c>
      <c r="E40" s="134" t="s">
        <v>62</v>
      </c>
      <c r="F40" s="134"/>
      <c r="G40" s="133" t="s">
        <v>119</v>
      </c>
      <c r="H40" s="134" t="s">
        <v>119</v>
      </c>
      <c r="I40" s="134" t="s">
        <v>1260</v>
      </c>
      <c r="J40" s="134" t="s">
        <v>1261</v>
      </c>
      <c r="K40" s="134"/>
    </row>
    <row r="41" spans="1:11" ht="12.95" customHeight="1">
      <c r="A41" s="134">
        <v>34</v>
      </c>
      <c r="B41" s="134">
        <v>3</v>
      </c>
      <c r="C41" s="134"/>
      <c r="D41" s="132" t="s">
        <v>676</v>
      </c>
      <c r="E41" s="134" t="s">
        <v>76</v>
      </c>
      <c r="F41" s="134"/>
      <c r="G41" s="133" t="s">
        <v>145</v>
      </c>
      <c r="H41" s="134" t="s">
        <v>149</v>
      </c>
      <c r="I41" s="134" t="s">
        <v>1260</v>
      </c>
      <c r="J41" s="134" t="s">
        <v>1261</v>
      </c>
      <c r="K41" s="134"/>
    </row>
    <row r="42" spans="1:11" ht="12.95" customHeight="1">
      <c r="A42" s="134">
        <v>35</v>
      </c>
      <c r="B42" s="134">
        <v>4</v>
      </c>
      <c r="C42" s="134"/>
      <c r="D42" s="132" t="s">
        <v>694</v>
      </c>
      <c r="E42" s="134" t="s">
        <v>62</v>
      </c>
      <c r="F42" s="134"/>
      <c r="G42" s="133" t="s">
        <v>149</v>
      </c>
      <c r="H42" s="134" t="s">
        <v>153</v>
      </c>
      <c r="I42" s="134" t="s">
        <v>1260</v>
      </c>
      <c r="J42" s="134" t="s">
        <v>1261</v>
      </c>
      <c r="K42" s="134"/>
    </row>
    <row r="43" spans="1:11" ht="12.95" customHeight="1">
      <c r="A43" s="134">
        <v>36</v>
      </c>
      <c r="B43" s="134">
        <v>5</v>
      </c>
      <c r="C43" s="134"/>
      <c r="D43" s="132" t="s">
        <v>682</v>
      </c>
      <c r="E43" s="134" t="s">
        <v>62</v>
      </c>
      <c r="F43" s="134"/>
      <c r="G43" s="133" t="s">
        <v>149</v>
      </c>
      <c r="H43" s="134" t="s">
        <v>153</v>
      </c>
      <c r="I43" s="134" t="s">
        <v>1260</v>
      </c>
      <c r="J43" s="134" t="s">
        <v>1261</v>
      </c>
      <c r="K43" s="134"/>
    </row>
    <row r="44" spans="1:11" ht="12.95" customHeight="1">
      <c r="A44" s="134">
        <v>37</v>
      </c>
      <c r="B44" s="134">
        <v>6</v>
      </c>
      <c r="C44" s="134"/>
      <c r="D44" s="132" t="s">
        <v>759</v>
      </c>
      <c r="E44" s="134" t="s">
        <v>76</v>
      </c>
      <c r="F44" s="134"/>
      <c r="G44" s="133" t="s">
        <v>153</v>
      </c>
      <c r="H44" s="134" t="s">
        <v>153</v>
      </c>
      <c r="I44" s="134" t="s">
        <v>1260</v>
      </c>
      <c r="J44" s="134" t="s">
        <v>1261</v>
      </c>
      <c r="K44" s="134"/>
    </row>
    <row r="45" spans="1:11" ht="12.95" customHeight="1">
      <c r="A45" s="134">
        <v>38</v>
      </c>
      <c r="B45" s="134">
        <v>7</v>
      </c>
      <c r="C45" s="134"/>
      <c r="D45" s="132" t="s">
        <v>155</v>
      </c>
      <c r="E45" s="134" t="s">
        <v>243</v>
      </c>
      <c r="F45" s="134"/>
      <c r="G45" s="133" t="s">
        <v>157</v>
      </c>
      <c r="H45" s="133" t="s">
        <v>157</v>
      </c>
      <c r="I45" s="134" t="s">
        <v>1260</v>
      </c>
      <c r="J45" s="134" t="s">
        <v>1261</v>
      </c>
      <c r="K45" s="134"/>
    </row>
    <row r="46" spans="1:11" ht="12.95" customHeight="1">
      <c r="A46" s="134">
        <v>39</v>
      </c>
      <c r="B46" s="134">
        <v>8</v>
      </c>
      <c r="C46" s="134"/>
      <c r="D46" s="132" t="s">
        <v>355</v>
      </c>
      <c r="E46" s="134" t="s">
        <v>62</v>
      </c>
      <c r="F46" s="134"/>
      <c r="G46" s="133" t="s">
        <v>157</v>
      </c>
      <c r="H46" s="133" t="s">
        <v>157</v>
      </c>
      <c r="I46" s="134" t="s">
        <v>1260</v>
      </c>
      <c r="J46" s="134" t="s">
        <v>1261</v>
      </c>
      <c r="K46" s="134"/>
    </row>
    <row r="47" spans="1:11" ht="12.95" customHeight="1">
      <c r="A47" s="134">
        <v>40</v>
      </c>
      <c r="B47" s="134">
        <v>9</v>
      </c>
      <c r="D47" s="132" t="s">
        <v>678</v>
      </c>
      <c r="E47" s="134" t="s">
        <v>62</v>
      </c>
      <c r="G47" s="133" t="s">
        <v>157</v>
      </c>
      <c r="H47" s="133" t="s">
        <v>157</v>
      </c>
      <c r="I47" s="134" t="s">
        <v>1260</v>
      </c>
      <c r="J47" s="134" t="s">
        <v>1266</v>
      </c>
      <c r="K47" s="134"/>
    </row>
    <row r="48" spans="1:11" ht="12.95" customHeight="1">
      <c r="A48" s="134">
        <v>41</v>
      </c>
      <c r="B48" s="134">
        <v>10</v>
      </c>
      <c r="D48" s="132" t="s">
        <v>684</v>
      </c>
      <c r="E48" s="134" t="s">
        <v>76</v>
      </c>
      <c r="G48" s="133" t="s">
        <v>160</v>
      </c>
      <c r="H48" s="133" t="s">
        <v>160</v>
      </c>
      <c r="I48" s="134" t="s">
        <v>1260</v>
      </c>
      <c r="J48" s="134" t="s">
        <v>1266</v>
      </c>
      <c r="K48" s="134"/>
    </row>
    <row r="49" spans="1:13" ht="12.95" customHeight="1">
      <c r="A49" s="134">
        <v>42</v>
      </c>
      <c r="B49" s="134">
        <v>11</v>
      </c>
      <c r="D49" s="178" t="s">
        <v>775</v>
      </c>
      <c r="E49" s="137" t="s">
        <v>112</v>
      </c>
      <c r="G49" s="186" t="s">
        <v>160</v>
      </c>
      <c r="H49" s="186" t="s">
        <v>160</v>
      </c>
      <c r="I49" s="137" t="s">
        <v>1260</v>
      </c>
      <c r="J49" s="137" t="s">
        <v>1261</v>
      </c>
      <c r="K49" s="137"/>
    </row>
    <row r="50" spans="1:13" ht="12.95" customHeight="1">
      <c r="A50" s="134">
        <v>43</v>
      </c>
      <c r="B50" s="134">
        <v>12</v>
      </c>
      <c r="C50" s="134"/>
      <c r="D50" s="132" t="s">
        <v>740</v>
      </c>
      <c r="E50" s="134" t="s">
        <v>62</v>
      </c>
      <c r="F50" s="134"/>
      <c r="G50" s="133" t="s">
        <v>160</v>
      </c>
      <c r="H50" s="133" t="s">
        <v>160</v>
      </c>
      <c r="I50" s="134" t="s">
        <v>1260</v>
      </c>
      <c r="J50" s="134" t="s">
        <v>1261</v>
      </c>
      <c r="K50" s="134"/>
    </row>
    <row r="51" spans="1:13" ht="12.95" customHeight="1">
      <c r="A51" s="134">
        <v>44</v>
      </c>
      <c r="B51" s="134">
        <v>13</v>
      </c>
      <c r="C51" s="134"/>
      <c r="D51" s="132" t="s">
        <v>751</v>
      </c>
      <c r="E51" s="129" t="s">
        <v>76</v>
      </c>
      <c r="F51" s="134"/>
      <c r="G51" s="133" t="s">
        <v>158</v>
      </c>
      <c r="H51" s="133" t="s">
        <v>158</v>
      </c>
      <c r="I51" s="134" t="s">
        <v>1260</v>
      </c>
      <c r="J51" s="134" t="s">
        <v>1261</v>
      </c>
      <c r="K51" s="134"/>
      <c r="M51" s="160" t="s">
        <v>1315</v>
      </c>
    </row>
    <row r="52" spans="1:13" ht="12.95" customHeight="1">
      <c r="A52" s="134">
        <v>45</v>
      </c>
      <c r="B52" s="134">
        <v>14</v>
      </c>
      <c r="C52" s="134"/>
      <c r="D52" s="132" t="s">
        <v>761</v>
      </c>
      <c r="E52" s="134" t="s">
        <v>62</v>
      </c>
      <c r="F52" s="134"/>
      <c r="G52" s="133" t="s">
        <v>158</v>
      </c>
      <c r="H52" s="133" t="s">
        <v>158</v>
      </c>
      <c r="I52" s="134" t="s">
        <v>1260</v>
      </c>
      <c r="J52" s="134" t="s">
        <v>1261</v>
      </c>
      <c r="K52" s="134"/>
    </row>
    <row r="53" spans="1:13" ht="12.95" customHeight="1">
      <c r="A53" s="134">
        <v>46</v>
      </c>
      <c r="B53" s="134">
        <v>15</v>
      </c>
      <c r="C53" s="134"/>
      <c r="D53" s="132" t="s">
        <v>699</v>
      </c>
      <c r="E53" s="134" t="s">
        <v>62</v>
      </c>
      <c r="F53" s="134"/>
      <c r="G53" s="133" t="s">
        <v>158</v>
      </c>
      <c r="H53" s="133" t="s">
        <v>158</v>
      </c>
      <c r="I53" s="134" t="s">
        <v>1260</v>
      </c>
      <c r="J53" s="134" t="s">
        <v>1266</v>
      </c>
      <c r="K53" s="134"/>
    </row>
    <row r="54" spans="1:13" ht="12.95" customHeight="1">
      <c r="A54" s="134">
        <v>47</v>
      </c>
      <c r="B54" s="134">
        <v>16</v>
      </c>
      <c r="C54" s="134"/>
      <c r="D54" s="132" t="s">
        <v>704</v>
      </c>
      <c r="E54" s="134" t="s">
        <v>76</v>
      </c>
      <c r="F54" s="134"/>
      <c r="G54" s="133" t="s">
        <v>158</v>
      </c>
      <c r="H54" s="133" t="s">
        <v>158</v>
      </c>
      <c r="I54" s="134" t="s">
        <v>1260</v>
      </c>
      <c r="J54" s="134" t="s">
        <v>1266</v>
      </c>
      <c r="K54" s="134"/>
    </row>
    <row r="55" spans="1:13" ht="12.95" customHeight="1">
      <c r="A55" s="134">
        <v>48</v>
      </c>
      <c r="B55" s="134">
        <v>17</v>
      </c>
      <c r="C55" s="134"/>
      <c r="D55" s="132" t="s">
        <v>329</v>
      </c>
      <c r="E55" s="134" t="s">
        <v>76</v>
      </c>
      <c r="F55" s="134"/>
      <c r="G55" s="133" t="s">
        <v>161</v>
      </c>
      <c r="H55" s="133" t="s">
        <v>161</v>
      </c>
      <c r="I55" s="134" t="s">
        <v>1260</v>
      </c>
      <c r="J55" s="134" t="s">
        <v>1266</v>
      </c>
      <c r="K55" s="134"/>
    </row>
    <row r="56" spans="1:13" ht="12.95" customHeight="1">
      <c r="A56" s="134">
        <v>49</v>
      </c>
      <c r="B56" s="134">
        <v>18</v>
      </c>
      <c r="C56" s="134"/>
      <c r="D56" s="132" t="s">
        <v>778</v>
      </c>
      <c r="E56" s="134" t="s">
        <v>243</v>
      </c>
      <c r="F56" s="134"/>
      <c r="G56" s="133" t="s">
        <v>161</v>
      </c>
      <c r="H56" s="133" t="s">
        <v>161</v>
      </c>
      <c r="I56" s="134" t="s">
        <v>1260</v>
      </c>
      <c r="J56" s="134" t="s">
        <v>1261</v>
      </c>
      <c r="K56" s="134"/>
    </row>
    <row r="57" spans="1:13" ht="12.95" customHeight="1">
      <c r="A57" s="134">
        <v>50</v>
      </c>
      <c r="B57" s="134">
        <v>19</v>
      </c>
      <c r="D57" s="178" t="s">
        <v>710</v>
      </c>
      <c r="E57" s="137" t="s">
        <v>62</v>
      </c>
      <c r="G57" s="186" t="s">
        <v>165</v>
      </c>
      <c r="H57" s="137" t="s">
        <v>165</v>
      </c>
      <c r="I57" s="137" t="s">
        <v>1260</v>
      </c>
      <c r="J57" s="137" t="s">
        <v>1261</v>
      </c>
      <c r="K57" s="137"/>
    </row>
    <row r="58" spans="1:13" ht="12.95" customHeight="1">
      <c r="A58" s="134">
        <v>51</v>
      </c>
      <c r="B58" s="134">
        <v>20</v>
      </c>
      <c r="C58" s="176"/>
      <c r="D58" s="132" t="s">
        <v>557</v>
      </c>
      <c r="E58" s="129" t="s">
        <v>62</v>
      </c>
      <c r="F58" s="176"/>
      <c r="G58" s="133" t="s">
        <v>165</v>
      </c>
      <c r="H58" s="134" t="s">
        <v>165</v>
      </c>
      <c r="I58" s="134" t="s">
        <v>1260</v>
      </c>
      <c r="J58" s="134" t="s">
        <v>1261</v>
      </c>
      <c r="K58" s="134"/>
    </row>
    <row r="59" spans="1:13" ht="12.95" customHeight="1">
      <c r="A59" s="134">
        <v>52</v>
      </c>
      <c r="B59" s="134">
        <v>21</v>
      </c>
      <c r="C59" s="176"/>
      <c r="D59" s="132" t="s">
        <v>483</v>
      </c>
      <c r="E59" s="134" t="s">
        <v>62</v>
      </c>
      <c r="F59" s="176"/>
      <c r="G59" s="133" t="s">
        <v>165</v>
      </c>
      <c r="H59" s="134" t="s">
        <v>165</v>
      </c>
      <c r="I59" s="134" t="s">
        <v>1260</v>
      </c>
      <c r="J59" s="134" t="s">
        <v>1266</v>
      </c>
      <c r="K59" s="134"/>
    </row>
    <row r="60" spans="1:13" ht="12.95" customHeight="1">
      <c r="A60" s="134">
        <v>53</v>
      </c>
      <c r="B60" s="134">
        <v>22</v>
      </c>
      <c r="C60" s="176"/>
      <c r="D60" s="132" t="s">
        <v>185</v>
      </c>
      <c r="E60" s="134" t="s">
        <v>62</v>
      </c>
      <c r="F60" s="176"/>
      <c r="G60" s="133" t="s">
        <v>165</v>
      </c>
      <c r="H60" s="134" t="s">
        <v>165</v>
      </c>
      <c r="I60" s="134" t="s">
        <v>1260</v>
      </c>
      <c r="J60" s="134" t="s">
        <v>1266</v>
      </c>
      <c r="K60" s="134"/>
    </row>
    <row r="61" spans="1:13" ht="12.95" customHeight="1">
      <c r="A61" s="134">
        <v>54</v>
      </c>
      <c r="B61" s="134">
        <v>23</v>
      </c>
      <c r="C61" s="176"/>
      <c r="D61" s="132" t="s">
        <v>714</v>
      </c>
      <c r="E61" s="134" t="s">
        <v>62</v>
      </c>
      <c r="F61" s="176"/>
      <c r="G61" s="133" t="s">
        <v>171</v>
      </c>
      <c r="H61" s="133" t="s">
        <v>171</v>
      </c>
      <c r="I61" s="134" t="s">
        <v>1260</v>
      </c>
      <c r="J61" s="134" t="s">
        <v>1266</v>
      </c>
      <c r="K61" s="176"/>
    </row>
    <row r="62" spans="1:13" ht="12.95" customHeight="1">
      <c r="A62" s="134">
        <v>55</v>
      </c>
      <c r="B62" s="134">
        <v>24</v>
      </c>
      <c r="C62" s="176"/>
      <c r="D62" s="132" t="s">
        <v>468</v>
      </c>
      <c r="E62" s="134" t="s">
        <v>76</v>
      </c>
      <c r="F62" s="176"/>
      <c r="G62" s="133" t="s">
        <v>171</v>
      </c>
      <c r="H62" s="133" t="s">
        <v>171</v>
      </c>
      <c r="I62" s="134" t="s">
        <v>1260</v>
      </c>
      <c r="J62" s="134" t="s">
        <v>1266</v>
      </c>
      <c r="K62" s="176"/>
    </row>
    <row r="63" spans="1:13" ht="12.95" customHeight="1">
      <c r="A63" s="134">
        <v>56</v>
      </c>
      <c r="B63" s="134">
        <v>25</v>
      </c>
      <c r="C63" s="176"/>
      <c r="D63" s="132" t="s">
        <v>173</v>
      </c>
      <c r="E63" s="134" t="s">
        <v>76</v>
      </c>
      <c r="F63" s="176"/>
      <c r="G63" s="133" t="s">
        <v>1316</v>
      </c>
      <c r="H63" s="133" t="s">
        <v>1316</v>
      </c>
      <c r="I63" s="134" t="s">
        <v>1260</v>
      </c>
      <c r="J63" s="134" t="s">
        <v>1261</v>
      </c>
      <c r="K63" s="176"/>
    </row>
    <row r="64" spans="1:13" ht="12.95" customHeight="1">
      <c r="A64" s="137">
        <v>57</v>
      </c>
      <c r="B64" s="137">
        <v>26</v>
      </c>
      <c r="D64" s="178" t="s">
        <v>677</v>
      </c>
      <c r="E64" s="137" t="s">
        <v>62</v>
      </c>
      <c r="F64" s="182"/>
      <c r="G64" s="186" t="s">
        <v>176</v>
      </c>
      <c r="H64" s="186" t="s">
        <v>176</v>
      </c>
      <c r="I64" s="137" t="s">
        <v>1260</v>
      </c>
      <c r="J64" s="137" t="s">
        <v>1261</v>
      </c>
      <c r="K64" s="182"/>
    </row>
    <row r="65" spans="1:20" ht="12.95" customHeight="1">
      <c r="A65" s="134">
        <v>58</v>
      </c>
      <c r="B65" s="134">
        <v>27</v>
      </c>
      <c r="C65" s="134"/>
      <c r="D65" s="132" t="s">
        <v>762</v>
      </c>
      <c r="E65" s="134" t="s">
        <v>1269</v>
      </c>
      <c r="F65" s="134"/>
      <c r="G65" s="133" t="s">
        <v>174</v>
      </c>
      <c r="H65" s="133" t="s">
        <v>174</v>
      </c>
      <c r="I65" s="134" t="s">
        <v>1260</v>
      </c>
      <c r="J65" s="134" t="s">
        <v>1261</v>
      </c>
      <c r="K65" s="134"/>
    </row>
    <row r="66" spans="1:20" ht="12.95" customHeight="1">
      <c r="A66" s="134"/>
      <c r="B66" s="527" t="s">
        <v>181</v>
      </c>
      <c r="C66" s="134"/>
      <c r="D66" s="134"/>
      <c r="E66" s="134"/>
      <c r="F66" s="134"/>
      <c r="G66" s="133"/>
      <c r="H66" s="134"/>
      <c r="I66" s="134"/>
      <c r="J66" s="134"/>
      <c r="K66" s="134"/>
    </row>
    <row r="67" spans="1:20" ht="12.95" customHeight="1">
      <c r="A67" s="134">
        <v>59</v>
      </c>
      <c r="B67" s="134">
        <v>1</v>
      </c>
      <c r="C67" s="134"/>
      <c r="D67" s="132" t="s">
        <v>416</v>
      </c>
      <c r="E67" s="134" t="s">
        <v>1269</v>
      </c>
      <c r="F67" s="134"/>
      <c r="G67" s="133" t="s">
        <v>184</v>
      </c>
      <c r="H67" s="134" t="s">
        <v>184</v>
      </c>
      <c r="I67" s="134" t="s">
        <v>1260</v>
      </c>
      <c r="J67" s="134" t="s">
        <v>1261</v>
      </c>
      <c r="K67" s="134"/>
    </row>
    <row r="68" spans="1:20" ht="12.95" customHeight="1">
      <c r="A68" s="134">
        <v>60</v>
      </c>
      <c r="B68" s="134">
        <v>2</v>
      </c>
      <c r="C68" s="134"/>
      <c r="D68" s="132" t="s">
        <v>691</v>
      </c>
      <c r="E68" s="134" t="s">
        <v>62</v>
      </c>
      <c r="F68" s="134"/>
      <c r="G68" s="133" t="s">
        <v>184</v>
      </c>
      <c r="H68" s="134" t="s">
        <v>184</v>
      </c>
      <c r="I68" s="134" t="s">
        <v>1260</v>
      </c>
      <c r="J68" s="134" t="s">
        <v>1261</v>
      </c>
      <c r="K68" s="134"/>
    </row>
    <row r="69" spans="1:20" ht="12.95" customHeight="1">
      <c r="A69" s="134">
        <v>61</v>
      </c>
      <c r="B69" s="134">
        <v>3</v>
      </c>
      <c r="C69" s="134"/>
      <c r="D69" s="132" t="s">
        <v>170</v>
      </c>
      <c r="E69" s="134" t="s">
        <v>76</v>
      </c>
      <c r="F69" s="134"/>
      <c r="G69" s="133" t="s">
        <v>189</v>
      </c>
      <c r="H69" s="134" t="s">
        <v>189</v>
      </c>
      <c r="I69" s="134" t="s">
        <v>1260</v>
      </c>
      <c r="J69" s="134" t="s">
        <v>1261</v>
      </c>
      <c r="K69" s="134"/>
    </row>
    <row r="70" spans="1:20" ht="12.95" customHeight="1">
      <c r="A70" s="134">
        <v>62</v>
      </c>
      <c r="B70" s="134">
        <v>4</v>
      </c>
      <c r="C70" s="134"/>
      <c r="D70" s="132" t="s">
        <v>702</v>
      </c>
      <c r="E70" s="134" t="s">
        <v>62</v>
      </c>
      <c r="F70" s="134"/>
      <c r="G70" s="133" t="s">
        <v>190</v>
      </c>
      <c r="H70" s="134" t="s">
        <v>190</v>
      </c>
      <c r="I70" s="134" t="s">
        <v>1260</v>
      </c>
      <c r="J70" s="134" t="s">
        <v>1261</v>
      </c>
      <c r="K70" s="134"/>
    </row>
    <row r="71" spans="1:20" ht="12.95" customHeight="1">
      <c r="A71" s="134">
        <v>63</v>
      </c>
      <c r="B71" s="134">
        <v>5</v>
      </c>
      <c r="D71" s="132" t="s">
        <v>135</v>
      </c>
      <c r="E71" s="134" t="s">
        <v>76</v>
      </c>
      <c r="F71" s="134"/>
      <c r="G71" s="133" t="s">
        <v>192</v>
      </c>
      <c r="H71" s="133" t="s">
        <v>192</v>
      </c>
      <c r="I71" s="134" t="s">
        <v>1260</v>
      </c>
      <c r="J71" s="134" t="s">
        <v>1261</v>
      </c>
      <c r="K71" s="134"/>
    </row>
    <row r="72" spans="1:20" ht="12.95" customHeight="1">
      <c r="A72" s="134">
        <v>64</v>
      </c>
      <c r="B72" s="134">
        <v>6</v>
      </c>
      <c r="D72" s="132" t="s">
        <v>542</v>
      </c>
      <c r="E72" s="134" t="s">
        <v>62</v>
      </c>
      <c r="F72" s="134"/>
      <c r="G72" s="133" t="s">
        <v>190</v>
      </c>
      <c r="H72" s="134" t="s">
        <v>197</v>
      </c>
      <c r="I72" s="134" t="s">
        <v>1260</v>
      </c>
      <c r="J72" s="134" t="s">
        <v>1261</v>
      </c>
      <c r="K72" s="134"/>
      <c r="T72" s="160" t="s">
        <v>492</v>
      </c>
    </row>
    <row r="73" spans="1:20" ht="12.95" customHeight="1">
      <c r="A73" s="134">
        <v>65</v>
      </c>
      <c r="B73" s="134">
        <v>7</v>
      </c>
      <c r="D73" s="132" t="s">
        <v>792</v>
      </c>
      <c r="E73" s="134" t="s">
        <v>76</v>
      </c>
      <c r="F73" s="134"/>
      <c r="G73" s="133" t="s">
        <v>230</v>
      </c>
      <c r="H73" s="134" t="s">
        <v>230</v>
      </c>
      <c r="I73" s="134" t="s">
        <v>1260</v>
      </c>
      <c r="J73" s="134" t="s">
        <v>1268</v>
      </c>
      <c r="K73" s="134"/>
    </row>
    <row r="74" spans="1:20" ht="12.95" customHeight="1">
      <c r="A74" s="134">
        <v>66</v>
      </c>
      <c r="B74" s="134">
        <v>8</v>
      </c>
      <c r="D74" s="132" t="s">
        <v>756</v>
      </c>
      <c r="E74" s="134" t="s">
        <v>62</v>
      </c>
      <c r="F74" s="134"/>
      <c r="G74" s="133" t="s">
        <v>230</v>
      </c>
      <c r="H74" s="134" t="s">
        <v>230</v>
      </c>
      <c r="I74" s="134" t="s">
        <v>1260</v>
      </c>
      <c r="J74" s="134" t="s">
        <v>1268</v>
      </c>
      <c r="K74" s="134"/>
    </row>
    <row r="75" spans="1:20" ht="12.95" customHeight="1">
      <c r="A75" s="134">
        <v>67</v>
      </c>
      <c r="B75" s="134">
        <v>9</v>
      </c>
      <c r="D75" s="132" t="s">
        <v>738</v>
      </c>
      <c r="E75" s="134" t="s">
        <v>62</v>
      </c>
      <c r="F75" s="134"/>
      <c r="G75" s="133" t="s">
        <v>172</v>
      </c>
      <c r="H75" s="134" t="s">
        <v>218</v>
      </c>
      <c r="I75" s="134" t="s">
        <v>1260</v>
      </c>
      <c r="J75" s="134" t="s">
        <v>1268</v>
      </c>
      <c r="K75" s="134"/>
    </row>
    <row r="76" spans="1:20" ht="12.95" customHeight="1">
      <c r="A76" s="134">
        <v>68</v>
      </c>
      <c r="B76" s="134">
        <v>10</v>
      </c>
      <c r="D76" s="132" t="s">
        <v>748</v>
      </c>
      <c r="E76" s="134" t="s">
        <v>62</v>
      </c>
      <c r="F76" s="134"/>
      <c r="G76" s="133" t="s">
        <v>174</v>
      </c>
      <c r="H76" s="134" t="s">
        <v>221</v>
      </c>
      <c r="I76" s="134" t="s">
        <v>1260</v>
      </c>
      <c r="J76" s="134" t="s">
        <v>1268</v>
      </c>
      <c r="K76" s="134"/>
    </row>
    <row r="77" spans="1:20" ht="12.95" customHeight="1">
      <c r="A77" s="134">
        <v>69</v>
      </c>
      <c r="B77" s="134">
        <v>11</v>
      </c>
      <c r="D77" s="132" t="s">
        <v>777</v>
      </c>
      <c r="E77" s="134" t="s">
        <v>76</v>
      </c>
      <c r="F77" s="134"/>
      <c r="G77" s="133" t="s">
        <v>221</v>
      </c>
      <c r="H77" s="134" t="s">
        <v>223</v>
      </c>
      <c r="I77" s="134" t="s">
        <v>1260</v>
      </c>
      <c r="J77" s="134" t="s">
        <v>1261</v>
      </c>
      <c r="K77" s="134"/>
    </row>
    <row r="78" spans="1:20" ht="12.95" customHeight="1">
      <c r="A78" s="134">
        <v>70</v>
      </c>
      <c r="B78" s="134">
        <v>12</v>
      </c>
      <c r="D78" s="132" t="s">
        <v>765</v>
      </c>
      <c r="E78" s="134" t="s">
        <v>249</v>
      </c>
      <c r="F78" s="134"/>
      <c r="G78" s="133" t="s">
        <v>203</v>
      </c>
      <c r="H78" s="134" t="s">
        <v>223</v>
      </c>
      <c r="I78" s="134" t="s">
        <v>1260</v>
      </c>
      <c r="J78" s="134" t="s">
        <v>1268</v>
      </c>
      <c r="K78" s="134"/>
    </row>
    <row r="79" spans="1:20" ht="12.95" customHeight="1">
      <c r="A79" s="134">
        <v>71</v>
      </c>
      <c r="B79" s="134">
        <v>13</v>
      </c>
      <c r="D79" s="132" t="s">
        <v>503</v>
      </c>
      <c r="E79" s="134" t="s">
        <v>76</v>
      </c>
      <c r="F79" s="134"/>
      <c r="G79" s="133" t="s">
        <v>171</v>
      </c>
      <c r="H79" s="134" t="s">
        <v>223</v>
      </c>
      <c r="I79" s="134" t="s">
        <v>1260</v>
      </c>
      <c r="J79" s="134" t="s">
        <v>1268</v>
      </c>
      <c r="K79" s="134"/>
    </row>
    <row r="80" spans="1:20" ht="12.95" customHeight="1">
      <c r="A80" s="134">
        <v>72</v>
      </c>
      <c r="B80" s="134">
        <v>14</v>
      </c>
      <c r="D80" s="132" t="s">
        <v>773</v>
      </c>
      <c r="E80" s="134" t="s">
        <v>1269</v>
      </c>
      <c r="F80" s="134"/>
      <c r="G80" s="133" t="s">
        <v>225</v>
      </c>
      <c r="H80" s="133" t="s">
        <v>225</v>
      </c>
      <c r="I80" s="134" t="s">
        <v>1260</v>
      </c>
      <c r="J80" s="134" t="s">
        <v>1261</v>
      </c>
      <c r="K80" s="134"/>
    </row>
    <row r="81" spans="1:11" ht="12.95" customHeight="1">
      <c r="A81" s="134">
        <v>73</v>
      </c>
      <c r="B81" s="134">
        <v>15</v>
      </c>
      <c r="D81" s="132" t="s">
        <v>712</v>
      </c>
      <c r="E81" s="134" t="s">
        <v>62</v>
      </c>
      <c r="F81" s="134"/>
      <c r="G81" s="133" t="s">
        <v>225</v>
      </c>
      <c r="H81" s="133" t="s">
        <v>225</v>
      </c>
      <c r="I81" s="134" t="s">
        <v>1260</v>
      </c>
      <c r="J81" s="134" t="s">
        <v>1261</v>
      </c>
      <c r="K81" s="134"/>
    </row>
    <row r="82" spans="1:11" ht="12.95" customHeight="1">
      <c r="A82" s="134">
        <v>74</v>
      </c>
      <c r="B82" s="134">
        <v>16</v>
      </c>
      <c r="D82" s="132" t="s">
        <v>526</v>
      </c>
      <c r="E82" s="134" t="s">
        <v>62</v>
      </c>
      <c r="F82" s="134"/>
      <c r="G82" s="133" t="s">
        <v>225</v>
      </c>
      <c r="H82" s="133" t="s">
        <v>225</v>
      </c>
      <c r="I82" s="134" t="s">
        <v>1260</v>
      </c>
      <c r="J82" s="134" t="s">
        <v>1261</v>
      </c>
      <c r="K82" s="134"/>
    </row>
    <row r="83" spans="1:11" ht="12.95" customHeight="1">
      <c r="A83" s="134">
        <v>75</v>
      </c>
      <c r="B83" s="134">
        <v>17</v>
      </c>
      <c r="D83" s="132" t="s">
        <v>521</v>
      </c>
      <c r="E83" s="134" t="s">
        <v>76</v>
      </c>
      <c r="F83" s="134"/>
      <c r="G83" s="133" t="s">
        <v>225</v>
      </c>
      <c r="H83" s="133" t="s">
        <v>225</v>
      </c>
      <c r="I83" s="134" t="s">
        <v>1260</v>
      </c>
      <c r="J83" s="134" t="s">
        <v>1268</v>
      </c>
      <c r="K83" s="134"/>
    </row>
    <row r="84" spans="1:11" ht="12.95" customHeight="1">
      <c r="A84" s="134">
        <v>76</v>
      </c>
      <c r="B84" s="134">
        <v>18</v>
      </c>
      <c r="D84" s="132" t="s">
        <v>786</v>
      </c>
      <c r="E84" s="134" t="s">
        <v>76</v>
      </c>
      <c r="F84" s="134"/>
      <c r="G84" s="133" t="s">
        <v>228</v>
      </c>
      <c r="H84" s="133" t="s">
        <v>228</v>
      </c>
      <c r="I84" s="134" t="s">
        <v>1260</v>
      </c>
      <c r="J84" s="134" t="s">
        <v>1268</v>
      </c>
      <c r="K84" s="134"/>
    </row>
    <row r="85" spans="1:11" ht="12.95" customHeight="1">
      <c r="A85" s="134">
        <v>77</v>
      </c>
      <c r="B85" s="134">
        <v>19</v>
      </c>
      <c r="D85" s="132" t="s">
        <v>322</v>
      </c>
      <c r="E85" s="134" t="s">
        <v>76</v>
      </c>
      <c r="F85" s="134"/>
      <c r="G85" s="133" t="s">
        <v>233</v>
      </c>
      <c r="H85" s="133" t="s">
        <v>233</v>
      </c>
      <c r="I85" s="134" t="s">
        <v>1260</v>
      </c>
      <c r="J85" s="134" t="s">
        <v>1268</v>
      </c>
      <c r="K85" s="134"/>
    </row>
    <row r="86" spans="1:11" ht="12.95" customHeight="1">
      <c r="A86" s="134">
        <v>78</v>
      </c>
      <c r="B86" s="134">
        <v>20</v>
      </c>
      <c r="D86" s="132" t="s">
        <v>375</v>
      </c>
      <c r="E86" s="134" t="s">
        <v>76</v>
      </c>
      <c r="F86" s="134"/>
      <c r="G86" s="133" t="s">
        <v>233</v>
      </c>
      <c r="H86" s="133" t="s">
        <v>233</v>
      </c>
      <c r="I86" s="134" t="s">
        <v>1260</v>
      </c>
      <c r="J86" s="134" t="s">
        <v>1268</v>
      </c>
      <c r="K86" s="134"/>
    </row>
    <row r="87" spans="1:11" ht="12.95" customHeight="1">
      <c r="A87" s="134">
        <v>79</v>
      </c>
      <c r="B87" s="134">
        <v>21</v>
      </c>
      <c r="D87" s="132" t="s">
        <v>294</v>
      </c>
      <c r="E87" s="134" t="s">
        <v>76</v>
      </c>
      <c r="F87" s="134"/>
      <c r="G87" s="133" t="s">
        <v>189</v>
      </c>
      <c r="H87" s="133" t="s">
        <v>233</v>
      </c>
      <c r="I87" s="134" t="s">
        <v>1260</v>
      </c>
      <c r="J87" s="134" t="s">
        <v>1268</v>
      </c>
      <c r="K87" s="134"/>
    </row>
    <row r="88" spans="1:11" ht="12.95" customHeight="1">
      <c r="A88" s="134">
        <v>80</v>
      </c>
      <c r="B88" s="134">
        <v>22</v>
      </c>
      <c r="D88" s="132" t="s">
        <v>326</v>
      </c>
      <c r="E88" s="134" t="s">
        <v>62</v>
      </c>
      <c r="F88" s="134"/>
      <c r="G88" s="133" t="s">
        <v>235</v>
      </c>
      <c r="H88" s="133" t="s">
        <v>235</v>
      </c>
      <c r="I88" s="134" t="s">
        <v>1260</v>
      </c>
      <c r="J88" s="134" t="s">
        <v>1268</v>
      </c>
      <c r="K88" s="134"/>
    </row>
    <row r="89" spans="1:11" ht="12.95" customHeight="1">
      <c r="A89" s="134">
        <v>81</v>
      </c>
      <c r="B89" s="134">
        <v>23</v>
      </c>
      <c r="D89" s="132" t="s">
        <v>785</v>
      </c>
      <c r="E89" s="134" t="s">
        <v>76</v>
      </c>
      <c r="F89" s="134"/>
      <c r="G89" s="133" t="s">
        <v>236</v>
      </c>
      <c r="H89" s="133" t="s">
        <v>236</v>
      </c>
      <c r="I89" s="134" t="s">
        <v>1260</v>
      </c>
      <c r="J89" s="134" t="s">
        <v>1268</v>
      </c>
      <c r="K89" s="134"/>
    </row>
    <row r="90" spans="1:11" ht="12.95" customHeight="1">
      <c r="A90" s="134">
        <v>82</v>
      </c>
      <c r="B90" s="134">
        <v>24</v>
      </c>
      <c r="D90" s="132" t="s">
        <v>791</v>
      </c>
      <c r="E90" s="134" t="s">
        <v>62</v>
      </c>
      <c r="F90" s="134"/>
      <c r="G90" s="133" t="s">
        <v>236</v>
      </c>
      <c r="H90" s="133" t="s">
        <v>236</v>
      </c>
      <c r="I90" s="134" t="s">
        <v>1260</v>
      </c>
      <c r="J90" s="134" t="s">
        <v>1268</v>
      </c>
      <c r="K90" s="134"/>
    </row>
    <row r="91" spans="1:11" ht="12.95" customHeight="1">
      <c r="A91" s="134">
        <v>83</v>
      </c>
      <c r="B91" s="134">
        <v>25</v>
      </c>
      <c r="D91" s="132" t="s">
        <v>782</v>
      </c>
      <c r="E91" s="134" t="s">
        <v>62</v>
      </c>
      <c r="F91" s="201"/>
      <c r="G91" s="133" t="s">
        <v>240</v>
      </c>
      <c r="H91" s="133" t="s">
        <v>240</v>
      </c>
      <c r="I91" s="134" t="s">
        <v>1260</v>
      </c>
      <c r="J91" s="134" t="s">
        <v>1268</v>
      </c>
      <c r="K91" s="134"/>
    </row>
    <row r="92" spans="1:11" ht="12.95" customHeight="1">
      <c r="A92" s="134">
        <v>84</v>
      </c>
      <c r="B92" s="134">
        <v>26</v>
      </c>
      <c r="D92" s="132" t="s">
        <v>530</v>
      </c>
      <c r="E92" s="134" t="s">
        <v>62</v>
      </c>
      <c r="F92" s="201"/>
      <c r="G92" s="133" t="s">
        <v>240</v>
      </c>
      <c r="H92" s="133" t="s">
        <v>240</v>
      </c>
      <c r="I92" s="134" t="s">
        <v>1260</v>
      </c>
      <c r="J92" s="134" t="s">
        <v>1261</v>
      </c>
      <c r="K92" s="134"/>
    </row>
    <row r="93" spans="1:11" ht="12.95" customHeight="1">
      <c r="A93" s="134">
        <v>85</v>
      </c>
      <c r="B93" s="134">
        <v>27</v>
      </c>
      <c r="C93" s="134"/>
      <c r="D93" s="132" t="s">
        <v>506</v>
      </c>
      <c r="E93" s="134" t="s">
        <v>76</v>
      </c>
      <c r="F93" s="134"/>
      <c r="G93" s="133" t="s">
        <v>240</v>
      </c>
      <c r="H93" s="134" t="s">
        <v>240</v>
      </c>
      <c r="I93" s="134" t="s">
        <v>1260</v>
      </c>
      <c r="J93" s="134" t="s">
        <v>1261</v>
      </c>
      <c r="K93" s="134"/>
    </row>
    <row r="94" spans="1:11" ht="12.95" customHeight="1">
      <c r="A94" s="134">
        <v>86</v>
      </c>
      <c r="B94" s="134">
        <v>28</v>
      </c>
      <c r="D94" s="178" t="s">
        <v>533</v>
      </c>
      <c r="E94" s="137" t="s">
        <v>1269</v>
      </c>
      <c r="G94" s="186" t="s">
        <v>815</v>
      </c>
      <c r="H94" s="186" t="s">
        <v>815</v>
      </c>
      <c r="I94" s="137" t="s">
        <v>1260</v>
      </c>
      <c r="J94" s="137" t="s">
        <v>1261</v>
      </c>
      <c r="K94" s="137"/>
    </row>
    <row r="95" spans="1:11" ht="12.95" customHeight="1">
      <c r="A95" s="134">
        <v>87</v>
      </c>
      <c r="B95" s="134">
        <v>29</v>
      </c>
      <c r="C95" s="134"/>
      <c r="D95" s="132" t="s">
        <v>492</v>
      </c>
      <c r="E95" s="134" t="s">
        <v>76</v>
      </c>
      <c r="F95" s="134"/>
      <c r="G95" s="133" t="s">
        <v>246</v>
      </c>
      <c r="H95" s="133" t="s">
        <v>246</v>
      </c>
      <c r="I95" s="134" t="s">
        <v>1260</v>
      </c>
      <c r="J95" s="134" t="s">
        <v>1268</v>
      </c>
      <c r="K95" s="134"/>
    </row>
    <row r="96" spans="1:11" ht="12.95" customHeight="1">
      <c r="A96" s="134"/>
      <c r="B96" s="154" t="s">
        <v>247</v>
      </c>
      <c r="C96" s="134"/>
      <c r="D96" s="134"/>
      <c r="E96" s="134"/>
      <c r="F96" s="134"/>
      <c r="G96" s="133"/>
      <c r="H96" s="134"/>
      <c r="I96" s="134"/>
      <c r="J96" s="134"/>
      <c r="K96" s="134"/>
    </row>
    <row r="97" spans="1:11" ht="12.95" customHeight="1">
      <c r="A97" s="134">
        <v>88</v>
      </c>
      <c r="B97" s="134">
        <v>1</v>
      </c>
      <c r="C97" s="134"/>
      <c r="D97" s="132" t="s">
        <v>798</v>
      </c>
      <c r="E97" s="134" t="s">
        <v>76</v>
      </c>
      <c r="F97" s="134"/>
      <c r="G97" s="133" t="s">
        <v>823</v>
      </c>
      <c r="H97" s="133" t="s">
        <v>823</v>
      </c>
      <c r="I97" s="134" t="s">
        <v>1260</v>
      </c>
      <c r="J97" s="134" t="s">
        <v>1268</v>
      </c>
      <c r="K97" s="134"/>
    </row>
    <row r="98" spans="1:11" ht="12.95" customHeight="1">
      <c r="A98" s="134">
        <v>89</v>
      </c>
      <c r="B98" s="134">
        <v>2</v>
      </c>
      <c r="C98" s="134"/>
      <c r="D98" s="132" t="s">
        <v>796</v>
      </c>
      <c r="E98" s="134" t="s">
        <v>76</v>
      </c>
      <c r="F98" s="134"/>
      <c r="G98" s="133" t="s">
        <v>823</v>
      </c>
      <c r="H98" s="133" t="s">
        <v>823</v>
      </c>
      <c r="I98" s="134" t="s">
        <v>1260</v>
      </c>
      <c r="J98" s="134" t="s">
        <v>1268</v>
      </c>
      <c r="K98" s="134"/>
    </row>
    <row r="99" spans="1:11" ht="12.95" customHeight="1">
      <c r="A99" s="134">
        <v>90</v>
      </c>
      <c r="B99" s="134">
        <v>3</v>
      </c>
      <c r="D99" s="132" t="s">
        <v>794</v>
      </c>
      <c r="E99" s="134" t="s">
        <v>76</v>
      </c>
      <c r="G99" s="133" t="s">
        <v>823</v>
      </c>
      <c r="H99" s="133" t="s">
        <v>823</v>
      </c>
      <c r="I99" s="134" t="s">
        <v>1260</v>
      </c>
      <c r="J99" s="134" t="s">
        <v>1268</v>
      </c>
      <c r="K99" s="134"/>
    </row>
    <row r="100" spans="1:11" ht="12.95" customHeight="1">
      <c r="A100" s="134">
        <v>91</v>
      </c>
      <c r="B100" s="134">
        <v>4</v>
      </c>
      <c r="D100" s="132" t="s">
        <v>797</v>
      </c>
      <c r="E100" s="134" t="s">
        <v>76</v>
      </c>
      <c r="G100" s="133" t="s">
        <v>823</v>
      </c>
      <c r="H100" s="133" t="s">
        <v>823</v>
      </c>
      <c r="I100" s="134" t="s">
        <v>1260</v>
      </c>
      <c r="J100" s="134" t="s">
        <v>1268</v>
      </c>
      <c r="K100" s="134"/>
    </row>
    <row r="101" spans="1:11" ht="12.95" customHeight="1">
      <c r="A101" s="134">
        <v>92</v>
      </c>
      <c r="B101" s="134">
        <v>5</v>
      </c>
      <c r="D101" s="132" t="s">
        <v>719</v>
      </c>
      <c r="E101" s="134" t="s">
        <v>249</v>
      </c>
      <c r="G101" s="133" t="s">
        <v>256</v>
      </c>
      <c r="H101" s="133" t="s">
        <v>256</v>
      </c>
      <c r="I101" s="134" t="s">
        <v>1260</v>
      </c>
      <c r="J101" s="134" t="s">
        <v>1268</v>
      </c>
      <c r="K101" s="134"/>
    </row>
    <row r="102" spans="1:11" ht="12.95" customHeight="1">
      <c r="A102" s="134">
        <v>93</v>
      </c>
      <c r="B102" s="134">
        <v>6</v>
      </c>
      <c r="D102" s="132" t="s">
        <v>724</v>
      </c>
      <c r="E102" s="134" t="s">
        <v>76</v>
      </c>
      <c r="F102" s="134"/>
      <c r="G102" s="133" t="s">
        <v>256</v>
      </c>
      <c r="H102" s="133" t="s">
        <v>256</v>
      </c>
      <c r="I102" s="134" t="s">
        <v>1260</v>
      </c>
      <c r="J102" s="134" t="s">
        <v>1268</v>
      </c>
      <c r="K102" s="134"/>
    </row>
    <row r="103" spans="1:11" ht="12.95" customHeight="1">
      <c r="A103" s="134">
        <v>94</v>
      </c>
      <c r="B103" s="134">
        <v>7</v>
      </c>
      <c r="D103" s="132" t="s">
        <v>292</v>
      </c>
      <c r="E103" s="134" t="s">
        <v>76</v>
      </c>
      <c r="G103" s="133" t="s">
        <v>259</v>
      </c>
      <c r="H103" s="133" t="s">
        <v>259</v>
      </c>
      <c r="I103" s="134" t="s">
        <v>1260</v>
      </c>
      <c r="J103" s="134" t="s">
        <v>1268</v>
      </c>
      <c r="K103" s="134"/>
    </row>
    <row r="104" spans="1:11" ht="12.95" customHeight="1">
      <c r="A104" s="134">
        <v>95</v>
      </c>
      <c r="B104" s="134">
        <v>8</v>
      </c>
      <c r="D104" s="132" t="s">
        <v>488</v>
      </c>
      <c r="E104" s="134" t="s">
        <v>62</v>
      </c>
      <c r="F104" s="134"/>
      <c r="G104" s="133" t="s">
        <v>275</v>
      </c>
      <c r="H104" s="133" t="s">
        <v>275</v>
      </c>
      <c r="I104" s="134" t="s">
        <v>1260</v>
      </c>
      <c r="J104" s="134" t="s">
        <v>1261</v>
      </c>
      <c r="K104" s="134"/>
    </row>
    <row r="105" spans="1:11" ht="12.95" customHeight="1">
      <c r="A105" s="134">
        <v>96</v>
      </c>
      <c r="B105" s="137">
        <v>9</v>
      </c>
      <c r="D105" s="178" t="s">
        <v>340</v>
      </c>
      <c r="E105" s="137" t="s">
        <v>1269</v>
      </c>
      <c r="G105" s="186" t="s">
        <v>279</v>
      </c>
      <c r="H105" s="186" t="s">
        <v>279</v>
      </c>
      <c r="I105" s="137" t="s">
        <v>1260</v>
      </c>
      <c r="J105" s="137" t="s">
        <v>1268</v>
      </c>
      <c r="K105" s="137"/>
    </row>
    <row r="106" spans="1:11" ht="12.95" customHeight="1">
      <c r="A106" s="134">
        <v>97</v>
      </c>
      <c r="B106" s="134">
        <v>10</v>
      </c>
      <c r="C106" s="134"/>
      <c r="D106" s="132" t="s">
        <v>555</v>
      </c>
      <c r="E106" s="134" t="s">
        <v>62</v>
      </c>
      <c r="F106" s="134"/>
      <c r="G106" s="133" t="s">
        <v>281</v>
      </c>
      <c r="H106" s="133" t="s">
        <v>281</v>
      </c>
      <c r="I106" s="134" t="s">
        <v>1260</v>
      </c>
      <c r="J106" s="134" t="s">
        <v>1268</v>
      </c>
      <c r="K106" s="134"/>
    </row>
    <row r="107" spans="1:11" ht="12.95" customHeight="1">
      <c r="B107" s="154" t="s">
        <v>1233</v>
      </c>
    </row>
    <row r="108" spans="1:11" ht="12.95" customHeight="1">
      <c r="A108" s="134">
        <v>98</v>
      </c>
      <c r="B108" s="134">
        <v>1</v>
      </c>
      <c r="D108" s="132" t="s">
        <v>336</v>
      </c>
      <c r="E108" s="134" t="s">
        <v>76</v>
      </c>
      <c r="G108" s="161" t="s">
        <v>1317</v>
      </c>
      <c r="H108" s="161" t="s">
        <v>1317</v>
      </c>
      <c r="I108" s="134" t="s">
        <v>1260</v>
      </c>
      <c r="J108" s="134" t="s">
        <v>1268</v>
      </c>
      <c r="K108" s="134"/>
    </row>
    <row r="109" spans="1:11" ht="12.95" customHeight="1">
      <c r="A109" s="134">
        <v>99</v>
      </c>
      <c r="B109" s="134">
        <v>2</v>
      </c>
      <c r="D109" s="132" t="s">
        <v>753</v>
      </c>
      <c r="E109" s="134" t="s">
        <v>62</v>
      </c>
      <c r="G109" s="133" t="s">
        <v>832</v>
      </c>
      <c r="H109" s="133" t="s">
        <v>832</v>
      </c>
      <c r="I109" s="134" t="s">
        <v>1260</v>
      </c>
      <c r="J109" s="202" t="s">
        <v>1268</v>
      </c>
      <c r="K109" s="134"/>
    </row>
    <row r="110" spans="1:11" ht="12.95" customHeight="1">
      <c r="B110" s="154" t="s">
        <v>303</v>
      </c>
    </row>
    <row r="111" spans="1:11" ht="12.95" customHeight="1">
      <c r="A111" s="134">
        <v>100</v>
      </c>
      <c r="B111" s="134">
        <v>1</v>
      </c>
      <c r="D111" s="132" t="s">
        <v>180</v>
      </c>
      <c r="E111" s="134" t="s">
        <v>76</v>
      </c>
      <c r="F111" s="133" t="s">
        <v>1276</v>
      </c>
      <c r="G111" s="133" t="s">
        <v>314</v>
      </c>
      <c r="H111" s="133" t="s">
        <v>314</v>
      </c>
      <c r="I111" s="134" t="s">
        <v>1260</v>
      </c>
      <c r="J111" s="202" t="s">
        <v>1261</v>
      </c>
      <c r="K111" s="134"/>
    </row>
    <row r="112" spans="1:11" ht="12.95" customHeight="1">
      <c r="A112" s="134">
        <v>101</v>
      </c>
      <c r="B112" s="134">
        <v>2</v>
      </c>
      <c r="D112" s="132" t="s">
        <v>502</v>
      </c>
      <c r="E112" s="134" t="s">
        <v>76</v>
      </c>
      <c r="F112" s="133" t="s">
        <v>314</v>
      </c>
      <c r="G112" s="133" t="s">
        <v>1318</v>
      </c>
      <c r="H112" s="133" t="s">
        <v>1318</v>
      </c>
      <c r="I112" s="134" t="s">
        <v>1260</v>
      </c>
      <c r="J112" s="202" t="s">
        <v>1268</v>
      </c>
      <c r="K112" s="134"/>
    </row>
    <row r="113" spans="1:11" ht="12.95" customHeight="1">
      <c r="A113" s="134">
        <v>102</v>
      </c>
      <c r="B113" s="134">
        <v>3</v>
      </c>
      <c r="D113" s="132" t="s">
        <v>350</v>
      </c>
      <c r="E113" s="134" t="s">
        <v>287</v>
      </c>
      <c r="F113" s="133" t="s">
        <v>310</v>
      </c>
      <c r="G113" s="133" t="s">
        <v>1318</v>
      </c>
      <c r="H113" s="133" t="s">
        <v>1318</v>
      </c>
      <c r="I113" s="134" t="s">
        <v>1260</v>
      </c>
      <c r="J113" s="202" t="s">
        <v>1261</v>
      </c>
      <c r="K113" s="134"/>
    </row>
    <row r="114" spans="1:11" ht="12.95" customHeight="1">
      <c r="A114" s="134">
        <v>103</v>
      </c>
      <c r="B114" s="134">
        <v>4</v>
      </c>
      <c r="D114" s="132" t="s">
        <v>565</v>
      </c>
      <c r="E114" s="134" t="s">
        <v>1277</v>
      </c>
      <c r="F114" s="133" t="s">
        <v>330</v>
      </c>
      <c r="G114" s="133" t="s">
        <v>325</v>
      </c>
      <c r="H114" s="133" t="s">
        <v>325</v>
      </c>
      <c r="I114" s="134" t="s">
        <v>1260</v>
      </c>
      <c r="J114" s="202" t="s">
        <v>1261</v>
      </c>
      <c r="K114" s="134"/>
    </row>
    <row r="115" spans="1:11" ht="12.95" customHeight="1">
      <c r="B115" s="154" t="s">
        <v>335</v>
      </c>
    </row>
    <row r="116" spans="1:11" ht="12.95" customHeight="1">
      <c r="A116" s="134">
        <v>104</v>
      </c>
      <c r="B116" s="134">
        <v>1</v>
      </c>
      <c r="D116" s="132" t="s">
        <v>151</v>
      </c>
      <c r="E116" s="134" t="s">
        <v>76</v>
      </c>
      <c r="F116" s="133" t="s">
        <v>1278</v>
      </c>
      <c r="G116" s="133" t="s">
        <v>337</v>
      </c>
      <c r="H116" s="133" t="s">
        <v>337</v>
      </c>
      <c r="I116" s="134" t="s">
        <v>1260</v>
      </c>
      <c r="J116" s="134" t="s">
        <v>1261</v>
      </c>
      <c r="K116" s="134"/>
    </row>
    <row r="117" spans="1:11" ht="12.95" customHeight="1">
      <c r="A117" s="134">
        <v>105</v>
      </c>
      <c r="B117" s="134">
        <v>2</v>
      </c>
      <c r="D117" s="132" t="s">
        <v>163</v>
      </c>
      <c r="E117" s="134" t="s">
        <v>76</v>
      </c>
      <c r="F117" s="133" t="s">
        <v>331</v>
      </c>
      <c r="G117" s="133" t="s">
        <v>337</v>
      </c>
      <c r="H117" s="133" t="s">
        <v>337</v>
      </c>
      <c r="I117" s="134" t="s">
        <v>1260</v>
      </c>
      <c r="J117" s="134" t="s">
        <v>1261</v>
      </c>
      <c r="K117" s="134"/>
    </row>
    <row r="118" spans="1:11" ht="12.95" customHeight="1">
      <c r="A118" s="134">
        <v>106</v>
      </c>
      <c r="B118" s="134">
        <v>3</v>
      </c>
      <c r="D118" s="132" t="s">
        <v>711</v>
      </c>
      <c r="E118" s="134" t="s">
        <v>76</v>
      </c>
      <c r="F118" s="133" t="s">
        <v>337</v>
      </c>
      <c r="G118" s="133" t="s">
        <v>337</v>
      </c>
      <c r="H118" s="133" t="s">
        <v>337</v>
      </c>
      <c r="I118" s="134" t="s">
        <v>1260</v>
      </c>
      <c r="J118" s="134" t="s">
        <v>1261</v>
      </c>
      <c r="K118" s="134"/>
    </row>
    <row r="119" spans="1:11" ht="12.95" customHeight="1">
      <c r="A119" s="134">
        <v>107</v>
      </c>
      <c r="B119" s="134">
        <v>4</v>
      </c>
      <c r="D119" s="132" t="s">
        <v>134</v>
      </c>
      <c r="E119" s="134" t="s">
        <v>76</v>
      </c>
      <c r="F119" s="133" t="s">
        <v>337</v>
      </c>
      <c r="G119" s="133" t="s">
        <v>338</v>
      </c>
      <c r="H119" s="133" t="s">
        <v>338</v>
      </c>
      <c r="I119" s="134" t="s">
        <v>1260</v>
      </c>
      <c r="J119" s="134" t="s">
        <v>1261</v>
      </c>
      <c r="K119" s="134"/>
    </row>
    <row r="120" spans="1:11" ht="12.95" customHeight="1">
      <c r="A120" s="134">
        <v>108</v>
      </c>
      <c r="B120" s="134">
        <v>5</v>
      </c>
      <c r="D120" s="132" t="s">
        <v>319</v>
      </c>
      <c r="E120" s="134" t="s">
        <v>76</v>
      </c>
      <c r="G120" s="133" t="s">
        <v>1280</v>
      </c>
      <c r="H120" s="133" t="s">
        <v>1280</v>
      </c>
      <c r="I120" s="134" t="s">
        <v>1260</v>
      </c>
      <c r="J120" s="134" t="s">
        <v>1261</v>
      </c>
      <c r="K120" s="134"/>
    </row>
    <row r="121" spans="1:11" ht="12.95" customHeight="1">
      <c r="A121" s="134">
        <v>109</v>
      </c>
      <c r="B121" s="134">
        <v>6</v>
      </c>
      <c r="D121" s="132" t="s">
        <v>515</v>
      </c>
      <c r="E121" s="134" t="s">
        <v>805</v>
      </c>
      <c r="F121" s="133" t="s">
        <v>1279</v>
      </c>
      <c r="G121" s="133" t="s">
        <v>1302</v>
      </c>
      <c r="H121" s="133" t="s">
        <v>1302</v>
      </c>
      <c r="I121" s="134" t="s">
        <v>1260</v>
      </c>
      <c r="J121" s="134" t="s">
        <v>1261</v>
      </c>
      <c r="K121" s="134"/>
    </row>
    <row r="122" spans="1:11" ht="12.95" customHeight="1">
      <c r="B122" s="154" t="s">
        <v>368</v>
      </c>
    </row>
    <row r="123" spans="1:11" ht="12.95"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5" customHeight="1">
      <c r="A124" s="134">
        <v>111</v>
      </c>
      <c r="B124" s="134">
        <v>2</v>
      </c>
      <c r="C124" s="134"/>
      <c r="D124" s="132" t="s">
        <v>800</v>
      </c>
      <c r="E124" s="135" t="s">
        <v>76</v>
      </c>
      <c r="F124" s="133" t="s">
        <v>391</v>
      </c>
      <c r="G124" s="133" t="s">
        <v>403</v>
      </c>
      <c r="H124" s="133" t="s">
        <v>403</v>
      </c>
      <c r="I124" s="134" t="s">
        <v>1260</v>
      </c>
      <c r="J124" s="134" t="s">
        <v>1261</v>
      </c>
      <c r="K124" s="134"/>
    </row>
    <row r="125" spans="1:11" ht="12.95" customHeight="1">
      <c r="A125" s="134">
        <v>112</v>
      </c>
      <c r="B125" s="134">
        <v>3</v>
      </c>
      <c r="C125" s="134"/>
      <c r="D125" s="132" t="s">
        <v>562</v>
      </c>
      <c r="E125" s="135" t="s">
        <v>76</v>
      </c>
      <c r="F125" s="133" t="s">
        <v>393</v>
      </c>
      <c r="G125" s="133" t="s">
        <v>403</v>
      </c>
      <c r="H125" s="133" t="s">
        <v>403</v>
      </c>
      <c r="I125" s="134" t="s">
        <v>1260</v>
      </c>
      <c r="J125" s="134" t="s">
        <v>1261</v>
      </c>
      <c r="K125" s="134"/>
    </row>
    <row r="126" spans="1:11" ht="12.95" customHeight="1">
      <c r="A126" s="134">
        <v>113</v>
      </c>
      <c r="B126" s="134">
        <v>4</v>
      </c>
      <c r="C126" s="134"/>
      <c r="D126" s="132" t="s">
        <v>334</v>
      </c>
      <c r="E126" s="16" t="s">
        <v>76</v>
      </c>
      <c r="F126" s="133" t="s">
        <v>395</v>
      </c>
      <c r="G126" s="133" t="s">
        <v>397</v>
      </c>
      <c r="H126" s="133" t="s">
        <v>397</v>
      </c>
      <c r="I126" s="134" t="s">
        <v>1260</v>
      </c>
      <c r="J126" s="134" t="s">
        <v>1261</v>
      </c>
      <c r="K126" s="134"/>
    </row>
    <row r="127" spans="1:11" ht="12.95" customHeight="1">
      <c r="A127" s="134">
        <v>114</v>
      </c>
      <c r="B127" s="134">
        <v>5</v>
      </c>
      <c r="D127" s="132" t="s">
        <v>313</v>
      </c>
      <c r="E127" s="16" t="s">
        <v>76</v>
      </c>
      <c r="F127" s="133" t="s">
        <v>397</v>
      </c>
      <c r="G127" s="133" t="s">
        <v>892</v>
      </c>
      <c r="H127" s="133" t="s">
        <v>892</v>
      </c>
      <c r="I127" s="134" t="s">
        <v>1260</v>
      </c>
      <c r="J127" s="134" t="s">
        <v>1261</v>
      </c>
      <c r="K127" s="134"/>
    </row>
    <row r="128" spans="1:11" ht="12.95" customHeight="1">
      <c r="A128" s="134">
        <v>115</v>
      </c>
      <c r="B128" s="134">
        <v>6</v>
      </c>
      <c r="D128" s="132" t="s">
        <v>737</v>
      </c>
      <c r="E128" s="16" t="s">
        <v>76</v>
      </c>
      <c r="F128" s="133" t="s">
        <v>1281</v>
      </c>
      <c r="G128" s="133" t="s">
        <v>1281</v>
      </c>
      <c r="H128" s="133" t="s">
        <v>1281</v>
      </c>
      <c r="I128" s="134" t="s">
        <v>1260</v>
      </c>
      <c r="J128" s="134" t="s">
        <v>1261</v>
      </c>
      <c r="K128" s="134"/>
    </row>
    <row r="129" spans="1:11" ht="12.95" customHeight="1">
      <c r="A129" s="134">
        <v>116</v>
      </c>
      <c r="B129" s="134">
        <v>7</v>
      </c>
      <c r="D129" s="132" t="s">
        <v>430</v>
      </c>
      <c r="E129" s="134" t="s">
        <v>76</v>
      </c>
      <c r="G129" s="133" t="s">
        <v>414</v>
      </c>
      <c r="H129" s="133" t="s">
        <v>414</v>
      </c>
      <c r="I129" s="134" t="s">
        <v>1260</v>
      </c>
      <c r="J129" s="134" t="s">
        <v>1261</v>
      </c>
      <c r="K129" s="134"/>
    </row>
    <row r="130" spans="1:11" ht="12.95" customHeight="1">
      <c r="A130" s="134">
        <v>117</v>
      </c>
      <c r="B130" s="134">
        <v>8</v>
      </c>
      <c r="D130" s="132" t="s">
        <v>722</v>
      </c>
      <c r="E130" s="134" t="s">
        <v>76</v>
      </c>
      <c r="G130" s="133" t="s">
        <v>414</v>
      </c>
      <c r="H130" s="133" t="s">
        <v>414</v>
      </c>
      <c r="I130" s="134" t="s">
        <v>1260</v>
      </c>
      <c r="J130" s="134" t="s">
        <v>1261</v>
      </c>
      <c r="K130" s="134"/>
    </row>
    <row r="131" spans="1:11" ht="12.95" customHeight="1">
      <c r="A131" s="134">
        <v>118</v>
      </c>
      <c r="B131" s="134">
        <v>9</v>
      </c>
      <c r="D131" s="132" t="s">
        <v>848</v>
      </c>
      <c r="E131" s="16" t="s">
        <v>76</v>
      </c>
      <c r="F131" s="133" t="s">
        <v>414</v>
      </c>
      <c r="G131" s="133" t="s">
        <v>410</v>
      </c>
      <c r="H131" s="133" t="s">
        <v>410</v>
      </c>
      <c r="I131" s="134" t="s">
        <v>1260</v>
      </c>
      <c r="J131" s="134" t="s">
        <v>1261</v>
      </c>
      <c r="K131" s="134"/>
    </row>
    <row r="132" spans="1:11" ht="12.95" customHeight="1">
      <c r="A132" s="134">
        <v>119</v>
      </c>
      <c r="B132" s="134">
        <v>10</v>
      </c>
      <c r="D132" s="132" t="s">
        <v>484</v>
      </c>
      <c r="E132" s="16" t="s">
        <v>76</v>
      </c>
      <c r="F132" s="133" t="s">
        <v>414</v>
      </c>
      <c r="G132" s="133" t="s">
        <v>410</v>
      </c>
      <c r="H132" s="133" t="s">
        <v>410</v>
      </c>
      <c r="I132" s="134" t="s">
        <v>1260</v>
      </c>
      <c r="J132" s="134" t="s">
        <v>1261</v>
      </c>
      <c r="K132" s="134"/>
    </row>
    <row r="133" spans="1:11" ht="12.95" customHeight="1">
      <c r="B133" s="154" t="s">
        <v>412</v>
      </c>
    </row>
    <row r="134" spans="1:11" ht="12.95" customHeight="1">
      <c r="A134" s="134">
        <v>120</v>
      </c>
      <c r="B134" s="134">
        <v>1</v>
      </c>
      <c r="C134" s="134"/>
      <c r="D134" s="132" t="s">
        <v>346</v>
      </c>
      <c r="E134" s="134" t="s">
        <v>805</v>
      </c>
      <c r="F134" s="133" t="s">
        <v>417</v>
      </c>
      <c r="G134" s="134" t="s">
        <v>426</v>
      </c>
      <c r="H134" s="134" t="s">
        <v>426</v>
      </c>
      <c r="I134" s="134" t="s">
        <v>1260</v>
      </c>
      <c r="J134" s="134" t="s">
        <v>1261</v>
      </c>
      <c r="K134" s="134"/>
    </row>
    <row r="135" spans="1:11" ht="12.95" customHeight="1">
      <c r="A135" s="134">
        <v>121</v>
      </c>
      <c r="B135" s="134">
        <v>2</v>
      </c>
      <c r="C135" s="134"/>
      <c r="D135" s="132" t="s">
        <v>473</v>
      </c>
      <c r="E135" s="16" t="s">
        <v>243</v>
      </c>
      <c r="F135" s="133" t="s">
        <v>417</v>
      </c>
      <c r="G135" s="133" t="s">
        <v>417</v>
      </c>
      <c r="H135" s="134" t="s">
        <v>1250</v>
      </c>
      <c r="I135" s="134" t="s">
        <v>1260</v>
      </c>
      <c r="J135" s="134" t="s">
        <v>1261</v>
      </c>
      <c r="K135" s="134"/>
    </row>
    <row r="136" spans="1:11" ht="12.95"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5" customHeight="1">
      <c r="A137" s="134">
        <v>123</v>
      </c>
      <c r="B137" s="134">
        <v>4</v>
      </c>
      <c r="C137" s="134"/>
      <c r="D137" s="132" t="s">
        <v>402</v>
      </c>
      <c r="E137" s="134" t="s">
        <v>76</v>
      </c>
      <c r="F137" s="133" t="s">
        <v>431</v>
      </c>
      <c r="G137" s="134" t="s">
        <v>431</v>
      </c>
      <c r="H137" s="134" t="s">
        <v>431</v>
      </c>
      <c r="I137" s="134" t="s">
        <v>1260</v>
      </c>
      <c r="J137" s="134" t="s">
        <v>1261</v>
      </c>
    </row>
    <row r="138" spans="1:11" ht="12.95" customHeight="1">
      <c r="A138" s="134">
        <v>124</v>
      </c>
      <c r="B138" s="134">
        <v>5</v>
      </c>
      <c r="C138" s="134"/>
      <c r="D138" s="132" t="s">
        <v>495</v>
      </c>
      <c r="E138" s="134" t="s">
        <v>76</v>
      </c>
      <c r="F138" s="133" t="s">
        <v>432</v>
      </c>
      <c r="G138" s="133" t="s">
        <v>432</v>
      </c>
      <c r="H138" s="134" t="s">
        <v>434</v>
      </c>
      <c r="I138" s="134" t="s">
        <v>1260</v>
      </c>
      <c r="J138" s="134" t="s">
        <v>1261</v>
      </c>
      <c r="K138" s="134"/>
    </row>
    <row r="139" spans="1:11" ht="12.95" customHeight="1">
      <c r="A139" s="134">
        <v>125</v>
      </c>
      <c r="B139" s="134">
        <v>6</v>
      </c>
      <c r="C139" s="134"/>
      <c r="D139" s="132" t="s">
        <v>497</v>
      </c>
      <c r="E139" s="134" t="s">
        <v>76</v>
      </c>
      <c r="F139" s="133" t="s">
        <v>1250</v>
      </c>
      <c r="G139" s="134" t="s">
        <v>1250</v>
      </c>
      <c r="H139" s="134" t="s">
        <v>434</v>
      </c>
      <c r="I139" s="134" t="s">
        <v>1260</v>
      </c>
      <c r="J139" s="134" t="s">
        <v>1261</v>
      </c>
      <c r="K139" s="134"/>
    </row>
    <row r="140" spans="1:11" ht="12.95" customHeight="1">
      <c r="A140" s="134">
        <v>126</v>
      </c>
      <c r="B140" s="134">
        <v>7</v>
      </c>
      <c r="D140" s="132" t="s">
        <v>882</v>
      </c>
      <c r="E140" s="134" t="s">
        <v>62</v>
      </c>
      <c r="F140" s="133" t="s">
        <v>438</v>
      </c>
      <c r="G140" s="134" t="s">
        <v>438</v>
      </c>
      <c r="H140" s="134" t="s">
        <v>438</v>
      </c>
      <c r="I140" s="134" t="s">
        <v>1260</v>
      </c>
      <c r="J140" s="134" t="s">
        <v>1261</v>
      </c>
      <c r="K140" s="134"/>
    </row>
    <row r="141" spans="1:11" ht="12.95" customHeight="1">
      <c r="A141" s="134">
        <v>127</v>
      </c>
      <c r="B141" s="134">
        <v>8</v>
      </c>
      <c r="C141" s="134"/>
      <c r="D141" s="132" t="s">
        <v>458</v>
      </c>
      <c r="E141" s="134" t="s">
        <v>76</v>
      </c>
      <c r="F141" s="133" t="s">
        <v>438</v>
      </c>
      <c r="G141" s="134" t="s">
        <v>438</v>
      </c>
      <c r="H141" s="134" t="s">
        <v>438</v>
      </c>
      <c r="I141" s="134" t="s">
        <v>1260</v>
      </c>
      <c r="J141" s="134" t="s">
        <v>1261</v>
      </c>
      <c r="K141" s="134"/>
    </row>
    <row r="142" spans="1:11" ht="12.95" customHeight="1">
      <c r="B142" s="154" t="s">
        <v>443</v>
      </c>
    </row>
    <row r="143" spans="1:11" ht="12.95" customHeight="1">
      <c r="A143" s="134">
        <v>128</v>
      </c>
      <c r="B143" s="134">
        <v>1</v>
      </c>
      <c r="C143" s="134"/>
      <c r="D143" s="132" t="s">
        <v>852</v>
      </c>
      <c r="E143" s="134" t="s">
        <v>809</v>
      </c>
      <c r="F143" s="133" t="s">
        <v>913</v>
      </c>
      <c r="G143" s="134" t="s">
        <v>913</v>
      </c>
      <c r="H143" s="134" t="s">
        <v>913</v>
      </c>
      <c r="I143" s="134" t="s">
        <v>1260</v>
      </c>
      <c r="J143" s="134" t="s">
        <v>1261</v>
      </c>
      <c r="K143" s="134"/>
    </row>
    <row r="144" spans="1:11" ht="12.95" customHeight="1">
      <c r="A144" s="134">
        <v>129</v>
      </c>
      <c r="B144" s="134">
        <v>2</v>
      </c>
      <c r="C144" s="134"/>
      <c r="D144" s="132" t="s">
        <v>871</v>
      </c>
      <c r="E144" s="134" t="s">
        <v>62</v>
      </c>
      <c r="F144" s="133" t="s">
        <v>918</v>
      </c>
      <c r="G144" s="134" t="s">
        <v>916</v>
      </c>
      <c r="H144" s="134" t="s">
        <v>916</v>
      </c>
      <c r="I144" s="134" t="s">
        <v>1260</v>
      </c>
      <c r="J144" s="134" t="s">
        <v>1261</v>
      </c>
      <c r="K144" s="134"/>
    </row>
    <row r="145" spans="1:11" ht="12.95" customHeight="1">
      <c r="A145" s="134">
        <v>130</v>
      </c>
      <c r="B145" s="134">
        <v>3</v>
      </c>
      <c r="C145" s="134"/>
      <c r="D145" s="132" t="s">
        <v>490</v>
      </c>
      <c r="E145" s="134" t="s">
        <v>76</v>
      </c>
      <c r="F145" s="133" t="s">
        <v>918</v>
      </c>
      <c r="G145" s="134" t="s">
        <v>918</v>
      </c>
      <c r="H145" s="134" t="s">
        <v>918</v>
      </c>
      <c r="I145" s="134" t="s">
        <v>1260</v>
      </c>
      <c r="J145" s="134" t="s">
        <v>1261</v>
      </c>
      <c r="K145" s="134"/>
    </row>
    <row r="146" spans="1:11" ht="12.95" customHeight="1">
      <c r="A146" s="134">
        <v>131</v>
      </c>
      <c r="B146" s="134">
        <v>4</v>
      </c>
      <c r="C146" s="134"/>
      <c r="D146" s="132" t="s">
        <v>888</v>
      </c>
      <c r="E146" s="134" t="s">
        <v>76</v>
      </c>
      <c r="F146" s="133" t="s">
        <v>918</v>
      </c>
      <c r="G146" s="134" t="s">
        <v>918</v>
      </c>
      <c r="H146" s="134" t="s">
        <v>918</v>
      </c>
      <c r="I146" s="134" t="s">
        <v>1260</v>
      </c>
      <c r="J146" s="134" t="s">
        <v>1261</v>
      </c>
      <c r="K146" s="134"/>
    </row>
    <row r="147" spans="1:11" ht="12.95" customHeight="1">
      <c r="A147" s="134">
        <v>132</v>
      </c>
      <c r="B147" s="134">
        <v>5</v>
      </c>
      <c r="C147" s="134"/>
      <c r="D147" s="132" t="s">
        <v>857</v>
      </c>
      <c r="E147" s="134" t="s">
        <v>76</v>
      </c>
      <c r="F147" s="133" t="s">
        <v>918</v>
      </c>
      <c r="G147" s="134" t="s">
        <v>918</v>
      </c>
      <c r="H147" s="134" t="s">
        <v>918</v>
      </c>
      <c r="I147" s="134" t="s">
        <v>1260</v>
      </c>
      <c r="J147" s="134" t="s">
        <v>1261</v>
      </c>
      <c r="K147" s="134"/>
    </row>
    <row r="148" spans="1:11" ht="12.95" customHeight="1">
      <c r="A148" s="134">
        <v>133</v>
      </c>
      <c r="B148" s="134">
        <v>6</v>
      </c>
      <c r="C148" s="134"/>
      <c r="D148" s="132" t="s">
        <v>378</v>
      </c>
      <c r="E148" s="134" t="s">
        <v>881</v>
      </c>
      <c r="F148" s="134"/>
      <c r="G148" s="134" t="s">
        <v>922</v>
      </c>
      <c r="H148" s="134" t="s">
        <v>922</v>
      </c>
      <c r="I148" s="134" t="s">
        <v>1260</v>
      </c>
      <c r="J148" s="134" t="s">
        <v>1261</v>
      </c>
      <c r="K148" s="134"/>
    </row>
    <row r="149" spans="1:11" ht="12.95" customHeight="1">
      <c r="A149" s="134">
        <v>134</v>
      </c>
      <c r="B149" s="134">
        <v>7</v>
      </c>
      <c r="C149" s="162"/>
      <c r="D149" s="178" t="s">
        <v>861</v>
      </c>
      <c r="E149" s="134" t="s">
        <v>62</v>
      </c>
      <c r="F149" s="134" t="s">
        <v>919</v>
      </c>
      <c r="G149" s="134" t="s">
        <v>919</v>
      </c>
      <c r="H149" s="161" t="s">
        <v>919</v>
      </c>
      <c r="I149" s="134" t="s">
        <v>1260</v>
      </c>
      <c r="J149" s="134" t="s">
        <v>1261</v>
      </c>
      <c r="K149" s="134"/>
    </row>
    <row r="150" spans="1:11" ht="12.95"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5" customHeight="1">
      <c r="A151" s="134">
        <v>136</v>
      </c>
      <c r="B151" s="134">
        <v>9</v>
      </c>
      <c r="D151" s="132" t="s">
        <v>874</v>
      </c>
      <c r="E151" s="134" t="s">
        <v>62</v>
      </c>
      <c r="F151" s="134" t="s">
        <v>919</v>
      </c>
      <c r="G151" s="134" t="s">
        <v>919</v>
      </c>
      <c r="H151" s="134" t="s">
        <v>919</v>
      </c>
      <c r="I151" s="134" t="s">
        <v>1260</v>
      </c>
      <c r="J151" s="134" t="s">
        <v>1261</v>
      </c>
      <c r="K151" s="134"/>
    </row>
    <row r="152" spans="1:11" ht="12.95" customHeight="1">
      <c r="A152" s="134">
        <v>137</v>
      </c>
      <c r="B152" s="134">
        <v>10</v>
      </c>
      <c r="D152" s="132" t="s">
        <v>865</v>
      </c>
      <c r="E152" s="134" t="s">
        <v>62</v>
      </c>
      <c r="F152" s="133" t="s">
        <v>919</v>
      </c>
      <c r="G152" s="134" t="s">
        <v>919</v>
      </c>
      <c r="H152" s="134" t="s">
        <v>919</v>
      </c>
      <c r="I152" s="134" t="s">
        <v>1260</v>
      </c>
      <c r="J152" s="134" t="s">
        <v>1261</v>
      </c>
      <c r="K152" s="134"/>
    </row>
    <row r="153" spans="1:11" ht="12.95" customHeight="1">
      <c r="B153" s="154" t="s">
        <v>935</v>
      </c>
    </row>
    <row r="154" spans="1:11" ht="12.95" customHeight="1">
      <c r="A154" s="134">
        <v>138</v>
      </c>
      <c r="B154" s="134">
        <v>1</v>
      </c>
      <c r="D154" s="132" t="s">
        <v>872</v>
      </c>
      <c r="E154" s="134" t="s">
        <v>76</v>
      </c>
      <c r="F154" s="133" t="s">
        <v>466</v>
      </c>
      <c r="G154" s="134" t="s">
        <v>466</v>
      </c>
      <c r="H154" s="134" t="s">
        <v>466</v>
      </c>
      <c r="I154" s="134" t="s">
        <v>1260</v>
      </c>
      <c r="J154" s="134" t="s">
        <v>1261</v>
      </c>
      <c r="K154" s="134"/>
    </row>
    <row r="155" spans="1:11" ht="12.95" customHeight="1">
      <c r="A155" s="134">
        <v>139</v>
      </c>
      <c r="B155" s="134">
        <v>2</v>
      </c>
      <c r="D155" s="132" t="s">
        <v>394</v>
      </c>
      <c r="E155" s="134" t="s">
        <v>76</v>
      </c>
      <c r="F155" s="133" t="s">
        <v>463</v>
      </c>
      <c r="G155" s="134" t="s">
        <v>463</v>
      </c>
      <c r="H155" s="134" t="s">
        <v>463</v>
      </c>
      <c r="I155" s="134" t="s">
        <v>1260</v>
      </c>
      <c r="J155" s="134" t="s">
        <v>1261</v>
      </c>
      <c r="K155" s="134"/>
    </row>
    <row r="156" spans="1:11" ht="12.95" customHeight="1">
      <c r="A156" s="134">
        <v>140</v>
      </c>
      <c r="B156" s="134">
        <v>3</v>
      </c>
      <c r="D156" s="132" t="s">
        <v>850</v>
      </c>
      <c r="E156" s="134" t="s">
        <v>76</v>
      </c>
      <c r="F156" s="133" t="s">
        <v>951</v>
      </c>
      <c r="G156" s="134" t="s">
        <v>951</v>
      </c>
      <c r="H156" s="134" t="s">
        <v>951</v>
      </c>
      <c r="I156" s="134" t="s">
        <v>1260</v>
      </c>
      <c r="J156" s="134" t="s">
        <v>1261</v>
      </c>
      <c r="K156" s="134"/>
    </row>
    <row r="157" spans="1:11" ht="12.95" customHeight="1">
      <c r="A157" s="134">
        <v>141</v>
      </c>
      <c r="B157" s="134">
        <v>4</v>
      </c>
      <c r="D157" s="132" t="s">
        <v>877</v>
      </c>
      <c r="E157" s="134" t="s">
        <v>62</v>
      </c>
      <c r="F157" s="133" t="s">
        <v>953</v>
      </c>
      <c r="G157" s="134" t="s">
        <v>953</v>
      </c>
      <c r="H157" s="134" t="s">
        <v>953</v>
      </c>
      <c r="I157" s="134" t="s">
        <v>1260</v>
      </c>
      <c r="J157" s="134" t="s">
        <v>1261</v>
      </c>
      <c r="K157" s="134"/>
    </row>
    <row r="158" spans="1:11" ht="12.95" customHeight="1">
      <c r="A158" s="134">
        <v>142</v>
      </c>
      <c r="B158" s="134">
        <v>5</v>
      </c>
      <c r="D158" s="178" t="s">
        <v>864</v>
      </c>
      <c r="E158" s="134" t="s">
        <v>62</v>
      </c>
      <c r="F158" s="133" t="s">
        <v>480</v>
      </c>
      <c r="G158" s="134" t="s">
        <v>480</v>
      </c>
      <c r="H158" s="134" t="s">
        <v>480</v>
      </c>
      <c r="I158" s="134" t="s">
        <v>1260</v>
      </c>
      <c r="J158" s="134" t="s">
        <v>1261</v>
      </c>
      <c r="K158" s="134"/>
    </row>
    <row r="159" spans="1:11" ht="12.95" customHeight="1">
      <c r="A159" s="134">
        <v>143</v>
      </c>
      <c r="B159" s="134">
        <v>6</v>
      </c>
      <c r="D159" s="178" t="s">
        <v>890</v>
      </c>
      <c r="E159" s="134" t="s">
        <v>1319</v>
      </c>
      <c r="F159" s="133" t="s">
        <v>456</v>
      </c>
      <c r="G159" s="134" t="s">
        <v>456</v>
      </c>
      <c r="H159" s="134" t="s">
        <v>456</v>
      </c>
      <c r="I159" s="134" t="s">
        <v>1260</v>
      </c>
      <c r="J159" s="134" t="s">
        <v>1261</v>
      </c>
      <c r="K159" s="134"/>
    </row>
    <row r="160" spans="1:11" ht="12.95" customHeight="1">
      <c r="A160" s="134">
        <v>144</v>
      </c>
      <c r="B160" s="134">
        <v>7</v>
      </c>
      <c r="D160" s="132" t="s">
        <v>806</v>
      </c>
      <c r="E160" s="16" t="s">
        <v>62</v>
      </c>
      <c r="F160" s="161" t="s">
        <v>475</v>
      </c>
      <c r="G160" s="161" t="s">
        <v>475</v>
      </c>
      <c r="H160" s="161" t="s">
        <v>475</v>
      </c>
      <c r="I160" s="134" t="s">
        <v>1260</v>
      </c>
      <c r="J160" s="134" t="s">
        <v>1261</v>
      </c>
      <c r="K160" s="134"/>
    </row>
    <row r="161" spans="1:11" ht="12.95" customHeight="1">
      <c r="A161" s="134">
        <v>145</v>
      </c>
      <c r="B161" s="134">
        <v>8</v>
      </c>
      <c r="D161" s="132" t="s">
        <v>866</v>
      </c>
      <c r="E161" s="134" t="s">
        <v>76</v>
      </c>
      <c r="F161" s="133" t="s">
        <v>927</v>
      </c>
      <c r="G161" s="134" t="s">
        <v>927</v>
      </c>
      <c r="H161" s="134" t="s">
        <v>927</v>
      </c>
      <c r="I161" s="134" t="s">
        <v>1260</v>
      </c>
      <c r="J161" s="134" t="s">
        <v>1261</v>
      </c>
      <c r="K161" s="134"/>
    </row>
    <row r="162" spans="1:11" ht="12.95" customHeight="1">
      <c r="A162" s="134">
        <v>146</v>
      </c>
      <c r="B162" s="134">
        <v>9</v>
      </c>
      <c r="D162" s="132" t="s">
        <v>421</v>
      </c>
      <c r="E162" s="134" t="s">
        <v>243</v>
      </c>
      <c r="F162" s="133" t="s">
        <v>475</v>
      </c>
      <c r="G162" s="134" t="s">
        <v>482</v>
      </c>
      <c r="H162" s="134" t="s">
        <v>482</v>
      </c>
      <c r="I162" s="134" t="s">
        <v>1260</v>
      </c>
      <c r="J162" s="134" t="s">
        <v>1261</v>
      </c>
      <c r="K162" s="134"/>
    </row>
    <row r="163" spans="1:11" ht="12.95" customHeight="1">
      <c r="A163" s="134">
        <v>147</v>
      </c>
      <c r="B163" s="134">
        <v>10</v>
      </c>
      <c r="D163" s="132" t="s">
        <v>934</v>
      </c>
      <c r="E163" s="134" t="s">
        <v>76</v>
      </c>
      <c r="F163" s="133" t="s">
        <v>494</v>
      </c>
      <c r="G163" s="134" t="s">
        <v>494</v>
      </c>
      <c r="H163" s="134" t="s">
        <v>494</v>
      </c>
      <c r="I163" s="134" t="s">
        <v>1260</v>
      </c>
      <c r="J163" s="134" t="s">
        <v>1261</v>
      </c>
      <c r="K163" s="134"/>
    </row>
    <row r="164" spans="1:11" ht="12.95" customHeight="1">
      <c r="A164" s="134">
        <v>148</v>
      </c>
      <c r="B164" s="134">
        <v>11</v>
      </c>
      <c r="D164" s="132" t="s">
        <v>900</v>
      </c>
      <c r="E164" s="134" t="s">
        <v>76</v>
      </c>
      <c r="F164" s="133" t="s">
        <v>494</v>
      </c>
      <c r="G164" s="134" t="s">
        <v>494</v>
      </c>
      <c r="H164" s="134" t="s">
        <v>494</v>
      </c>
      <c r="I164" s="134" t="s">
        <v>1260</v>
      </c>
      <c r="J164" s="134" t="s">
        <v>1261</v>
      </c>
      <c r="K164" s="134"/>
    </row>
    <row r="165" spans="1:11" ht="12.95" customHeight="1">
      <c r="B165" s="203">
        <v>45682</v>
      </c>
    </row>
    <row r="166" spans="1:11" ht="12.95" customHeight="1">
      <c r="A166" s="134">
        <v>149</v>
      </c>
      <c r="B166" s="134">
        <v>1</v>
      </c>
      <c r="D166" s="178" t="s">
        <v>200</v>
      </c>
      <c r="E166" s="134" t="s">
        <v>809</v>
      </c>
      <c r="F166" s="133" t="s">
        <v>467</v>
      </c>
      <c r="G166" s="134" t="s">
        <v>501</v>
      </c>
      <c r="H166" s="134" t="s">
        <v>501</v>
      </c>
      <c r="I166" s="134" t="s">
        <v>1260</v>
      </c>
      <c r="J166" s="134" t="s">
        <v>1261</v>
      </c>
      <c r="K166" s="134"/>
    </row>
    <row r="167" spans="1:11" ht="12.95" customHeight="1">
      <c r="A167" s="134">
        <v>150</v>
      </c>
      <c r="B167" s="134">
        <v>2</v>
      </c>
      <c r="D167" s="132" t="s">
        <v>1284</v>
      </c>
      <c r="E167" s="134" t="s">
        <v>62</v>
      </c>
      <c r="F167" s="133" t="s">
        <v>489</v>
      </c>
      <c r="G167" s="134" t="s">
        <v>498</v>
      </c>
      <c r="H167" s="134" t="s">
        <v>498</v>
      </c>
      <c r="I167" s="134" t="s">
        <v>1260</v>
      </c>
      <c r="J167" s="134" t="s">
        <v>1261</v>
      </c>
      <c r="K167" s="134"/>
    </row>
    <row r="168" spans="1:11" ht="12.95" customHeight="1">
      <c r="A168" s="134">
        <v>151</v>
      </c>
      <c r="B168" s="134">
        <v>3</v>
      </c>
      <c r="D168" s="132" t="s">
        <v>811</v>
      </c>
      <c r="E168" s="134" t="s">
        <v>53</v>
      </c>
      <c r="F168" s="133" t="s">
        <v>491</v>
      </c>
      <c r="G168" s="134" t="s">
        <v>498</v>
      </c>
      <c r="H168" s="134" t="s">
        <v>498</v>
      </c>
      <c r="I168" s="134" t="s">
        <v>1260</v>
      </c>
      <c r="J168" s="134" t="s">
        <v>1261</v>
      </c>
      <c r="K168" s="134"/>
    </row>
    <row r="169" spans="1:11" ht="12.95" customHeight="1">
      <c r="A169" s="134">
        <v>152</v>
      </c>
      <c r="B169" s="134">
        <v>4</v>
      </c>
      <c r="D169" s="132" t="s">
        <v>853</v>
      </c>
      <c r="E169" s="134" t="s">
        <v>76</v>
      </c>
      <c r="F169" s="133" t="s">
        <v>485</v>
      </c>
      <c r="G169" s="134" t="s">
        <v>496</v>
      </c>
      <c r="H169" s="134" t="s">
        <v>496</v>
      </c>
      <c r="I169" s="134" t="s">
        <v>1260</v>
      </c>
      <c r="J169" s="134" t="s">
        <v>1261</v>
      </c>
      <c r="K169" s="134"/>
    </row>
    <row r="170" spans="1:11" ht="12.95" customHeight="1">
      <c r="A170" s="134">
        <v>153</v>
      </c>
      <c r="B170" s="134">
        <v>5</v>
      </c>
      <c r="D170" s="132" t="s">
        <v>867</v>
      </c>
      <c r="E170" s="134"/>
      <c r="F170" s="133" t="s">
        <v>486</v>
      </c>
      <c r="G170" s="134" t="s">
        <v>496</v>
      </c>
      <c r="H170" s="134" t="s">
        <v>496</v>
      </c>
      <c r="I170" s="134" t="s">
        <v>1260</v>
      </c>
      <c r="J170" s="134" t="s">
        <v>1261</v>
      </c>
      <c r="K170" s="134"/>
    </row>
    <row r="171" spans="1:11" ht="12.95" customHeight="1">
      <c r="A171" s="134">
        <v>154</v>
      </c>
      <c r="B171" s="134">
        <v>6</v>
      </c>
      <c r="D171" s="132" t="s">
        <v>818</v>
      </c>
      <c r="E171" s="134" t="s">
        <v>76</v>
      </c>
      <c r="F171" s="133" t="s">
        <v>501</v>
      </c>
      <c r="G171" s="134" t="s">
        <v>496</v>
      </c>
      <c r="H171" s="134" t="s">
        <v>496</v>
      </c>
      <c r="I171" s="134" t="s">
        <v>1260</v>
      </c>
      <c r="J171" s="134" t="s">
        <v>1261</v>
      </c>
      <c r="K171" s="134"/>
    </row>
    <row r="172" spans="1:11" ht="12.95" customHeight="1">
      <c r="A172" s="134">
        <v>155</v>
      </c>
      <c r="B172" s="134">
        <v>7</v>
      </c>
      <c r="D172" s="178" t="s">
        <v>810</v>
      </c>
      <c r="E172" s="137" t="s">
        <v>249</v>
      </c>
      <c r="F172" s="186" t="s">
        <v>496</v>
      </c>
      <c r="G172" s="137" t="s">
        <v>496</v>
      </c>
      <c r="H172" s="137" t="s">
        <v>496</v>
      </c>
      <c r="I172" s="137" t="s">
        <v>1260</v>
      </c>
      <c r="J172" s="137" t="s">
        <v>1261</v>
      </c>
      <c r="K172" s="137"/>
    </row>
    <row r="173" spans="1:11" ht="12.95" customHeight="1">
      <c r="A173" s="134">
        <v>156</v>
      </c>
      <c r="B173" s="134">
        <v>8</v>
      </c>
      <c r="C173" s="134"/>
      <c r="D173" s="132" t="s">
        <v>828</v>
      </c>
      <c r="E173" s="134" t="s">
        <v>53</v>
      </c>
      <c r="F173" s="133" t="s">
        <v>509</v>
      </c>
      <c r="G173" s="134" t="s">
        <v>509</v>
      </c>
      <c r="H173" s="134" t="s">
        <v>509</v>
      </c>
      <c r="I173" s="134" t="s">
        <v>1260</v>
      </c>
      <c r="J173" s="134" t="s">
        <v>1261</v>
      </c>
      <c r="K173" s="134"/>
    </row>
    <row r="174" spans="1:11" ht="12.95" customHeight="1">
      <c r="A174" s="134">
        <v>157</v>
      </c>
      <c r="B174" s="134">
        <v>9</v>
      </c>
      <c r="C174" s="134"/>
      <c r="D174" s="132" t="s">
        <v>920</v>
      </c>
      <c r="E174" s="134" t="s">
        <v>76</v>
      </c>
      <c r="F174" s="134"/>
      <c r="G174" s="133" t="s">
        <v>535</v>
      </c>
      <c r="H174" s="134" t="s">
        <v>535</v>
      </c>
      <c r="I174" s="134" t="s">
        <v>1260</v>
      </c>
      <c r="J174" s="134" t="s">
        <v>1261</v>
      </c>
      <c r="K174" s="134"/>
    </row>
    <row r="175" spans="1:11" ht="12.95" customHeight="1">
      <c r="A175" s="134">
        <v>158</v>
      </c>
      <c r="B175" s="134">
        <v>10</v>
      </c>
      <c r="C175" s="134"/>
      <c r="D175" s="132" t="s">
        <v>493</v>
      </c>
      <c r="E175" s="134" t="s">
        <v>896</v>
      </c>
      <c r="F175" s="134"/>
      <c r="G175" s="133" t="s">
        <v>523</v>
      </c>
      <c r="H175" s="134" t="s">
        <v>523</v>
      </c>
      <c r="I175" s="134" t="s">
        <v>1260</v>
      </c>
      <c r="J175" s="134" t="s">
        <v>1261</v>
      </c>
      <c r="K175" s="134"/>
    </row>
    <row r="176" spans="1:11" ht="12.95" customHeight="1">
      <c r="A176" s="134">
        <v>159</v>
      </c>
      <c r="B176" s="134">
        <v>11</v>
      </c>
      <c r="C176" s="134"/>
      <c r="D176" s="132" t="s">
        <v>814</v>
      </c>
      <c r="E176" s="134" t="s">
        <v>445</v>
      </c>
      <c r="F176" s="133" t="s">
        <v>537</v>
      </c>
      <c r="G176" s="134" t="s">
        <v>544</v>
      </c>
      <c r="H176" s="134" t="s">
        <v>544</v>
      </c>
      <c r="I176" s="134" t="s">
        <v>1260</v>
      </c>
      <c r="J176" s="134" t="s">
        <v>1261</v>
      </c>
      <c r="K176" s="134"/>
    </row>
    <row r="177" spans="1:11" ht="12.95" customHeight="1">
      <c r="A177" s="134">
        <v>160</v>
      </c>
      <c r="B177" s="134">
        <v>12</v>
      </c>
      <c r="C177" s="134"/>
      <c r="D177" s="132" t="s">
        <v>436</v>
      </c>
      <c r="E177" s="134" t="s">
        <v>76</v>
      </c>
      <c r="F177" s="133" t="s">
        <v>548</v>
      </c>
      <c r="G177" s="134" t="s">
        <v>546</v>
      </c>
      <c r="H177" s="134" t="s">
        <v>546</v>
      </c>
      <c r="I177" s="134" t="s">
        <v>1260</v>
      </c>
      <c r="J177" s="134" t="s">
        <v>1261</v>
      </c>
      <c r="K177" s="134"/>
    </row>
    <row r="178" spans="1:11" ht="12.95" customHeight="1">
      <c r="A178" s="134">
        <v>161</v>
      </c>
      <c r="B178" s="134">
        <v>13</v>
      </c>
      <c r="C178" s="134"/>
      <c r="D178" s="132" t="s">
        <v>958</v>
      </c>
      <c r="E178" s="134" t="s">
        <v>896</v>
      </c>
      <c r="F178" s="133"/>
      <c r="G178" s="134" t="s">
        <v>549</v>
      </c>
      <c r="H178" s="134" t="s">
        <v>549</v>
      </c>
      <c r="I178" s="134" t="s">
        <v>1260</v>
      </c>
      <c r="J178" s="134" t="s">
        <v>1261</v>
      </c>
      <c r="K178" s="134"/>
    </row>
    <row r="179" spans="1:11" ht="12.95" customHeight="1">
      <c r="A179" s="134">
        <v>162</v>
      </c>
      <c r="B179" s="134">
        <v>14</v>
      </c>
      <c r="C179" s="134"/>
      <c r="D179" s="132" t="s">
        <v>418</v>
      </c>
      <c r="E179" s="134" t="s">
        <v>305</v>
      </c>
      <c r="F179" s="134"/>
      <c r="G179" s="133" t="s">
        <v>552</v>
      </c>
      <c r="H179" s="134" t="s">
        <v>552</v>
      </c>
      <c r="I179" s="134" t="s">
        <v>1260</v>
      </c>
      <c r="J179" s="134" t="s">
        <v>1261</v>
      </c>
      <c r="K179" s="134"/>
    </row>
    <row r="180" spans="1:11" ht="12.95" customHeight="1">
      <c r="A180" s="134"/>
      <c r="B180" s="527" t="s">
        <v>17</v>
      </c>
      <c r="C180" s="134"/>
      <c r="D180" s="134"/>
      <c r="E180" s="134"/>
      <c r="F180" s="134"/>
      <c r="G180" s="133"/>
      <c r="H180" s="134"/>
      <c r="I180" s="134"/>
      <c r="J180" s="134"/>
      <c r="K180" s="134"/>
    </row>
    <row r="181" spans="1:11" ht="12.95" customHeight="1">
      <c r="A181" s="134">
        <v>163</v>
      </c>
      <c r="B181" s="134">
        <v>1</v>
      </c>
      <c r="C181" s="134"/>
      <c r="D181" s="132" t="s">
        <v>799</v>
      </c>
      <c r="E181" s="134" t="s">
        <v>62</v>
      </c>
      <c r="F181" s="134"/>
      <c r="G181" s="133" t="s">
        <v>975</v>
      </c>
      <c r="H181" s="134" t="s">
        <v>975</v>
      </c>
      <c r="I181" s="134" t="s">
        <v>1260</v>
      </c>
      <c r="J181" s="134" t="s">
        <v>1261</v>
      </c>
      <c r="K181" s="134"/>
    </row>
    <row r="182" spans="1:11" ht="12.95" customHeight="1">
      <c r="A182" s="134">
        <v>164</v>
      </c>
      <c r="B182" s="134">
        <v>2</v>
      </c>
      <c r="C182" s="134"/>
      <c r="D182" s="132" t="s">
        <v>926</v>
      </c>
      <c r="E182" s="134" t="s">
        <v>76</v>
      </c>
      <c r="F182" s="134"/>
      <c r="G182" s="133" t="s">
        <v>975</v>
      </c>
      <c r="H182" s="134" t="s">
        <v>975</v>
      </c>
      <c r="I182" s="134" t="s">
        <v>1260</v>
      </c>
      <c r="J182" s="134" t="s">
        <v>1261</v>
      </c>
      <c r="K182" s="134"/>
    </row>
    <row r="183" spans="1:11" ht="12.95" customHeight="1">
      <c r="A183" s="134">
        <v>165</v>
      </c>
      <c r="B183" s="134">
        <v>3</v>
      </c>
      <c r="C183" s="134"/>
      <c r="D183" s="132" t="s">
        <v>961</v>
      </c>
      <c r="E183" s="134" t="s">
        <v>62</v>
      </c>
      <c r="F183" s="134"/>
      <c r="G183" s="133" t="s">
        <v>568</v>
      </c>
      <c r="H183" s="134" t="s">
        <v>568</v>
      </c>
      <c r="I183" s="134" t="s">
        <v>1260</v>
      </c>
      <c r="J183" s="134" t="s">
        <v>1261</v>
      </c>
      <c r="K183" s="134"/>
    </row>
    <row r="184" spans="1:11" ht="12.95" customHeight="1">
      <c r="A184" s="134">
        <v>166</v>
      </c>
      <c r="B184" s="134">
        <v>4</v>
      </c>
      <c r="C184" s="134"/>
      <c r="D184" s="132" t="s">
        <v>959</v>
      </c>
      <c r="E184" s="134" t="s">
        <v>53</v>
      </c>
      <c r="F184" s="134"/>
      <c r="G184" s="133" t="s">
        <v>979</v>
      </c>
      <c r="H184" s="134" t="s">
        <v>979</v>
      </c>
      <c r="I184" s="134" t="s">
        <v>1260</v>
      </c>
      <c r="J184" s="134" t="s">
        <v>1261</v>
      </c>
      <c r="K184" s="134"/>
    </row>
    <row r="185" spans="1:11" ht="12.95" customHeight="1">
      <c r="A185" s="134">
        <v>167</v>
      </c>
      <c r="B185" s="134">
        <v>5</v>
      </c>
      <c r="C185" s="176"/>
      <c r="D185" s="537" t="s">
        <v>954</v>
      </c>
      <c r="E185" s="541" t="s">
        <v>62</v>
      </c>
      <c r="F185" s="176"/>
      <c r="G185" s="535" t="s">
        <v>1403</v>
      </c>
      <c r="H185" s="535" t="s">
        <v>1403</v>
      </c>
      <c r="I185" s="134" t="s">
        <v>1260</v>
      </c>
      <c r="J185" s="134" t="s">
        <v>1261</v>
      </c>
      <c r="K185" s="176"/>
    </row>
    <row r="186" spans="1:11" ht="12.95" customHeight="1">
      <c r="A186" s="134">
        <v>168</v>
      </c>
      <c r="B186" s="134">
        <v>6</v>
      </c>
      <c r="C186" s="134"/>
      <c r="D186" s="537" t="s">
        <v>949</v>
      </c>
      <c r="E186" s="541" t="s">
        <v>76</v>
      </c>
      <c r="F186" s="134"/>
      <c r="G186" s="535" t="s">
        <v>1665</v>
      </c>
      <c r="H186" s="535" t="s">
        <v>1665</v>
      </c>
      <c r="I186" s="134" t="s">
        <v>1260</v>
      </c>
      <c r="J186" s="134" t="s">
        <v>1261</v>
      </c>
      <c r="K186" s="134"/>
    </row>
    <row r="187" spans="1:11" ht="12.95" customHeight="1">
      <c r="A187" s="134">
        <v>169</v>
      </c>
      <c r="B187" s="134">
        <v>7</v>
      </c>
      <c r="C187" s="134"/>
      <c r="D187" s="132" t="s">
        <v>932</v>
      </c>
      <c r="E187" s="134" t="s">
        <v>62</v>
      </c>
      <c r="F187" s="134"/>
      <c r="G187" s="133" t="s">
        <v>1668</v>
      </c>
      <c r="H187" s="134" t="s">
        <v>1668</v>
      </c>
      <c r="I187" s="134" t="s">
        <v>1260</v>
      </c>
      <c r="J187" s="134" t="s">
        <v>1261</v>
      </c>
      <c r="K187" s="134"/>
    </row>
    <row r="188" spans="1:11" ht="12.95" customHeight="1">
      <c r="A188" s="134">
        <v>170</v>
      </c>
      <c r="B188" s="134">
        <v>8</v>
      </c>
      <c r="C188" s="176"/>
      <c r="D188" s="542" t="s">
        <v>854</v>
      </c>
      <c r="E188" s="534" t="s">
        <v>1139</v>
      </c>
      <c r="F188" s="176"/>
      <c r="G188" s="535" t="s">
        <v>1670</v>
      </c>
      <c r="H188" s="535" t="s">
        <v>1670</v>
      </c>
      <c r="I188" s="134" t="s">
        <v>1260</v>
      </c>
      <c r="J188" s="134" t="s">
        <v>1261</v>
      </c>
      <c r="K188" s="176"/>
    </row>
    <row r="189" spans="1:11" ht="12.95" customHeight="1">
      <c r="A189" s="134">
        <v>171</v>
      </c>
      <c r="B189" s="134">
        <v>9</v>
      </c>
      <c r="C189" s="134"/>
      <c r="D189" s="542" t="s">
        <v>147</v>
      </c>
      <c r="E189" s="534"/>
      <c r="F189" s="535" t="s">
        <v>1688</v>
      </c>
      <c r="G189" s="133" t="s">
        <v>1691</v>
      </c>
      <c r="H189" s="133" t="s">
        <v>1691</v>
      </c>
      <c r="I189" s="536" t="s">
        <v>1260</v>
      </c>
      <c r="J189" s="536" t="s">
        <v>1261</v>
      </c>
      <c r="K189" s="134"/>
    </row>
    <row r="190" spans="1:11" ht="12.95" customHeight="1">
      <c r="A190" s="134">
        <v>172</v>
      </c>
      <c r="B190" s="134">
        <v>10</v>
      </c>
      <c r="D190" s="542" t="s">
        <v>804</v>
      </c>
      <c r="E190" s="134" t="s">
        <v>62</v>
      </c>
      <c r="F190" s="535" t="s">
        <v>1696</v>
      </c>
      <c r="G190" s="133" t="s">
        <v>1703</v>
      </c>
      <c r="H190" s="133" t="s">
        <v>1703</v>
      </c>
      <c r="I190" s="536" t="s">
        <v>1260</v>
      </c>
      <c r="J190" s="536" t="s">
        <v>1261</v>
      </c>
      <c r="K190" s="134"/>
    </row>
    <row r="191" spans="1:11" ht="12.95" customHeight="1">
      <c r="A191" s="134">
        <v>173</v>
      </c>
      <c r="B191" s="134">
        <v>11</v>
      </c>
      <c r="D191" s="542" t="s">
        <v>807</v>
      </c>
      <c r="E191" s="134" t="s">
        <v>62</v>
      </c>
      <c r="F191" s="535" t="s">
        <v>1696</v>
      </c>
      <c r="G191" s="133" t="s">
        <v>1703</v>
      </c>
      <c r="H191" s="133" t="s">
        <v>1703</v>
      </c>
      <c r="I191" s="536" t="s">
        <v>1260</v>
      </c>
      <c r="J191" s="536" t="s">
        <v>1261</v>
      </c>
      <c r="K191" s="134"/>
    </row>
    <row r="192" spans="1:11" ht="12.95" customHeight="1">
      <c r="B192" s="527" t="s">
        <v>17</v>
      </c>
      <c r="D192" s="542"/>
      <c r="E192" s="134"/>
      <c r="F192" s="535"/>
      <c r="G192" s="133"/>
      <c r="H192" s="161"/>
      <c r="I192" s="536"/>
      <c r="J192" s="536"/>
      <c r="K192" s="134"/>
    </row>
    <row r="193" spans="1:11" ht="12.95" customHeight="1">
      <c r="A193" s="134">
        <v>174</v>
      </c>
      <c r="B193" s="134">
        <v>1</v>
      </c>
      <c r="D193" s="542" t="s">
        <v>834</v>
      </c>
      <c r="E193" s="134"/>
      <c r="F193" s="535" t="s">
        <v>1697</v>
      </c>
      <c r="G193" s="133" t="s">
        <v>1706</v>
      </c>
      <c r="H193" s="133" t="s">
        <v>1707</v>
      </c>
      <c r="I193" s="536" t="s">
        <v>1260</v>
      </c>
      <c r="J193" s="536" t="s">
        <v>1261</v>
      </c>
      <c r="K193" s="134"/>
    </row>
    <row r="194" spans="1:11" ht="12.95" customHeight="1">
      <c r="A194" s="134">
        <v>175</v>
      </c>
      <c r="B194" s="134">
        <v>2</v>
      </c>
      <c r="C194" s="134"/>
      <c r="D194" s="542" t="s">
        <v>936</v>
      </c>
      <c r="E194" s="134"/>
      <c r="F194" s="535" t="s">
        <v>1701</v>
      </c>
      <c r="G194" s="133" t="s">
        <v>1706</v>
      </c>
      <c r="H194" s="133" t="s">
        <v>1706</v>
      </c>
      <c r="I194" s="536" t="s">
        <v>1260</v>
      </c>
      <c r="J194" s="536" t="s">
        <v>1261</v>
      </c>
      <c r="K194" s="134"/>
    </row>
    <row r="195" spans="1:11" ht="12.95" customHeight="1">
      <c r="A195" s="134">
        <v>176</v>
      </c>
      <c r="B195" s="134">
        <v>3</v>
      </c>
      <c r="C195" s="134"/>
      <c r="D195" s="542" t="s">
        <v>946</v>
      </c>
      <c r="E195" s="134"/>
      <c r="F195" s="535" t="s">
        <v>1710</v>
      </c>
      <c r="G195" s="535" t="s">
        <v>1710</v>
      </c>
      <c r="H195" s="535" t="s">
        <v>1710</v>
      </c>
      <c r="I195" s="536" t="s">
        <v>1260</v>
      </c>
      <c r="J195" s="536" t="s">
        <v>1261</v>
      </c>
      <c r="K195" s="134"/>
    </row>
    <row r="196" spans="1:11" ht="12.95" customHeight="1">
      <c r="A196" s="134">
        <v>177</v>
      </c>
      <c r="B196" s="134">
        <v>4</v>
      </c>
      <c r="D196" s="542" t="s">
        <v>451</v>
      </c>
      <c r="E196" s="134" t="s">
        <v>76</v>
      </c>
      <c r="F196" s="535" t="s">
        <v>1691</v>
      </c>
      <c r="G196" s="535" t="s">
        <v>1691</v>
      </c>
      <c r="H196" s="535" t="s">
        <v>1691</v>
      </c>
      <c r="I196" s="536" t="s">
        <v>1260</v>
      </c>
      <c r="J196" s="536" t="s">
        <v>1261</v>
      </c>
      <c r="K196" s="134"/>
    </row>
    <row r="197" spans="1:11" ht="12.95" customHeight="1">
      <c r="A197" s="134">
        <v>178</v>
      </c>
      <c r="B197" s="134">
        <v>5</v>
      </c>
      <c r="D197" s="132" t="s">
        <v>924</v>
      </c>
      <c r="E197" s="134" t="s">
        <v>76</v>
      </c>
      <c r="F197" s="133" t="s">
        <v>485</v>
      </c>
      <c r="G197" s="134" t="s">
        <v>485</v>
      </c>
      <c r="H197" s="134" t="s">
        <v>485</v>
      </c>
      <c r="I197" s="134" t="s">
        <v>1260</v>
      </c>
      <c r="J197" s="134" t="s">
        <v>1261</v>
      </c>
      <c r="K197" s="134"/>
    </row>
    <row r="199" spans="1:11" ht="12.95" customHeight="1">
      <c r="A199" s="134">
        <v>179</v>
      </c>
      <c r="B199" s="134">
        <v>1</v>
      </c>
      <c r="C199" s="134"/>
      <c r="D199" s="542" t="s">
        <v>812</v>
      </c>
      <c r="E199" s="134"/>
      <c r="F199" s="535" t="s">
        <v>1714</v>
      </c>
      <c r="G199" s="535" t="s">
        <v>1714</v>
      </c>
      <c r="H199" s="535" t="s">
        <v>1714</v>
      </c>
      <c r="I199" s="536" t="s">
        <v>1260</v>
      </c>
      <c r="J199" s="536" t="s">
        <v>1261</v>
      </c>
      <c r="K199" s="134"/>
    </row>
    <row r="200" spans="1:11" ht="12.95" customHeight="1">
      <c r="A200" s="134">
        <v>180</v>
      </c>
      <c r="B200" s="134">
        <v>2</v>
      </c>
      <c r="C200" s="134"/>
      <c r="D200" s="542" t="s">
        <v>265</v>
      </c>
      <c r="E200" s="134"/>
      <c r="F200" s="535" t="s">
        <v>1721</v>
      </c>
      <c r="G200" s="133" t="s">
        <v>1722</v>
      </c>
      <c r="H200" s="133" t="s">
        <v>1722</v>
      </c>
      <c r="I200" s="536" t="s">
        <v>1260</v>
      </c>
      <c r="J200" s="536" t="s">
        <v>1261</v>
      </c>
      <c r="K200" s="134"/>
    </row>
    <row r="201" spans="1:11" ht="12.95" customHeight="1">
      <c r="A201" s="134">
        <v>181</v>
      </c>
      <c r="B201" s="134">
        <v>6</v>
      </c>
      <c r="C201" s="134"/>
      <c r="D201" s="542" t="s">
        <v>906</v>
      </c>
      <c r="E201" s="134"/>
      <c r="F201" s="535" t="s">
        <v>1725</v>
      </c>
      <c r="G201" s="535" t="s">
        <v>1725</v>
      </c>
      <c r="H201" s="535" t="s">
        <v>1725</v>
      </c>
      <c r="I201" s="536" t="s">
        <v>1260</v>
      </c>
      <c r="J201" s="536" t="s">
        <v>1261</v>
      </c>
      <c r="K201" s="134"/>
    </row>
    <row r="202" spans="1:11" ht="12.95" customHeight="1">
      <c r="A202" s="134">
        <v>182</v>
      </c>
      <c r="B202" s="134">
        <v>7</v>
      </c>
      <c r="C202" s="134"/>
      <c r="D202" s="542" t="s">
        <v>963</v>
      </c>
      <c r="E202" s="134"/>
      <c r="F202" s="535" t="s">
        <v>1726</v>
      </c>
      <c r="G202" s="535" t="s">
        <v>1726</v>
      </c>
      <c r="H202" s="535" t="s">
        <v>1726</v>
      </c>
      <c r="I202" s="536" t="s">
        <v>1260</v>
      </c>
      <c r="J202" s="536" t="s">
        <v>1261</v>
      </c>
      <c r="K202" s="134"/>
    </row>
    <row r="203" spans="1:11" ht="12.95" customHeight="1">
      <c r="A203" s="134">
        <v>183</v>
      </c>
      <c r="B203" s="134">
        <v>8</v>
      </c>
      <c r="C203" s="134"/>
      <c r="D203" s="542" t="s">
        <v>964</v>
      </c>
      <c r="E203" s="134"/>
      <c r="F203" s="535" t="s">
        <v>1727</v>
      </c>
      <c r="G203" s="535" t="s">
        <v>1727</v>
      </c>
      <c r="H203" s="535" t="s">
        <v>1727</v>
      </c>
      <c r="I203" s="536" t="s">
        <v>1260</v>
      </c>
      <c r="J203" s="536" t="s">
        <v>1261</v>
      </c>
      <c r="K203" s="134"/>
    </row>
    <row r="204" spans="1:11" ht="12.95" customHeight="1">
      <c r="A204" s="134">
        <v>184</v>
      </c>
      <c r="B204" s="134">
        <v>4</v>
      </c>
      <c r="C204" s="134"/>
      <c r="D204" s="542" t="s">
        <v>945</v>
      </c>
      <c r="E204" s="134"/>
      <c r="F204" s="535" t="s">
        <v>1715</v>
      </c>
      <c r="G204" s="535" t="s">
        <v>1715</v>
      </c>
      <c r="H204" s="535" t="s">
        <v>1715</v>
      </c>
      <c r="I204" s="536" t="s">
        <v>1260</v>
      </c>
      <c r="J204" s="536" t="s">
        <v>1261</v>
      </c>
      <c r="K204" s="134"/>
    </row>
    <row r="205" spans="1:11" ht="12.95" customHeight="1">
      <c r="A205" s="134">
        <v>185</v>
      </c>
      <c r="B205" s="134">
        <v>5</v>
      </c>
      <c r="D205" s="542" t="s">
        <v>950</v>
      </c>
      <c r="E205" s="134"/>
      <c r="F205" s="535" t="s">
        <v>1712</v>
      </c>
      <c r="G205" s="535" t="s">
        <v>1712</v>
      </c>
      <c r="H205" s="535" t="s">
        <v>1712</v>
      </c>
      <c r="I205" s="536" t="s">
        <v>1260</v>
      </c>
      <c r="J205" s="536" t="s">
        <v>1261</v>
      </c>
      <c r="K205" s="134"/>
    </row>
    <row r="206" spans="1:11" ht="12.95" customHeight="1">
      <c r="A206" s="134">
        <v>186</v>
      </c>
      <c r="B206" s="134">
        <v>9</v>
      </c>
      <c r="C206" s="134"/>
      <c r="D206" s="542" t="s">
        <v>821</v>
      </c>
      <c r="E206" s="134"/>
      <c r="F206" s="535" t="s">
        <v>1729</v>
      </c>
      <c r="G206" s="535" t="s">
        <v>1729</v>
      </c>
      <c r="H206" s="535" t="s">
        <v>1729</v>
      </c>
      <c r="I206" s="536" t="s">
        <v>1260</v>
      </c>
      <c r="J206" s="536" t="s">
        <v>1261</v>
      </c>
      <c r="K206" s="134"/>
    </row>
    <row r="207" spans="1:11" ht="12.95"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15" t="s">
        <v>1255</v>
      </c>
      <c r="B4" s="1515" t="s">
        <v>41</v>
      </c>
      <c r="C4" s="1516" t="s">
        <v>42</v>
      </c>
      <c r="D4" s="1517" t="s">
        <v>43</v>
      </c>
      <c r="E4" s="1517" t="s">
        <v>44</v>
      </c>
      <c r="F4" s="1517" t="s">
        <v>1285</v>
      </c>
      <c r="G4" s="1521" t="s">
        <v>47</v>
      </c>
      <c r="H4" s="1517" t="s">
        <v>1256</v>
      </c>
      <c r="I4" s="1517" t="s">
        <v>1257</v>
      </c>
      <c r="J4" s="1518" t="s">
        <v>49</v>
      </c>
      <c r="K4" s="1518" t="s">
        <v>1258</v>
      </c>
    </row>
    <row r="5" spans="1:11" s="159" customFormat="1" ht="12">
      <c r="A5" s="1515"/>
      <c r="B5" s="1515"/>
      <c r="C5" s="1516"/>
      <c r="D5" s="1517"/>
      <c r="E5" s="1517"/>
      <c r="F5" s="1517"/>
      <c r="G5" s="1521"/>
      <c r="H5" s="1517"/>
      <c r="I5" s="1517"/>
      <c r="J5" s="1518"/>
      <c r="K5" s="1518"/>
    </row>
    <row r="6" spans="1:11" ht="12">
      <c r="A6" s="137">
        <v>1</v>
      </c>
      <c r="B6" s="137">
        <v>1</v>
      </c>
      <c r="D6" s="178" t="s">
        <v>66</v>
      </c>
      <c r="E6" s="137" t="s">
        <v>53</v>
      </c>
      <c r="F6" s="182"/>
      <c r="G6" s="186" t="s">
        <v>815</v>
      </c>
      <c r="H6" s="186" t="s">
        <v>815</v>
      </c>
      <c r="I6" s="137" t="s">
        <v>1260</v>
      </c>
      <c r="J6" s="137" t="s">
        <v>1261</v>
      </c>
      <c r="K6" s="176"/>
    </row>
    <row r="7" spans="1:11" ht="12.95" customHeight="1">
      <c r="A7" s="134">
        <v>2</v>
      </c>
      <c r="B7" s="134">
        <v>2</v>
      </c>
      <c r="C7" s="134"/>
      <c r="D7" s="132" t="s">
        <v>94</v>
      </c>
      <c r="E7" s="134" t="s">
        <v>62</v>
      </c>
      <c r="F7" s="134"/>
      <c r="G7" s="197" t="s">
        <v>244</v>
      </c>
      <c r="H7" s="197" t="s">
        <v>244</v>
      </c>
      <c r="I7" s="134" t="s">
        <v>1260</v>
      </c>
      <c r="J7" s="134" t="s">
        <v>1261</v>
      </c>
      <c r="K7" s="176"/>
    </row>
    <row r="8" spans="1:11" ht="12.95" customHeight="1">
      <c r="A8" s="134"/>
      <c r="B8" s="154" t="s">
        <v>247</v>
      </c>
      <c r="C8" s="134"/>
      <c r="D8" s="134"/>
      <c r="E8" s="134"/>
      <c r="F8" s="134"/>
      <c r="G8" s="133"/>
      <c r="H8" s="134"/>
      <c r="I8" s="134"/>
      <c r="J8" s="134"/>
      <c r="K8" s="176"/>
    </row>
    <row r="9" spans="1:11" ht="12.95" customHeight="1">
      <c r="A9" s="134">
        <v>3</v>
      </c>
      <c r="B9" s="134">
        <v>1</v>
      </c>
      <c r="C9" s="134"/>
      <c r="D9" s="132" t="s">
        <v>101</v>
      </c>
      <c r="E9" s="134" t="s">
        <v>76</v>
      </c>
      <c r="F9" s="134"/>
      <c r="G9" s="133" t="s">
        <v>261</v>
      </c>
      <c r="H9" s="133" t="s">
        <v>261</v>
      </c>
      <c r="I9" s="134" t="s">
        <v>1260</v>
      </c>
      <c r="J9" s="134" t="s">
        <v>1261</v>
      </c>
      <c r="K9" s="176"/>
    </row>
    <row r="10" spans="1:11" ht="12.95" customHeight="1">
      <c r="A10" s="134">
        <v>4</v>
      </c>
      <c r="B10" s="134">
        <v>2</v>
      </c>
      <c r="C10" s="134"/>
      <c r="D10" s="132" t="s">
        <v>87</v>
      </c>
      <c r="E10" s="134" t="s">
        <v>62</v>
      </c>
      <c r="F10" s="176"/>
      <c r="G10" s="133" t="s">
        <v>261</v>
      </c>
      <c r="H10" s="133" t="s">
        <v>261</v>
      </c>
      <c r="I10" s="134" t="s">
        <v>1260</v>
      </c>
      <c r="J10" s="134" t="s">
        <v>1261</v>
      </c>
      <c r="K10" s="176"/>
    </row>
    <row r="11" spans="1:11" ht="12.95" customHeight="1">
      <c r="A11" s="134">
        <v>5</v>
      </c>
      <c r="B11" s="134">
        <v>3</v>
      </c>
      <c r="D11" s="132" t="s">
        <v>106</v>
      </c>
      <c r="E11" s="134" t="s">
        <v>62</v>
      </c>
      <c r="G11" s="133" t="s">
        <v>261</v>
      </c>
      <c r="H11" s="133" t="s">
        <v>261</v>
      </c>
      <c r="I11" s="134" t="s">
        <v>1260</v>
      </c>
      <c r="J11" s="134" t="s">
        <v>1261</v>
      </c>
      <c r="K11" s="176"/>
    </row>
    <row r="12" spans="1:11" ht="12.95" customHeight="1">
      <c r="A12" s="134">
        <v>6</v>
      </c>
      <c r="B12" s="134">
        <v>4</v>
      </c>
      <c r="D12" s="132" t="s">
        <v>96</v>
      </c>
      <c r="E12" s="134" t="s">
        <v>62</v>
      </c>
      <c r="G12" s="133" t="s">
        <v>827</v>
      </c>
      <c r="H12" s="133" t="s">
        <v>258</v>
      </c>
      <c r="I12" s="134" t="s">
        <v>1260</v>
      </c>
      <c r="J12" s="134" t="s">
        <v>1268</v>
      </c>
      <c r="K12" s="176"/>
    </row>
    <row r="13" spans="1:11" ht="12.95" customHeight="1">
      <c r="A13" s="134">
        <v>7</v>
      </c>
      <c r="B13" s="134">
        <v>5</v>
      </c>
      <c r="D13" s="132" t="s">
        <v>81</v>
      </c>
      <c r="E13" s="134" t="s">
        <v>62</v>
      </c>
      <c r="G13" s="133" t="s">
        <v>259</v>
      </c>
      <c r="H13" s="133" t="s">
        <v>259</v>
      </c>
      <c r="I13" s="134" t="s">
        <v>1260</v>
      </c>
      <c r="J13" s="134" t="s">
        <v>1261</v>
      </c>
      <c r="K13" s="176"/>
    </row>
    <row r="14" spans="1:11" ht="12.95" customHeight="1">
      <c r="A14" s="134">
        <v>8</v>
      </c>
      <c r="B14" s="134">
        <v>6</v>
      </c>
      <c r="D14" s="132" t="s">
        <v>102</v>
      </c>
      <c r="E14" s="134" t="s">
        <v>53</v>
      </c>
      <c r="F14" s="176"/>
      <c r="G14" s="133" t="s">
        <v>259</v>
      </c>
      <c r="H14" s="133" t="s">
        <v>259</v>
      </c>
      <c r="I14" s="134" t="s">
        <v>1260</v>
      </c>
      <c r="J14" s="134" t="s">
        <v>1261</v>
      </c>
      <c r="K14" s="176"/>
    </row>
    <row r="15" spans="1:11" ht="12.95" customHeight="1">
      <c r="A15" s="134">
        <v>9</v>
      </c>
      <c r="B15" s="134">
        <v>7</v>
      </c>
      <c r="D15" s="132" t="s">
        <v>75</v>
      </c>
      <c r="E15" s="134" t="s">
        <v>76</v>
      </c>
      <c r="F15" s="176"/>
      <c r="G15" s="133" t="s">
        <v>259</v>
      </c>
      <c r="H15" s="133" t="s">
        <v>259</v>
      </c>
      <c r="I15" s="134" t="s">
        <v>1260</v>
      </c>
      <c r="J15" s="134" t="s">
        <v>1261</v>
      </c>
      <c r="K15" s="176"/>
    </row>
    <row r="16" spans="1:11" ht="12.95" customHeight="1">
      <c r="A16" s="134">
        <v>10</v>
      </c>
      <c r="B16" s="134">
        <v>8</v>
      </c>
      <c r="D16" s="132" t="s">
        <v>72</v>
      </c>
      <c r="E16" s="134" t="s">
        <v>62</v>
      </c>
      <c r="F16" s="134"/>
      <c r="G16" s="133" t="s">
        <v>262</v>
      </c>
      <c r="H16" s="133" t="s">
        <v>262</v>
      </c>
      <c r="I16" s="134" t="s">
        <v>1260</v>
      </c>
      <c r="J16" s="134" t="s">
        <v>1261</v>
      </c>
      <c r="K16" s="176"/>
    </row>
    <row r="17" spans="1:11" ht="12.95" customHeight="1">
      <c r="A17" s="134">
        <v>11</v>
      </c>
      <c r="B17" s="134">
        <v>9</v>
      </c>
      <c r="D17" s="132" t="s">
        <v>68</v>
      </c>
      <c r="E17" s="140" t="s">
        <v>62</v>
      </c>
      <c r="G17" s="133" t="s">
        <v>262</v>
      </c>
      <c r="H17" s="133" t="s">
        <v>262</v>
      </c>
      <c r="I17" s="134" t="s">
        <v>1260</v>
      </c>
      <c r="J17" s="134" t="s">
        <v>1261</v>
      </c>
      <c r="K17" s="176"/>
    </row>
    <row r="18" spans="1:11" ht="12.95" customHeight="1">
      <c r="A18" s="134">
        <v>12</v>
      </c>
      <c r="B18" s="134">
        <v>10</v>
      </c>
      <c r="D18" s="132" t="s">
        <v>137</v>
      </c>
      <c r="E18" s="140" t="s">
        <v>76</v>
      </c>
      <c r="G18" s="134" t="s">
        <v>272</v>
      </c>
      <c r="H18" s="134" t="s">
        <v>272</v>
      </c>
      <c r="I18" s="134" t="s">
        <v>1260</v>
      </c>
      <c r="J18" s="134" t="s">
        <v>1261</v>
      </c>
      <c r="K18" s="176"/>
    </row>
    <row r="19" spans="1:11" ht="12.95" customHeight="1">
      <c r="A19" s="134">
        <v>13</v>
      </c>
      <c r="B19" s="134">
        <v>11</v>
      </c>
      <c r="D19" s="132" t="s">
        <v>133</v>
      </c>
      <c r="E19" s="140" t="s">
        <v>62</v>
      </c>
      <c r="G19" s="134" t="s">
        <v>272</v>
      </c>
      <c r="H19" s="134" t="s">
        <v>272</v>
      </c>
      <c r="I19" s="134" t="s">
        <v>1260</v>
      </c>
      <c r="J19" s="134" t="s">
        <v>1261</v>
      </c>
      <c r="K19" s="176"/>
    </row>
    <row r="20" spans="1:11" ht="12.95" customHeight="1">
      <c r="A20" s="134">
        <v>14</v>
      </c>
      <c r="B20" s="134">
        <v>12</v>
      </c>
      <c r="C20" s="162"/>
      <c r="D20" s="132" t="s">
        <v>123</v>
      </c>
      <c r="E20" s="140" t="s">
        <v>76</v>
      </c>
      <c r="G20" s="134" t="s">
        <v>272</v>
      </c>
      <c r="H20" s="134" t="s">
        <v>272</v>
      </c>
      <c r="I20" s="134" t="s">
        <v>1260</v>
      </c>
      <c r="J20" s="134" t="s">
        <v>1268</v>
      </c>
      <c r="K20" s="176"/>
    </row>
    <row r="21" spans="1:11" ht="12.95" customHeight="1">
      <c r="A21" s="134">
        <v>15</v>
      </c>
      <c r="B21" s="134">
        <v>13</v>
      </c>
      <c r="C21" s="162"/>
      <c r="D21" s="132" t="s">
        <v>162</v>
      </c>
      <c r="E21" s="134" t="s">
        <v>62</v>
      </c>
      <c r="G21" s="133" t="s">
        <v>269</v>
      </c>
      <c r="H21" s="133" t="s">
        <v>269</v>
      </c>
      <c r="I21" s="134" t="s">
        <v>1260</v>
      </c>
      <c r="J21" s="134" t="s">
        <v>1268</v>
      </c>
      <c r="K21" s="176"/>
    </row>
    <row r="22" spans="1:11" ht="12.95" customHeight="1">
      <c r="A22" s="134">
        <v>16</v>
      </c>
      <c r="B22" s="134">
        <v>14</v>
      </c>
      <c r="C22" s="162"/>
      <c r="D22" s="132" t="s">
        <v>146</v>
      </c>
      <c r="E22" s="140" t="s">
        <v>62</v>
      </c>
      <c r="G22" s="134" t="s">
        <v>270</v>
      </c>
      <c r="H22" s="134" t="s">
        <v>270</v>
      </c>
      <c r="I22" s="134" t="s">
        <v>1260</v>
      </c>
      <c r="J22" s="134" t="s">
        <v>1261</v>
      </c>
      <c r="K22" s="176"/>
    </row>
    <row r="23" spans="1:11" ht="12.95" customHeight="1">
      <c r="A23" s="134">
        <v>17</v>
      </c>
      <c r="B23" s="134">
        <v>15</v>
      </c>
      <c r="C23" s="162"/>
      <c r="D23" s="132" t="s">
        <v>150</v>
      </c>
      <c r="E23" s="140" t="s">
        <v>62</v>
      </c>
      <c r="G23" s="134" t="s">
        <v>270</v>
      </c>
      <c r="H23" s="134" t="s">
        <v>270</v>
      </c>
      <c r="I23" s="134" t="s">
        <v>1260</v>
      </c>
      <c r="J23" s="134" t="s">
        <v>1261</v>
      </c>
      <c r="K23" s="176"/>
    </row>
    <row r="24" spans="1:11" ht="12.95" customHeight="1">
      <c r="A24" s="134">
        <v>18</v>
      </c>
      <c r="B24" s="134">
        <v>16</v>
      </c>
      <c r="C24" s="162"/>
      <c r="D24" s="132" t="s">
        <v>95</v>
      </c>
      <c r="E24" s="134" t="s">
        <v>76</v>
      </c>
      <c r="G24" s="134" t="s">
        <v>274</v>
      </c>
      <c r="H24" s="134" t="s">
        <v>274</v>
      </c>
      <c r="I24" s="134" t="s">
        <v>1260</v>
      </c>
      <c r="J24" s="134" t="s">
        <v>1268</v>
      </c>
      <c r="K24" s="176"/>
    </row>
    <row r="25" spans="1:11" ht="12.95" customHeight="1">
      <c r="A25" s="134">
        <v>19</v>
      </c>
      <c r="B25" s="134">
        <v>17</v>
      </c>
      <c r="C25" s="162"/>
      <c r="D25" s="132" t="s">
        <v>163</v>
      </c>
      <c r="E25" s="140" t="s">
        <v>76</v>
      </c>
      <c r="G25" s="134" t="s">
        <v>274</v>
      </c>
      <c r="H25" s="134" t="s">
        <v>274</v>
      </c>
      <c r="I25" s="134" t="s">
        <v>1260</v>
      </c>
      <c r="J25" s="134" t="s">
        <v>1261</v>
      </c>
      <c r="K25" s="176"/>
    </row>
    <row r="26" spans="1:11" ht="12.95" customHeight="1">
      <c r="A26" s="134">
        <v>20</v>
      </c>
      <c r="B26" s="134">
        <v>18</v>
      </c>
      <c r="C26" s="162"/>
      <c r="D26" s="132" t="s">
        <v>118</v>
      </c>
      <c r="E26" s="140" t="s">
        <v>76</v>
      </c>
      <c r="G26" s="134" t="s">
        <v>272</v>
      </c>
      <c r="H26" s="134" t="s">
        <v>272</v>
      </c>
      <c r="I26" s="134" t="s">
        <v>1260</v>
      </c>
      <c r="J26" s="134" t="s">
        <v>1261</v>
      </c>
      <c r="K26" s="176"/>
    </row>
    <row r="27" spans="1:11" ht="12.95" customHeight="1">
      <c r="A27" s="134">
        <v>21</v>
      </c>
      <c r="B27" s="134">
        <v>19</v>
      </c>
      <c r="D27" s="132" t="s">
        <v>105</v>
      </c>
      <c r="E27" s="134" t="s">
        <v>62</v>
      </c>
      <c r="G27" s="133" t="s">
        <v>275</v>
      </c>
      <c r="H27" s="133" t="s">
        <v>275</v>
      </c>
      <c r="I27" s="134" t="s">
        <v>1260</v>
      </c>
      <c r="J27" s="134" t="s">
        <v>1261</v>
      </c>
      <c r="K27" s="176"/>
    </row>
    <row r="28" spans="1:11" ht="12.95" customHeight="1">
      <c r="A28" s="134">
        <v>22</v>
      </c>
      <c r="B28" s="134">
        <v>20</v>
      </c>
      <c r="D28" s="132" t="s">
        <v>71</v>
      </c>
      <c r="E28" s="134" t="s">
        <v>62</v>
      </c>
      <c r="F28" s="134"/>
      <c r="G28" s="133" t="s">
        <v>275</v>
      </c>
      <c r="H28" s="133" t="s">
        <v>275</v>
      </c>
      <c r="I28" s="134" t="s">
        <v>1260</v>
      </c>
      <c r="J28" s="134" t="s">
        <v>1261</v>
      </c>
      <c r="K28" s="176"/>
    </row>
    <row r="29" spans="1:11" ht="12.95" customHeight="1">
      <c r="A29" s="134">
        <v>23</v>
      </c>
      <c r="B29" s="134">
        <v>21</v>
      </c>
      <c r="D29" s="132" t="s">
        <v>91</v>
      </c>
      <c r="E29" s="134" t="s">
        <v>62</v>
      </c>
      <c r="G29" s="133" t="s">
        <v>275</v>
      </c>
      <c r="H29" s="133" t="s">
        <v>275</v>
      </c>
      <c r="I29" s="134" t="s">
        <v>1260</v>
      </c>
      <c r="J29" s="134" t="s">
        <v>1268</v>
      </c>
      <c r="K29" s="176"/>
    </row>
    <row r="30" spans="1:11" ht="12.95" customHeight="1">
      <c r="A30" s="134">
        <v>24</v>
      </c>
      <c r="B30" s="134">
        <v>22</v>
      </c>
      <c r="D30" s="178" t="s">
        <v>136</v>
      </c>
      <c r="E30" s="137" t="s">
        <v>76</v>
      </c>
      <c r="G30" s="137" t="s">
        <v>278</v>
      </c>
      <c r="H30" s="137" t="s">
        <v>278</v>
      </c>
      <c r="I30" s="134" t="s">
        <v>1260</v>
      </c>
      <c r="J30" s="137" t="s">
        <v>1261</v>
      </c>
      <c r="K30" s="182"/>
    </row>
    <row r="31" spans="1:11" ht="12.95" customHeight="1">
      <c r="A31" s="134">
        <v>25</v>
      </c>
      <c r="B31" s="134">
        <v>23</v>
      </c>
      <c r="C31" s="176"/>
      <c r="D31" s="132" t="s">
        <v>127</v>
      </c>
      <c r="E31" s="140" t="s">
        <v>76</v>
      </c>
      <c r="F31" s="176"/>
      <c r="G31" s="134" t="s">
        <v>278</v>
      </c>
      <c r="H31" s="134" t="s">
        <v>278</v>
      </c>
      <c r="I31" s="134" t="s">
        <v>1260</v>
      </c>
      <c r="J31" s="134" t="s">
        <v>1261</v>
      </c>
      <c r="K31" s="176"/>
    </row>
    <row r="32" spans="1:11" ht="12.95" customHeight="1">
      <c r="A32" s="134">
        <v>26</v>
      </c>
      <c r="B32" s="134">
        <v>24</v>
      </c>
      <c r="D32" s="132" t="s">
        <v>204</v>
      </c>
      <c r="E32" s="134" t="s">
        <v>62</v>
      </c>
      <c r="G32" s="134" t="s">
        <v>1271</v>
      </c>
      <c r="H32" s="134" t="s">
        <v>1271</v>
      </c>
      <c r="I32" s="134" t="s">
        <v>1260</v>
      </c>
      <c r="J32" s="134" t="s">
        <v>1261</v>
      </c>
      <c r="K32" s="134"/>
    </row>
    <row r="33" spans="1:11" ht="12.95" customHeight="1">
      <c r="A33" s="134">
        <v>27</v>
      </c>
      <c r="B33" s="134">
        <v>25</v>
      </c>
      <c r="D33" s="132" t="s">
        <v>144</v>
      </c>
      <c r="E33" s="134" t="s">
        <v>76</v>
      </c>
      <c r="G33" s="134" t="s">
        <v>1271</v>
      </c>
      <c r="H33" s="134" t="s">
        <v>1271</v>
      </c>
      <c r="I33" s="134" t="s">
        <v>1260</v>
      </c>
      <c r="J33" s="134" t="s">
        <v>1261</v>
      </c>
      <c r="K33" s="134"/>
    </row>
    <row r="34" spans="1:11" ht="12.95" customHeight="1">
      <c r="A34" s="134">
        <v>28</v>
      </c>
      <c r="B34" s="134">
        <v>26</v>
      </c>
      <c r="D34" s="132" t="s">
        <v>79</v>
      </c>
      <c r="E34" s="134" t="s">
        <v>76</v>
      </c>
      <c r="G34" s="134" t="s">
        <v>1271</v>
      </c>
      <c r="H34" s="134" t="s">
        <v>1271</v>
      </c>
      <c r="I34" s="134" t="s">
        <v>1260</v>
      </c>
      <c r="J34" s="134" t="s">
        <v>1261</v>
      </c>
      <c r="K34" s="134"/>
    </row>
    <row r="35" spans="1:11" ht="12.95" customHeight="1">
      <c r="A35" s="134">
        <v>29</v>
      </c>
      <c r="B35" s="134">
        <v>27</v>
      </c>
      <c r="D35" s="132" t="s">
        <v>134</v>
      </c>
      <c r="E35" s="140" t="s">
        <v>76</v>
      </c>
      <c r="G35" s="134" t="s">
        <v>279</v>
      </c>
      <c r="H35" s="134" t="s">
        <v>279</v>
      </c>
      <c r="I35" s="134" t="s">
        <v>1260</v>
      </c>
      <c r="J35" s="134" t="s">
        <v>1261</v>
      </c>
      <c r="K35" s="134"/>
    </row>
    <row r="36" spans="1:11" ht="12.95" customHeight="1">
      <c r="A36" s="134">
        <v>30</v>
      </c>
      <c r="B36" s="134">
        <v>28</v>
      </c>
      <c r="D36" s="132" t="s">
        <v>151</v>
      </c>
      <c r="E36" s="140" t="s">
        <v>76</v>
      </c>
      <c r="G36" s="134" t="s">
        <v>282</v>
      </c>
      <c r="H36" s="134" t="s">
        <v>282</v>
      </c>
      <c r="I36" s="134" t="s">
        <v>1260</v>
      </c>
      <c r="J36" s="134" t="s">
        <v>1261</v>
      </c>
      <c r="K36" s="134"/>
    </row>
    <row r="37" spans="1:11" ht="12.95" customHeight="1">
      <c r="B37" s="154" t="s">
        <v>1233</v>
      </c>
    </row>
    <row r="38" spans="1:11" ht="12.95" customHeight="1">
      <c r="A38" s="134">
        <v>31</v>
      </c>
      <c r="B38" s="134">
        <v>1</v>
      </c>
      <c r="D38" s="132" t="s">
        <v>215</v>
      </c>
      <c r="E38" s="140" t="s">
        <v>249</v>
      </c>
      <c r="G38" s="134" t="s">
        <v>288</v>
      </c>
      <c r="H38" s="134" t="s">
        <v>288</v>
      </c>
      <c r="I38" s="134" t="s">
        <v>1260</v>
      </c>
      <c r="J38" s="134" t="s">
        <v>1261</v>
      </c>
      <c r="K38" s="134"/>
    </row>
    <row r="39" spans="1:11" ht="12.95" customHeight="1">
      <c r="A39" s="134">
        <v>32</v>
      </c>
      <c r="B39" s="134">
        <v>2</v>
      </c>
      <c r="D39" s="132" t="s">
        <v>193</v>
      </c>
      <c r="E39" s="140" t="s">
        <v>76</v>
      </c>
      <c r="F39" s="176"/>
      <c r="G39" s="134" t="s">
        <v>1287</v>
      </c>
      <c r="H39" s="134" t="s">
        <v>1287</v>
      </c>
      <c r="I39" s="134" t="s">
        <v>1260</v>
      </c>
      <c r="J39" s="134" t="s">
        <v>1261</v>
      </c>
      <c r="K39" s="134"/>
    </row>
    <row r="40" spans="1:11" ht="12.95" customHeight="1">
      <c r="A40" s="137">
        <v>33</v>
      </c>
      <c r="B40" s="137">
        <v>3</v>
      </c>
      <c r="D40" s="178" t="s">
        <v>147</v>
      </c>
      <c r="E40" s="179" t="s">
        <v>76</v>
      </c>
      <c r="G40" s="137" t="s">
        <v>1287</v>
      </c>
      <c r="H40" s="137" t="s">
        <v>1287</v>
      </c>
      <c r="I40" s="137" t="s">
        <v>1260</v>
      </c>
      <c r="J40" s="137" t="s">
        <v>1261</v>
      </c>
      <c r="K40" s="137"/>
    </row>
    <row r="41" spans="1:11" ht="12.95" customHeight="1">
      <c r="A41" s="134">
        <v>34</v>
      </c>
      <c r="B41" s="134">
        <v>4</v>
      </c>
      <c r="C41" s="134"/>
      <c r="D41" s="132" t="s">
        <v>148</v>
      </c>
      <c r="E41" s="140" t="s">
        <v>1269</v>
      </c>
      <c r="F41" s="134"/>
      <c r="G41" s="134" t="s">
        <v>1290</v>
      </c>
      <c r="H41" s="134" t="s">
        <v>1290</v>
      </c>
      <c r="I41" s="134" t="s">
        <v>1260</v>
      </c>
      <c r="J41" s="134" t="s">
        <v>1268</v>
      </c>
      <c r="K41" s="134"/>
    </row>
    <row r="42" spans="1:11" ht="12.95" customHeight="1">
      <c r="A42" s="134">
        <v>35</v>
      </c>
      <c r="B42" s="134">
        <v>5</v>
      </c>
      <c r="C42" s="134"/>
      <c r="D42" s="132" t="s">
        <v>164</v>
      </c>
      <c r="E42" s="134" t="s">
        <v>62</v>
      </c>
      <c r="F42" s="134"/>
      <c r="G42" s="133" t="s">
        <v>832</v>
      </c>
      <c r="H42" s="134" t="s">
        <v>1291</v>
      </c>
      <c r="I42" s="134" t="s">
        <v>1260</v>
      </c>
      <c r="J42" s="134" t="s">
        <v>1261</v>
      </c>
      <c r="K42" s="134"/>
    </row>
    <row r="43" spans="1:11" ht="12.95" customHeight="1">
      <c r="B43" s="154" t="s">
        <v>303</v>
      </c>
    </row>
    <row r="44" spans="1:11" ht="12.95" customHeight="1">
      <c r="A44" s="134">
        <v>36</v>
      </c>
      <c r="B44" s="134">
        <v>1</v>
      </c>
      <c r="C44" s="134"/>
      <c r="D44" s="132" t="s">
        <v>129</v>
      </c>
      <c r="E44" s="134" t="s">
        <v>76</v>
      </c>
      <c r="F44" s="134"/>
      <c r="G44" s="133" t="s">
        <v>1320</v>
      </c>
      <c r="H44" s="134" t="s">
        <v>1320</v>
      </c>
      <c r="I44" s="134" t="s">
        <v>1260</v>
      </c>
      <c r="J44" s="134" t="s">
        <v>1261</v>
      </c>
      <c r="K44" s="134"/>
    </row>
    <row r="45" spans="1:11" ht="12.95" customHeight="1">
      <c r="A45" s="134">
        <v>37</v>
      </c>
      <c r="B45" s="134">
        <v>2</v>
      </c>
      <c r="C45" s="134"/>
      <c r="D45" s="132" t="s">
        <v>182</v>
      </c>
      <c r="E45" s="134" t="s">
        <v>62</v>
      </c>
      <c r="F45" s="134"/>
      <c r="G45" s="133" t="s">
        <v>1320</v>
      </c>
      <c r="H45" s="134" t="s">
        <v>1320</v>
      </c>
      <c r="I45" s="134" t="s">
        <v>1260</v>
      </c>
      <c r="J45" s="134" t="s">
        <v>1261</v>
      </c>
      <c r="K45" s="134"/>
    </row>
    <row r="46" spans="1:11" ht="12.95" customHeight="1">
      <c r="A46" s="134">
        <v>38</v>
      </c>
      <c r="B46" s="134">
        <v>3</v>
      </c>
      <c r="D46" s="132" t="s">
        <v>180</v>
      </c>
      <c r="E46" s="134" t="s">
        <v>53</v>
      </c>
      <c r="F46" s="134"/>
      <c r="G46" s="133" t="s">
        <v>1320</v>
      </c>
      <c r="H46" s="134" t="s">
        <v>1320</v>
      </c>
      <c r="I46" s="134" t="s">
        <v>1260</v>
      </c>
      <c r="J46" s="134" t="s">
        <v>1268</v>
      </c>
      <c r="K46" s="134"/>
    </row>
    <row r="47" spans="1:11" ht="12.95" customHeight="1">
      <c r="A47" s="134">
        <v>39</v>
      </c>
      <c r="B47" s="134">
        <v>4</v>
      </c>
      <c r="D47" s="132" t="s">
        <v>159</v>
      </c>
      <c r="E47" s="140" t="s">
        <v>62</v>
      </c>
      <c r="F47" s="162"/>
      <c r="G47" s="133" t="s">
        <v>1320</v>
      </c>
      <c r="H47" s="134" t="s">
        <v>1320</v>
      </c>
      <c r="I47" s="134" t="s">
        <v>1260</v>
      </c>
      <c r="J47" s="134" t="s">
        <v>1261</v>
      </c>
      <c r="K47" s="134"/>
    </row>
    <row r="48" spans="1:11" ht="12.95" customHeight="1">
      <c r="A48" s="134">
        <v>40</v>
      </c>
      <c r="B48" s="134">
        <v>5</v>
      </c>
      <c r="D48" s="132" t="s">
        <v>122</v>
      </c>
      <c r="E48" s="140" t="s">
        <v>76</v>
      </c>
      <c r="F48" s="162"/>
      <c r="G48" s="133" t="s">
        <v>308</v>
      </c>
      <c r="H48" s="134" t="s">
        <v>308</v>
      </c>
      <c r="I48" s="134" t="s">
        <v>1260</v>
      </c>
      <c r="J48" s="134" t="s">
        <v>1261</v>
      </c>
      <c r="K48" s="134"/>
    </row>
    <row r="49" spans="1:11" ht="12.95" customHeight="1">
      <c r="A49" s="134">
        <v>41</v>
      </c>
      <c r="B49" s="134">
        <v>6</v>
      </c>
      <c r="D49" s="132" t="s">
        <v>178</v>
      </c>
      <c r="E49" s="140" t="s">
        <v>62</v>
      </c>
      <c r="G49" s="133" t="s">
        <v>1293</v>
      </c>
      <c r="H49" s="133" t="s">
        <v>1293</v>
      </c>
      <c r="I49" s="134" t="s">
        <v>1260</v>
      </c>
      <c r="J49" s="134" t="s">
        <v>1261</v>
      </c>
      <c r="K49" s="134"/>
    </row>
    <row r="50" spans="1:11" ht="12.95" customHeight="1">
      <c r="A50" s="134">
        <v>42</v>
      </c>
      <c r="B50" s="134">
        <v>7</v>
      </c>
      <c r="D50" s="132" t="s">
        <v>251</v>
      </c>
      <c r="E50" s="134" t="s">
        <v>76</v>
      </c>
      <c r="G50" s="133" t="s">
        <v>1293</v>
      </c>
      <c r="H50" s="133" t="s">
        <v>1293</v>
      </c>
      <c r="I50" s="134" t="s">
        <v>1260</v>
      </c>
      <c r="J50" s="134" t="s">
        <v>1261</v>
      </c>
      <c r="K50" s="134"/>
    </row>
    <row r="51" spans="1:11" ht="12.95" customHeight="1">
      <c r="A51" s="134">
        <v>43</v>
      </c>
      <c r="B51" s="134">
        <v>8</v>
      </c>
      <c r="D51" s="132" t="s">
        <v>201</v>
      </c>
      <c r="E51" s="134" t="s">
        <v>62</v>
      </c>
      <c r="F51" s="134"/>
      <c r="G51" s="133" t="s">
        <v>1293</v>
      </c>
      <c r="H51" s="133" t="s">
        <v>1293</v>
      </c>
      <c r="I51" s="134" t="s">
        <v>1260</v>
      </c>
      <c r="J51" s="134" t="s">
        <v>1261</v>
      </c>
      <c r="K51" s="134"/>
    </row>
    <row r="52" spans="1:11" ht="12.95" customHeight="1">
      <c r="A52" s="134">
        <v>44</v>
      </c>
      <c r="B52" s="134">
        <v>9</v>
      </c>
      <c r="D52" s="132" t="s">
        <v>200</v>
      </c>
      <c r="E52" s="140" t="s">
        <v>76</v>
      </c>
      <c r="G52" s="133" t="s">
        <v>314</v>
      </c>
      <c r="H52" s="133" t="s">
        <v>314</v>
      </c>
      <c r="I52" s="134" t="s">
        <v>1260</v>
      </c>
      <c r="J52" s="134" t="s">
        <v>1261</v>
      </c>
      <c r="K52" s="134"/>
    </row>
    <row r="53" spans="1:11" ht="12.95" customHeight="1">
      <c r="A53" s="134">
        <v>45</v>
      </c>
      <c r="B53" s="134">
        <v>10</v>
      </c>
      <c r="D53" s="132" t="s">
        <v>188</v>
      </c>
      <c r="E53" s="140" t="s">
        <v>76</v>
      </c>
      <c r="F53" s="134"/>
      <c r="G53" s="133" t="s">
        <v>314</v>
      </c>
      <c r="H53" s="133" t="s">
        <v>314</v>
      </c>
      <c r="I53" s="134" t="s">
        <v>1260</v>
      </c>
      <c r="J53" s="134" t="s">
        <v>1261</v>
      </c>
      <c r="K53" s="134"/>
    </row>
    <row r="54" spans="1:11" ht="12.95" customHeight="1">
      <c r="A54" s="134">
        <v>46</v>
      </c>
      <c r="B54" s="134">
        <v>11</v>
      </c>
      <c r="D54" s="132" t="s">
        <v>242</v>
      </c>
      <c r="E54" s="134" t="s">
        <v>243</v>
      </c>
      <c r="G54" s="133" t="s">
        <v>1318</v>
      </c>
      <c r="H54" s="133" t="s">
        <v>1318</v>
      </c>
      <c r="I54" s="134" t="s">
        <v>1260</v>
      </c>
      <c r="J54" s="134" t="s">
        <v>1261</v>
      </c>
      <c r="K54" s="134"/>
    </row>
    <row r="55" spans="1:11" ht="12.95" customHeight="1">
      <c r="A55" s="134">
        <v>47</v>
      </c>
      <c r="B55" s="134">
        <v>12</v>
      </c>
      <c r="D55" s="132" t="s">
        <v>83</v>
      </c>
      <c r="E55" s="134" t="s">
        <v>62</v>
      </c>
      <c r="G55" s="133" t="s">
        <v>1293</v>
      </c>
      <c r="H55" s="133" t="s">
        <v>1293</v>
      </c>
      <c r="I55" s="134" t="s">
        <v>1260</v>
      </c>
      <c r="J55" s="134" t="s">
        <v>1268</v>
      </c>
      <c r="K55" s="134"/>
    </row>
    <row r="56" spans="1:11" ht="12.95" customHeight="1">
      <c r="A56" s="134">
        <v>48</v>
      </c>
      <c r="B56" s="134">
        <v>13</v>
      </c>
      <c r="D56" s="132" t="s">
        <v>187</v>
      </c>
      <c r="E56" s="134" t="s">
        <v>76</v>
      </c>
      <c r="G56" s="133" t="s">
        <v>1295</v>
      </c>
      <c r="H56" s="133" t="s">
        <v>1295</v>
      </c>
      <c r="I56" s="134" t="s">
        <v>1260</v>
      </c>
      <c r="J56" s="134" t="s">
        <v>1261</v>
      </c>
      <c r="K56" s="134"/>
    </row>
    <row r="57" spans="1:11" ht="12.95" customHeight="1">
      <c r="A57" s="134">
        <v>49</v>
      </c>
      <c r="B57" s="134">
        <v>14</v>
      </c>
      <c r="D57" s="132" t="s">
        <v>177</v>
      </c>
      <c r="E57" s="140" t="s">
        <v>62</v>
      </c>
      <c r="G57" s="133" t="s">
        <v>1295</v>
      </c>
      <c r="H57" s="133" t="s">
        <v>1295</v>
      </c>
      <c r="I57" s="134" t="s">
        <v>1260</v>
      </c>
      <c r="J57" s="134" t="s">
        <v>1261</v>
      </c>
      <c r="K57" s="134"/>
    </row>
    <row r="58" spans="1:11" ht="12.95" customHeight="1">
      <c r="A58" s="134">
        <v>50</v>
      </c>
      <c r="B58" s="134">
        <v>15</v>
      </c>
      <c r="D58" s="132" t="s">
        <v>170</v>
      </c>
      <c r="E58" s="134" t="s">
        <v>53</v>
      </c>
      <c r="G58" s="133" t="s">
        <v>316</v>
      </c>
      <c r="H58" s="133" t="s">
        <v>316</v>
      </c>
      <c r="I58" s="134" t="s">
        <v>1260</v>
      </c>
      <c r="J58" s="134" t="s">
        <v>1268</v>
      </c>
      <c r="K58" s="134"/>
    </row>
    <row r="59" spans="1:11" ht="12.95" customHeight="1">
      <c r="A59" s="134">
        <v>51</v>
      </c>
      <c r="B59" s="134">
        <v>16</v>
      </c>
      <c r="D59" s="132" t="s">
        <v>52</v>
      </c>
      <c r="E59" s="134" t="s">
        <v>53</v>
      </c>
      <c r="G59" s="133" t="s">
        <v>316</v>
      </c>
      <c r="H59" s="133" t="s">
        <v>316</v>
      </c>
      <c r="I59" s="134" t="s">
        <v>1260</v>
      </c>
      <c r="J59" s="134" t="s">
        <v>1268</v>
      </c>
      <c r="K59" s="134"/>
    </row>
    <row r="60" spans="1:11" ht="12.95" customHeight="1">
      <c r="A60" s="134">
        <v>52</v>
      </c>
      <c r="B60" s="134">
        <v>17</v>
      </c>
      <c r="D60" s="132" t="s">
        <v>195</v>
      </c>
      <c r="E60" s="140" t="s">
        <v>62</v>
      </c>
      <c r="G60" s="133" t="s">
        <v>327</v>
      </c>
      <c r="H60" s="133" t="s">
        <v>327</v>
      </c>
      <c r="I60" s="134" t="s">
        <v>1260</v>
      </c>
      <c r="J60" s="134" t="s">
        <v>1261</v>
      </c>
      <c r="K60" s="134"/>
    </row>
    <row r="61" spans="1:11" ht="12.95" customHeight="1">
      <c r="A61" s="134">
        <v>53</v>
      </c>
      <c r="B61" s="134">
        <v>18</v>
      </c>
      <c r="D61" s="132" t="s">
        <v>121</v>
      </c>
      <c r="E61" s="134" t="s">
        <v>62</v>
      </c>
      <c r="G61" s="133" t="s">
        <v>327</v>
      </c>
      <c r="H61" s="133" t="s">
        <v>327</v>
      </c>
      <c r="I61" s="134" t="s">
        <v>1260</v>
      </c>
      <c r="J61" s="134" t="s">
        <v>1261</v>
      </c>
      <c r="K61" s="134"/>
    </row>
    <row r="62" spans="1:11" ht="12.95" customHeight="1">
      <c r="A62" s="134">
        <v>54</v>
      </c>
      <c r="B62" s="134">
        <v>13</v>
      </c>
      <c r="D62" s="132" t="s">
        <v>257</v>
      </c>
      <c r="E62" s="134" t="s">
        <v>62</v>
      </c>
      <c r="G62" s="133" t="s">
        <v>324</v>
      </c>
      <c r="H62" s="133" t="s">
        <v>324</v>
      </c>
      <c r="I62" s="134" t="s">
        <v>1260</v>
      </c>
      <c r="J62" s="134" t="s">
        <v>1261</v>
      </c>
      <c r="K62" s="134"/>
    </row>
    <row r="63" spans="1:11" ht="12.95" customHeight="1">
      <c r="A63" s="134">
        <v>55</v>
      </c>
      <c r="B63" s="134" t="s">
        <v>1321</v>
      </c>
      <c r="D63" s="132" t="s">
        <v>198</v>
      </c>
      <c r="E63" s="134" t="s">
        <v>62</v>
      </c>
      <c r="G63" s="133" t="s">
        <v>320</v>
      </c>
      <c r="H63" s="133" t="s">
        <v>320</v>
      </c>
      <c r="I63" s="134" t="s">
        <v>1260</v>
      </c>
      <c r="J63" s="134" t="s">
        <v>1261</v>
      </c>
      <c r="K63" s="134"/>
    </row>
    <row r="64" spans="1:11" ht="12.95" customHeight="1">
      <c r="B64" s="194" t="s">
        <v>335</v>
      </c>
    </row>
    <row r="65" spans="1:11" ht="12.95" customHeight="1">
      <c r="A65" s="134">
        <v>56</v>
      </c>
      <c r="B65" s="134">
        <v>1</v>
      </c>
      <c r="C65" s="176"/>
      <c r="D65" s="132" t="s">
        <v>154</v>
      </c>
      <c r="E65" s="134" t="s">
        <v>62</v>
      </c>
      <c r="G65" s="133" t="s">
        <v>1322</v>
      </c>
      <c r="H65" s="133" t="s">
        <v>1322</v>
      </c>
      <c r="I65" s="134" t="s">
        <v>1260</v>
      </c>
      <c r="J65" s="134" t="s">
        <v>1261</v>
      </c>
      <c r="K65" s="134"/>
    </row>
    <row r="66" spans="1:11" ht="12.95" customHeight="1">
      <c r="A66" s="134">
        <v>57</v>
      </c>
      <c r="B66" s="134">
        <v>2</v>
      </c>
      <c r="D66" s="132" t="s">
        <v>111</v>
      </c>
      <c r="E66" s="134" t="s">
        <v>112</v>
      </c>
      <c r="G66" s="133" t="s">
        <v>1297</v>
      </c>
      <c r="H66" s="133" t="s">
        <v>1297</v>
      </c>
      <c r="I66" s="134" t="s">
        <v>1260</v>
      </c>
      <c r="J66" s="134" t="s">
        <v>1261</v>
      </c>
      <c r="K66" s="134"/>
    </row>
    <row r="67" spans="1:11" ht="12.95" customHeight="1">
      <c r="A67" s="134">
        <v>58</v>
      </c>
      <c r="B67" s="134">
        <v>3</v>
      </c>
      <c r="D67" s="132" t="s">
        <v>211</v>
      </c>
      <c r="E67" s="134" t="s">
        <v>212</v>
      </c>
      <c r="G67" s="133" t="s">
        <v>341</v>
      </c>
      <c r="H67" s="133" t="s">
        <v>1247</v>
      </c>
      <c r="I67" s="134" t="s">
        <v>1260</v>
      </c>
      <c r="J67" s="134" t="s">
        <v>1261</v>
      </c>
      <c r="K67" s="134"/>
    </row>
    <row r="68" spans="1:11" ht="12.95" customHeight="1">
      <c r="A68" s="134">
        <v>59</v>
      </c>
      <c r="B68" s="134">
        <v>4</v>
      </c>
      <c r="D68" s="132" t="s">
        <v>116</v>
      </c>
      <c r="E68" s="140" t="s">
        <v>62</v>
      </c>
      <c r="G68" s="133" t="s">
        <v>343</v>
      </c>
      <c r="H68" s="133" t="s">
        <v>343</v>
      </c>
      <c r="I68" s="134" t="s">
        <v>1260</v>
      </c>
      <c r="J68" s="134" t="s">
        <v>1268</v>
      </c>
      <c r="K68" s="134"/>
    </row>
    <row r="69" spans="1:11" ht="12.95" customHeight="1">
      <c r="A69" s="134">
        <v>60</v>
      </c>
      <c r="B69" s="134">
        <v>5</v>
      </c>
      <c r="D69" s="132" t="s">
        <v>248</v>
      </c>
      <c r="E69" s="134" t="s">
        <v>249</v>
      </c>
      <c r="G69" s="133" t="s">
        <v>343</v>
      </c>
      <c r="H69" s="133" t="s">
        <v>343</v>
      </c>
      <c r="I69" s="134" t="s">
        <v>1260</v>
      </c>
      <c r="J69" s="134" t="s">
        <v>1261</v>
      </c>
      <c r="K69" s="134"/>
    </row>
    <row r="70" spans="1:11" ht="12.95" customHeight="1">
      <c r="A70" s="134">
        <v>61</v>
      </c>
      <c r="B70" s="134">
        <v>6</v>
      </c>
      <c r="D70" s="132" t="s">
        <v>156</v>
      </c>
      <c r="E70" s="134" t="s">
        <v>62</v>
      </c>
      <c r="G70" s="133" t="s">
        <v>343</v>
      </c>
      <c r="H70" s="133" t="s">
        <v>343</v>
      </c>
      <c r="I70" s="134" t="s">
        <v>1260</v>
      </c>
      <c r="J70" s="134" t="s">
        <v>1261</v>
      </c>
      <c r="K70" s="134"/>
    </row>
    <row r="71" spans="1:11" ht="12.95" customHeight="1">
      <c r="A71" s="134">
        <v>62</v>
      </c>
      <c r="B71" s="134">
        <v>7</v>
      </c>
      <c r="D71" s="132" t="s">
        <v>169</v>
      </c>
      <c r="E71" s="134" t="s">
        <v>76</v>
      </c>
      <c r="G71" s="133" t="s">
        <v>343</v>
      </c>
      <c r="H71" s="133" t="s">
        <v>343</v>
      </c>
      <c r="I71" s="134" t="s">
        <v>1260</v>
      </c>
      <c r="J71" s="134" t="s">
        <v>1261</v>
      </c>
      <c r="K71" s="134"/>
    </row>
    <row r="72" spans="1:11" ht="12.95" customHeight="1">
      <c r="A72" s="134">
        <v>63</v>
      </c>
      <c r="B72" s="134">
        <v>8</v>
      </c>
      <c r="D72" s="132" t="s">
        <v>175</v>
      </c>
      <c r="E72" s="134" t="s">
        <v>76</v>
      </c>
      <c r="G72" s="133" t="s">
        <v>343</v>
      </c>
      <c r="H72" s="133" t="s">
        <v>343</v>
      </c>
      <c r="I72" s="134" t="s">
        <v>1260</v>
      </c>
      <c r="J72" s="134" t="s">
        <v>1261</v>
      </c>
      <c r="K72" s="134"/>
    </row>
    <row r="73" spans="1:11" ht="12.95" customHeight="1">
      <c r="A73" s="134">
        <v>64</v>
      </c>
      <c r="B73" s="134">
        <v>9</v>
      </c>
      <c r="D73" s="132" t="s">
        <v>245</v>
      </c>
      <c r="E73" s="140" t="s">
        <v>62</v>
      </c>
      <c r="G73" s="133" t="s">
        <v>1300</v>
      </c>
      <c r="H73" s="133" t="s">
        <v>1300</v>
      </c>
      <c r="I73" s="134" t="s">
        <v>1260</v>
      </c>
      <c r="J73" s="134" t="s">
        <v>1268</v>
      </c>
      <c r="K73" s="134"/>
    </row>
    <row r="74" spans="1:11" ht="12.95" customHeight="1">
      <c r="A74" s="134">
        <v>65</v>
      </c>
      <c r="B74" s="134">
        <v>10</v>
      </c>
      <c r="D74" s="132" t="s">
        <v>98</v>
      </c>
      <c r="E74" s="134" t="s">
        <v>62</v>
      </c>
      <c r="G74" s="133" t="s">
        <v>1323</v>
      </c>
      <c r="H74" s="133" t="s">
        <v>1323</v>
      </c>
      <c r="I74" s="134" t="s">
        <v>1260</v>
      </c>
      <c r="J74" s="134" t="s">
        <v>1268</v>
      </c>
      <c r="K74" s="134"/>
    </row>
    <row r="75" spans="1:11" ht="12.95" customHeight="1">
      <c r="A75" s="134">
        <v>66</v>
      </c>
      <c r="B75" s="134">
        <v>11</v>
      </c>
      <c r="D75" s="132" t="s">
        <v>226</v>
      </c>
      <c r="E75" s="134" t="s">
        <v>53</v>
      </c>
      <c r="G75" s="133" t="s">
        <v>344</v>
      </c>
      <c r="H75" s="133" t="s">
        <v>344</v>
      </c>
      <c r="I75" s="134" t="s">
        <v>1260</v>
      </c>
      <c r="J75" s="134" t="s">
        <v>1268</v>
      </c>
      <c r="K75" s="134"/>
    </row>
    <row r="76" spans="1:11" ht="12.95" customHeight="1">
      <c r="A76" s="134">
        <v>67</v>
      </c>
      <c r="B76" s="134">
        <v>12</v>
      </c>
      <c r="D76" s="132" t="s">
        <v>216</v>
      </c>
      <c r="E76" s="134" t="s">
        <v>76</v>
      </c>
      <c r="G76" s="133" t="s">
        <v>344</v>
      </c>
      <c r="H76" s="133" t="s">
        <v>344</v>
      </c>
      <c r="I76" s="134" t="s">
        <v>1260</v>
      </c>
      <c r="J76" s="134" t="s">
        <v>1268</v>
      </c>
      <c r="K76" s="134"/>
    </row>
    <row r="77" spans="1:11" ht="12.95" customHeight="1">
      <c r="A77" s="134">
        <v>68</v>
      </c>
      <c r="B77" s="134">
        <v>13</v>
      </c>
      <c r="D77" s="132" t="s">
        <v>239</v>
      </c>
      <c r="E77" s="140" t="s">
        <v>62</v>
      </c>
      <c r="G77" s="133" t="s">
        <v>1301</v>
      </c>
      <c r="H77" s="133" t="s">
        <v>1301</v>
      </c>
      <c r="I77" s="134" t="s">
        <v>1260</v>
      </c>
      <c r="J77" s="134" t="s">
        <v>1268</v>
      </c>
      <c r="K77" s="134"/>
    </row>
    <row r="78" spans="1:11" ht="12.95" customHeight="1">
      <c r="A78" s="134">
        <v>69</v>
      </c>
      <c r="B78" s="134">
        <v>14</v>
      </c>
      <c r="D78" s="132" t="s">
        <v>238</v>
      </c>
      <c r="E78" s="140" t="s">
        <v>62</v>
      </c>
      <c r="G78" s="133" t="s">
        <v>1302</v>
      </c>
      <c r="H78" s="133" t="s">
        <v>1302</v>
      </c>
      <c r="I78" s="134" t="s">
        <v>1260</v>
      </c>
      <c r="J78" s="134" t="s">
        <v>1268</v>
      </c>
      <c r="K78" s="134"/>
    </row>
    <row r="79" spans="1:11" ht="12.95" customHeight="1">
      <c r="B79" s="194" t="s">
        <v>345</v>
      </c>
      <c r="E79" s="162"/>
      <c r="H79" s="161"/>
    </row>
    <row r="80" spans="1:11" ht="12.95" customHeight="1">
      <c r="A80" s="134">
        <v>70</v>
      </c>
      <c r="B80" s="134">
        <v>1</v>
      </c>
      <c r="D80" s="132" t="s">
        <v>219</v>
      </c>
      <c r="E80" s="134" t="s">
        <v>53</v>
      </c>
      <c r="G80" s="133" t="s">
        <v>1305</v>
      </c>
      <c r="H80" s="133" t="s">
        <v>1305</v>
      </c>
      <c r="I80" s="134" t="s">
        <v>1260</v>
      </c>
      <c r="J80" s="134" t="s">
        <v>1268</v>
      </c>
      <c r="K80" s="134"/>
    </row>
    <row r="81" spans="1:11" ht="12.95" customHeight="1">
      <c r="A81" s="134">
        <v>71</v>
      </c>
      <c r="B81" s="134">
        <v>2</v>
      </c>
      <c r="D81" s="132" t="s">
        <v>265</v>
      </c>
      <c r="E81" s="134" t="s">
        <v>1277</v>
      </c>
      <c r="G81" s="133" t="s">
        <v>1306</v>
      </c>
      <c r="H81" s="133" t="s">
        <v>1306</v>
      </c>
      <c r="I81" s="134" t="s">
        <v>1260</v>
      </c>
      <c r="J81" s="134" t="s">
        <v>1261</v>
      </c>
      <c r="K81" s="134"/>
    </row>
    <row r="82" spans="1:11" ht="12.95" customHeight="1">
      <c r="A82" s="134">
        <v>72</v>
      </c>
      <c r="B82" s="134">
        <v>3</v>
      </c>
      <c r="D82" s="132" t="s">
        <v>208</v>
      </c>
      <c r="E82" s="140" t="s">
        <v>249</v>
      </c>
      <c r="F82" s="134"/>
      <c r="G82" s="133" t="s">
        <v>1305</v>
      </c>
      <c r="H82" s="133" t="s">
        <v>1305</v>
      </c>
      <c r="I82" s="134" t="s">
        <v>1260</v>
      </c>
      <c r="J82" s="134" t="s">
        <v>1261</v>
      </c>
      <c r="K82" s="134"/>
    </row>
    <row r="83" spans="1:11" ht="12.95" customHeight="1">
      <c r="A83" s="134">
        <v>73</v>
      </c>
      <c r="B83" s="134">
        <v>4</v>
      </c>
      <c r="D83" s="132" t="s">
        <v>196</v>
      </c>
      <c r="E83" s="134" t="s">
        <v>53</v>
      </c>
      <c r="G83" s="133" t="s">
        <v>835</v>
      </c>
      <c r="H83" s="133" t="s">
        <v>835</v>
      </c>
      <c r="I83" s="134" t="s">
        <v>1260</v>
      </c>
      <c r="J83" s="134" t="s">
        <v>1261</v>
      </c>
      <c r="K83" s="134"/>
    </row>
    <row r="84" spans="1:11" ht="12.95" customHeight="1">
      <c r="A84" s="134">
        <v>74</v>
      </c>
      <c r="B84" s="134">
        <v>5</v>
      </c>
      <c r="D84" s="132" t="s">
        <v>89</v>
      </c>
      <c r="E84" s="140" t="s">
        <v>1026</v>
      </c>
      <c r="G84" s="133" t="s">
        <v>841</v>
      </c>
      <c r="H84" s="133" t="s">
        <v>841</v>
      </c>
      <c r="I84" s="134" t="s">
        <v>1260</v>
      </c>
      <c r="J84" s="134" t="s">
        <v>1261</v>
      </c>
      <c r="K84" s="134"/>
    </row>
    <row r="85" spans="1:11" ht="12.95" customHeight="1">
      <c r="A85" s="134"/>
      <c r="B85" s="194" t="s">
        <v>368</v>
      </c>
      <c r="D85" s="134"/>
      <c r="E85" s="140"/>
      <c r="G85" s="133"/>
      <c r="H85" s="133"/>
      <c r="I85" s="134"/>
      <c r="J85" s="134"/>
      <c r="K85" s="134"/>
    </row>
    <row r="86" spans="1:11" ht="12.95" customHeight="1">
      <c r="A86" s="134">
        <v>75</v>
      </c>
      <c r="B86" s="134">
        <v>1</v>
      </c>
      <c r="D86" s="132" t="s">
        <v>135</v>
      </c>
      <c r="E86" s="140" t="s">
        <v>76</v>
      </c>
      <c r="G86" s="133" t="s">
        <v>376</v>
      </c>
      <c r="H86" s="133" t="s">
        <v>376</v>
      </c>
      <c r="I86" s="134" t="s">
        <v>1260</v>
      </c>
      <c r="J86" s="134" t="s">
        <v>1261</v>
      </c>
      <c r="K86" s="134"/>
    </row>
    <row r="87" spans="1:11" ht="12.95" customHeight="1">
      <c r="A87" s="134">
        <v>76</v>
      </c>
      <c r="B87" s="134">
        <v>2</v>
      </c>
      <c r="D87" s="132" t="s">
        <v>139</v>
      </c>
      <c r="E87" s="134" t="s">
        <v>76</v>
      </c>
      <c r="G87" s="133" t="s">
        <v>373</v>
      </c>
      <c r="H87" s="133" t="s">
        <v>373</v>
      </c>
      <c r="I87" s="134" t="s">
        <v>1260</v>
      </c>
      <c r="J87" s="134" t="s">
        <v>1261</v>
      </c>
      <c r="K87" s="134"/>
    </row>
    <row r="88" spans="1:11" ht="12.95" customHeight="1">
      <c r="A88" s="134">
        <v>77</v>
      </c>
      <c r="B88" s="134">
        <v>3</v>
      </c>
      <c r="D88" s="132" t="s">
        <v>61</v>
      </c>
      <c r="E88" s="134" t="s">
        <v>62</v>
      </c>
      <c r="G88" s="133" t="s">
        <v>880</v>
      </c>
      <c r="H88" s="133" t="s">
        <v>880</v>
      </c>
      <c r="I88" s="134" t="s">
        <v>1260</v>
      </c>
      <c r="J88" s="134" t="s">
        <v>1261</v>
      </c>
      <c r="K88" s="134"/>
    </row>
    <row r="89" spans="1:11" ht="12.95" customHeight="1">
      <c r="A89" s="134">
        <v>78</v>
      </c>
      <c r="B89" s="134">
        <v>4</v>
      </c>
      <c r="D89" s="132" t="s">
        <v>155</v>
      </c>
      <c r="E89" s="134" t="s">
        <v>62</v>
      </c>
      <c r="G89" s="133" t="s">
        <v>883</v>
      </c>
      <c r="H89" s="133" t="s">
        <v>883</v>
      </c>
      <c r="I89" s="134" t="s">
        <v>1260</v>
      </c>
      <c r="J89" s="134" t="s">
        <v>1261</v>
      </c>
      <c r="K89" s="134"/>
    </row>
    <row r="90" spans="1:11" ht="12.95" customHeight="1">
      <c r="A90" s="134">
        <v>79</v>
      </c>
      <c r="B90" s="134">
        <v>5</v>
      </c>
      <c r="D90" s="132" t="s">
        <v>114</v>
      </c>
      <c r="E90" s="134" t="s">
        <v>76</v>
      </c>
      <c r="G90" s="133" t="s">
        <v>371</v>
      </c>
      <c r="H90" s="133" t="s">
        <v>371</v>
      </c>
      <c r="I90" s="134" t="s">
        <v>1260</v>
      </c>
      <c r="J90" s="134" t="s">
        <v>1261</v>
      </c>
      <c r="K90" s="134"/>
    </row>
    <row r="91" spans="1:11" ht="12.95" customHeight="1">
      <c r="A91" s="134">
        <v>80</v>
      </c>
      <c r="B91" s="134">
        <v>6</v>
      </c>
      <c r="D91" s="132" t="s">
        <v>130</v>
      </c>
      <c r="E91" s="134" t="s">
        <v>76</v>
      </c>
      <c r="G91" s="133" t="s">
        <v>1324</v>
      </c>
      <c r="H91" s="133" t="s">
        <v>1324</v>
      </c>
      <c r="I91" s="134" t="s">
        <v>1260</v>
      </c>
      <c r="J91" s="134" t="s">
        <v>1261</v>
      </c>
      <c r="K91" s="134"/>
    </row>
    <row r="92" spans="1:11" ht="12.95" customHeight="1">
      <c r="A92" s="134">
        <v>81</v>
      </c>
      <c r="B92" s="134">
        <v>7</v>
      </c>
      <c r="D92" s="178" t="s">
        <v>142</v>
      </c>
      <c r="E92" s="137" t="s">
        <v>62</v>
      </c>
      <c r="G92" s="186" t="s">
        <v>1325</v>
      </c>
      <c r="H92" s="186" t="s">
        <v>1325</v>
      </c>
      <c r="I92" s="137" t="s">
        <v>1260</v>
      </c>
      <c r="J92" s="137" t="s">
        <v>1261</v>
      </c>
      <c r="K92" s="137"/>
    </row>
    <row r="93" spans="1:11" ht="12.95" customHeight="1">
      <c r="A93" s="134">
        <v>82</v>
      </c>
      <c r="B93" s="134">
        <v>8</v>
      </c>
      <c r="C93" s="162"/>
      <c r="D93" s="178" t="s">
        <v>229</v>
      </c>
      <c r="E93" s="137" t="s">
        <v>62</v>
      </c>
      <c r="F93" s="162"/>
      <c r="G93" s="186" t="s">
        <v>1281</v>
      </c>
      <c r="H93" s="186" t="s">
        <v>1281</v>
      </c>
      <c r="I93" s="137" t="s">
        <v>1260</v>
      </c>
      <c r="J93" s="137" t="s">
        <v>1261</v>
      </c>
      <c r="K93" s="137"/>
    </row>
    <row r="94" spans="1:11" ht="12.95" customHeight="1">
      <c r="A94" s="134">
        <v>83</v>
      </c>
      <c r="B94" s="134">
        <v>9</v>
      </c>
      <c r="C94" s="134"/>
      <c r="D94" s="132" t="s">
        <v>254</v>
      </c>
      <c r="E94" s="134" t="s">
        <v>112</v>
      </c>
      <c r="F94" s="134"/>
      <c r="G94" s="133" t="s">
        <v>390</v>
      </c>
      <c r="H94" s="133" t="s">
        <v>390</v>
      </c>
      <c r="I94" s="134" t="s">
        <v>1260</v>
      </c>
      <c r="J94" s="134" t="s">
        <v>1261</v>
      </c>
      <c r="K94" s="134"/>
    </row>
    <row r="95" spans="1:11" ht="12.95" customHeight="1">
      <c r="A95" s="134"/>
      <c r="B95" s="154" t="s">
        <v>412</v>
      </c>
      <c r="C95" s="134"/>
      <c r="D95" s="134"/>
      <c r="E95" s="134"/>
      <c r="F95" s="134"/>
      <c r="G95" s="133"/>
      <c r="H95" s="134"/>
      <c r="I95" s="134"/>
      <c r="J95" s="134"/>
      <c r="K95" s="134"/>
    </row>
    <row r="96" spans="1:11" ht="12.95" customHeight="1">
      <c r="A96" s="134">
        <v>84</v>
      </c>
      <c r="B96" s="134">
        <v>1</v>
      </c>
      <c r="C96" s="134"/>
      <c r="D96" s="132" t="s">
        <v>355</v>
      </c>
      <c r="E96" s="134" t="s">
        <v>62</v>
      </c>
      <c r="F96" s="134"/>
      <c r="G96" s="133" t="s">
        <v>425</v>
      </c>
      <c r="H96" s="134" t="s">
        <v>425</v>
      </c>
      <c r="I96" s="134" t="s">
        <v>1260</v>
      </c>
      <c r="J96" s="134" t="s">
        <v>1261</v>
      </c>
      <c r="K96" s="134"/>
    </row>
    <row r="97" spans="1:11" ht="12.95" customHeight="1">
      <c r="A97" s="134">
        <v>85</v>
      </c>
      <c r="B97" s="134">
        <v>2</v>
      </c>
      <c r="C97" s="134"/>
      <c r="D97" s="132" t="s">
        <v>284</v>
      </c>
      <c r="E97" s="134" t="s">
        <v>76</v>
      </c>
      <c r="F97" s="134"/>
      <c r="G97" s="133" t="s">
        <v>426</v>
      </c>
      <c r="H97" s="133" t="s">
        <v>426</v>
      </c>
      <c r="I97" s="134" t="s">
        <v>1260</v>
      </c>
      <c r="J97" s="134" t="s">
        <v>1261</v>
      </c>
      <c r="K97" s="134"/>
    </row>
    <row r="98" spans="1:11" ht="12.95" customHeight="1">
      <c r="A98" s="134">
        <v>86</v>
      </c>
      <c r="B98" s="134">
        <v>3</v>
      </c>
      <c r="C98" s="134"/>
      <c r="D98" s="132" t="s">
        <v>290</v>
      </c>
      <c r="E98" s="134" t="s">
        <v>76</v>
      </c>
      <c r="F98" s="134"/>
      <c r="G98" s="133" t="s">
        <v>1326</v>
      </c>
      <c r="H98" s="134" t="s">
        <v>429</v>
      </c>
      <c r="I98" s="134" t="s">
        <v>1260</v>
      </c>
      <c r="J98" s="134" t="s">
        <v>1261</v>
      </c>
      <c r="K98" s="134"/>
    </row>
    <row r="99" spans="1:11" ht="12.95" customHeight="1">
      <c r="A99" s="134">
        <v>87</v>
      </c>
      <c r="B99" s="134">
        <v>4</v>
      </c>
      <c r="C99" s="134"/>
      <c r="D99" s="132" t="s">
        <v>346</v>
      </c>
      <c r="E99" s="134" t="s">
        <v>112</v>
      </c>
      <c r="F99" s="198"/>
      <c r="G99" s="133" t="s">
        <v>437</v>
      </c>
      <c r="H99" s="134" t="s">
        <v>437</v>
      </c>
      <c r="I99" s="134" t="s">
        <v>1260</v>
      </c>
      <c r="J99" s="134" t="s">
        <v>1261</v>
      </c>
      <c r="K99" s="134"/>
    </row>
    <row r="100" spans="1:11" ht="12.95" customHeight="1">
      <c r="A100" s="134">
        <v>88</v>
      </c>
      <c r="B100" s="134">
        <v>5</v>
      </c>
      <c r="D100" s="132" t="s">
        <v>375</v>
      </c>
      <c r="E100" s="134" t="s">
        <v>53</v>
      </c>
      <c r="G100" s="133" t="s">
        <v>902</v>
      </c>
      <c r="H100" s="133" t="s">
        <v>902</v>
      </c>
      <c r="I100" s="134" t="s">
        <v>1260</v>
      </c>
      <c r="J100" s="134" t="s">
        <v>1261</v>
      </c>
      <c r="K100" s="134"/>
    </row>
    <row r="101" spans="1:11" ht="12.95" customHeight="1">
      <c r="A101" s="134">
        <v>89</v>
      </c>
      <c r="B101" s="134">
        <v>6</v>
      </c>
      <c r="D101" s="132" t="s">
        <v>313</v>
      </c>
      <c r="E101" s="134" t="s">
        <v>53</v>
      </c>
      <c r="G101" s="133" t="s">
        <v>903</v>
      </c>
      <c r="H101" s="133" t="s">
        <v>903</v>
      </c>
      <c r="I101" s="134" t="s">
        <v>1260</v>
      </c>
      <c r="J101" s="134" t="s">
        <v>1261</v>
      </c>
      <c r="K101" s="134"/>
    </row>
    <row r="102" spans="1:11" ht="12.95" customHeight="1">
      <c r="A102" s="134">
        <v>90</v>
      </c>
      <c r="B102" s="134">
        <v>7</v>
      </c>
      <c r="D102" s="132" t="s">
        <v>292</v>
      </c>
      <c r="E102" s="134" t="s">
        <v>76</v>
      </c>
      <c r="G102" s="133" t="s">
        <v>903</v>
      </c>
      <c r="H102" s="133" t="s">
        <v>903</v>
      </c>
      <c r="I102" s="134" t="s">
        <v>1260</v>
      </c>
      <c r="J102" s="134" t="s">
        <v>1261</v>
      </c>
      <c r="K102" s="134"/>
    </row>
    <row r="103" spans="1:11" ht="12.95" customHeight="1">
      <c r="A103" s="134">
        <v>91</v>
      </c>
      <c r="B103" s="134">
        <v>8</v>
      </c>
      <c r="C103" s="134"/>
      <c r="D103" s="132" t="s">
        <v>334</v>
      </c>
      <c r="E103" s="134" t="s">
        <v>249</v>
      </c>
      <c r="F103" s="134"/>
      <c r="G103" s="133" t="s">
        <v>1308</v>
      </c>
      <c r="H103" s="134" t="s">
        <v>1308</v>
      </c>
      <c r="I103" s="134" t="s">
        <v>1260</v>
      </c>
      <c r="J103" s="134" t="s">
        <v>1261</v>
      </c>
      <c r="K103" s="134"/>
    </row>
    <row r="104" spans="1:11" ht="12.95" customHeight="1">
      <c r="B104" s="199" t="s">
        <v>443</v>
      </c>
    </row>
    <row r="105" spans="1:11" ht="12.95" customHeight="1">
      <c r="A105" s="134">
        <v>92</v>
      </c>
      <c r="B105" s="134">
        <v>1</v>
      </c>
      <c r="D105" s="132" t="s">
        <v>408</v>
      </c>
      <c r="E105" s="142" t="s">
        <v>53</v>
      </c>
      <c r="G105" s="133" t="s">
        <v>1309</v>
      </c>
      <c r="H105" s="133" t="s">
        <v>1309</v>
      </c>
      <c r="I105" s="134" t="s">
        <v>1260</v>
      </c>
      <c r="J105" s="134" t="s">
        <v>1261</v>
      </c>
      <c r="K105" s="134"/>
    </row>
    <row r="106" spans="1:11" ht="12.95" customHeight="1">
      <c r="A106" s="134">
        <v>93</v>
      </c>
      <c r="B106" s="134">
        <v>2</v>
      </c>
      <c r="D106" s="132" t="s">
        <v>309</v>
      </c>
      <c r="E106" s="142" t="s">
        <v>76</v>
      </c>
      <c r="G106" s="133" t="s">
        <v>918</v>
      </c>
      <c r="H106" s="133" t="s">
        <v>918</v>
      </c>
      <c r="I106" s="134" t="s">
        <v>1260</v>
      </c>
      <c r="J106" s="134" t="s">
        <v>1261</v>
      </c>
      <c r="K106" s="134"/>
    </row>
    <row r="107" spans="1:11" ht="12.95" customHeight="1">
      <c r="A107" s="134">
        <v>94</v>
      </c>
      <c r="B107" s="134">
        <v>3</v>
      </c>
      <c r="D107" s="132" t="s">
        <v>389</v>
      </c>
      <c r="E107" s="142" t="s">
        <v>76</v>
      </c>
      <c r="G107" s="133" t="s">
        <v>918</v>
      </c>
      <c r="H107" s="133" t="s">
        <v>918</v>
      </c>
      <c r="I107" s="134" t="s">
        <v>1260</v>
      </c>
      <c r="J107" s="134" t="s">
        <v>1261</v>
      </c>
      <c r="K107" s="134"/>
    </row>
    <row r="108" spans="1:11" ht="12.95" customHeight="1">
      <c r="A108" s="134">
        <v>95</v>
      </c>
      <c r="B108" s="134">
        <v>4</v>
      </c>
      <c r="D108" s="132" t="s">
        <v>380</v>
      </c>
      <c r="E108" s="142" t="s">
        <v>76</v>
      </c>
      <c r="G108" s="133" t="s">
        <v>919</v>
      </c>
      <c r="H108" s="133" t="s">
        <v>919</v>
      </c>
      <c r="I108" s="134" t="s">
        <v>1260</v>
      </c>
      <c r="J108" s="134" t="s">
        <v>1261</v>
      </c>
      <c r="K108" s="134"/>
    </row>
    <row r="109" spans="1:11" ht="12.95" customHeight="1">
      <c r="A109" s="134">
        <v>96</v>
      </c>
      <c r="B109" s="134">
        <v>5</v>
      </c>
      <c r="D109" s="132" t="s">
        <v>234</v>
      </c>
      <c r="E109" s="142" t="s">
        <v>62</v>
      </c>
      <c r="G109" s="133" t="s">
        <v>447</v>
      </c>
      <c r="H109" s="133" t="s">
        <v>447</v>
      </c>
      <c r="I109" s="134" t="s">
        <v>1260</v>
      </c>
      <c r="J109" s="134" t="s">
        <v>1261</v>
      </c>
      <c r="K109" s="134"/>
    </row>
    <row r="110" spans="1:11" ht="12.95" customHeight="1">
      <c r="A110" s="134">
        <v>97</v>
      </c>
      <c r="B110" s="134">
        <v>6</v>
      </c>
      <c r="D110" s="132" t="s">
        <v>384</v>
      </c>
      <c r="E110" s="142" t="s">
        <v>76</v>
      </c>
      <c r="G110" s="133" t="s">
        <v>1310</v>
      </c>
      <c r="H110" s="133" t="s">
        <v>1310</v>
      </c>
      <c r="I110" s="134" t="s">
        <v>1260</v>
      </c>
      <c r="J110" s="134" t="s">
        <v>1261</v>
      </c>
      <c r="K110" s="134"/>
    </row>
    <row r="111" spans="1:11" ht="12.95" customHeight="1">
      <c r="A111" s="134">
        <v>98</v>
      </c>
      <c r="B111" s="134">
        <v>7</v>
      </c>
      <c r="D111" s="132" t="s">
        <v>191</v>
      </c>
      <c r="E111" s="142" t="s">
        <v>53</v>
      </c>
      <c r="G111" s="133" t="s">
        <v>933</v>
      </c>
      <c r="H111" s="133" t="s">
        <v>933</v>
      </c>
      <c r="I111" s="134" t="s">
        <v>1260</v>
      </c>
      <c r="J111" s="134" t="s">
        <v>1261</v>
      </c>
      <c r="K111" s="134"/>
    </row>
    <row r="112" spans="1:11" ht="12.95" customHeight="1">
      <c r="A112" s="134">
        <v>99</v>
      </c>
      <c r="B112" s="134">
        <v>8</v>
      </c>
      <c r="D112" s="178" t="s">
        <v>206</v>
      </c>
      <c r="E112" s="142" t="s">
        <v>62</v>
      </c>
      <c r="G112" s="133" t="s">
        <v>925</v>
      </c>
      <c r="H112" s="133" t="s">
        <v>925</v>
      </c>
      <c r="I112" s="134" t="s">
        <v>1260</v>
      </c>
      <c r="J112" s="134" t="s">
        <v>1261</v>
      </c>
      <c r="K112" s="134"/>
    </row>
    <row r="113" spans="1:11" ht="12.95" customHeight="1">
      <c r="A113" s="134">
        <v>100</v>
      </c>
      <c r="B113" s="134">
        <v>9</v>
      </c>
      <c r="D113" s="178" t="s">
        <v>214</v>
      </c>
      <c r="E113" s="142" t="s">
        <v>53</v>
      </c>
      <c r="G113" s="133" t="s">
        <v>925</v>
      </c>
      <c r="H113" s="133" t="s">
        <v>925</v>
      </c>
      <c r="I113" s="134" t="s">
        <v>1260</v>
      </c>
      <c r="J113" s="134" t="s">
        <v>1261</v>
      </c>
      <c r="K113" s="134"/>
    </row>
    <row r="114" spans="1:11" ht="12.95" customHeight="1">
      <c r="A114" s="134">
        <v>101</v>
      </c>
      <c r="B114" s="134">
        <v>11</v>
      </c>
      <c r="D114" s="132" t="s">
        <v>294</v>
      </c>
      <c r="E114" s="142" t="s">
        <v>249</v>
      </c>
      <c r="G114" s="133" t="s">
        <v>453</v>
      </c>
      <c r="H114" s="133" t="s">
        <v>453</v>
      </c>
      <c r="I114" s="134" t="s">
        <v>1260</v>
      </c>
      <c r="J114" s="134" t="s">
        <v>1261</v>
      </c>
      <c r="K114" s="134"/>
    </row>
    <row r="115" spans="1:11" ht="12.95" customHeight="1">
      <c r="B115" s="199" t="s">
        <v>935</v>
      </c>
    </row>
    <row r="116" spans="1:11" ht="12.95" customHeight="1">
      <c r="A116" s="134">
        <v>102</v>
      </c>
      <c r="B116" s="134">
        <v>1</v>
      </c>
      <c r="D116" s="132" t="s">
        <v>267</v>
      </c>
      <c r="E116" s="142" t="s">
        <v>62</v>
      </c>
      <c r="G116" s="133" t="s">
        <v>450</v>
      </c>
      <c r="H116" s="133" t="s">
        <v>450</v>
      </c>
      <c r="I116" s="134" t="s">
        <v>1260</v>
      </c>
      <c r="J116" s="134" t="s">
        <v>1261</v>
      </c>
      <c r="K116" s="134"/>
    </row>
    <row r="117" spans="1:11" ht="12.95" customHeight="1">
      <c r="A117" s="134">
        <v>103</v>
      </c>
      <c r="B117" s="134">
        <v>2</v>
      </c>
      <c r="D117" s="132" t="s">
        <v>286</v>
      </c>
      <c r="E117" s="142" t="s">
        <v>287</v>
      </c>
      <c r="G117" s="133" t="s">
        <v>450</v>
      </c>
      <c r="H117" s="133" t="s">
        <v>450</v>
      </c>
      <c r="I117" s="134" t="s">
        <v>1260</v>
      </c>
      <c r="J117" s="134" t="s">
        <v>1261</v>
      </c>
      <c r="K117" s="134"/>
    </row>
    <row r="118" spans="1:11" ht="12.95" customHeight="1">
      <c r="A118" s="134">
        <v>104</v>
      </c>
      <c r="B118" s="134">
        <v>3</v>
      </c>
      <c r="D118" s="132" t="s">
        <v>271</v>
      </c>
      <c r="E118" s="142" t="s">
        <v>53</v>
      </c>
      <c r="G118" s="133" t="s">
        <v>452</v>
      </c>
      <c r="H118" s="133" t="s">
        <v>452</v>
      </c>
      <c r="I118" s="134" t="s">
        <v>1260</v>
      </c>
      <c r="J118" s="134" t="s">
        <v>1261</v>
      </c>
      <c r="K118" s="134"/>
    </row>
    <row r="119" spans="1:11" ht="12.95" customHeight="1">
      <c r="A119" s="134">
        <v>105</v>
      </c>
      <c r="B119" s="134">
        <v>4</v>
      </c>
      <c r="D119" s="132" t="s">
        <v>263</v>
      </c>
      <c r="E119" s="140" t="s">
        <v>76</v>
      </c>
      <c r="G119" s="133" t="s">
        <v>957</v>
      </c>
      <c r="H119" s="133" t="s">
        <v>957</v>
      </c>
      <c r="I119" s="134" t="s">
        <v>1260</v>
      </c>
      <c r="J119" s="134" t="s">
        <v>1261</v>
      </c>
      <c r="K119" s="134"/>
    </row>
    <row r="120" spans="1:11" ht="12.95" customHeight="1">
      <c r="A120" s="134">
        <v>106</v>
      </c>
      <c r="B120" s="134">
        <v>5</v>
      </c>
      <c r="D120" s="132" t="s">
        <v>268</v>
      </c>
      <c r="E120" s="142" t="s">
        <v>62</v>
      </c>
      <c r="G120" s="161" t="s">
        <v>940</v>
      </c>
      <c r="H120" s="161" t="s">
        <v>940</v>
      </c>
      <c r="I120" s="134" t="s">
        <v>1260</v>
      </c>
      <c r="J120" s="134" t="s">
        <v>1261</v>
      </c>
      <c r="K120" s="134"/>
    </row>
    <row r="121" spans="1:11" ht="12.95" customHeight="1">
      <c r="A121" s="134">
        <v>107</v>
      </c>
      <c r="B121" s="134">
        <v>6</v>
      </c>
      <c r="D121" s="132" t="s">
        <v>436</v>
      </c>
      <c r="E121" s="142" t="s">
        <v>62</v>
      </c>
      <c r="G121" s="161" t="s">
        <v>944</v>
      </c>
      <c r="H121" s="161" t="s">
        <v>944</v>
      </c>
      <c r="I121" s="134" t="s">
        <v>1260</v>
      </c>
      <c r="J121" s="134" t="s">
        <v>1261</v>
      </c>
      <c r="K121" s="134"/>
    </row>
    <row r="122" spans="1:11" ht="12.95" customHeight="1">
      <c r="A122" s="134">
        <v>108</v>
      </c>
      <c r="B122" s="134">
        <v>7</v>
      </c>
      <c r="D122" s="132" t="s">
        <v>442</v>
      </c>
      <c r="E122" s="134" t="s">
        <v>76</v>
      </c>
      <c r="G122" s="133" t="s">
        <v>938</v>
      </c>
      <c r="H122" s="133" t="s">
        <v>938</v>
      </c>
      <c r="I122" s="134" t="s">
        <v>1260</v>
      </c>
      <c r="J122" s="134" t="s">
        <v>1261</v>
      </c>
      <c r="K122" s="134"/>
    </row>
    <row r="123" spans="1:11" ht="12.95" customHeight="1">
      <c r="A123" s="134">
        <v>109</v>
      </c>
      <c r="B123" s="134">
        <v>8</v>
      </c>
      <c r="D123" s="132" t="s">
        <v>392</v>
      </c>
      <c r="E123" s="142" t="s">
        <v>76</v>
      </c>
      <c r="G123" s="161" t="s">
        <v>478</v>
      </c>
      <c r="H123" s="161" t="s">
        <v>478</v>
      </c>
      <c r="I123" s="134" t="s">
        <v>1260</v>
      </c>
      <c r="J123" s="134" t="s">
        <v>1261</v>
      </c>
      <c r="K123" s="134"/>
    </row>
    <row r="124" spans="1:11" ht="12.95" customHeight="1">
      <c r="A124" s="134">
        <v>110</v>
      </c>
      <c r="B124" s="134">
        <v>9</v>
      </c>
      <c r="D124" s="132" t="s">
        <v>401</v>
      </c>
      <c r="E124" s="140" t="s">
        <v>62</v>
      </c>
      <c r="G124" s="133" t="s">
        <v>460</v>
      </c>
      <c r="H124" s="133" t="s">
        <v>460</v>
      </c>
      <c r="I124" s="134" t="s">
        <v>1260</v>
      </c>
      <c r="J124" s="134" t="s">
        <v>1261</v>
      </c>
      <c r="K124" s="134"/>
    </row>
    <row r="125" spans="1:11" ht="12.95" customHeight="1">
      <c r="A125" s="134">
        <v>111</v>
      </c>
      <c r="B125" s="134">
        <v>10</v>
      </c>
      <c r="D125" s="132" t="s">
        <v>357</v>
      </c>
      <c r="E125" s="140" t="s">
        <v>62</v>
      </c>
      <c r="G125" s="133" t="s">
        <v>467</v>
      </c>
      <c r="H125" s="133" t="s">
        <v>467</v>
      </c>
      <c r="I125" s="134" t="s">
        <v>1260</v>
      </c>
      <c r="J125" s="134" t="s">
        <v>1261</v>
      </c>
      <c r="K125" s="134"/>
    </row>
    <row r="126" spans="1:11" ht="12.95" customHeight="1">
      <c r="A126" s="134">
        <v>112</v>
      </c>
      <c r="B126" s="134">
        <v>11</v>
      </c>
      <c r="D126" s="132" t="s">
        <v>109</v>
      </c>
      <c r="E126" s="140" t="s">
        <v>62</v>
      </c>
      <c r="G126" s="133" t="s">
        <v>947</v>
      </c>
      <c r="H126" s="133" t="s">
        <v>947</v>
      </c>
      <c r="I126" s="134" t="s">
        <v>1260</v>
      </c>
      <c r="J126" s="134" t="s">
        <v>1261</v>
      </c>
      <c r="K126" s="134"/>
    </row>
    <row r="127" spans="1:11" ht="12.95" customHeight="1">
      <c r="A127" s="134">
        <v>113</v>
      </c>
      <c r="B127" s="134">
        <v>12</v>
      </c>
      <c r="D127" s="132" t="s">
        <v>430</v>
      </c>
      <c r="E127" s="140" t="s">
        <v>62</v>
      </c>
      <c r="G127" s="133" t="s">
        <v>457</v>
      </c>
      <c r="H127" s="133" t="s">
        <v>457</v>
      </c>
      <c r="I127" s="134" t="s">
        <v>1260</v>
      </c>
      <c r="J127" s="134" t="s">
        <v>1261</v>
      </c>
      <c r="K127" s="134"/>
    </row>
    <row r="128" spans="1:11" ht="12.95" customHeight="1">
      <c r="A128" s="134">
        <v>114</v>
      </c>
      <c r="B128" s="134">
        <v>13</v>
      </c>
      <c r="D128" s="132" t="s">
        <v>297</v>
      </c>
      <c r="E128" s="142" t="s">
        <v>249</v>
      </c>
      <c r="G128" s="133" t="s">
        <v>476</v>
      </c>
      <c r="H128" s="133" t="s">
        <v>476</v>
      </c>
      <c r="I128" s="134" t="s">
        <v>1260</v>
      </c>
      <c r="J128" s="134" t="s">
        <v>1261</v>
      </c>
      <c r="K128" s="134"/>
    </row>
    <row r="129" spans="1:11" ht="12.95" customHeight="1">
      <c r="A129" s="134">
        <v>115</v>
      </c>
      <c r="B129" s="134">
        <v>14</v>
      </c>
      <c r="D129" s="132" t="s">
        <v>329</v>
      </c>
      <c r="E129" s="142" t="s">
        <v>76</v>
      </c>
      <c r="G129" s="161" t="s">
        <v>1311</v>
      </c>
      <c r="H129" s="161" t="s">
        <v>1311</v>
      </c>
      <c r="I129" s="134" t="s">
        <v>1260</v>
      </c>
      <c r="J129" s="134" t="s">
        <v>1261</v>
      </c>
      <c r="K129" s="134"/>
    </row>
    <row r="130" spans="1:11" ht="12.95" customHeight="1">
      <c r="A130" s="134">
        <v>116</v>
      </c>
      <c r="B130" s="134">
        <v>15</v>
      </c>
      <c r="D130" s="132" t="s">
        <v>222</v>
      </c>
      <c r="E130" s="134" t="s">
        <v>76</v>
      </c>
      <c r="G130" s="133" t="s">
        <v>1311</v>
      </c>
      <c r="H130" s="133" t="s">
        <v>1311</v>
      </c>
      <c r="I130" s="134" t="s">
        <v>1260</v>
      </c>
      <c r="J130" s="134" t="s">
        <v>1261</v>
      </c>
      <c r="K130" s="134"/>
    </row>
    <row r="131" spans="1:11" ht="12.95" customHeight="1">
      <c r="A131" s="134">
        <v>117</v>
      </c>
      <c r="B131" s="134">
        <v>16</v>
      </c>
      <c r="D131" s="132" t="s">
        <v>260</v>
      </c>
      <c r="E131" s="134" t="s">
        <v>62</v>
      </c>
      <c r="G131" s="133" t="s">
        <v>1311</v>
      </c>
      <c r="H131" s="133" t="s">
        <v>1311</v>
      </c>
      <c r="I131" s="134" t="s">
        <v>1260</v>
      </c>
      <c r="J131" s="134" t="s">
        <v>1261</v>
      </c>
      <c r="K131" s="134"/>
    </row>
    <row r="132" spans="1:11" ht="12.95" customHeight="1">
      <c r="A132" s="134">
        <v>118</v>
      </c>
      <c r="B132" s="134">
        <v>17</v>
      </c>
      <c r="D132" s="132" t="s">
        <v>300</v>
      </c>
      <c r="E132" s="134" t="s">
        <v>76</v>
      </c>
      <c r="G132" s="133" t="s">
        <v>489</v>
      </c>
      <c r="H132" s="133" t="s">
        <v>489</v>
      </c>
      <c r="I132" s="134" t="s">
        <v>1260</v>
      </c>
      <c r="J132" s="134" t="s">
        <v>1261</v>
      </c>
      <c r="K132" s="134"/>
    </row>
    <row r="133" spans="1:11" ht="12.95" customHeight="1">
      <c r="A133" s="134">
        <v>119</v>
      </c>
      <c r="B133" s="134">
        <v>18</v>
      </c>
      <c r="D133" s="132" t="s">
        <v>399</v>
      </c>
      <c r="E133" s="134" t="s">
        <v>76</v>
      </c>
      <c r="G133" s="133" t="s">
        <v>489</v>
      </c>
      <c r="H133" s="133" t="s">
        <v>489</v>
      </c>
      <c r="I133" s="134" t="s">
        <v>1260</v>
      </c>
      <c r="J133" s="134" t="s">
        <v>1261</v>
      </c>
      <c r="K133" s="134"/>
    </row>
    <row r="134" spans="1:11" ht="12.95" customHeight="1">
      <c r="B134" s="199" t="s">
        <v>15</v>
      </c>
    </row>
    <row r="135" spans="1:11" ht="12.95" customHeight="1">
      <c r="A135" s="134">
        <v>120</v>
      </c>
      <c r="B135" s="134">
        <v>1</v>
      </c>
      <c r="D135" s="132" t="s">
        <v>326</v>
      </c>
      <c r="E135" s="134" t="s">
        <v>249</v>
      </c>
      <c r="G135" s="133" t="s">
        <v>499</v>
      </c>
      <c r="H135" s="134" t="s">
        <v>499</v>
      </c>
      <c r="I135" s="134" t="s">
        <v>1260</v>
      </c>
      <c r="J135" s="134" t="s">
        <v>1261</v>
      </c>
      <c r="K135" s="134"/>
    </row>
    <row r="136" spans="1:11" ht="12.95" customHeight="1">
      <c r="A136" s="134">
        <v>121</v>
      </c>
      <c r="B136" s="134">
        <v>2</v>
      </c>
      <c r="D136" s="178" t="s">
        <v>416</v>
      </c>
      <c r="E136" s="137" t="s">
        <v>287</v>
      </c>
      <c r="G136" s="186" t="s">
        <v>505</v>
      </c>
      <c r="H136" s="137" t="s">
        <v>505</v>
      </c>
      <c r="I136" s="137" t="s">
        <v>1260</v>
      </c>
      <c r="J136" s="137" t="s">
        <v>1261</v>
      </c>
      <c r="K136" s="134"/>
    </row>
    <row r="137" spans="1:11" ht="12.95" customHeight="1">
      <c r="A137" s="134">
        <v>122</v>
      </c>
      <c r="B137" s="134">
        <v>3</v>
      </c>
      <c r="C137" s="176"/>
      <c r="D137" s="132" t="s">
        <v>360</v>
      </c>
      <c r="E137" s="134" t="s">
        <v>249</v>
      </c>
      <c r="F137" s="176"/>
      <c r="G137" s="133" t="s">
        <v>517</v>
      </c>
      <c r="H137" s="134" t="s">
        <v>517</v>
      </c>
      <c r="I137" s="134" t="s">
        <v>1260</v>
      </c>
      <c r="J137" s="134" t="s">
        <v>1261</v>
      </c>
      <c r="K137" s="134"/>
    </row>
    <row r="138" spans="1:11" ht="12.95" customHeight="1">
      <c r="A138" s="134">
        <v>123</v>
      </c>
      <c r="B138" s="134">
        <v>4</v>
      </c>
      <c r="C138" s="176"/>
      <c r="D138" s="132" t="s">
        <v>451</v>
      </c>
      <c r="E138" s="134" t="s">
        <v>76</v>
      </c>
      <c r="F138" s="176"/>
      <c r="G138" s="133" t="s">
        <v>546</v>
      </c>
      <c r="H138" s="134" t="s">
        <v>546</v>
      </c>
      <c r="I138" s="134" t="s">
        <v>1260</v>
      </c>
      <c r="J138" s="134" t="s">
        <v>1261</v>
      </c>
      <c r="K138" s="176"/>
    </row>
    <row r="139" spans="1:11" ht="12.95" customHeight="1">
      <c r="A139" s="134">
        <v>124</v>
      </c>
      <c r="B139" s="134">
        <v>5</v>
      </c>
      <c r="C139" s="134"/>
      <c r="D139" s="132" t="s">
        <v>448</v>
      </c>
      <c r="E139" s="134" t="s">
        <v>76</v>
      </c>
      <c r="F139" s="134"/>
      <c r="G139" s="133" t="s">
        <v>546</v>
      </c>
      <c r="H139" s="134" t="s">
        <v>546</v>
      </c>
      <c r="I139" s="134" t="s">
        <v>1260</v>
      </c>
      <c r="J139" s="134" t="s">
        <v>1261</v>
      </c>
      <c r="K139" s="134"/>
    </row>
    <row r="140" spans="1:11" ht="12.95" customHeight="1">
      <c r="A140" s="134">
        <v>125</v>
      </c>
      <c r="B140" s="134">
        <v>6</v>
      </c>
      <c r="C140" s="134"/>
      <c r="D140" s="132" t="s">
        <v>409</v>
      </c>
      <c r="E140" s="134" t="s">
        <v>76</v>
      </c>
      <c r="F140" s="134"/>
      <c r="G140" s="133" t="s">
        <v>556</v>
      </c>
      <c r="H140" s="134" t="s">
        <v>556</v>
      </c>
      <c r="I140" s="134" t="s">
        <v>1260</v>
      </c>
      <c r="J140" s="134" t="s">
        <v>1261</v>
      </c>
      <c r="K140" s="134"/>
    </row>
    <row r="141" spans="1:11" ht="12.95" customHeight="1">
      <c r="A141" s="134">
        <v>126</v>
      </c>
      <c r="B141" s="134">
        <v>7</v>
      </c>
      <c r="C141" s="134"/>
      <c r="D141" s="132" t="s">
        <v>424</v>
      </c>
      <c r="E141" s="134" t="s">
        <v>76</v>
      </c>
      <c r="F141" s="134"/>
      <c r="G141" s="133" t="s">
        <v>978</v>
      </c>
      <c r="H141" s="134" t="s">
        <v>978</v>
      </c>
      <c r="I141" s="134" t="s">
        <v>1260</v>
      </c>
      <c r="J141" s="134" t="s">
        <v>1261</v>
      </c>
      <c r="K141" s="134"/>
    </row>
    <row r="142" spans="1:11" ht="12.95" customHeight="1">
      <c r="B142" s="199" t="s">
        <v>17</v>
      </c>
    </row>
    <row r="143" spans="1:11" ht="12.95" customHeight="1">
      <c r="A143" s="134">
        <v>127</v>
      </c>
      <c r="B143" s="134">
        <v>1</v>
      </c>
      <c r="D143" s="132" t="s">
        <v>396</v>
      </c>
      <c r="E143" s="134" t="s">
        <v>76</v>
      </c>
      <c r="F143" s="134"/>
      <c r="G143" s="133" t="s">
        <v>1682</v>
      </c>
      <c r="H143" s="134" t="s">
        <v>1682</v>
      </c>
      <c r="I143" s="134" t="s">
        <v>1260</v>
      </c>
      <c r="J143" s="134" t="s">
        <v>1261</v>
      </c>
      <c r="K143" s="134"/>
    </row>
    <row r="144" spans="1:11" ht="12.95" customHeight="1">
      <c r="A144" s="134">
        <v>128</v>
      </c>
      <c r="B144" s="134">
        <v>2</v>
      </c>
      <c r="C144" s="134"/>
      <c r="D144" s="132" t="s">
        <v>551</v>
      </c>
      <c r="E144" s="134" t="s">
        <v>76</v>
      </c>
      <c r="F144" s="134"/>
      <c r="G144" s="133" t="s">
        <v>1684</v>
      </c>
      <c r="H144" s="134" t="s">
        <v>1684</v>
      </c>
      <c r="I144" s="134" t="s">
        <v>1260</v>
      </c>
      <c r="J144" s="134" t="s">
        <v>1261</v>
      </c>
      <c r="K144" s="134"/>
    </row>
    <row r="145" spans="1:11" ht="12.95" customHeight="1">
      <c r="A145" s="134">
        <v>129</v>
      </c>
      <c r="B145" s="134">
        <v>3</v>
      </c>
      <c r="C145" s="134"/>
      <c r="D145" s="132" t="s">
        <v>405</v>
      </c>
      <c r="E145" s="134" t="s">
        <v>406</v>
      </c>
      <c r="F145" s="134"/>
      <c r="G145" s="133" t="s">
        <v>1687</v>
      </c>
      <c r="H145" s="134" t="s">
        <v>1687</v>
      </c>
      <c r="I145" s="134" t="s">
        <v>1260</v>
      </c>
      <c r="J145" s="134" t="s">
        <v>1261</v>
      </c>
      <c r="K145" s="134"/>
    </row>
    <row r="146" spans="1:11" ht="12.95" customHeight="1">
      <c r="A146" s="134">
        <v>130</v>
      </c>
      <c r="B146" s="134">
        <v>4</v>
      </c>
      <c r="D146" s="132" t="s">
        <v>340</v>
      </c>
      <c r="E146" s="134" t="s">
        <v>287</v>
      </c>
      <c r="F146" s="134"/>
      <c r="G146" s="133" t="s">
        <v>1697</v>
      </c>
      <c r="H146" s="134" t="s">
        <v>1697</v>
      </c>
      <c r="I146" s="134" t="s">
        <v>1260</v>
      </c>
      <c r="J146" s="134" t="s">
        <v>1261</v>
      </c>
      <c r="K146" s="134"/>
    </row>
    <row r="147" spans="1:11" ht="12.95" customHeight="1">
      <c r="A147" s="134">
        <v>131</v>
      </c>
      <c r="B147" s="134">
        <v>5</v>
      </c>
      <c r="D147" s="132" t="s">
        <v>427</v>
      </c>
      <c r="E147" s="134" t="s">
        <v>1269</v>
      </c>
      <c r="F147" s="134"/>
      <c r="G147" s="133" t="s">
        <v>1681</v>
      </c>
      <c r="H147" s="134" t="s">
        <v>1681</v>
      </c>
      <c r="I147" s="134" t="s">
        <v>1260</v>
      </c>
      <c r="J147" s="134" t="s">
        <v>1261</v>
      </c>
      <c r="K147" s="134"/>
    </row>
    <row r="148" spans="1:11" ht="12.95" customHeight="1">
      <c r="A148" s="134">
        <v>132</v>
      </c>
      <c r="B148" s="134">
        <v>6</v>
      </c>
      <c r="D148" s="132" t="s">
        <v>413</v>
      </c>
      <c r="E148" s="134" t="s">
        <v>76</v>
      </c>
      <c r="F148" s="134"/>
      <c r="G148" s="133" t="s">
        <v>1680</v>
      </c>
      <c r="H148" s="134" t="s">
        <v>1680</v>
      </c>
      <c r="I148" s="134" t="s">
        <v>1260</v>
      </c>
      <c r="J148" s="134" t="s">
        <v>1261</v>
      </c>
      <c r="K148" s="134"/>
    </row>
    <row r="149" spans="1:11" ht="12.95" customHeight="1">
      <c r="B149" s="199" t="s">
        <v>1704</v>
      </c>
    </row>
    <row r="150" spans="1:11" ht="12.95" customHeight="1">
      <c r="A150" s="134">
        <v>133</v>
      </c>
      <c r="B150" s="134">
        <v>1</v>
      </c>
      <c r="D150" s="132" t="s">
        <v>533</v>
      </c>
      <c r="E150" s="134"/>
      <c r="F150" s="134"/>
      <c r="G150" s="133" t="s">
        <v>1711</v>
      </c>
      <c r="H150" s="134" t="s">
        <v>1711</v>
      </c>
      <c r="I150" s="134" t="s">
        <v>1260</v>
      </c>
      <c r="J150" s="134" t="s">
        <v>1261</v>
      </c>
      <c r="K150" s="134"/>
    </row>
    <row r="151" spans="1:11" ht="12.95" customHeight="1">
      <c r="A151" s="134">
        <v>134</v>
      </c>
      <c r="B151" s="134">
        <v>2</v>
      </c>
      <c r="D151" s="132" t="s">
        <v>304</v>
      </c>
      <c r="E151" s="134"/>
      <c r="F151" s="134"/>
      <c r="G151" s="133" t="s">
        <v>1716</v>
      </c>
      <c r="H151" s="134" t="s">
        <v>1716</v>
      </c>
      <c r="I151" s="134" t="s">
        <v>1260</v>
      </c>
      <c r="J151" s="134" t="s">
        <v>1261</v>
      </c>
      <c r="K151" s="134"/>
    </row>
    <row r="152" spans="1:11" ht="12.95" customHeight="1">
      <c r="A152" s="134">
        <v>135</v>
      </c>
      <c r="B152" s="134">
        <v>5</v>
      </c>
      <c r="C152" s="134"/>
      <c r="D152" s="132" t="s">
        <v>220</v>
      </c>
      <c r="E152" s="134"/>
      <c r="F152" s="134"/>
      <c r="G152" s="133" t="s">
        <v>1720</v>
      </c>
      <c r="H152" s="134" t="s">
        <v>1720</v>
      </c>
      <c r="I152" s="134" t="s">
        <v>1260</v>
      </c>
      <c r="J152" s="134" t="s">
        <v>1261</v>
      </c>
      <c r="K152" s="134"/>
    </row>
    <row r="153" spans="1:11" ht="12.95" customHeight="1">
      <c r="A153" s="134">
        <v>136</v>
      </c>
      <c r="B153" s="134">
        <v>6</v>
      </c>
      <c r="D153" s="132" t="s">
        <v>378</v>
      </c>
      <c r="E153" s="134"/>
      <c r="G153" s="535" t="s">
        <v>1721</v>
      </c>
      <c r="H153" s="535" t="s">
        <v>1721</v>
      </c>
      <c r="I153" s="536" t="s">
        <v>1260</v>
      </c>
      <c r="J153" s="536" t="s">
        <v>1261</v>
      </c>
      <c r="K153" s="134"/>
    </row>
    <row r="154" spans="1:11" ht="12.95" customHeight="1">
      <c r="A154" s="134">
        <v>137</v>
      </c>
      <c r="B154" s="134">
        <v>7</v>
      </c>
      <c r="D154" s="132" t="s">
        <v>185</v>
      </c>
      <c r="E154" s="134"/>
      <c r="G154" s="535" t="s">
        <v>1724</v>
      </c>
      <c r="H154" s="535" t="s">
        <v>1724</v>
      </c>
      <c r="I154" s="536" t="s">
        <v>1260</v>
      </c>
      <c r="J154" s="536" t="s">
        <v>1261</v>
      </c>
      <c r="K154" s="134"/>
    </row>
    <row r="155" spans="1:11" ht="12.95" customHeight="1">
      <c r="A155" s="134">
        <v>138</v>
      </c>
      <c r="B155" s="134">
        <v>4</v>
      </c>
      <c r="C155" s="134"/>
      <c r="D155" s="132" t="s">
        <v>224</v>
      </c>
      <c r="E155" s="134"/>
      <c r="F155" s="134"/>
      <c r="G155" s="133" t="s">
        <v>1719</v>
      </c>
      <c r="H155" s="134" t="s">
        <v>1719</v>
      </c>
      <c r="I155" s="134" t="s">
        <v>1260</v>
      </c>
      <c r="J155" s="134" t="s">
        <v>1261</v>
      </c>
      <c r="K155" s="134"/>
    </row>
    <row r="156" spans="1:11" ht="12.95"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78" width="7.85546875" style="160"/>
    <col min="179" max="180" width="5.140625" style="160" customWidth="1"/>
    <col min="181" max="181" width="5.42578125" style="160" customWidth="1"/>
    <col min="182" max="182" width="6.5703125" style="160" customWidth="1"/>
    <col min="183" max="183" width="8.5703125" style="160" customWidth="1"/>
    <col min="184" max="184" width="12.42578125" style="160" customWidth="1"/>
    <col min="185" max="185" width="10.5703125" style="160" customWidth="1"/>
    <col min="186" max="186" width="9.85546875" style="160" customWidth="1"/>
    <col min="187" max="187" width="9.5703125" style="160" customWidth="1"/>
    <col min="188" max="193" width="8.140625" style="160" customWidth="1"/>
    <col min="194" max="194" width="9.42578125" style="160" customWidth="1"/>
    <col min="195" max="195" width="8" style="160" customWidth="1"/>
    <col min="196" max="196" width="8.140625" style="160" customWidth="1"/>
    <col min="197" max="197" width="7.42578125" style="160" customWidth="1"/>
    <col min="198" max="198" width="7.5703125" style="160" customWidth="1"/>
    <col min="199" max="206" width="7.85546875" style="160" hidden="1" customWidth="1"/>
    <col min="207" max="207" width="9.140625" style="160" customWidth="1"/>
    <col min="208" max="208" width="8.5703125" style="160" customWidth="1"/>
    <col min="209" max="209" width="10.5703125" style="160" customWidth="1"/>
    <col min="210" max="210" width="25.42578125" style="160" customWidth="1"/>
    <col min="211" max="211" width="14.42578125" style="160" customWidth="1"/>
    <col min="212" max="212" width="4.5703125" style="160" customWidth="1"/>
    <col min="213" max="213" width="9.85546875" style="160" customWidth="1"/>
    <col min="214" max="214" width="9.5703125" style="160" customWidth="1"/>
    <col min="215" max="434" width="7.85546875" style="160"/>
    <col min="435" max="436" width="5.140625" style="160" customWidth="1"/>
    <col min="437" max="437" width="5.42578125" style="160" customWidth="1"/>
    <col min="438" max="438" width="6.5703125" style="160" customWidth="1"/>
    <col min="439" max="439" width="8.5703125" style="160" customWidth="1"/>
    <col min="440" max="440" width="12.42578125" style="160" customWidth="1"/>
    <col min="441" max="441" width="10.5703125" style="160" customWidth="1"/>
    <col min="442" max="442" width="9.85546875" style="160" customWidth="1"/>
    <col min="443" max="443" width="9.5703125" style="160" customWidth="1"/>
    <col min="444" max="449" width="8.140625" style="160" customWidth="1"/>
    <col min="450" max="450" width="9.42578125" style="160" customWidth="1"/>
    <col min="451" max="451" width="8" style="160" customWidth="1"/>
    <col min="452" max="452" width="8.140625" style="160" customWidth="1"/>
    <col min="453" max="453" width="7.42578125" style="160" customWidth="1"/>
    <col min="454" max="454" width="7.5703125" style="160" customWidth="1"/>
    <col min="455" max="462" width="7.85546875" style="160" hidden="1" customWidth="1"/>
    <col min="463" max="463" width="9.140625" style="160" customWidth="1"/>
    <col min="464" max="464" width="8.5703125" style="160" customWidth="1"/>
    <col min="465" max="465" width="10.5703125" style="160" customWidth="1"/>
    <col min="466" max="466" width="25.42578125" style="160" customWidth="1"/>
    <col min="467" max="467" width="14.42578125" style="160" customWidth="1"/>
    <col min="468" max="468" width="4.5703125" style="160" customWidth="1"/>
    <col min="469" max="469" width="9.85546875" style="160" customWidth="1"/>
    <col min="470" max="470" width="9.5703125" style="160" customWidth="1"/>
    <col min="471" max="690" width="7.85546875" style="160"/>
    <col min="691" max="692" width="5.140625" style="160" customWidth="1"/>
    <col min="693" max="693" width="5.42578125" style="160" customWidth="1"/>
    <col min="694" max="694" width="6.5703125" style="160" customWidth="1"/>
    <col min="695" max="695" width="8.5703125" style="160" customWidth="1"/>
    <col min="696" max="696" width="12.42578125" style="160" customWidth="1"/>
    <col min="697" max="697" width="10.5703125" style="160" customWidth="1"/>
    <col min="698" max="698" width="9.85546875" style="160" customWidth="1"/>
    <col min="699" max="699" width="9.5703125" style="160" customWidth="1"/>
    <col min="700" max="705" width="8.140625" style="160" customWidth="1"/>
    <col min="706" max="706" width="9.42578125" style="160" customWidth="1"/>
    <col min="707" max="707" width="8" style="160" customWidth="1"/>
    <col min="708" max="708" width="8.140625" style="160" customWidth="1"/>
    <col min="709" max="709" width="7.42578125" style="160" customWidth="1"/>
    <col min="710" max="710" width="7.5703125" style="160" customWidth="1"/>
    <col min="711" max="718" width="7.85546875" style="160" hidden="1" customWidth="1"/>
    <col min="719" max="719" width="9.140625" style="160" customWidth="1"/>
    <col min="720" max="720" width="8.5703125" style="160" customWidth="1"/>
    <col min="721" max="721" width="10.5703125" style="160" customWidth="1"/>
    <col min="722" max="722" width="25.42578125" style="160" customWidth="1"/>
    <col min="723" max="723" width="14.42578125" style="160" customWidth="1"/>
    <col min="724" max="724" width="4.5703125" style="160" customWidth="1"/>
    <col min="725" max="725" width="9.85546875" style="160" customWidth="1"/>
    <col min="726" max="726" width="9.5703125" style="160" customWidth="1"/>
    <col min="727" max="946" width="7.85546875" style="160"/>
    <col min="947" max="948" width="5.140625" style="160" customWidth="1"/>
    <col min="949" max="949" width="5.42578125" style="160" customWidth="1"/>
    <col min="950" max="950" width="6.5703125" style="160" customWidth="1"/>
    <col min="951" max="951" width="8.5703125" style="160" customWidth="1"/>
    <col min="952" max="952" width="12.42578125" style="160" customWidth="1"/>
    <col min="953" max="953" width="10.5703125" style="160" customWidth="1"/>
    <col min="954" max="954" width="9.85546875" style="160" customWidth="1"/>
    <col min="955" max="955" width="9.5703125" style="160" customWidth="1"/>
    <col min="956" max="961" width="8.140625" style="160" customWidth="1"/>
    <col min="962" max="962" width="9.42578125" style="160" customWidth="1"/>
    <col min="963" max="963" width="8" style="160" customWidth="1"/>
    <col min="964" max="964" width="8.140625" style="160" customWidth="1"/>
    <col min="965" max="965" width="7.42578125" style="160" customWidth="1"/>
    <col min="966" max="966" width="7.5703125" style="160" customWidth="1"/>
    <col min="967" max="974" width="7.85546875" style="160" hidden="1" customWidth="1"/>
    <col min="975" max="975" width="9.140625" style="160" customWidth="1"/>
    <col min="976" max="976" width="8.5703125" style="160" customWidth="1"/>
    <col min="977" max="977" width="10.5703125" style="160" customWidth="1"/>
    <col min="978" max="978" width="25.42578125" style="160" customWidth="1"/>
    <col min="979" max="979" width="14.42578125" style="160" customWidth="1"/>
    <col min="980" max="980" width="4.5703125" style="160" customWidth="1"/>
    <col min="981" max="981" width="9.85546875" style="160" customWidth="1"/>
    <col min="982" max="982" width="9.5703125" style="160" customWidth="1"/>
    <col min="983" max="1202" width="7.85546875" style="160"/>
    <col min="1203" max="1204" width="5.140625" style="160" customWidth="1"/>
    <col min="1205" max="1205" width="5.42578125" style="160" customWidth="1"/>
    <col min="1206" max="1206" width="6.5703125" style="160" customWidth="1"/>
    <col min="1207" max="1207" width="8.5703125" style="160" customWidth="1"/>
    <col min="1208" max="1208" width="12.42578125" style="160" customWidth="1"/>
    <col min="1209" max="1209" width="10.5703125" style="160" customWidth="1"/>
    <col min="1210" max="1210" width="9.85546875" style="160" customWidth="1"/>
    <col min="1211" max="1211" width="9.5703125" style="160" customWidth="1"/>
    <col min="1212" max="1217" width="8.140625" style="160" customWidth="1"/>
    <col min="1218" max="1218" width="9.42578125" style="160" customWidth="1"/>
    <col min="1219" max="1219" width="8" style="160" customWidth="1"/>
    <col min="1220" max="1220" width="8.140625" style="160" customWidth="1"/>
    <col min="1221" max="1221" width="7.42578125" style="160" customWidth="1"/>
    <col min="1222" max="1222" width="7.5703125" style="160" customWidth="1"/>
    <col min="1223" max="1230" width="7.85546875" style="160" hidden="1" customWidth="1"/>
    <col min="1231" max="1231" width="9.140625" style="160" customWidth="1"/>
    <col min="1232" max="1232" width="8.5703125" style="160" customWidth="1"/>
    <col min="1233" max="1233" width="10.5703125" style="160" customWidth="1"/>
    <col min="1234" max="1234" width="25.42578125" style="160" customWidth="1"/>
    <col min="1235" max="1235" width="14.42578125" style="160" customWidth="1"/>
    <col min="1236" max="1236" width="4.5703125" style="160" customWidth="1"/>
    <col min="1237" max="1237" width="9.85546875" style="160" customWidth="1"/>
    <col min="1238" max="1238" width="9.5703125" style="160" customWidth="1"/>
    <col min="1239" max="1458" width="7.85546875" style="160"/>
    <col min="1459" max="1460" width="5.140625" style="160" customWidth="1"/>
    <col min="1461" max="1461" width="5.42578125" style="160" customWidth="1"/>
    <col min="1462" max="1462" width="6.5703125" style="160" customWidth="1"/>
    <col min="1463" max="1463" width="8.5703125" style="160" customWidth="1"/>
    <col min="1464" max="1464" width="12.42578125" style="160" customWidth="1"/>
    <col min="1465" max="1465" width="10.5703125" style="160" customWidth="1"/>
    <col min="1466" max="1466" width="9.85546875" style="160" customWidth="1"/>
    <col min="1467" max="1467" width="9.5703125" style="160" customWidth="1"/>
    <col min="1468" max="1473" width="8.140625" style="160" customWidth="1"/>
    <col min="1474" max="1474" width="9.42578125" style="160" customWidth="1"/>
    <col min="1475" max="1475" width="8" style="160" customWidth="1"/>
    <col min="1476" max="1476" width="8.140625" style="160" customWidth="1"/>
    <col min="1477" max="1477" width="7.42578125" style="160" customWidth="1"/>
    <col min="1478" max="1478" width="7.5703125" style="160" customWidth="1"/>
    <col min="1479" max="1486" width="7.85546875" style="160" hidden="1" customWidth="1"/>
    <col min="1487" max="1487" width="9.140625" style="160" customWidth="1"/>
    <col min="1488" max="1488" width="8.5703125" style="160" customWidth="1"/>
    <col min="1489" max="1489" width="10.5703125" style="160" customWidth="1"/>
    <col min="1490" max="1490" width="25.42578125" style="160" customWidth="1"/>
    <col min="1491" max="1491" width="14.42578125" style="160" customWidth="1"/>
    <col min="1492" max="1492" width="4.5703125" style="160" customWidth="1"/>
    <col min="1493" max="1493" width="9.85546875" style="160" customWidth="1"/>
    <col min="1494" max="1494" width="9.5703125" style="160" customWidth="1"/>
    <col min="1495" max="1714" width="7.85546875" style="160"/>
    <col min="1715" max="1716" width="5.140625" style="160" customWidth="1"/>
    <col min="1717" max="1717" width="5.42578125" style="160" customWidth="1"/>
    <col min="1718" max="1718" width="6.5703125" style="160" customWidth="1"/>
    <col min="1719" max="1719" width="8.5703125" style="160" customWidth="1"/>
    <col min="1720" max="1720" width="12.42578125" style="160" customWidth="1"/>
    <col min="1721" max="1721" width="10.5703125" style="160" customWidth="1"/>
    <col min="1722" max="1722" width="9.85546875" style="160" customWidth="1"/>
    <col min="1723" max="1723" width="9.5703125" style="160" customWidth="1"/>
    <col min="1724" max="1729" width="8.140625" style="160" customWidth="1"/>
    <col min="1730" max="1730" width="9.42578125" style="160" customWidth="1"/>
    <col min="1731" max="1731" width="8" style="160" customWidth="1"/>
    <col min="1732" max="1732" width="8.140625" style="160" customWidth="1"/>
    <col min="1733" max="1733" width="7.42578125" style="160" customWidth="1"/>
    <col min="1734" max="1734" width="7.5703125" style="160" customWidth="1"/>
    <col min="1735" max="1742" width="7.85546875" style="160" hidden="1" customWidth="1"/>
    <col min="1743" max="1743" width="9.140625" style="160" customWidth="1"/>
    <col min="1744" max="1744" width="8.5703125" style="160" customWidth="1"/>
    <col min="1745" max="1745" width="10.5703125" style="160" customWidth="1"/>
    <col min="1746" max="1746" width="25.42578125" style="160" customWidth="1"/>
    <col min="1747" max="1747" width="14.42578125" style="160" customWidth="1"/>
    <col min="1748" max="1748" width="4.5703125" style="160" customWidth="1"/>
    <col min="1749" max="1749" width="9.85546875" style="160" customWidth="1"/>
    <col min="1750" max="1750" width="9.5703125" style="160" customWidth="1"/>
    <col min="1751" max="1970" width="7.85546875" style="160"/>
    <col min="1971" max="1972" width="5.140625" style="160" customWidth="1"/>
    <col min="1973" max="1973" width="5.42578125" style="160" customWidth="1"/>
    <col min="1974" max="1974" width="6.5703125" style="160" customWidth="1"/>
    <col min="1975" max="1975" width="8.5703125" style="160" customWidth="1"/>
    <col min="1976" max="1976" width="12.42578125" style="160" customWidth="1"/>
    <col min="1977" max="1977" width="10.5703125" style="160" customWidth="1"/>
    <col min="1978" max="1978" width="9.85546875" style="160" customWidth="1"/>
    <col min="1979" max="1979" width="9.5703125" style="160" customWidth="1"/>
    <col min="1980" max="1985" width="8.140625" style="160" customWidth="1"/>
    <col min="1986" max="1986" width="9.42578125" style="160" customWidth="1"/>
    <col min="1987" max="1987" width="8" style="160" customWidth="1"/>
    <col min="1988" max="1988" width="8.140625" style="160" customWidth="1"/>
    <col min="1989" max="1989" width="7.42578125" style="160" customWidth="1"/>
    <col min="1990" max="1990" width="7.5703125" style="160" customWidth="1"/>
    <col min="1991" max="1998" width="7.85546875" style="160" hidden="1" customWidth="1"/>
    <col min="1999" max="1999" width="9.140625" style="160" customWidth="1"/>
    <col min="2000" max="2000" width="8.5703125" style="160" customWidth="1"/>
    <col min="2001" max="2001" width="10.5703125" style="160" customWidth="1"/>
    <col min="2002" max="2002" width="25.42578125" style="160" customWidth="1"/>
    <col min="2003" max="2003" width="14.42578125" style="160" customWidth="1"/>
    <col min="2004" max="2004" width="4.5703125" style="160" customWidth="1"/>
    <col min="2005" max="2005" width="9.85546875" style="160" customWidth="1"/>
    <col min="2006" max="2006" width="9.5703125" style="160" customWidth="1"/>
    <col min="2007" max="2226" width="7.85546875" style="160"/>
    <col min="2227" max="2228" width="5.140625" style="160" customWidth="1"/>
    <col min="2229" max="2229" width="5.42578125" style="160" customWidth="1"/>
    <col min="2230" max="2230" width="6.5703125" style="160" customWidth="1"/>
    <col min="2231" max="2231" width="8.5703125" style="160" customWidth="1"/>
    <col min="2232" max="2232" width="12.42578125" style="160" customWidth="1"/>
    <col min="2233" max="2233" width="10.5703125" style="160" customWidth="1"/>
    <col min="2234" max="2234" width="9.85546875" style="160" customWidth="1"/>
    <col min="2235" max="2235" width="9.5703125" style="160" customWidth="1"/>
    <col min="2236" max="2241" width="8.140625" style="160" customWidth="1"/>
    <col min="2242" max="2242" width="9.42578125" style="160" customWidth="1"/>
    <col min="2243" max="2243" width="8" style="160" customWidth="1"/>
    <col min="2244" max="2244" width="8.140625" style="160" customWidth="1"/>
    <col min="2245" max="2245" width="7.42578125" style="160" customWidth="1"/>
    <col min="2246" max="2246" width="7.5703125" style="160" customWidth="1"/>
    <col min="2247" max="2254" width="7.85546875" style="160" hidden="1" customWidth="1"/>
    <col min="2255" max="2255" width="9.140625" style="160" customWidth="1"/>
    <col min="2256" max="2256" width="8.5703125" style="160" customWidth="1"/>
    <col min="2257" max="2257" width="10.5703125" style="160" customWidth="1"/>
    <col min="2258" max="2258" width="25.42578125" style="160" customWidth="1"/>
    <col min="2259" max="2259" width="14.42578125" style="160" customWidth="1"/>
    <col min="2260" max="2260" width="4.5703125" style="160" customWidth="1"/>
    <col min="2261" max="2261" width="9.85546875" style="160" customWidth="1"/>
    <col min="2262" max="2262" width="9.5703125" style="160" customWidth="1"/>
    <col min="2263" max="2482" width="7.85546875" style="160"/>
    <col min="2483" max="2484" width="5.140625" style="160" customWidth="1"/>
    <col min="2485" max="2485" width="5.42578125" style="160" customWidth="1"/>
    <col min="2486" max="2486" width="6.5703125" style="160" customWidth="1"/>
    <col min="2487" max="2487" width="8.5703125" style="160" customWidth="1"/>
    <col min="2488" max="2488" width="12.42578125" style="160" customWidth="1"/>
    <col min="2489" max="2489" width="10.5703125" style="160" customWidth="1"/>
    <col min="2490" max="2490" width="9.85546875" style="160" customWidth="1"/>
    <col min="2491" max="2491" width="9.5703125" style="160" customWidth="1"/>
    <col min="2492" max="2497" width="8.140625" style="160" customWidth="1"/>
    <col min="2498" max="2498" width="9.42578125" style="160" customWidth="1"/>
    <col min="2499" max="2499" width="8" style="160" customWidth="1"/>
    <col min="2500" max="2500" width="8.140625" style="160" customWidth="1"/>
    <col min="2501" max="2501" width="7.42578125" style="160" customWidth="1"/>
    <col min="2502" max="2502" width="7.5703125" style="160" customWidth="1"/>
    <col min="2503" max="2510" width="7.85546875" style="160" hidden="1" customWidth="1"/>
    <col min="2511" max="2511" width="9.140625" style="160" customWidth="1"/>
    <col min="2512" max="2512" width="8.5703125" style="160" customWidth="1"/>
    <col min="2513" max="2513" width="10.5703125" style="160" customWidth="1"/>
    <col min="2514" max="2514" width="25.42578125" style="160" customWidth="1"/>
    <col min="2515" max="2515" width="14.42578125" style="160" customWidth="1"/>
    <col min="2516" max="2516" width="4.5703125" style="160" customWidth="1"/>
    <col min="2517" max="2517" width="9.85546875" style="160" customWidth="1"/>
    <col min="2518" max="2518" width="9.5703125" style="160" customWidth="1"/>
    <col min="2519" max="2738" width="7.85546875" style="160"/>
    <col min="2739" max="2740" width="5.140625" style="160" customWidth="1"/>
    <col min="2741" max="2741" width="5.42578125" style="160" customWidth="1"/>
    <col min="2742" max="2742" width="6.5703125" style="160" customWidth="1"/>
    <col min="2743" max="2743" width="8.5703125" style="160" customWidth="1"/>
    <col min="2744" max="2744" width="12.42578125" style="160" customWidth="1"/>
    <col min="2745" max="2745" width="10.5703125" style="160" customWidth="1"/>
    <col min="2746" max="2746" width="9.85546875" style="160" customWidth="1"/>
    <col min="2747" max="2747" width="9.5703125" style="160" customWidth="1"/>
    <col min="2748" max="2753" width="8.140625" style="160" customWidth="1"/>
    <col min="2754" max="2754" width="9.42578125" style="160" customWidth="1"/>
    <col min="2755" max="2755" width="8" style="160" customWidth="1"/>
    <col min="2756" max="2756" width="8.140625" style="160" customWidth="1"/>
    <col min="2757" max="2757" width="7.42578125" style="160" customWidth="1"/>
    <col min="2758" max="2758" width="7.5703125" style="160" customWidth="1"/>
    <col min="2759" max="2766" width="7.85546875" style="160" hidden="1" customWidth="1"/>
    <col min="2767" max="2767" width="9.140625" style="160" customWidth="1"/>
    <col min="2768" max="2768" width="8.5703125" style="160" customWidth="1"/>
    <col min="2769" max="2769" width="10.5703125" style="160" customWidth="1"/>
    <col min="2770" max="2770" width="25.42578125" style="160" customWidth="1"/>
    <col min="2771" max="2771" width="14.42578125" style="160" customWidth="1"/>
    <col min="2772" max="2772" width="4.5703125" style="160" customWidth="1"/>
    <col min="2773" max="2773" width="9.85546875" style="160" customWidth="1"/>
    <col min="2774" max="2774" width="9.5703125" style="160" customWidth="1"/>
    <col min="2775" max="2994" width="7.85546875" style="160"/>
    <col min="2995" max="2996" width="5.140625" style="160" customWidth="1"/>
    <col min="2997" max="2997" width="5.42578125" style="160" customWidth="1"/>
    <col min="2998" max="2998" width="6.5703125" style="160" customWidth="1"/>
    <col min="2999" max="2999" width="8.5703125" style="160" customWidth="1"/>
    <col min="3000" max="3000" width="12.42578125" style="160" customWidth="1"/>
    <col min="3001" max="3001" width="10.5703125" style="160" customWidth="1"/>
    <col min="3002" max="3002" width="9.85546875" style="160" customWidth="1"/>
    <col min="3003" max="3003" width="9.5703125" style="160" customWidth="1"/>
    <col min="3004" max="3009" width="8.140625" style="160" customWidth="1"/>
    <col min="3010" max="3010" width="9.42578125" style="160" customWidth="1"/>
    <col min="3011" max="3011" width="8" style="160" customWidth="1"/>
    <col min="3012" max="3012" width="8.140625" style="160" customWidth="1"/>
    <col min="3013" max="3013" width="7.42578125" style="160" customWidth="1"/>
    <col min="3014" max="3014" width="7.5703125" style="160" customWidth="1"/>
    <col min="3015" max="3022" width="7.85546875" style="160" hidden="1" customWidth="1"/>
    <col min="3023" max="3023" width="9.140625" style="160" customWidth="1"/>
    <col min="3024" max="3024" width="8.5703125" style="160" customWidth="1"/>
    <col min="3025" max="3025" width="10.5703125" style="160" customWidth="1"/>
    <col min="3026" max="3026" width="25.42578125" style="160" customWidth="1"/>
    <col min="3027" max="3027" width="14.42578125" style="160" customWidth="1"/>
    <col min="3028" max="3028" width="4.5703125" style="160" customWidth="1"/>
    <col min="3029" max="3029" width="9.85546875" style="160" customWidth="1"/>
    <col min="3030" max="3030" width="9.5703125" style="160" customWidth="1"/>
    <col min="3031" max="3250" width="7.85546875" style="160"/>
    <col min="3251" max="3252" width="5.140625" style="160" customWidth="1"/>
    <col min="3253" max="3253" width="5.42578125" style="160" customWidth="1"/>
    <col min="3254" max="3254" width="6.5703125" style="160" customWidth="1"/>
    <col min="3255" max="3255" width="8.5703125" style="160" customWidth="1"/>
    <col min="3256" max="3256" width="12.42578125" style="160" customWidth="1"/>
    <col min="3257" max="3257" width="10.5703125" style="160" customWidth="1"/>
    <col min="3258" max="3258" width="9.85546875" style="160" customWidth="1"/>
    <col min="3259" max="3259" width="9.5703125" style="160" customWidth="1"/>
    <col min="3260" max="3265" width="8.140625" style="160" customWidth="1"/>
    <col min="3266" max="3266" width="9.42578125" style="160" customWidth="1"/>
    <col min="3267" max="3267" width="8" style="160" customWidth="1"/>
    <col min="3268" max="3268" width="8.140625" style="160" customWidth="1"/>
    <col min="3269" max="3269" width="7.42578125" style="160" customWidth="1"/>
    <col min="3270" max="3270" width="7.5703125" style="160" customWidth="1"/>
    <col min="3271" max="3278" width="7.85546875" style="160" hidden="1" customWidth="1"/>
    <col min="3279" max="3279" width="9.140625" style="160" customWidth="1"/>
    <col min="3280" max="3280" width="8.5703125" style="160" customWidth="1"/>
    <col min="3281" max="3281" width="10.5703125" style="160" customWidth="1"/>
    <col min="3282" max="3282" width="25.42578125" style="160" customWidth="1"/>
    <col min="3283" max="3283" width="14.42578125" style="160" customWidth="1"/>
    <col min="3284" max="3284" width="4.5703125" style="160" customWidth="1"/>
    <col min="3285" max="3285" width="9.85546875" style="160" customWidth="1"/>
    <col min="3286" max="3286" width="9.5703125" style="160" customWidth="1"/>
    <col min="3287" max="3506" width="7.85546875" style="160"/>
    <col min="3507" max="3508" width="5.140625" style="160" customWidth="1"/>
    <col min="3509" max="3509" width="5.42578125" style="160" customWidth="1"/>
    <col min="3510" max="3510" width="6.5703125" style="160" customWidth="1"/>
    <col min="3511" max="3511" width="8.5703125" style="160" customWidth="1"/>
    <col min="3512" max="3512" width="12.42578125" style="160" customWidth="1"/>
    <col min="3513" max="3513" width="10.5703125" style="160" customWidth="1"/>
    <col min="3514" max="3514" width="9.85546875" style="160" customWidth="1"/>
    <col min="3515" max="3515" width="9.5703125" style="160" customWidth="1"/>
    <col min="3516" max="3521" width="8.140625" style="160" customWidth="1"/>
    <col min="3522" max="3522" width="9.42578125" style="160" customWidth="1"/>
    <col min="3523" max="3523" width="8" style="160" customWidth="1"/>
    <col min="3524" max="3524" width="8.140625" style="160" customWidth="1"/>
    <col min="3525" max="3525" width="7.42578125" style="160" customWidth="1"/>
    <col min="3526" max="3526" width="7.5703125" style="160" customWidth="1"/>
    <col min="3527" max="3534" width="7.85546875" style="160" hidden="1" customWidth="1"/>
    <col min="3535" max="3535" width="9.140625" style="160" customWidth="1"/>
    <col min="3536" max="3536" width="8.5703125" style="160" customWidth="1"/>
    <col min="3537" max="3537" width="10.5703125" style="160" customWidth="1"/>
    <col min="3538" max="3538" width="25.42578125" style="160" customWidth="1"/>
    <col min="3539" max="3539" width="14.42578125" style="160" customWidth="1"/>
    <col min="3540" max="3540" width="4.5703125" style="160" customWidth="1"/>
    <col min="3541" max="3541" width="9.85546875" style="160" customWidth="1"/>
    <col min="3542" max="3542" width="9.5703125" style="160" customWidth="1"/>
    <col min="3543" max="3762" width="7.85546875" style="160"/>
    <col min="3763" max="3764" width="5.140625" style="160" customWidth="1"/>
    <col min="3765" max="3765" width="5.42578125" style="160" customWidth="1"/>
    <col min="3766" max="3766" width="6.5703125" style="160" customWidth="1"/>
    <col min="3767" max="3767" width="8.5703125" style="160" customWidth="1"/>
    <col min="3768" max="3768" width="12.42578125" style="160" customWidth="1"/>
    <col min="3769" max="3769" width="10.5703125" style="160" customWidth="1"/>
    <col min="3770" max="3770" width="9.85546875" style="160" customWidth="1"/>
    <col min="3771" max="3771" width="9.5703125" style="160" customWidth="1"/>
    <col min="3772" max="3777" width="8.140625" style="160" customWidth="1"/>
    <col min="3778" max="3778" width="9.42578125" style="160" customWidth="1"/>
    <col min="3779" max="3779" width="8" style="160" customWidth="1"/>
    <col min="3780" max="3780" width="8.140625" style="160" customWidth="1"/>
    <col min="3781" max="3781" width="7.42578125" style="160" customWidth="1"/>
    <col min="3782" max="3782" width="7.5703125" style="160" customWidth="1"/>
    <col min="3783" max="3790" width="7.85546875" style="160" hidden="1" customWidth="1"/>
    <col min="3791" max="3791" width="9.140625" style="160" customWidth="1"/>
    <col min="3792" max="3792" width="8.5703125" style="160" customWidth="1"/>
    <col min="3793" max="3793" width="10.5703125" style="160" customWidth="1"/>
    <col min="3794" max="3794" width="25.42578125" style="160" customWidth="1"/>
    <col min="3795" max="3795" width="14.42578125" style="160" customWidth="1"/>
    <col min="3796" max="3796" width="4.5703125" style="160" customWidth="1"/>
    <col min="3797" max="3797" width="9.85546875" style="160" customWidth="1"/>
    <col min="3798" max="3798" width="9.5703125" style="160" customWidth="1"/>
    <col min="3799" max="4018" width="7.85546875" style="160"/>
    <col min="4019" max="4020" width="5.140625" style="160" customWidth="1"/>
    <col min="4021" max="4021" width="5.42578125" style="160" customWidth="1"/>
    <col min="4022" max="4022" width="6.5703125" style="160" customWidth="1"/>
    <col min="4023" max="4023" width="8.5703125" style="160" customWidth="1"/>
    <col min="4024" max="4024" width="12.42578125" style="160" customWidth="1"/>
    <col min="4025" max="4025" width="10.5703125" style="160" customWidth="1"/>
    <col min="4026" max="4026" width="9.85546875" style="160" customWidth="1"/>
    <col min="4027" max="4027" width="9.5703125" style="160" customWidth="1"/>
    <col min="4028" max="4033" width="8.140625" style="160" customWidth="1"/>
    <col min="4034" max="4034" width="9.42578125" style="160" customWidth="1"/>
    <col min="4035" max="4035" width="8" style="160" customWidth="1"/>
    <col min="4036" max="4036" width="8.140625" style="160" customWidth="1"/>
    <col min="4037" max="4037" width="7.42578125" style="160" customWidth="1"/>
    <col min="4038" max="4038" width="7.5703125" style="160" customWidth="1"/>
    <col min="4039" max="4046" width="7.85546875" style="160" hidden="1" customWidth="1"/>
    <col min="4047" max="4047" width="9.140625" style="160" customWidth="1"/>
    <col min="4048" max="4048" width="8.5703125" style="160" customWidth="1"/>
    <col min="4049" max="4049" width="10.5703125" style="160" customWidth="1"/>
    <col min="4050" max="4050" width="25.42578125" style="160" customWidth="1"/>
    <col min="4051" max="4051" width="14.42578125" style="160" customWidth="1"/>
    <col min="4052" max="4052" width="4.5703125" style="160" customWidth="1"/>
    <col min="4053" max="4053" width="9.85546875" style="160" customWidth="1"/>
    <col min="4054" max="4054" width="9.5703125" style="160" customWidth="1"/>
    <col min="4055" max="4274" width="7.85546875" style="160"/>
    <col min="4275" max="4276" width="5.140625" style="160" customWidth="1"/>
    <col min="4277" max="4277" width="5.42578125" style="160" customWidth="1"/>
    <col min="4278" max="4278" width="6.5703125" style="160" customWidth="1"/>
    <col min="4279" max="4279" width="8.5703125" style="160" customWidth="1"/>
    <col min="4280" max="4280" width="12.42578125" style="160" customWidth="1"/>
    <col min="4281" max="4281" width="10.5703125" style="160" customWidth="1"/>
    <col min="4282" max="4282" width="9.85546875" style="160" customWidth="1"/>
    <col min="4283" max="4283" width="9.5703125" style="160" customWidth="1"/>
    <col min="4284" max="4289" width="8.140625" style="160" customWidth="1"/>
    <col min="4290" max="4290" width="9.42578125" style="160" customWidth="1"/>
    <col min="4291" max="4291" width="8" style="160" customWidth="1"/>
    <col min="4292" max="4292" width="8.140625" style="160" customWidth="1"/>
    <col min="4293" max="4293" width="7.42578125" style="160" customWidth="1"/>
    <col min="4294" max="4294" width="7.5703125" style="160" customWidth="1"/>
    <col min="4295" max="4302" width="7.85546875" style="160" hidden="1" customWidth="1"/>
    <col min="4303" max="4303" width="9.140625" style="160" customWidth="1"/>
    <col min="4304" max="4304" width="8.5703125" style="160" customWidth="1"/>
    <col min="4305" max="4305" width="10.5703125" style="160" customWidth="1"/>
    <col min="4306" max="4306" width="25.42578125" style="160" customWidth="1"/>
    <col min="4307" max="4307" width="14.42578125" style="160" customWidth="1"/>
    <col min="4308" max="4308" width="4.5703125" style="160" customWidth="1"/>
    <col min="4309" max="4309" width="9.85546875" style="160" customWidth="1"/>
    <col min="4310" max="4310" width="9.5703125" style="160" customWidth="1"/>
    <col min="4311" max="4530" width="7.85546875" style="160"/>
    <col min="4531" max="4532" width="5.140625" style="160" customWidth="1"/>
    <col min="4533" max="4533" width="5.42578125" style="160" customWidth="1"/>
    <col min="4534" max="4534" width="6.5703125" style="160" customWidth="1"/>
    <col min="4535" max="4535" width="8.5703125" style="160" customWidth="1"/>
    <col min="4536" max="4536" width="12.42578125" style="160" customWidth="1"/>
    <col min="4537" max="4537" width="10.5703125" style="160" customWidth="1"/>
    <col min="4538" max="4538" width="9.85546875" style="160" customWidth="1"/>
    <col min="4539" max="4539" width="9.5703125" style="160" customWidth="1"/>
    <col min="4540" max="4545" width="8.140625" style="160" customWidth="1"/>
    <col min="4546" max="4546" width="9.42578125" style="160" customWidth="1"/>
    <col min="4547" max="4547" width="8" style="160" customWidth="1"/>
    <col min="4548" max="4548" width="8.140625" style="160" customWidth="1"/>
    <col min="4549" max="4549" width="7.42578125" style="160" customWidth="1"/>
    <col min="4550" max="4550" width="7.5703125" style="160" customWidth="1"/>
    <col min="4551" max="4558" width="7.85546875" style="160" hidden="1" customWidth="1"/>
    <col min="4559" max="4559" width="9.140625" style="160" customWidth="1"/>
    <col min="4560" max="4560" width="8.5703125" style="160" customWidth="1"/>
    <col min="4561" max="4561" width="10.5703125" style="160" customWidth="1"/>
    <col min="4562" max="4562" width="25.42578125" style="160" customWidth="1"/>
    <col min="4563" max="4563" width="14.42578125" style="160" customWidth="1"/>
    <col min="4564" max="4564" width="4.5703125" style="160" customWidth="1"/>
    <col min="4565" max="4565" width="9.85546875" style="160" customWidth="1"/>
    <col min="4566" max="4566" width="9.5703125" style="160" customWidth="1"/>
    <col min="4567" max="4786" width="7.85546875" style="160"/>
    <col min="4787" max="4788" width="5.140625" style="160" customWidth="1"/>
    <col min="4789" max="4789" width="5.42578125" style="160" customWidth="1"/>
    <col min="4790" max="4790" width="6.5703125" style="160" customWidth="1"/>
    <col min="4791" max="4791" width="8.5703125" style="160" customWidth="1"/>
    <col min="4792" max="4792" width="12.42578125" style="160" customWidth="1"/>
    <col min="4793" max="4793" width="10.5703125" style="160" customWidth="1"/>
    <col min="4794" max="4794" width="9.85546875" style="160" customWidth="1"/>
    <col min="4795" max="4795" width="9.5703125" style="160" customWidth="1"/>
    <col min="4796" max="4801" width="8.140625" style="160" customWidth="1"/>
    <col min="4802" max="4802" width="9.42578125" style="160" customWidth="1"/>
    <col min="4803" max="4803" width="8" style="160" customWidth="1"/>
    <col min="4804" max="4804" width="8.140625" style="160" customWidth="1"/>
    <col min="4805" max="4805" width="7.42578125" style="160" customWidth="1"/>
    <col min="4806" max="4806" width="7.5703125" style="160" customWidth="1"/>
    <col min="4807" max="4814" width="7.85546875" style="160" hidden="1" customWidth="1"/>
    <col min="4815" max="4815" width="9.140625" style="160" customWidth="1"/>
    <col min="4816" max="4816" width="8.5703125" style="160" customWidth="1"/>
    <col min="4817" max="4817" width="10.5703125" style="160" customWidth="1"/>
    <col min="4818" max="4818" width="25.42578125" style="160" customWidth="1"/>
    <col min="4819" max="4819" width="14.42578125" style="160" customWidth="1"/>
    <col min="4820" max="4820" width="4.5703125" style="160" customWidth="1"/>
    <col min="4821" max="4821" width="9.85546875" style="160" customWidth="1"/>
    <col min="4822" max="4822" width="9.5703125" style="160" customWidth="1"/>
    <col min="4823" max="5042" width="7.85546875" style="160"/>
    <col min="5043" max="5044" width="5.140625" style="160" customWidth="1"/>
    <col min="5045" max="5045" width="5.42578125" style="160" customWidth="1"/>
    <col min="5046" max="5046" width="6.5703125" style="160" customWidth="1"/>
    <col min="5047" max="5047" width="8.5703125" style="160" customWidth="1"/>
    <col min="5048" max="5048" width="12.42578125" style="160" customWidth="1"/>
    <col min="5049" max="5049" width="10.5703125" style="160" customWidth="1"/>
    <col min="5050" max="5050" width="9.85546875" style="160" customWidth="1"/>
    <col min="5051" max="5051" width="9.5703125" style="160" customWidth="1"/>
    <col min="5052" max="5057" width="8.140625" style="160" customWidth="1"/>
    <col min="5058" max="5058" width="9.42578125" style="160" customWidth="1"/>
    <col min="5059" max="5059" width="8" style="160" customWidth="1"/>
    <col min="5060" max="5060" width="8.140625" style="160" customWidth="1"/>
    <col min="5061" max="5061" width="7.42578125" style="160" customWidth="1"/>
    <col min="5062" max="5062" width="7.5703125" style="160" customWidth="1"/>
    <col min="5063" max="5070" width="7.85546875" style="160" hidden="1" customWidth="1"/>
    <col min="5071" max="5071" width="9.140625" style="160" customWidth="1"/>
    <col min="5072" max="5072" width="8.5703125" style="160" customWidth="1"/>
    <col min="5073" max="5073" width="10.5703125" style="160" customWidth="1"/>
    <col min="5074" max="5074" width="25.42578125" style="160" customWidth="1"/>
    <col min="5075" max="5075" width="14.42578125" style="160" customWidth="1"/>
    <col min="5076" max="5076" width="4.5703125" style="160" customWidth="1"/>
    <col min="5077" max="5077" width="9.85546875" style="160" customWidth="1"/>
    <col min="5078" max="5078" width="9.5703125" style="160" customWidth="1"/>
    <col min="5079" max="5298" width="7.85546875" style="160"/>
    <col min="5299" max="5300" width="5.140625" style="160" customWidth="1"/>
    <col min="5301" max="5301" width="5.42578125" style="160" customWidth="1"/>
    <col min="5302" max="5302" width="6.5703125" style="160" customWidth="1"/>
    <col min="5303" max="5303" width="8.5703125" style="160" customWidth="1"/>
    <col min="5304" max="5304" width="12.42578125" style="160" customWidth="1"/>
    <col min="5305" max="5305" width="10.5703125" style="160" customWidth="1"/>
    <col min="5306" max="5306" width="9.85546875" style="160" customWidth="1"/>
    <col min="5307" max="5307" width="9.5703125" style="160" customWidth="1"/>
    <col min="5308" max="5313" width="8.140625" style="160" customWidth="1"/>
    <col min="5314" max="5314" width="9.42578125" style="160" customWidth="1"/>
    <col min="5315" max="5315" width="8" style="160" customWidth="1"/>
    <col min="5316" max="5316" width="8.140625" style="160" customWidth="1"/>
    <col min="5317" max="5317" width="7.42578125" style="160" customWidth="1"/>
    <col min="5318" max="5318" width="7.5703125" style="160" customWidth="1"/>
    <col min="5319" max="5326" width="7.85546875" style="160" hidden="1" customWidth="1"/>
    <col min="5327" max="5327" width="9.140625" style="160" customWidth="1"/>
    <col min="5328" max="5328" width="8.5703125" style="160" customWidth="1"/>
    <col min="5329" max="5329" width="10.5703125" style="160" customWidth="1"/>
    <col min="5330" max="5330" width="25.42578125" style="160" customWidth="1"/>
    <col min="5331" max="5331" width="14.42578125" style="160" customWidth="1"/>
    <col min="5332" max="5332" width="4.5703125" style="160" customWidth="1"/>
    <col min="5333" max="5333" width="9.85546875" style="160" customWidth="1"/>
    <col min="5334" max="5334" width="9.5703125" style="160" customWidth="1"/>
    <col min="5335" max="5554" width="7.85546875" style="160"/>
    <col min="5555" max="5556" width="5.140625" style="160" customWidth="1"/>
    <col min="5557" max="5557" width="5.42578125" style="160" customWidth="1"/>
    <col min="5558" max="5558" width="6.5703125" style="160" customWidth="1"/>
    <col min="5559" max="5559" width="8.5703125" style="160" customWidth="1"/>
    <col min="5560" max="5560" width="12.42578125" style="160" customWidth="1"/>
    <col min="5561" max="5561" width="10.5703125" style="160" customWidth="1"/>
    <col min="5562" max="5562" width="9.85546875" style="160" customWidth="1"/>
    <col min="5563" max="5563" width="9.5703125" style="160" customWidth="1"/>
    <col min="5564" max="5569" width="8.140625" style="160" customWidth="1"/>
    <col min="5570" max="5570" width="9.42578125" style="160" customWidth="1"/>
    <col min="5571" max="5571" width="8" style="160" customWidth="1"/>
    <col min="5572" max="5572" width="8.140625" style="160" customWidth="1"/>
    <col min="5573" max="5573" width="7.42578125" style="160" customWidth="1"/>
    <col min="5574" max="5574" width="7.5703125" style="160" customWidth="1"/>
    <col min="5575" max="5582" width="7.85546875" style="160" hidden="1" customWidth="1"/>
    <col min="5583" max="5583" width="9.140625" style="160" customWidth="1"/>
    <col min="5584" max="5584" width="8.5703125" style="160" customWidth="1"/>
    <col min="5585" max="5585" width="10.5703125" style="160" customWidth="1"/>
    <col min="5586" max="5586" width="25.42578125" style="160" customWidth="1"/>
    <col min="5587" max="5587" width="14.42578125" style="160" customWidth="1"/>
    <col min="5588" max="5588" width="4.5703125" style="160" customWidth="1"/>
    <col min="5589" max="5589" width="9.85546875" style="160" customWidth="1"/>
    <col min="5590" max="5590" width="9.5703125" style="160" customWidth="1"/>
    <col min="5591" max="5810" width="7.85546875" style="160"/>
    <col min="5811" max="5812" width="5.140625" style="160" customWidth="1"/>
    <col min="5813" max="5813" width="5.42578125" style="160" customWidth="1"/>
    <col min="5814" max="5814" width="6.5703125" style="160" customWidth="1"/>
    <col min="5815" max="5815" width="8.5703125" style="160" customWidth="1"/>
    <col min="5816" max="5816" width="12.42578125" style="160" customWidth="1"/>
    <col min="5817" max="5817" width="10.5703125" style="160" customWidth="1"/>
    <col min="5818" max="5818" width="9.85546875" style="160" customWidth="1"/>
    <col min="5819" max="5819" width="9.5703125" style="160" customWidth="1"/>
    <col min="5820" max="5825" width="8.140625" style="160" customWidth="1"/>
    <col min="5826" max="5826" width="9.42578125" style="160" customWidth="1"/>
    <col min="5827" max="5827" width="8" style="160" customWidth="1"/>
    <col min="5828" max="5828" width="8.140625" style="160" customWidth="1"/>
    <col min="5829" max="5829" width="7.42578125" style="160" customWidth="1"/>
    <col min="5830" max="5830" width="7.5703125" style="160" customWidth="1"/>
    <col min="5831" max="5838" width="7.85546875" style="160" hidden="1" customWidth="1"/>
    <col min="5839" max="5839" width="9.140625" style="160" customWidth="1"/>
    <col min="5840" max="5840" width="8.5703125" style="160" customWidth="1"/>
    <col min="5841" max="5841" width="10.5703125" style="160" customWidth="1"/>
    <col min="5842" max="5842" width="25.42578125" style="160" customWidth="1"/>
    <col min="5843" max="5843" width="14.42578125" style="160" customWidth="1"/>
    <col min="5844" max="5844" width="4.5703125" style="160" customWidth="1"/>
    <col min="5845" max="5845" width="9.85546875" style="160" customWidth="1"/>
    <col min="5846" max="5846" width="9.5703125" style="160" customWidth="1"/>
    <col min="5847" max="6066" width="7.85546875" style="160"/>
    <col min="6067" max="6068" width="5.140625" style="160" customWidth="1"/>
    <col min="6069" max="6069" width="5.42578125" style="160" customWidth="1"/>
    <col min="6070" max="6070" width="6.5703125" style="160" customWidth="1"/>
    <col min="6071" max="6071" width="8.5703125" style="160" customWidth="1"/>
    <col min="6072" max="6072" width="12.42578125" style="160" customWidth="1"/>
    <col min="6073" max="6073" width="10.5703125" style="160" customWidth="1"/>
    <col min="6074" max="6074" width="9.85546875" style="160" customWidth="1"/>
    <col min="6075" max="6075" width="9.5703125" style="160" customWidth="1"/>
    <col min="6076" max="6081" width="8.140625" style="160" customWidth="1"/>
    <col min="6082" max="6082" width="9.42578125" style="160" customWidth="1"/>
    <col min="6083" max="6083" width="8" style="160" customWidth="1"/>
    <col min="6084" max="6084" width="8.140625" style="160" customWidth="1"/>
    <col min="6085" max="6085" width="7.42578125" style="160" customWidth="1"/>
    <col min="6086" max="6086" width="7.5703125" style="160" customWidth="1"/>
    <col min="6087" max="6094" width="7.85546875" style="160" hidden="1" customWidth="1"/>
    <col min="6095" max="6095" width="9.140625" style="160" customWidth="1"/>
    <col min="6096" max="6096" width="8.5703125" style="160" customWidth="1"/>
    <col min="6097" max="6097" width="10.5703125" style="160" customWidth="1"/>
    <col min="6098" max="6098" width="25.42578125" style="160" customWidth="1"/>
    <col min="6099" max="6099" width="14.42578125" style="160" customWidth="1"/>
    <col min="6100" max="6100" width="4.5703125" style="160" customWidth="1"/>
    <col min="6101" max="6101" width="9.85546875" style="160" customWidth="1"/>
    <col min="6102" max="6102" width="9.5703125" style="160" customWidth="1"/>
    <col min="6103" max="6322" width="7.85546875" style="160"/>
    <col min="6323" max="6324" width="5.140625" style="160" customWidth="1"/>
    <col min="6325" max="6325" width="5.42578125" style="160" customWidth="1"/>
    <col min="6326" max="6326" width="6.5703125" style="160" customWidth="1"/>
    <col min="6327" max="6327" width="8.5703125" style="160" customWidth="1"/>
    <col min="6328" max="6328" width="12.42578125" style="160" customWidth="1"/>
    <col min="6329" max="6329" width="10.5703125" style="160" customWidth="1"/>
    <col min="6330" max="6330" width="9.85546875" style="160" customWidth="1"/>
    <col min="6331" max="6331" width="9.5703125" style="160" customWidth="1"/>
    <col min="6332" max="6337" width="8.140625" style="160" customWidth="1"/>
    <col min="6338" max="6338" width="9.42578125" style="160" customWidth="1"/>
    <col min="6339" max="6339" width="8" style="160" customWidth="1"/>
    <col min="6340" max="6340" width="8.140625" style="160" customWidth="1"/>
    <col min="6341" max="6341" width="7.42578125" style="160" customWidth="1"/>
    <col min="6342" max="6342" width="7.5703125" style="160" customWidth="1"/>
    <col min="6343" max="6350" width="7.85546875" style="160" hidden="1" customWidth="1"/>
    <col min="6351" max="6351" width="9.140625" style="160" customWidth="1"/>
    <col min="6352" max="6352" width="8.5703125" style="160" customWidth="1"/>
    <col min="6353" max="6353" width="10.5703125" style="160" customWidth="1"/>
    <col min="6354" max="6354" width="25.42578125" style="160" customWidth="1"/>
    <col min="6355" max="6355" width="14.42578125" style="160" customWidth="1"/>
    <col min="6356" max="6356" width="4.5703125" style="160" customWidth="1"/>
    <col min="6357" max="6357" width="9.85546875" style="160" customWidth="1"/>
    <col min="6358" max="6358" width="9.5703125" style="160" customWidth="1"/>
    <col min="6359" max="6578" width="7.85546875" style="160"/>
    <col min="6579" max="6580" width="5.140625" style="160" customWidth="1"/>
    <col min="6581" max="6581" width="5.42578125" style="160" customWidth="1"/>
    <col min="6582" max="6582" width="6.5703125" style="160" customWidth="1"/>
    <col min="6583" max="6583" width="8.5703125" style="160" customWidth="1"/>
    <col min="6584" max="6584" width="12.42578125" style="160" customWidth="1"/>
    <col min="6585" max="6585" width="10.5703125" style="160" customWidth="1"/>
    <col min="6586" max="6586" width="9.85546875" style="160" customWidth="1"/>
    <col min="6587" max="6587" width="9.5703125" style="160" customWidth="1"/>
    <col min="6588" max="6593" width="8.140625" style="160" customWidth="1"/>
    <col min="6594" max="6594" width="9.42578125" style="160" customWidth="1"/>
    <col min="6595" max="6595" width="8" style="160" customWidth="1"/>
    <col min="6596" max="6596" width="8.140625" style="160" customWidth="1"/>
    <col min="6597" max="6597" width="7.42578125" style="160" customWidth="1"/>
    <col min="6598" max="6598" width="7.5703125" style="160" customWidth="1"/>
    <col min="6599" max="6606" width="7.85546875" style="160" hidden="1" customWidth="1"/>
    <col min="6607" max="6607" width="9.140625" style="160" customWidth="1"/>
    <col min="6608" max="6608" width="8.5703125" style="160" customWidth="1"/>
    <col min="6609" max="6609" width="10.5703125" style="160" customWidth="1"/>
    <col min="6610" max="6610" width="25.42578125" style="160" customWidth="1"/>
    <col min="6611" max="6611" width="14.42578125" style="160" customWidth="1"/>
    <col min="6612" max="6612" width="4.5703125" style="160" customWidth="1"/>
    <col min="6613" max="6613" width="9.85546875" style="160" customWidth="1"/>
    <col min="6614" max="6614" width="9.5703125" style="160" customWidth="1"/>
    <col min="6615" max="6834" width="7.85546875" style="160"/>
    <col min="6835" max="6836" width="5.140625" style="160" customWidth="1"/>
    <col min="6837" max="6837" width="5.42578125" style="160" customWidth="1"/>
    <col min="6838" max="6838" width="6.5703125" style="160" customWidth="1"/>
    <col min="6839" max="6839" width="8.5703125" style="160" customWidth="1"/>
    <col min="6840" max="6840" width="12.42578125" style="160" customWidth="1"/>
    <col min="6841" max="6841" width="10.5703125" style="160" customWidth="1"/>
    <col min="6842" max="6842" width="9.85546875" style="160" customWidth="1"/>
    <col min="6843" max="6843" width="9.5703125" style="160" customWidth="1"/>
    <col min="6844" max="6849" width="8.140625" style="160" customWidth="1"/>
    <col min="6850" max="6850" width="9.42578125" style="160" customWidth="1"/>
    <col min="6851" max="6851" width="8" style="160" customWidth="1"/>
    <col min="6852" max="6852" width="8.140625" style="160" customWidth="1"/>
    <col min="6853" max="6853" width="7.42578125" style="160" customWidth="1"/>
    <col min="6854" max="6854" width="7.5703125" style="160" customWidth="1"/>
    <col min="6855" max="6862" width="7.85546875" style="160" hidden="1" customWidth="1"/>
    <col min="6863" max="6863" width="9.140625" style="160" customWidth="1"/>
    <col min="6864" max="6864" width="8.5703125" style="160" customWidth="1"/>
    <col min="6865" max="6865" width="10.5703125" style="160" customWidth="1"/>
    <col min="6866" max="6866" width="25.42578125" style="160" customWidth="1"/>
    <col min="6867" max="6867" width="14.42578125" style="160" customWidth="1"/>
    <col min="6868" max="6868" width="4.5703125" style="160" customWidth="1"/>
    <col min="6869" max="6869" width="9.85546875" style="160" customWidth="1"/>
    <col min="6870" max="6870" width="9.5703125" style="160" customWidth="1"/>
    <col min="6871" max="7090" width="7.85546875" style="160"/>
    <col min="7091" max="7092" width="5.140625" style="160" customWidth="1"/>
    <col min="7093" max="7093" width="5.42578125" style="160" customWidth="1"/>
    <col min="7094" max="7094" width="6.5703125" style="160" customWidth="1"/>
    <col min="7095" max="7095" width="8.5703125" style="160" customWidth="1"/>
    <col min="7096" max="7096" width="12.42578125" style="160" customWidth="1"/>
    <col min="7097" max="7097" width="10.5703125" style="160" customWidth="1"/>
    <col min="7098" max="7098" width="9.85546875" style="160" customWidth="1"/>
    <col min="7099" max="7099" width="9.5703125" style="160" customWidth="1"/>
    <col min="7100" max="7105" width="8.140625" style="160" customWidth="1"/>
    <col min="7106" max="7106" width="9.42578125" style="160" customWidth="1"/>
    <col min="7107" max="7107" width="8" style="160" customWidth="1"/>
    <col min="7108" max="7108" width="8.140625" style="160" customWidth="1"/>
    <col min="7109" max="7109" width="7.42578125" style="160" customWidth="1"/>
    <col min="7110" max="7110" width="7.5703125" style="160" customWidth="1"/>
    <col min="7111" max="7118" width="7.85546875" style="160" hidden="1" customWidth="1"/>
    <col min="7119" max="7119" width="9.140625" style="160" customWidth="1"/>
    <col min="7120" max="7120" width="8.5703125" style="160" customWidth="1"/>
    <col min="7121" max="7121" width="10.5703125" style="160" customWidth="1"/>
    <col min="7122" max="7122" width="25.42578125" style="160" customWidth="1"/>
    <col min="7123" max="7123" width="14.42578125" style="160" customWidth="1"/>
    <col min="7124" max="7124" width="4.5703125" style="160" customWidth="1"/>
    <col min="7125" max="7125" width="9.85546875" style="160" customWidth="1"/>
    <col min="7126" max="7126" width="9.5703125" style="160" customWidth="1"/>
    <col min="7127" max="7346" width="7.85546875" style="160"/>
    <col min="7347" max="7348" width="5.140625" style="160" customWidth="1"/>
    <col min="7349" max="7349" width="5.42578125" style="160" customWidth="1"/>
    <col min="7350" max="7350" width="6.5703125" style="160" customWidth="1"/>
    <col min="7351" max="7351" width="8.5703125" style="160" customWidth="1"/>
    <col min="7352" max="7352" width="12.42578125" style="160" customWidth="1"/>
    <col min="7353" max="7353" width="10.5703125" style="160" customWidth="1"/>
    <col min="7354" max="7354" width="9.85546875" style="160" customWidth="1"/>
    <col min="7355" max="7355" width="9.5703125" style="160" customWidth="1"/>
    <col min="7356" max="7361" width="8.140625" style="160" customWidth="1"/>
    <col min="7362" max="7362" width="9.42578125" style="160" customWidth="1"/>
    <col min="7363" max="7363" width="8" style="160" customWidth="1"/>
    <col min="7364" max="7364" width="8.140625" style="160" customWidth="1"/>
    <col min="7365" max="7365" width="7.42578125" style="160" customWidth="1"/>
    <col min="7366" max="7366" width="7.5703125" style="160" customWidth="1"/>
    <col min="7367" max="7374" width="7.85546875" style="160" hidden="1" customWidth="1"/>
    <col min="7375" max="7375" width="9.140625" style="160" customWidth="1"/>
    <col min="7376" max="7376" width="8.5703125" style="160" customWidth="1"/>
    <col min="7377" max="7377" width="10.5703125" style="160" customWidth="1"/>
    <col min="7378" max="7378" width="25.42578125" style="160" customWidth="1"/>
    <col min="7379" max="7379" width="14.42578125" style="160" customWidth="1"/>
    <col min="7380" max="7380" width="4.5703125" style="160" customWidth="1"/>
    <col min="7381" max="7381" width="9.85546875" style="160" customWidth="1"/>
    <col min="7382" max="7382" width="9.5703125" style="160" customWidth="1"/>
    <col min="7383" max="7602" width="7.85546875" style="160"/>
    <col min="7603" max="7604" width="5.140625" style="160" customWidth="1"/>
    <col min="7605" max="7605" width="5.42578125" style="160" customWidth="1"/>
    <col min="7606" max="7606" width="6.5703125" style="160" customWidth="1"/>
    <col min="7607" max="7607" width="8.5703125" style="160" customWidth="1"/>
    <col min="7608" max="7608" width="12.42578125" style="160" customWidth="1"/>
    <col min="7609" max="7609" width="10.5703125" style="160" customWidth="1"/>
    <col min="7610" max="7610" width="9.85546875" style="160" customWidth="1"/>
    <col min="7611" max="7611" width="9.5703125" style="160" customWidth="1"/>
    <col min="7612" max="7617" width="8.140625" style="160" customWidth="1"/>
    <col min="7618" max="7618" width="9.42578125" style="160" customWidth="1"/>
    <col min="7619" max="7619" width="8" style="160" customWidth="1"/>
    <col min="7620" max="7620" width="8.140625" style="160" customWidth="1"/>
    <col min="7621" max="7621" width="7.42578125" style="160" customWidth="1"/>
    <col min="7622" max="7622" width="7.5703125" style="160" customWidth="1"/>
    <col min="7623" max="7630" width="7.85546875" style="160" hidden="1" customWidth="1"/>
    <col min="7631" max="7631" width="9.140625" style="160" customWidth="1"/>
    <col min="7632" max="7632" width="8.5703125" style="160" customWidth="1"/>
    <col min="7633" max="7633" width="10.5703125" style="160" customWidth="1"/>
    <col min="7634" max="7634" width="25.42578125" style="160" customWidth="1"/>
    <col min="7635" max="7635" width="14.42578125" style="160" customWidth="1"/>
    <col min="7636" max="7636" width="4.5703125" style="160" customWidth="1"/>
    <col min="7637" max="7637" width="9.85546875" style="160" customWidth="1"/>
    <col min="7638" max="7638" width="9.5703125" style="160" customWidth="1"/>
    <col min="7639" max="7858" width="7.85546875" style="160"/>
    <col min="7859" max="7860" width="5.140625" style="160" customWidth="1"/>
    <col min="7861" max="7861" width="5.42578125" style="160" customWidth="1"/>
    <col min="7862" max="7862" width="6.5703125" style="160" customWidth="1"/>
    <col min="7863" max="7863" width="8.5703125" style="160" customWidth="1"/>
    <col min="7864" max="7864" width="12.42578125" style="160" customWidth="1"/>
    <col min="7865" max="7865" width="10.5703125" style="160" customWidth="1"/>
    <col min="7866" max="7866" width="9.85546875" style="160" customWidth="1"/>
    <col min="7867" max="7867" width="9.5703125" style="160" customWidth="1"/>
    <col min="7868" max="7873" width="8.140625" style="160" customWidth="1"/>
    <col min="7874" max="7874" width="9.42578125" style="160" customWidth="1"/>
    <col min="7875" max="7875" width="8" style="160" customWidth="1"/>
    <col min="7876" max="7876" width="8.140625" style="160" customWidth="1"/>
    <col min="7877" max="7877" width="7.42578125" style="160" customWidth="1"/>
    <col min="7878" max="7878" width="7.5703125" style="160" customWidth="1"/>
    <col min="7879" max="7886" width="7.85546875" style="160" hidden="1" customWidth="1"/>
    <col min="7887" max="7887" width="9.140625" style="160" customWidth="1"/>
    <col min="7888" max="7888" width="8.5703125" style="160" customWidth="1"/>
    <col min="7889" max="7889" width="10.5703125" style="160" customWidth="1"/>
    <col min="7890" max="7890" width="25.42578125" style="160" customWidth="1"/>
    <col min="7891" max="7891" width="14.42578125" style="160" customWidth="1"/>
    <col min="7892" max="7892" width="4.5703125" style="160" customWidth="1"/>
    <col min="7893" max="7893" width="9.85546875" style="160" customWidth="1"/>
    <col min="7894" max="7894" width="9.5703125" style="160" customWidth="1"/>
    <col min="7895" max="8114" width="7.85546875" style="160"/>
    <col min="8115" max="8116" width="5.140625" style="160" customWidth="1"/>
    <col min="8117" max="8117" width="5.42578125" style="160" customWidth="1"/>
    <col min="8118" max="8118" width="6.5703125" style="160" customWidth="1"/>
    <col min="8119" max="8119" width="8.5703125" style="160" customWidth="1"/>
    <col min="8120" max="8120" width="12.42578125" style="160" customWidth="1"/>
    <col min="8121" max="8121" width="10.5703125" style="160" customWidth="1"/>
    <col min="8122" max="8122" width="9.85546875" style="160" customWidth="1"/>
    <col min="8123" max="8123" width="9.5703125" style="160" customWidth="1"/>
    <col min="8124" max="8129" width="8.140625" style="160" customWidth="1"/>
    <col min="8130" max="8130" width="9.42578125" style="160" customWidth="1"/>
    <col min="8131" max="8131" width="8" style="160" customWidth="1"/>
    <col min="8132" max="8132" width="8.140625" style="160" customWidth="1"/>
    <col min="8133" max="8133" width="7.42578125" style="160" customWidth="1"/>
    <col min="8134" max="8134" width="7.5703125" style="160" customWidth="1"/>
    <col min="8135" max="8142" width="7.85546875" style="160" hidden="1" customWidth="1"/>
    <col min="8143" max="8143" width="9.140625" style="160" customWidth="1"/>
    <col min="8144" max="8144" width="8.5703125" style="160" customWidth="1"/>
    <col min="8145" max="8145" width="10.5703125" style="160" customWidth="1"/>
    <col min="8146" max="8146" width="25.42578125" style="160" customWidth="1"/>
    <col min="8147" max="8147" width="14.42578125" style="160" customWidth="1"/>
    <col min="8148" max="8148" width="4.5703125" style="160" customWidth="1"/>
    <col min="8149" max="8149" width="9.85546875" style="160" customWidth="1"/>
    <col min="8150" max="8150" width="9.5703125" style="160" customWidth="1"/>
    <col min="8151" max="8370" width="7.85546875" style="160"/>
    <col min="8371" max="8372" width="5.140625" style="160" customWidth="1"/>
    <col min="8373" max="8373" width="5.42578125" style="160" customWidth="1"/>
    <col min="8374" max="8374" width="6.5703125" style="160" customWidth="1"/>
    <col min="8375" max="8375" width="8.5703125" style="160" customWidth="1"/>
    <col min="8376" max="8376" width="12.42578125" style="160" customWidth="1"/>
    <col min="8377" max="8377" width="10.5703125" style="160" customWidth="1"/>
    <col min="8378" max="8378" width="9.85546875" style="160" customWidth="1"/>
    <col min="8379" max="8379" width="9.5703125" style="160" customWidth="1"/>
    <col min="8380" max="8385" width="8.140625" style="160" customWidth="1"/>
    <col min="8386" max="8386" width="9.42578125" style="160" customWidth="1"/>
    <col min="8387" max="8387" width="8" style="160" customWidth="1"/>
    <col min="8388" max="8388" width="8.140625" style="160" customWidth="1"/>
    <col min="8389" max="8389" width="7.42578125" style="160" customWidth="1"/>
    <col min="8390" max="8390" width="7.5703125" style="160" customWidth="1"/>
    <col min="8391" max="8398" width="7.85546875" style="160" hidden="1" customWidth="1"/>
    <col min="8399" max="8399" width="9.140625" style="160" customWidth="1"/>
    <col min="8400" max="8400" width="8.5703125" style="160" customWidth="1"/>
    <col min="8401" max="8401" width="10.5703125" style="160" customWidth="1"/>
    <col min="8402" max="8402" width="25.42578125" style="160" customWidth="1"/>
    <col min="8403" max="8403" width="14.42578125" style="160" customWidth="1"/>
    <col min="8404" max="8404" width="4.5703125" style="160" customWidth="1"/>
    <col min="8405" max="8405" width="9.85546875" style="160" customWidth="1"/>
    <col min="8406" max="8406" width="9.5703125" style="160" customWidth="1"/>
    <col min="8407" max="8626" width="7.85546875" style="160"/>
    <col min="8627" max="8628" width="5.140625" style="160" customWidth="1"/>
    <col min="8629" max="8629" width="5.42578125" style="160" customWidth="1"/>
    <col min="8630" max="8630" width="6.5703125" style="160" customWidth="1"/>
    <col min="8631" max="8631" width="8.5703125" style="160" customWidth="1"/>
    <col min="8632" max="8632" width="12.42578125" style="160" customWidth="1"/>
    <col min="8633" max="8633" width="10.5703125" style="160" customWidth="1"/>
    <col min="8634" max="8634" width="9.85546875" style="160" customWidth="1"/>
    <col min="8635" max="8635" width="9.5703125" style="160" customWidth="1"/>
    <col min="8636" max="8641" width="8.140625" style="160" customWidth="1"/>
    <col min="8642" max="8642" width="9.42578125" style="160" customWidth="1"/>
    <col min="8643" max="8643" width="8" style="160" customWidth="1"/>
    <col min="8644" max="8644" width="8.140625" style="160" customWidth="1"/>
    <col min="8645" max="8645" width="7.42578125" style="160" customWidth="1"/>
    <col min="8646" max="8646" width="7.5703125" style="160" customWidth="1"/>
    <col min="8647" max="8654" width="7.85546875" style="160" hidden="1" customWidth="1"/>
    <col min="8655" max="8655" width="9.140625" style="160" customWidth="1"/>
    <col min="8656" max="8656" width="8.5703125" style="160" customWidth="1"/>
    <col min="8657" max="8657" width="10.5703125" style="160" customWidth="1"/>
    <col min="8658" max="8658" width="25.42578125" style="160" customWidth="1"/>
    <col min="8659" max="8659" width="14.42578125" style="160" customWidth="1"/>
    <col min="8660" max="8660" width="4.5703125" style="160" customWidth="1"/>
    <col min="8661" max="8661" width="9.85546875" style="160" customWidth="1"/>
    <col min="8662" max="8662" width="9.5703125" style="160" customWidth="1"/>
    <col min="8663" max="8882" width="7.85546875" style="160"/>
    <col min="8883" max="8884" width="5.140625" style="160" customWidth="1"/>
    <col min="8885" max="8885" width="5.42578125" style="160" customWidth="1"/>
    <col min="8886" max="8886" width="6.5703125" style="160" customWidth="1"/>
    <col min="8887" max="8887" width="8.5703125" style="160" customWidth="1"/>
    <col min="8888" max="8888" width="12.42578125" style="160" customWidth="1"/>
    <col min="8889" max="8889" width="10.5703125" style="160" customWidth="1"/>
    <col min="8890" max="8890" width="9.85546875" style="160" customWidth="1"/>
    <col min="8891" max="8891" width="9.5703125" style="160" customWidth="1"/>
    <col min="8892" max="8897" width="8.140625" style="160" customWidth="1"/>
    <col min="8898" max="8898" width="9.42578125" style="160" customWidth="1"/>
    <col min="8899" max="8899" width="8" style="160" customWidth="1"/>
    <col min="8900" max="8900" width="8.140625" style="160" customWidth="1"/>
    <col min="8901" max="8901" width="7.42578125" style="160" customWidth="1"/>
    <col min="8902" max="8902" width="7.5703125" style="160" customWidth="1"/>
    <col min="8903" max="8910" width="7.85546875" style="160" hidden="1" customWidth="1"/>
    <col min="8911" max="8911" width="9.140625" style="160" customWidth="1"/>
    <col min="8912" max="8912" width="8.5703125" style="160" customWidth="1"/>
    <col min="8913" max="8913" width="10.5703125" style="160" customWidth="1"/>
    <col min="8914" max="8914" width="25.42578125" style="160" customWidth="1"/>
    <col min="8915" max="8915" width="14.42578125" style="160" customWidth="1"/>
    <col min="8916" max="8916" width="4.5703125" style="160" customWidth="1"/>
    <col min="8917" max="8917" width="9.85546875" style="160" customWidth="1"/>
    <col min="8918" max="8918" width="9.5703125" style="160" customWidth="1"/>
    <col min="8919" max="9138" width="7.85546875" style="160"/>
    <col min="9139" max="9140" width="5.140625" style="160" customWidth="1"/>
    <col min="9141" max="9141" width="5.42578125" style="160" customWidth="1"/>
    <col min="9142" max="9142" width="6.5703125" style="160" customWidth="1"/>
    <col min="9143" max="9143" width="8.5703125" style="160" customWidth="1"/>
    <col min="9144" max="9144" width="12.42578125" style="160" customWidth="1"/>
    <col min="9145" max="9145" width="10.5703125" style="160" customWidth="1"/>
    <col min="9146" max="9146" width="9.85546875" style="160" customWidth="1"/>
    <col min="9147" max="9147" width="9.5703125" style="160" customWidth="1"/>
    <col min="9148" max="9153" width="8.140625" style="160" customWidth="1"/>
    <col min="9154" max="9154" width="9.42578125" style="160" customWidth="1"/>
    <col min="9155" max="9155" width="8" style="160" customWidth="1"/>
    <col min="9156" max="9156" width="8.140625" style="160" customWidth="1"/>
    <col min="9157" max="9157" width="7.42578125" style="160" customWidth="1"/>
    <col min="9158" max="9158" width="7.5703125" style="160" customWidth="1"/>
    <col min="9159" max="9166" width="7.85546875" style="160" hidden="1" customWidth="1"/>
    <col min="9167" max="9167" width="9.140625" style="160" customWidth="1"/>
    <col min="9168" max="9168" width="8.5703125" style="160" customWidth="1"/>
    <col min="9169" max="9169" width="10.5703125" style="160" customWidth="1"/>
    <col min="9170" max="9170" width="25.42578125" style="160" customWidth="1"/>
    <col min="9171" max="9171" width="14.42578125" style="160" customWidth="1"/>
    <col min="9172" max="9172" width="4.5703125" style="160" customWidth="1"/>
    <col min="9173" max="9173" width="9.85546875" style="160" customWidth="1"/>
    <col min="9174" max="9174" width="9.5703125" style="160" customWidth="1"/>
    <col min="9175" max="9394" width="7.85546875" style="160"/>
    <col min="9395" max="9396" width="5.140625" style="160" customWidth="1"/>
    <col min="9397" max="9397" width="5.42578125" style="160" customWidth="1"/>
    <col min="9398" max="9398" width="6.5703125" style="160" customWidth="1"/>
    <col min="9399" max="9399" width="8.5703125" style="160" customWidth="1"/>
    <col min="9400" max="9400" width="12.42578125" style="160" customWidth="1"/>
    <col min="9401" max="9401" width="10.5703125" style="160" customWidth="1"/>
    <col min="9402" max="9402" width="9.85546875" style="160" customWidth="1"/>
    <col min="9403" max="9403" width="9.5703125" style="160" customWidth="1"/>
    <col min="9404" max="9409" width="8.140625" style="160" customWidth="1"/>
    <col min="9410" max="9410" width="9.42578125" style="160" customWidth="1"/>
    <col min="9411" max="9411" width="8" style="160" customWidth="1"/>
    <col min="9412" max="9412" width="8.140625" style="160" customWidth="1"/>
    <col min="9413" max="9413" width="7.42578125" style="160" customWidth="1"/>
    <col min="9414" max="9414" width="7.5703125" style="160" customWidth="1"/>
    <col min="9415" max="9422" width="7.85546875" style="160" hidden="1" customWidth="1"/>
    <col min="9423" max="9423" width="9.140625" style="160" customWidth="1"/>
    <col min="9424" max="9424" width="8.5703125" style="160" customWidth="1"/>
    <col min="9425" max="9425" width="10.5703125" style="160" customWidth="1"/>
    <col min="9426" max="9426" width="25.42578125" style="160" customWidth="1"/>
    <col min="9427" max="9427" width="14.42578125" style="160" customWidth="1"/>
    <col min="9428" max="9428" width="4.5703125" style="160" customWidth="1"/>
    <col min="9429" max="9429" width="9.85546875" style="160" customWidth="1"/>
    <col min="9430" max="9430" width="9.5703125" style="160" customWidth="1"/>
    <col min="9431" max="9650" width="7.85546875" style="160"/>
    <col min="9651" max="9652" width="5.140625" style="160" customWidth="1"/>
    <col min="9653" max="9653" width="5.42578125" style="160" customWidth="1"/>
    <col min="9654" max="9654" width="6.5703125" style="160" customWidth="1"/>
    <col min="9655" max="9655" width="8.5703125" style="160" customWidth="1"/>
    <col min="9656" max="9656" width="12.42578125" style="160" customWidth="1"/>
    <col min="9657" max="9657" width="10.5703125" style="160" customWidth="1"/>
    <col min="9658" max="9658" width="9.85546875" style="160" customWidth="1"/>
    <col min="9659" max="9659" width="9.5703125" style="160" customWidth="1"/>
    <col min="9660" max="9665" width="8.140625" style="160" customWidth="1"/>
    <col min="9666" max="9666" width="9.42578125" style="160" customWidth="1"/>
    <col min="9667" max="9667" width="8" style="160" customWidth="1"/>
    <col min="9668" max="9668" width="8.140625" style="160" customWidth="1"/>
    <col min="9669" max="9669" width="7.42578125" style="160" customWidth="1"/>
    <col min="9670" max="9670" width="7.5703125" style="160" customWidth="1"/>
    <col min="9671" max="9678" width="7.85546875" style="160" hidden="1" customWidth="1"/>
    <col min="9679" max="9679" width="9.140625" style="160" customWidth="1"/>
    <col min="9680" max="9680" width="8.5703125" style="160" customWidth="1"/>
    <col min="9681" max="9681" width="10.5703125" style="160" customWidth="1"/>
    <col min="9682" max="9682" width="25.42578125" style="160" customWidth="1"/>
    <col min="9683" max="9683" width="14.42578125" style="160" customWidth="1"/>
    <col min="9684" max="9684" width="4.5703125" style="160" customWidth="1"/>
    <col min="9685" max="9685" width="9.85546875" style="160" customWidth="1"/>
    <col min="9686" max="9686" width="9.5703125" style="160" customWidth="1"/>
    <col min="9687" max="9906" width="7.85546875" style="160"/>
    <col min="9907" max="9908" width="5.140625" style="160" customWidth="1"/>
    <col min="9909" max="9909" width="5.42578125" style="160" customWidth="1"/>
    <col min="9910" max="9910" width="6.5703125" style="160" customWidth="1"/>
    <col min="9911" max="9911" width="8.5703125" style="160" customWidth="1"/>
    <col min="9912" max="9912" width="12.42578125" style="160" customWidth="1"/>
    <col min="9913" max="9913" width="10.5703125" style="160" customWidth="1"/>
    <col min="9914" max="9914" width="9.85546875" style="160" customWidth="1"/>
    <col min="9915" max="9915" width="9.5703125" style="160" customWidth="1"/>
    <col min="9916" max="9921" width="8.140625" style="160" customWidth="1"/>
    <col min="9922" max="9922" width="9.42578125" style="160" customWidth="1"/>
    <col min="9923" max="9923" width="8" style="160" customWidth="1"/>
    <col min="9924" max="9924" width="8.140625" style="160" customWidth="1"/>
    <col min="9925" max="9925" width="7.42578125" style="160" customWidth="1"/>
    <col min="9926" max="9926" width="7.5703125" style="160" customWidth="1"/>
    <col min="9927" max="9934" width="7.85546875" style="160" hidden="1" customWidth="1"/>
    <col min="9935" max="9935" width="9.140625" style="160" customWidth="1"/>
    <col min="9936" max="9936" width="8.5703125" style="160" customWidth="1"/>
    <col min="9937" max="9937" width="10.5703125" style="160" customWidth="1"/>
    <col min="9938" max="9938" width="25.42578125" style="160" customWidth="1"/>
    <col min="9939" max="9939" width="14.42578125" style="160" customWidth="1"/>
    <col min="9940" max="9940" width="4.5703125" style="160" customWidth="1"/>
    <col min="9941" max="9941" width="9.85546875" style="160" customWidth="1"/>
    <col min="9942" max="9942" width="9.5703125" style="160" customWidth="1"/>
    <col min="9943" max="10162" width="7.85546875" style="160"/>
    <col min="10163" max="10164" width="5.140625" style="160" customWidth="1"/>
    <col min="10165" max="10165" width="5.42578125" style="160" customWidth="1"/>
    <col min="10166" max="10166" width="6.5703125" style="160" customWidth="1"/>
    <col min="10167" max="10167" width="8.5703125" style="160" customWidth="1"/>
    <col min="10168" max="10168" width="12.42578125" style="160" customWidth="1"/>
    <col min="10169" max="10169" width="10.5703125" style="160" customWidth="1"/>
    <col min="10170" max="10170" width="9.85546875" style="160" customWidth="1"/>
    <col min="10171" max="10171" width="9.5703125" style="160" customWidth="1"/>
    <col min="10172" max="10177" width="8.140625" style="160" customWidth="1"/>
    <col min="10178" max="10178" width="9.42578125" style="160" customWidth="1"/>
    <col min="10179" max="10179" width="8" style="160" customWidth="1"/>
    <col min="10180" max="10180" width="8.140625" style="160" customWidth="1"/>
    <col min="10181" max="10181" width="7.42578125" style="160" customWidth="1"/>
    <col min="10182" max="10182" width="7.5703125" style="160" customWidth="1"/>
    <col min="10183" max="10190" width="7.85546875" style="160" hidden="1" customWidth="1"/>
    <col min="10191" max="10191" width="9.140625" style="160" customWidth="1"/>
    <col min="10192" max="10192" width="8.5703125" style="160" customWidth="1"/>
    <col min="10193" max="10193" width="10.5703125" style="160" customWidth="1"/>
    <col min="10194" max="10194" width="25.42578125" style="160" customWidth="1"/>
    <col min="10195" max="10195" width="14.42578125" style="160" customWidth="1"/>
    <col min="10196" max="10196" width="4.5703125" style="160" customWidth="1"/>
    <col min="10197" max="10197" width="9.85546875" style="160" customWidth="1"/>
    <col min="10198" max="10198" width="9.5703125" style="160" customWidth="1"/>
    <col min="10199" max="10418" width="7.85546875" style="160"/>
    <col min="10419" max="10420" width="5.140625" style="160" customWidth="1"/>
    <col min="10421" max="10421" width="5.42578125" style="160" customWidth="1"/>
    <col min="10422" max="10422" width="6.5703125" style="160" customWidth="1"/>
    <col min="10423" max="10423" width="8.5703125" style="160" customWidth="1"/>
    <col min="10424" max="10424" width="12.42578125" style="160" customWidth="1"/>
    <col min="10425" max="10425" width="10.5703125" style="160" customWidth="1"/>
    <col min="10426" max="10426" width="9.85546875" style="160" customWidth="1"/>
    <col min="10427" max="10427" width="9.5703125" style="160" customWidth="1"/>
    <col min="10428" max="10433" width="8.140625" style="160" customWidth="1"/>
    <col min="10434" max="10434" width="9.42578125" style="160" customWidth="1"/>
    <col min="10435" max="10435" width="8" style="160" customWidth="1"/>
    <col min="10436" max="10436" width="8.140625" style="160" customWidth="1"/>
    <col min="10437" max="10437" width="7.42578125" style="160" customWidth="1"/>
    <col min="10438" max="10438" width="7.5703125" style="160" customWidth="1"/>
    <col min="10439" max="10446" width="7.85546875" style="160" hidden="1" customWidth="1"/>
    <col min="10447" max="10447" width="9.140625" style="160" customWidth="1"/>
    <col min="10448" max="10448" width="8.5703125" style="160" customWidth="1"/>
    <col min="10449" max="10449" width="10.5703125" style="160" customWidth="1"/>
    <col min="10450" max="10450" width="25.42578125" style="160" customWidth="1"/>
    <col min="10451" max="10451" width="14.42578125" style="160" customWidth="1"/>
    <col min="10452" max="10452" width="4.5703125" style="160" customWidth="1"/>
    <col min="10453" max="10453" width="9.85546875" style="160" customWidth="1"/>
    <col min="10454" max="10454" width="9.5703125" style="160" customWidth="1"/>
    <col min="10455" max="10674" width="7.85546875" style="160"/>
    <col min="10675" max="10676" width="5.140625" style="160" customWidth="1"/>
    <col min="10677" max="10677" width="5.42578125" style="160" customWidth="1"/>
    <col min="10678" max="10678" width="6.5703125" style="160" customWidth="1"/>
    <col min="10679" max="10679" width="8.5703125" style="160" customWidth="1"/>
    <col min="10680" max="10680" width="12.42578125" style="160" customWidth="1"/>
    <col min="10681" max="10681" width="10.5703125" style="160" customWidth="1"/>
    <col min="10682" max="10682" width="9.85546875" style="160" customWidth="1"/>
    <col min="10683" max="10683" width="9.5703125" style="160" customWidth="1"/>
    <col min="10684" max="10689" width="8.140625" style="160" customWidth="1"/>
    <col min="10690" max="10690" width="9.42578125" style="160" customWidth="1"/>
    <col min="10691" max="10691" width="8" style="160" customWidth="1"/>
    <col min="10692" max="10692" width="8.140625" style="160" customWidth="1"/>
    <col min="10693" max="10693" width="7.42578125" style="160" customWidth="1"/>
    <col min="10694" max="10694" width="7.5703125" style="160" customWidth="1"/>
    <col min="10695" max="10702" width="7.85546875" style="160" hidden="1" customWidth="1"/>
    <col min="10703" max="10703" width="9.140625" style="160" customWidth="1"/>
    <col min="10704" max="10704" width="8.5703125" style="160" customWidth="1"/>
    <col min="10705" max="10705" width="10.5703125" style="160" customWidth="1"/>
    <col min="10706" max="10706" width="25.42578125" style="160" customWidth="1"/>
    <col min="10707" max="10707" width="14.42578125" style="160" customWidth="1"/>
    <col min="10708" max="10708" width="4.5703125" style="160" customWidth="1"/>
    <col min="10709" max="10709" width="9.85546875" style="160" customWidth="1"/>
    <col min="10710" max="10710" width="9.5703125" style="160" customWidth="1"/>
    <col min="10711" max="10930" width="7.85546875" style="160"/>
    <col min="10931" max="10932" width="5.140625" style="160" customWidth="1"/>
    <col min="10933" max="10933" width="5.42578125" style="160" customWidth="1"/>
    <col min="10934" max="10934" width="6.5703125" style="160" customWidth="1"/>
    <col min="10935" max="10935" width="8.5703125" style="160" customWidth="1"/>
    <col min="10936" max="10936" width="12.42578125" style="160" customWidth="1"/>
    <col min="10937" max="10937" width="10.5703125" style="160" customWidth="1"/>
    <col min="10938" max="10938" width="9.85546875" style="160" customWidth="1"/>
    <col min="10939" max="10939" width="9.5703125" style="160" customWidth="1"/>
    <col min="10940" max="10945" width="8.140625" style="160" customWidth="1"/>
    <col min="10946" max="10946" width="9.42578125" style="160" customWidth="1"/>
    <col min="10947" max="10947" width="8" style="160" customWidth="1"/>
    <col min="10948" max="10948" width="8.140625" style="160" customWidth="1"/>
    <col min="10949" max="10949" width="7.42578125" style="160" customWidth="1"/>
    <col min="10950" max="10950" width="7.5703125" style="160" customWidth="1"/>
    <col min="10951" max="10958" width="7.85546875" style="160" hidden="1" customWidth="1"/>
    <col min="10959" max="10959" width="9.140625" style="160" customWidth="1"/>
    <col min="10960" max="10960" width="8.5703125" style="160" customWidth="1"/>
    <col min="10961" max="10961" width="10.5703125" style="160" customWidth="1"/>
    <col min="10962" max="10962" width="25.42578125" style="160" customWidth="1"/>
    <col min="10963" max="10963" width="14.42578125" style="160" customWidth="1"/>
    <col min="10964" max="10964" width="4.5703125" style="160" customWidth="1"/>
    <col min="10965" max="10965" width="9.85546875" style="160" customWidth="1"/>
    <col min="10966" max="10966" width="9.5703125" style="160" customWidth="1"/>
    <col min="10967" max="11186" width="7.85546875" style="160"/>
    <col min="11187" max="11188" width="5.140625" style="160" customWidth="1"/>
    <col min="11189" max="11189" width="5.42578125" style="160" customWidth="1"/>
    <col min="11190" max="11190" width="6.5703125" style="160" customWidth="1"/>
    <col min="11191" max="11191" width="8.5703125" style="160" customWidth="1"/>
    <col min="11192" max="11192" width="12.42578125" style="160" customWidth="1"/>
    <col min="11193" max="11193" width="10.5703125" style="160" customWidth="1"/>
    <col min="11194" max="11194" width="9.85546875" style="160" customWidth="1"/>
    <col min="11195" max="11195" width="9.5703125" style="160" customWidth="1"/>
    <col min="11196" max="11201" width="8.140625" style="160" customWidth="1"/>
    <col min="11202" max="11202" width="9.42578125" style="160" customWidth="1"/>
    <col min="11203" max="11203" width="8" style="160" customWidth="1"/>
    <col min="11204" max="11204" width="8.140625" style="160" customWidth="1"/>
    <col min="11205" max="11205" width="7.42578125" style="160" customWidth="1"/>
    <col min="11206" max="11206" width="7.5703125" style="160" customWidth="1"/>
    <col min="11207" max="11214" width="7.85546875" style="160" hidden="1" customWidth="1"/>
    <col min="11215" max="11215" width="9.140625" style="160" customWidth="1"/>
    <col min="11216" max="11216" width="8.5703125" style="160" customWidth="1"/>
    <col min="11217" max="11217" width="10.5703125" style="160" customWidth="1"/>
    <col min="11218" max="11218" width="25.42578125" style="160" customWidth="1"/>
    <col min="11219" max="11219" width="14.42578125" style="160" customWidth="1"/>
    <col min="11220" max="11220" width="4.5703125" style="160" customWidth="1"/>
    <col min="11221" max="11221" width="9.85546875" style="160" customWidth="1"/>
    <col min="11222" max="11222" width="9.5703125" style="160" customWidth="1"/>
    <col min="11223" max="11442" width="7.85546875" style="160"/>
    <col min="11443" max="11444" width="5.140625" style="160" customWidth="1"/>
    <col min="11445" max="11445" width="5.42578125" style="160" customWidth="1"/>
    <col min="11446" max="11446" width="6.5703125" style="160" customWidth="1"/>
    <col min="11447" max="11447" width="8.5703125" style="160" customWidth="1"/>
    <col min="11448" max="11448" width="12.42578125" style="160" customWidth="1"/>
    <col min="11449" max="11449" width="10.5703125" style="160" customWidth="1"/>
    <col min="11450" max="11450" width="9.85546875" style="160" customWidth="1"/>
    <col min="11451" max="11451" width="9.5703125" style="160" customWidth="1"/>
    <col min="11452" max="11457" width="8.140625" style="160" customWidth="1"/>
    <col min="11458" max="11458" width="9.42578125" style="160" customWidth="1"/>
    <col min="11459" max="11459" width="8" style="160" customWidth="1"/>
    <col min="11460" max="11460" width="8.140625" style="160" customWidth="1"/>
    <col min="11461" max="11461" width="7.42578125" style="160" customWidth="1"/>
    <col min="11462" max="11462" width="7.5703125" style="160" customWidth="1"/>
    <col min="11463" max="11470" width="7.85546875" style="160" hidden="1" customWidth="1"/>
    <col min="11471" max="11471" width="9.140625" style="160" customWidth="1"/>
    <col min="11472" max="11472" width="8.5703125" style="160" customWidth="1"/>
    <col min="11473" max="11473" width="10.5703125" style="160" customWidth="1"/>
    <col min="11474" max="11474" width="25.42578125" style="160" customWidth="1"/>
    <col min="11475" max="11475" width="14.42578125" style="160" customWidth="1"/>
    <col min="11476" max="11476" width="4.5703125" style="160" customWidth="1"/>
    <col min="11477" max="11477" width="9.85546875" style="160" customWidth="1"/>
    <col min="11478" max="11478" width="9.5703125" style="160" customWidth="1"/>
    <col min="11479" max="11698" width="7.85546875" style="160"/>
    <col min="11699" max="11700" width="5.140625" style="160" customWidth="1"/>
    <col min="11701" max="11701" width="5.42578125" style="160" customWidth="1"/>
    <col min="11702" max="11702" width="6.5703125" style="160" customWidth="1"/>
    <col min="11703" max="11703" width="8.5703125" style="160" customWidth="1"/>
    <col min="11704" max="11704" width="12.42578125" style="160" customWidth="1"/>
    <col min="11705" max="11705" width="10.5703125" style="160" customWidth="1"/>
    <col min="11706" max="11706" width="9.85546875" style="160" customWidth="1"/>
    <col min="11707" max="11707" width="9.5703125" style="160" customWidth="1"/>
    <col min="11708" max="11713" width="8.140625" style="160" customWidth="1"/>
    <col min="11714" max="11714" width="9.42578125" style="160" customWidth="1"/>
    <col min="11715" max="11715" width="8" style="160" customWidth="1"/>
    <col min="11716" max="11716" width="8.140625" style="160" customWidth="1"/>
    <col min="11717" max="11717" width="7.42578125" style="160" customWidth="1"/>
    <col min="11718" max="11718" width="7.5703125" style="160" customWidth="1"/>
    <col min="11719" max="11726" width="7.85546875" style="160" hidden="1" customWidth="1"/>
    <col min="11727" max="11727" width="9.140625" style="160" customWidth="1"/>
    <col min="11728" max="11728" width="8.5703125" style="160" customWidth="1"/>
    <col min="11729" max="11729" width="10.5703125" style="160" customWidth="1"/>
    <col min="11730" max="11730" width="25.42578125" style="160" customWidth="1"/>
    <col min="11731" max="11731" width="14.42578125" style="160" customWidth="1"/>
    <col min="11732" max="11732" width="4.5703125" style="160" customWidth="1"/>
    <col min="11733" max="11733" width="9.85546875" style="160" customWidth="1"/>
    <col min="11734" max="11734" width="9.5703125" style="160" customWidth="1"/>
    <col min="11735" max="11954" width="7.85546875" style="160"/>
    <col min="11955" max="11956" width="5.140625" style="160" customWidth="1"/>
    <col min="11957" max="11957" width="5.42578125" style="160" customWidth="1"/>
    <col min="11958" max="11958" width="6.5703125" style="160" customWidth="1"/>
    <col min="11959" max="11959" width="8.5703125" style="160" customWidth="1"/>
    <col min="11960" max="11960" width="12.42578125" style="160" customWidth="1"/>
    <col min="11961" max="11961" width="10.5703125" style="160" customWidth="1"/>
    <col min="11962" max="11962" width="9.85546875" style="160" customWidth="1"/>
    <col min="11963" max="11963" width="9.5703125" style="160" customWidth="1"/>
    <col min="11964" max="11969" width="8.140625" style="160" customWidth="1"/>
    <col min="11970" max="11970" width="9.42578125" style="160" customWidth="1"/>
    <col min="11971" max="11971" width="8" style="160" customWidth="1"/>
    <col min="11972" max="11972" width="8.140625" style="160" customWidth="1"/>
    <col min="11973" max="11973" width="7.42578125" style="160" customWidth="1"/>
    <col min="11974" max="11974" width="7.5703125" style="160" customWidth="1"/>
    <col min="11975" max="11982" width="7.85546875" style="160" hidden="1" customWidth="1"/>
    <col min="11983" max="11983" width="9.140625" style="160" customWidth="1"/>
    <col min="11984" max="11984" width="8.5703125" style="160" customWidth="1"/>
    <col min="11985" max="11985" width="10.5703125" style="160" customWidth="1"/>
    <col min="11986" max="11986" width="25.42578125" style="160" customWidth="1"/>
    <col min="11987" max="11987" width="14.42578125" style="160" customWidth="1"/>
    <col min="11988" max="11988" width="4.5703125" style="160" customWidth="1"/>
    <col min="11989" max="11989" width="9.85546875" style="160" customWidth="1"/>
    <col min="11990" max="11990" width="9.5703125" style="160" customWidth="1"/>
    <col min="11991" max="12210" width="7.85546875" style="160"/>
    <col min="12211" max="12212" width="5.140625" style="160" customWidth="1"/>
    <col min="12213" max="12213" width="5.42578125" style="160" customWidth="1"/>
    <col min="12214" max="12214" width="6.5703125" style="160" customWidth="1"/>
    <col min="12215" max="12215" width="8.5703125" style="160" customWidth="1"/>
    <col min="12216" max="12216" width="12.42578125" style="160" customWidth="1"/>
    <col min="12217" max="12217" width="10.5703125" style="160" customWidth="1"/>
    <col min="12218" max="12218" width="9.85546875" style="160" customWidth="1"/>
    <col min="12219" max="12219" width="9.5703125" style="160" customWidth="1"/>
    <col min="12220" max="12225" width="8.140625" style="160" customWidth="1"/>
    <col min="12226" max="12226" width="9.42578125" style="160" customWidth="1"/>
    <col min="12227" max="12227" width="8" style="160" customWidth="1"/>
    <col min="12228" max="12228" width="8.140625" style="160" customWidth="1"/>
    <col min="12229" max="12229" width="7.42578125" style="160" customWidth="1"/>
    <col min="12230" max="12230" width="7.5703125" style="160" customWidth="1"/>
    <col min="12231" max="12238" width="7.85546875" style="160" hidden="1" customWidth="1"/>
    <col min="12239" max="12239" width="9.140625" style="160" customWidth="1"/>
    <col min="12240" max="12240" width="8.5703125" style="160" customWidth="1"/>
    <col min="12241" max="12241" width="10.5703125" style="160" customWidth="1"/>
    <col min="12242" max="12242" width="25.42578125" style="160" customWidth="1"/>
    <col min="12243" max="12243" width="14.42578125" style="160" customWidth="1"/>
    <col min="12244" max="12244" width="4.5703125" style="160" customWidth="1"/>
    <col min="12245" max="12245" width="9.85546875" style="160" customWidth="1"/>
    <col min="12246" max="12246" width="9.5703125" style="160" customWidth="1"/>
    <col min="12247" max="12466" width="7.85546875" style="160"/>
    <col min="12467" max="12468" width="5.140625" style="160" customWidth="1"/>
    <col min="12469" max="12469" width="5.42578125" style="160" customWidth="1"/>
    <col min="12470" max="12470" width="6.5703125" style="160" customWidth="1"/>
    <col min="12471" max="12471" width="8.5703125" style="160" customWidth="1"/>
    <col min="12472" max="12472" width="12.42578125" style="160" customWidth="1"/>
    <col min="12473" max="12473" width="10.5703125" style="160" customWidth="1"/>
    <col min="12474" max="12474" width="9.85546875" style="160" customWidth="1"/>
    <col min="12475" max="12475" width="9.5703125" style="160" customWidth="1"/>
    <col min="12476" max="12481" width="8.140625" style="160" customWidth="1"/>
    <col min="12482" max="12482" width="9.42578125" style="160" customWidth="1"/>
    <col min="12483" max="12483" width="8" style="160" customWidth="1"/>
    <col min="12484" max="12484" width="8.140625" style="160" customWidth="1"/>
    <col min="12485" max="12485" width="7.42578125" style="160" customWidth="1"/>
    <col min="12486" max="12486" width="7.5703125" style="160" customWidth="1"/>
    <col min="12487" max="12494" width="7.85546875" style="160" hidden="1" customWidth="1"/>
    <col min="12495" max="12495" width="9.140625" style="160" customWidth="1"/>
    <col min="12496" max="12496" width="8.5703125" style="160" customWidth="1"/>
    <col min="12497" max="12497" width="10.5703125" style="160" customWidth="1"/>
    <col min="12498" max="12498" width="25.42578125" style="160" customWidth="1"/>
    <col min="12499" max="12499" width="14.42578125" style="160" customWidth="1"/>
    <col min="12500" max="12500" width="4.5703125" style="160" customWidth="1"/>
    <col min="12501" max="12501" width="9.85546875" style="160" customWidth="1"/>
    <col min="12502" max="12502" width="9.5703125" style="160" customWidth="1"/>
    <col min="12503" max="12722" width="7.85546875" style="160"/>
    <col min="12723" max="12724" width="5.140625" style="160" customWidth="1"/>
    <col min="12725" max="12725" width="5.42578125" style="160" customWidth="1"/>
    <col min="12726" max="12726" width="6.5703125" style="160" customWidth="1"/>
    <col min="12727" max="12727" width="8.5703125" style="160" customWidth="1"/>
    <col min="12728" max="12728" width="12.42578125" style="160" customWidth="1"/>
    <col min="12729" max="12729" width="10.5703125" style="160" customWidth="1"/>
    <col min="12730" max="12730" width="9.85546875" style="160" customWidth="1"/>
    <col min="12731" max="12731" width="9.5703125" style="160" customWidth="1"/>
    <col min="12732" max="12737" width="8.140625" style="160" customWidth="1"/>
    <col min="12738" max="12738" width="9.42578125" style="160" customWidth="1"/>
    <col min="12739" max="12739" width="8" style="160" customWidth="1"/>
    <col min="12740" max="12740" width="8.140625" style="160" customWidth="1"/>
    <col min="12741" max="12741" width="7.42578125" style="160" customWidth="1"/>
    <col min="12742" max="12742" width="7.5703125" style="160" customWidth="1"/>
    <col min="12743" max="12750" width="7.85546875" style="160" hidden="1" customWidth="1"/>
    <col min="12751" max="12751" width="9.140625" style="160" customWidth="1"/>
    <col min="12752" max="12752" width="8.5703125" style="160" customWidth="1"/>
    <col min="12753" max="12753" width="10.5703125" style="160" customWidth="1"/>
    <col min="12754" max="12754" width="25.42578125" style="160" customWidth="1"/>
    <col min="12755" max="12755" width="14.42578125" style="160" customWidth="1"/>
    <col min="12756" max="12756" width="4.5703125" style="160" customWidth="1"/>
    <col min="12757" max="12757" width="9.85546875" style="160" customWidth="1"/>
    <col min="12758" max="12758" width="9.5703125" style="160" customWidth="1"/>
    <col min="12759" max="12978" width="7.85546875" style="160"/>
    <col min="12979" max="12980" width="5.140625" style="160" customWidth="1"/>
    <col min="12981" max="12981" width="5.42578125" style="160" customWidth="1"/>
    <col min="12982" max="12982" width="6.5703125" style="160" customWidth="1"/>
    <col min="12983" max="12983" width="8.5703125" style="160" customWidth="1"/>
    <col min="12984" max="12984" width="12.42578125" style="160" customWidth="1"/>
    <col min="12985" max="12985" width="10.5703125" style="160" customWidth="1"/>
    <col min="12986" max="12986" width="9.85546875" style="160" customWidth="1"/>
    <col min="12987" max="12987" width="9.5703125" style="160" customWidth="1"/>
    <col min="12988" max="12993" width="8.140625" style="160" customWidth="1"/>
    <col min="12994" max="12994" width="9.42578125" style="160" customWidth="1"/>
    <col min="12995" max="12995" width="8" style="160" customWidth="1"/>
    <col min="12996" max="12996" width="8.140625" style="160" customWidth="1"/>
    <col min="12997" max="12997" width="7.42578125" style="160" customWidth="1"/>
    <col min="12998" max="12998" width="7.5703125" style="160" customWidth="1"/>
    <col min="12999" max="13006" width="7.85546875" style="160" hidden="1" customWidth="1"/>
    <col min="13007" max="13007" width="9.140625" style="160" customWidth="1"/>
    <col min="13008" max="13008" width="8.5703125" style="160" customWidth="1"/>
    <col min="13009" max="13009" width="10.5703125" style="160" customWidth="1"/>
    <col min="13010" max="13010" width="25.42578125" style="160" customWidth="1"/>
    <col min="13011" max="13011" width="14.42578125" style="160" customWidth="1"/>
    <col min="13012" max="13012" width="4.5703125" style="160" customWidth="1"/>
    <col min="13013" max="13013" width="9.85546875" style="160" customWidth="1"/>
    <col min="13014" max="13014" width="9.5703125" style="160" customWidth="1"/>
    <col min="13015" max="13234" width="7.85546875" style="160"/>
    <col min="13235" max="13236" width="5.140625" style="160" customWidth="1"/>
    <col min="13237" max="13237" width="5.42578125" style="160" customWidth="1"/>
    <col min="13238" max="13238" width="6.5703125" style="160" customWidth="1"/>
    <col min="13239" max="13239" width="8.5703125" style="160" customWidth="1"/>
    <col min="13240" max="13240" width="12.42578125" style="160" customWidth="1"/>
    <col min="13241" max="13241" width="10.5703125" style="160" customWidth="1"/>
    <col min="13242" max="13242" width="9.85546875" style="160" customWidth="1"/>
    <col min="13243" max="13243" width="9.5703125" style="160" customWidth="1"/>
    <col min="13244" max="13249" width="8.140625" style="160" customWidth="1"/>
    <col min="13250" max="13250" width="9.42578125" style="160" customWidth="1"/>
    <col min="13251" max="13251" width="8" style="160" customWidth="1"/>
    <col min="13252" max="13252" width="8.140625" style="160" customWidth="1"/>
    <col min="13253" max="13253" width="7.42578125" style="160" customWidth="1"/>
    <col min="13254" max="13254" width="7.5703125" style="160" customWidth="1"/>
    <col min="13255" max="13262" width="7.85546875" style="160" hidden="1" customWidth="1"/>
    <col min="13263" max="13263" width="9.140625" style="160" customWidth="1"/>
    <col min="13264" max="13264" width="8.5703125" style="160" customWidth="1"/>
    <col min="13265" max="13265" width="10.5703125" style="160" customWidth="1"/>
    <col min="13266" max="13266" width="25.42578125" style="160" customWidth="1"/>
    <col min="13267" max="13267" width="14.42578125" style="160" customWidth="1"/>
    <col min="13268" max="13268" width="4.5703125" style="160" customWidth="1"/>
    <col min="13269" max="13269" width="9.85546875" style="160" customWidth="1"/>
    <col min="13270" max="13270" width="9.5703125" style="160" customWidth="1"/>
    <col min="13271" max="13490" width="7.85546875" style="160"/>
    <col min="13491" max="13492" width="5.140625" style="160" customWidth="1"/>
    <col min="13493" max="13493" width="5.42578125" style="160" customWidth="1"/>
    <col min="13494" max="13494" width="6.5703125" style="160" customWidth="1"/>
    <col min="13495" max="13495" width="8.5703125" style="160" customWidth="1"/>
    <col min="13496" max="13496" width="12.42578125" style="160" customWidth="1"/>
    <col min="13497" max="13497" width="10.5703125" style="160" customWidth="1"/>
    <col min="13498" max="13498" width="9.85546875" style="160" customWidth="1"/>
    <col min="13499" max="13499" width="9.5703125" style="160" customWidth="1"/>
    <col min="13500" max="13505" width="8.140625" style="160" customWidth="1"/>
    <col min="13506" max="13506" width="9.42578125" style="160" customWidth="1"/>
    <col min="13507" max="13507" width="8" style="160" customWidth="1"/>
    <col min="13508" max="13508" width="8.140625" style="160" customWidth="1"/>
    <col min="13509" max="13509" width="7.42578125" style="160" customWidth="1"/>
    <col min="13510" max="13510" width="7.5703125" style="160" customWidth="1"/>
    <col min="13511" max="13518" width="7.85546875" style="160" hidden="1" customWidth="1"/>
    <col min="13519" max="13519" width="9.140625" style="160" customWidth="1"/>
    <col min="13520" max="13520" width="8.5703125" style="160" customWidth="1"/>
    <col min="13521" max="13521" width="10.5703125" style="160" customWidth="1"/>
    <col min="13522" max="13522" width="25.42578125" style="160" customWidth="1"/>
    <col min="13523" max="13523" width="14.42578125" style="160" customWidth="1"/>
    <col min="13524" max="13524" width="4.5703125" style="160" customWidth="1"/>
    <col min="13525" max="13525" width="9.85546875" style="160" customWidth="1"/>
    <col min="13526" max="13526" width="9.5703125" style="160" customWidth="1"/>
    <col min="13527" max="13746" width="7.85546875" style="160"/>
    <col min="13747" max="13748" width="5.140625" style="160" customWidth="1"/>
    <col min="13749" max="13749" width="5.42578125" style="160" customWidth="1"/>
    <col min="13750" max="13750" width="6.5703125" style="160" customWidth="1"/>
    <col min="13751" max="13751" width="8.5703125" style="160" customWidth="1"/>
    <col min="13752" max="13752" width="12.42578125" style="160" customWidth="1"/>
    <col min="13753" max="13753" width="10.5703125" style="160" customWidth="1"/>
    <col min="13754" max="13754" width="9.85546875" style="160" customWidth="1"/>
    <col min="13755" max="13755" width="9.5703125" style="160" customWidth="1"/>
    <col min="13756" max="13761" width="8.140625" style="160" customWidth="1"/>
    <col min="13762" max="13762" width="9.42578125" style="160" customWidth="1"/>
    <col min="13763" max="13763" width="8" style="160" customWidth="1"/>
    <col min="13764" max="13764" width="8.140625" style="160" customWidth="1"/>
    <col min="13765" max="13765" width="7.42578125" style="160" customWidth="1"/>
    <col min="13766" max="13766" width="7.5703125" style="160" customWidth="1"/>
    <col min="13767" max="13774" width="7.85546875" style="160" hidden="1" customWidth="1"/>
    <col min="13775" max="13775" width="9.140625" style="160" customWidth="1"/>
    <col min="13776" max="13776" width="8.5703125" style="160" customWidth="1"/>
    <col min="13777" max="13777" width="10.5703125" style="160" customWidth="1"/>
    <col min="13778" max="13778" width="25.42578125" style="160" customWidth="1"/>
    <col min="13779" max="13779" width="14.42578125" style="160" customWidth="1"/>
    <col min="13780" max="13780" width="4.5703125" style="160" customWidth="1"/>
    <col min="13781" max="13781" width="9.85546875" style="160" customWidth="1"/>
    <col min="13782" max="13782" width="9.5703125" style="160" customWidth="1"/>
    <col min="13783" max="14002" width="7.85546875" style="160"/>
    <col min="14003" max="14004" width="5.140625" style="160" customWidth="1"/>
    <col min="14005" max="14005" width="5.42578125" style="160" customWidth="1"/>
    <col min="14006" max="14006" width="6.5703125" style="160" customWidth="1"/>
    <col min="14007" max="14007" width="8.5703125" style="160" customWidth="1"/>
    <col min="14008" max="14008" width="12.42578125" style="160" customWidth="1"/>
    <col min="14009" max="14009" width="10.5703125" style="160" customWidth="1"/>
    <col min="14010" max="14010" width="9.85546875" style="160" customWidth="1"/>
    <col min="14011" max="14011" width="9.5703125" style="160" customWidth="1"/>
    <col min="14012" max="14017" width="8.140625" style="160" customWidth="1"/>
    <col min="14018" max="14018" width="9.42578125" style="160" customWidth="1"/>
    <col min="14019" max="14019" width="8" style="160" customWidth="1"/>
    <col min="14020" max="14020" width="8.140625" style="160" customWidth="1"/>
    <col min="14021" max="14021" width="7.42578125" style="160" customWidth="1"/>
    <col min="14022" max="14022" width="7.5703125" style="160" customWidth="1"/>
    <col min="14023" max="14030" width="7.85546875" style="160" hidden="1" customWidth="1"/>
    <col min="14031" max="14031" width="9.140625" style="160" customWidth="1"/>
    <col min="14032" max="14032" width="8.5703125" style="160" customWidth="1"/>
    <col min="14033" max="14033" width="10.5703125" style="160" customWidth="1"/>
    <col min="14034" max="14034" width="25.42578125" style="160" customWidth="1"/>
    <col min="14035" max="14035" width="14.42578125" style="160" customWidth="1"/>
    <col min="14036" max="14036" width="4.5703125" style="160" customWidth="1"/>
    <col min="14037" max="14037" width="9.85546875" style="160" customWidth="1"/>
    <col min="14038" max="14038" width="9.5703125" style="160" customWidth="1"/>
    <col min="14039" max="14258" width="7.85546875" style="160"/>
    <col min="14259" max="14260" width="5.140625" style="160" customWidth="1"/>
    <col min="14261" max="14261" width="5.42578125" style="160" customWidth="1"/>
    <col min="14262" max="14262" width="6.5703125" style="160" customWidth="1"/>
    <col min="14263" max="14263" width="8.5703125" style="160" customWidth="1"/>
    <col min="14264" max="14264" width="12.42578125" style="160" customWidth="1"/>
    <col min="14265" max="14265" width="10.5703125" style="160" customWidth="1"/>
    <col min="14266" max="14266" width="9.85546875" style="160" customWidth="1"/>
    <col min="14267" max="14267" width="9.5703125" style="160" customWidth="1"/>
    <col min="14268" max="14273" width="8.140625" style="160" customWidth="1"/>
    <col min="14274" max="14274" width="9.42578125" style="160" customWidth="1"/>
    <col min="14275" max="14275" width="8" style="160" customWidth="1"/>
    <col min="14276" max="14276" width="8.140625" style="160" customWidth="1"/>
    <col min="14277" max="14277" width="7.42578125" style="160" customWidth="1"/>
    <col min="14278" max="14278" width="7.5703125" style="160" customWidth="1"/>
    <col min="14279" max="14286" width="7.85546875" style="160" hidden="1" customWidth="1"/>
    <col min="14287" max="14287" width="9.140625" style="160" customWidth="1"/>
    <col min="14288" max="14288" width="8.5703125" style="160" customWidth="1"/>
    <col min="14289" max="14289" width="10.5703125" style="160" customWidth="1"/>
    <col min="14290" max="14290" width="25.42578125" style="160" customWidth="1"/>
    <col min="14291" max="14291" width="14.42578125" style="160" customWidth="1"/>
    <col min="14292" max="14292" width="4.5703125" style="160" customWidth="1"/>
    <col min="14293" max="14293" width="9.85546875" style="160" customWidth="1"/>
    <col min="14294" max="14294" width="9.5703125" style="160" customWidth="1"/>
    <col min="14295" max="14514" width="7.85546875" style="160"/>
    <col min="14515" max="14516" width="5.140625" style="160" customWidth="1"/>
    <col min="14517" max="14517" width="5.42578125" style="160" customWidth="1"/>
    <col min="14518" max="14518" width="6.5703125" style="160" customWidth="1"/>
    <col min="14519" max="14519" width="8.5703125" style="160" customWidth="1"/>
    <col min="14520" max="14520" width="12.42578125" style="160" customWidth="1"/>
    <col min="14521" max="14521" width="10.5703125" style="160" customWidth="1"/>
    <col min="14522" max="14522" width="9.85546875" style="160" customWidth="1"/>
    <col min="14523" max="14523" width="9.5703125" style="160" customWidth="1"/>
    <col min="14524" max="14529" width="8.140625" style="160" customWidth="1"/>
    <col min="14530" max="14530" width="9.42578125" style="160" customWidth="1"/>
    <col min="14531" max="14531" width="8" style="160" customWidth="1"/>
    <col min="14532" max="14532" width="8.140625" style="160" customWidth="1"/>
    <col min="14533" max="14533" width="7.42578125" style="160" customWidth="1"/>
    <col min="14534" max="14534" width="7.5703125" style="160" customWidth="1"/>
    <col min="14535" max="14542" width="7.85546875" style="160" hidden="1" customWidth="1"/>
    <col min="14543" max="14543" width="9.140625" style="160" customWidth="1"/>
    <col min="14544" max="14544" width="8.5703125" style="160" customWidth="1"/>
    <col min="14545" max="14545" width="10.5703125" style="160" customWidth="1"/>
    <col min="14546" max="14546" width="25.42578125" style="160" customWidth="1"/>
    <col min="14547" max="14547" width="14.42578125" style="160" customWidth="1"/>
    <col min="14548" max="14548" width="4.5703125" style="160" customWidth="1"/>
    <col min="14549" max="14549" width="9.85546875" style="160" customWidth="1"/>
    <col min="14550" max="14550" width="9.5703125" style="160" customWidth="1"/>
    <col min="14551" max="14770" width="7.85546875" style="160"/>
    <col min="14771" max="14772" width="5.140625" style="160" customWidth="1"/>
    <col min="14773" max="14773" width="5.42578125" style="160" customWidth="1"/>
    <col min="14774" max="14774" width="6.5703125" style="160" customWidth="1"/>
    <col min="14775" max="14775" width="8.5703125" style="160" customWidth="1"/>
    <col min="14776" max="14776" width="12.42578125" style="160" customWidth="1"/>
    <col min="14777" max="14777" width="10.5703125" style="160" customWidth="1"/>
    <col min="14778" max="14778" width="9.85546875" style="160" customWidth="1"/>
    <col min="14779" max="14779" width="9.5703125" style="160" customWidth="1"/>
    <col min="14780" max="14785" width="8.140625" style="160" customWidth="1"/>
    <col min="14786" max="14786" width="9.42578125" style="160" customWidth="1"/>
    <col min="14787" max="14787" width="8" style="160" customWidth="1"/>
    <col min="14788" max="14788" width="8.140625" style="160" customWidth="1"/>
    <col min="14789" max="14789" width="7.42578125" style="160" customWidth="1"/>
    <col min="14790" max="14790" width="7.5703125" style="160" customWidth="1"/>
    <col min="14791" max="14798" width="7.85546875" style="160" hidden="1" customWidth="1"/>
    <col min="14799" max="14799" width="9.140625" style="160" customWidth="1"/>
    <col min="14800" max="14800" width="8.5703125" style="160" customWidth="1"/>
    <col min="14801" max="14801" width="10.5703125" style="160" customWidth="1"/>
    <col min="14802" max="14802" width="25.42578125" style="160" customWidth="1"/>
    <col min="14803" max="14803" width="14.42578125" style="160" customWidth="1"/>
    <col min="14804" max="14804" width="4.5703125" style="160" customWidth="1"/>
    <col min="14805" max="14805" width="9.85546875" style="160" customWidth="1"/>
    <col min="14806" max="14806" width="9.5703125" style="160" customWidth="1"/>
    <col min="14807" max="15026" width="7.85546875" style="160"/>
    <col min="15027" max="15028" width="5.140625" style="160" customWidth="1"/>
    <col min="15029" max="15029" width="5.42578125" style="160" customWidth="1"/>
    <col min="15030" max="15030" width="6.5703125" style="160" customWidth="1"/>
    <col min="15031" max="15031" width="8.5703125" style="160" customWidth="1"/>
    <col min="15032" max="15032" width="12.42578125" style="160" customWidth="1"/>
    <col min="15033" max="15033" width="10.5703125" style="160" customWidth="1"/>
    <col min="15034" max="15034" width="9.85546875" style="160" customWidth="1"/>
    <col min="15035" max="15035" width="9.5703125" style="160" customWidth="1"/>
    <col min="15036" max="15041" width="8.140625" style="160" customWidth="1"/>
    <col min="15042" max="15042" width="9.42578125" style="160" customWidth="1"/>
    <col min="15043" max="15043" width="8" style="160" customWidth="1"/>
    <col min="15044" max="15044" width="8.140625" style="160" customWidth="1"/>
    <col min="15045" max="15045" width="7.42578125" style="160" customWidth="1"/>
    <col min="15046" max="15046" width="7.5703125" style="160" customWidth="1"/>
    <col min="15047" max="15054" width="7.85546875" style="160" hidden="1" customWidth="1"/>
    <col min="15055" max="15055" width="9.140625" style="160" customWidth="1"/>
    <col min="15056" max="15056" width="8.5703125" style="160" customWidth="1"/>
    <col min="15057" max="15057" width="10.5703125" style="160" customWidth="1"/>
    <col min="15058" max="15058" width="25.42578125" style="160" customWidth="1"/>
    <col min="15059" max="15059" width="14.42578125" style="160" customWidth="1"/>
    <col min="15060" max="15060" width="4.5703125" style="160" customWidth="1"/>
    <col min="15061" max="15061" width="9.85546875" style="160" customWidth="1"/>
    <col min="15062" max="15062" width="9.5703125" style="160" customWidth="1"/>
    <col min="15063" max="15282" width="7.85546875" style="160"/>
    <col min="15283" max="15284" width="5.140625" style="160" customWidth="1"/>
    <col min="15285" max="15285" width="5.42578125" style="160" customWidth="1"/>
    <col min="15286" max="15286" width="6.5703125" style="160" customWidth="1"/>
    <col min="15287" max="15287" width="8.5703125" style="160" customWidth="1"/>
    <col min="15288" max="15288" width="12.42578125" style="160" customWidth="1"/>
    <col min="15289" max="15289" width="10.5703125" style="160" customWidth="1"/>
    <col min="15290" max="15290" width="9.85546875" style="160" customWidth="1"/>
    <col min="15291" max="15291" width="9.5703125" style="160" customWidth="1"/>
    <col min="15292" max="15297" width="8.140625" style="160" customWidth="1"/>
    <col min="15298" max="15298" width="9.42578125" style="160" customWidth="1"/>
    <col min="15299" max="15299" width="8" style="160" customWidth="1"/>
    <col min="15300" max="15300" width="8.140625" style="160" customWidth="1"/>
    <col min="15301" max="15301" width="7.42578125" style="160" customWidth="1"/>
    <col min="15302" max="15302" width="7.5703125" style="160" customWidth="1"/>
    <col min="15303" max="15310" width="7.85546875" style="160" hidden="1" customWidth="1"/>
    <col min="15311" max="15311" width="9.140625" style="160" customWidth="1"/>
    <col min="15312" max="15312" width="8.5703125" style="160" customWidth="1"/>
    <col min="15313" max="15313" width="10.5703125" style="160" customWidth="1"/>
    <col min="15314" max="15314" width="25.42578125" style="160" customWidth="1"/>
    <col min="15315" max="15315" width="14.42578125" style="160" customWidth="1"/>
    <col min="15316" max="15316" width="4.5703125" style="160" customWidth="1"/>
    <col min="15317" max="15317" width="9.85546875" style="160" customWidth="1"/>
    <col min="15318" max="15318" width="9.5703125" style="160" customWidth="1"/>
    <col min="15319" max="15538" width="7.85546875" style="160"/>
    <col min="15539" max="15540" width="5.140625" style="160" customWidth="1"/>
    <col min="15541" max="15541" width="5.42578125" style="160" customWidth="1"/>
    <col min="15542" max="15542" width="6.5703125" style="160" customWidth="1"/>
    <col min="15543" max="15543" width="8.5703125" style="160" customWidth="1"/>
    <col min="15544" max="15544" width="12.42578125" style="160" customWidth="1"/>
    <col min="15545" max="15545" width="10.5703125" style="160" customWidth="1"/>
    <col min="15546" max="15546" width="9.85546875" style="160" customWidth="1"/>
    <col min="15547" max="15547" width="9.5703125" style="160" customWidth="1"/>
    <col min="15548" max="15553" width="8.140625" style="160" customWidth="1"/>
    <col min="15554" max="15554" width="9.42578125" style="160" customWidth="1"/>
    <col min="15555" max="15555" width="8" style="160" customWidth="1"/>
    <col min="15556" max="15556" width="8.140625" style="160" customWidth="1"/>
    <col min="15557" max="15557" width="7.42578125" style="160" customWidth="1"/>
    <col min="15558" max="15558" width="7.5703125" style="160" customWidth="1"/>
    <col min="15559" max="15566" width="7.85546875" style="160" hidden="1" customWidth="1"/>
    <col min="15567" max="15567" width="9.140625" style="160" customWidth="1"/>
    <col min="15568" max="15568" width="8.5703125" style="160" customWidth="1"/>
    <col min="15569" max="15569" width="10.5703125" style="160" customWidth="1"/>
    <col min="15570" max="15570" width="25.42578125" style="160" customWidth="1"/>
    <col min="15571" max="15571" width="14.42578125" style="160" customWidth="1"/>
    <col min="15572" max="15572" width="4.5703125" style="160" customWidth="1"/>
    <col min="15573" max="15573" width="9.85546875" style="160" customWidth="1"/>
    <col min="15574" max="15574" width="9.5703125" style="160" customWidth="1"/>
    <col min="15575" max="15794" width="7.85546875" style="160"/>
    <col min="15795" max="15796" width="5.140625" style="160" customWidth="1"/>
    <col min="15797" max="15797" width="5.42578125" style="160" customWidth="1"/>
    <col min="15798" max="15798" width="6.5703125" style="160" customWidth="1"/>
    <col min="15799" max="15799" width="8.5703125" style="160" customWidth="1"/>
    <col min="15800" max="15800" width="12.42578125" style="160" customWidth="1"/>
    <col min="15801" max="15801" width="10.5703125" style="160" customWidth="1"/>
    <col min="15802" max="15802" width="9.85546875" style="160" customWidth="1"/>
    <col min="15803" max="15803" width="9.5703125" style="160" customWidth="1"/>
    <col min="15804" max="15809" width="8.140625" style="160" customWidth="1"/>
    <col min="15810" max="15810" width="9.42578125" style="160" customWidth="1"/>
    <col min="15811" max="15811" width="8" style="160" customWidth="1"/>
    <col min="15812" max="15812" width="8.140625" style="160" customWidth="1"/>
    <col min="15813" max="15813" width="7.42578125" style="160" customWidth="1"/>
    <col min="15814" max="15814" width="7.5703125" style="160" customWidth="1"/>
    <col min="15815" max="15822" width="7.85546875" style="160" hidden="1" customWidth="1"/>
    <col min="15823" max="15823" width="9.140625" style="160" customWidth="1"/>
    <col min="15824" max="15824" width="8.5703125" style="160" customWidth="1"/>
    <col min="15825" max="15825" width="10.5703125" style="160" customWidth="1"/>
    <col min="15826" max="15826" width="25.42578125" style="160" customWidth="1"/>
    <col min="15827" max="15827" width="14.42578125" style="160" customWidth="1"/>
    <col min="15828" max="15828" width="4.5703125" style="160" customWidth="1"/>
    <col min="15829" max="15829" width="9.85546875" style="160" customWidth="1"/>
    <col min="15830" max="15830" width="9.5703125" style="160" customWidth="1"/>
    <col min="15831" max="16050" width="7.85546875" style="160"/>
    <col min="16051" max="16052" width="5.140625" style="160" customWidth="1"/>
    <col min="16053" max="16053" width="5.42578125" style="160" customWidth="1"/>
    <col min="16054" max="16054" width="6.5703125" style="160" customWidth="1"/>
    <col min="16055" max="16055" width="8.5703125" style="160" customWidth="1"/>
    <col min="16056" max="16056" width="12.42578125" style="160" customWidth="1"/>
    <col min="16057" max="16057" width="10.5703125" style="160" customWidth="1"/>
    <col min="16058" max="16058" width="9.85546875" style="160" customWidth="1"/>
    <col min="16059" max="16059" width="9.5703125" style="160" customWidth="1"/>
    <col min="16060" max="16065" width="8.140625" style="160" customWidth="1"/>
    <col min="16066" max="16066" width="9.42578125" style="160" customWidth="1"/>
    <col min="16067" max="16067" width="8" style="160" customWidth="1"/>
    <col min="16068" max="16068" width="8.140625" style="160" customWidth="1"/>
    <col min="16069" max="16069" width="7.42578125" style="160" customWidth="1"/>
    <col min="16070" max="16070" width="7.5703125" style="160" customWidth="1"/>
    <col min="16071" max="16078" width="7.85546875" style="160" hidden="1" customWidth="1"/>
    <col min="16079" max="16079" width="9.140625" style="160" customWidth="1"/>
    <col min="16080" max="16080" width="8.5703125" style="160" customWidth="1"/>
    <col min="16081" max="16081" width="10.5703125" style="160" customWidth="1"/>
    <col min="16082" max="16082" width="25.42578125" style="160" customWidth="1"/>
    <col min="16083" max="16083" width="14.42578125" style="160" customWidth="1"/>
    <col min="16084" max="16084" width="4.5703125" style="160" customWidth="1"/>
    <col min="16085" max="16085" width="9.85546875" style="160" customWidth="1"/>
    <col min="16086" max="16086" width="9.5703125" style="160" customWidth="1"/>
    <col min="16087" max="16384" width="7.85546875" style="160"/>
  </cols>
  <sheetData>
    <row r="1" spans="1:12" ht="12.95" customHeight="1">
      <c r="A1" s="163" t="s">
        <v>37</v>
      </c>
      <c r="B1" s="164"/>
      <c r="C1" s="165"/>
      <c r="D1" s="165"/>
      <c r="E1" s="165"/>
      <c r="F1" s="165"/>
      <c r="G1" s="166"/>
      <c r="H1" s="167"/>
    </row>
    <row r="2" spans="1:12" ht="12.95" customHeight="1">
      <c r="A2" s="168" t="s">
        <v>39</v>
      </c>
      <c r="B2" s="169"/>
      <c r="C2" s="170"/>
      <c r="D2" s="170"/>
      <c r="E2" s="170"/>
      <c r="F2" s="170"/>
      <c r="G2" s="171"/>
      <c r="H2" s="172"/>
    </row>
    <row r="3" spans="1:12" ht="12.95" customHeight="1">
      <c r="A3" s="168" t="s">
        <v>33</v>
      </c>
      <c r="B3" s="168"/>
      <c r="C3" s="173"/>
      <c r="D3" s="173"/>
      <c r="E3" s="173"/>
      <c r="F3" s="173"/>
      <c r="G3" s="174"/>
      <c r="H3" s="175"/>
    </row>
    <row r="4" spans="1:12" s="159" customFormat="1" ht="12.95" customHeight="1">
      <c r="A4" s="1515" t="s">
        <v>1255</v>
      </c>
      <c r="B4" s="1515" t="s">
        <v>41</v>
      </c>
      <c r="C4" s="1516" t="s">
        <v>42</v>
      </c>
      <c r="D4" s="1517" t="s">
        <v>43</v>
      </c>
      <c r="E4" s="1517" t="s">
        <v>44</v>
      </c>
      <c r="F4" s="1517" t="s">
        <v>1285</v>
      </c>
      <c r="G4" s="1521" t="s">
        <v>47</v>
      </c>
      <c r="H4" s="1517" t="s">
        <v>1256</v>
      </c>
      <c r="I4" s="1518" t="s">
        <v>49</v>
      </c>
      <c r="J4" s="1518" t="s">
        <v>1258</v>
      </c>
    </row>
    <row r="5" spans="1:12" s="159" customFormat="1" ht="12.95" customHeight="1">
      <c r="A5" s="1515"/>
      <c r="B5" s="1515"/>
      <c r="C5" s="1516"/>
      <c r="D5" s="1517"/>
      <c r="E5" s="1517"/>
      <c r="F5" s="1517"/>
      <c r="G5" s="1521"/>
      <c r="H5" s="1517"/>
      <c r="I5" s="1518"/>
      <c r="J5" s="1518"/>
    </row>
    <row r="6" spans="1:12" ht="12.95" customHeight="1">
      <c r="A6" s="128"/>
      <c r="B6" s="184">
        <v>45170</v>
      </c>
      <c r="C6" s="176"/>
      <c r="D6" s="128"/>
      <c r="E6" s="129"/>
      <c r="F6" s="176"/>
      <c r="G6" s="133"/>
      <c r="H6" s="134"/>
      <c r="I6" s="187"/>
      <c r="J6" s="176"/>
    </row>
    <row r="7" spans="1:12" ht="12.95" customHeight="1">
      <c r="A7" s="128">
        <v>1</v>
      </c>
      <c r="B7" s="128">
        <v>1</v>
      </c>
      <c r="C7" s="176"/>
      <c r="D7" s="132" t="s">
        <v>681</v>
      </c>
      <c r="E7" s="530" t="s">
        <v>76</v>
      </c>
      <c r="F7" s="176"/>
      <c r="G7" s="134" t="s">
        <v>717</v>
      </c>
      <c r="H7" s="134" t="s">
        <v>727</v>
      </c>
      <c r="I7" s="188" t="s">
        <v>1327</v>
      </c>
      <c r="J7" s="188" t="s">
        <v>60</v>
      </c>
      <c r="K7" s="160">
        <v>37.503999999999998</v>
      </c>
    </row>
    <row r="8" spans="1:12" ht="12.95" customHeight="1">
      <c r="A8" s="128">
        <v>2</v>
      </c>
      <c r="B8" s="128">
        <v>2</v>
      </c>
      <c r="C8" s="176"/>
      <c r="D8" s="132" t="s">
        <v>672</v>
      </c>
      <c r="E8" s="530" t="s">
        <v>76</v>
      </c>
      <c r="F8" s="176"/>
      <c r="G8" s="133" t="s">
        <v>723</v>
      </c>
      <c r="H8" s="134" t="s">
        <v>736</v>
      </c>
      <c r="I8" s="188" t="s">
        <v>1328</v>
      </c>
      <c r="J8" s="188" t="s">
        <v>60</v>
      </c>
      <c r="K8" s="160">
        <v>37.503999999999998</v>
      </c>
    </row>
    <row r="9" spans="1:12" ht="12.95" customHeight="1">
      <c r="A9" s="128">
        <v>3</v>
      </c>
      <c r="B9" s="128">
        <v>3</v>
      </c>
      <c r="C9" s="176"/>
      <c r="D9" s="132" t="s">
        <v>689</v>
      </c>
      <c r="E9" s="133" t="s">
        <v>76</v>
      </c>
      <c r="F9" s="176"/>
      <c r="G9" s="133" t="s">
        <v>727</v>
      </c>
      <c r="H9" s="134" t="s">
        <v>741</v>
      </c>
      <c r="I9" s="188" t="s">
        <v>1327</v>
      </c>
      <c r="J9" s="188" t="s">
        <v>60</v>
      </c>
      <c r="K9" s="160">
        <v>37.503999999999998</v>
      </c>
    </row>
    <row r="10" spans="1:12" ht="12.95" customHeight="1">
      <c r="A10" s="128"/>
      <c r="B10" s="184">
        <v>45200</v>
      </c>
      <c r="C10" s="176"/>
      <c r="D10" s="134"/>
      <c r="E10" s="133"/>
      <c r="F10" s="176"/>
      <c r="G10" s="133"/>
      <c r="H10" s="134"/>
      <c r="I10" s="131"/>
      <c r="J10" s="131"/>
      <c r="L10" s="160">
        <f>SUM(K7:K10)</f>
        <v>112.512</v>
      </c>
    </row>
    <row r="11" spans="1:12" ht="12.95" customHeight="1">
      <c r="A11" s="128">
        <v>4</v>
      </c>
      <c r="B11" s="128">
        <v>1</v>
      </c>
      <c r="C11" s="176"/>
      <c r="D11" s="132" t="s">
        <v>674</v>
      </c>
      <c r="E11" s="530" t="s">
        <v>76</v>
      </c>
      <c r="F11" s="176"/>
      <c r="G11" s="133" t="s">
        <v>736</v>
      </c>
      <c r="H11" s="134" t="s">
        <v>1223</v>
      </c>
      <c r="I11" s="188" t="s">
        <v>1328</v>
      </c>
      <c r="J11" s="188" t="s">
        <v>60</v>
      </c>
      <c r="K11" s="160">
        <v>37.503999999999998</v>
      </c>
    </row>
    <row r="12" spans="1:12" ht="12.95" customHeight="1">
      <c r="A12" s="128">
        <v>5</v>
      </c>
      <c r="B12" s="128">
        <v>2</v>
      </c>
      <c r="C12" s="176"/>
      <c r="D12" s="132" t="s">
        <v>687</v>
      </c>
      <c r="E12" s="133" t="s">
        <v>76</v>
      </c>
      <c r="F12" s="176"/>
      <c r="G12" s="133" t="s">
        <v>741</v>
      </c>
      <c r="H12" s="134" t="s">
        <v>1223</v>
      </c>
      <c r="I12" s="188" t="s">
        <v>1327</v>
      </c>
      <c r="J12" s="188" t="s">
        <v>60</v>
      </c>
      <c r="K12" s="160">
        <v>37.503999999999998</v>
      </c>
    </row>
    <row r="13" spans="1:12" ht="12.95" customHeight="1">
      <c r="A13" s="128">
        <v>6</v>
      </c>
      <c r="B13" s="128">
        <v>3</v>
      </c>
      <c r="C13" s="176"/>
      <c r="D13" s="132" t="s">
        <v>683</v>
      </c>
      <c r="E13" s="133" t="s">
        <v>76</v>
      </c>
      <c r="F13" s="176"/>
      <c r="G13" s="133" t="s">
        <v>1223</v>
      </c>
      <c r="H13" s="134" t="s">
        <v>755</v>
      </c>
      <c r="I13" s="188" t="s">
        <v>1327</v>
      </c>
      <c r="J13" s="188" t="s">
        <v>60</v>
      </c>
      <c r="K13" s="160">
        <v>37.503999999999998</v>
      </c>
    </row>
    <row r="14" spans="1:12" ht="12.95" customHeight="1">
      <c r="A14" s="128">
        <v>7</v>
      </c>
      <c r="B14" s="128">
        <v>4</v>
      </c>
      <c r="C14" s="176"/>
      <c r="D14" s="132" t="s">
        <v>675</v>
      </c>
      <c r="E14" s="133" t="s">
        <v>76</v>
      </c>
      <c r="F14" s="176"/>
      <c r="G14" s="133" t="s">
        <v>1223</v>
      </c>
      <c r="H14" s="134" t="s">
        <v>1224</v>
      </c>
      <c r="I14" s="188" t="s">
        <v>1328</v>
      </c>
      <c r="J14" s="188" t="s">
        <v>60</v>
      </c>
      <c r="K14" s="160">
        <v>37.503999999999998</v>
      </c>
    </row>
    <row r="15" spans="1:12" ht="12.95" customHeight="1">
      <c r="A15" s="128">
        <v>8</v>
      </c>
      <c r="B15" s="128">
        <v>5</v>
      </c>
      <c r="C15" s="176"/>
      <c r="D15" s="132" t="s">
        <v>468</v>
      </c>
      <c r="E15" s="133" t="s">
        <v>76</v>
      </c>
      <c r="F15" s="176"/>
      <c r="G15" s="133" t="s">
        <v>752</v>
      </c>
      <c r="H15" s="134" t="s">
        <v>760</v>
      </c>
      <c r="I15" s="188" t="s">
        <v>1329</v>
      </c>
      <c r="J15" s="188" t="s">
        <v>60</v>
      </c>
      <c r="K15" s="160">
        <v>37.503999999999998</v>
      </c>
    </row>
    <row r="16" spans="1:12" ht="12.95" customHeight="1">
      <c r="A16" s="128">
        <v>9</v>
      </c>
      <c r="B16" s="128">
        <v>6</v>
      </c>
      <c r="C16" s="176"/>
      <c r="D16" s="132" t="s">
        <v>693</v>
      </c>
      <c r="E16" s="133" t="s">
        <v>62</v>
      </c>
      <c r="F16" s="176"/>
      <c r="G16" s="133" t="s">
        <v>755</v>
      </c>
      <c r="H16" s="134" t="s">
        <v>766</v>
      </c>
      <c r="I16" s="188" t="s">
        <v>1327</v>
      </c>
      <c r="J16" s="188" t="s">
        <v>60</v>
      </c>
      <c r="K16" s="160">
        <v>38.847000000000001</v>
      </c>
    </row>
    <row r="17" spans="1:12" ht="12.95" customHeight="1">
      <c r="A17" s="128">
        <v>10</v>
      </c>
      <c r="B17" s="128">
        <v>7</v>
      </c>
      <c r="C17" s="176"/>
      <c r="D17" s="132" t="s">
        <v>701</v>
      </c>
      <c r="E17" s="134" t="s">
        <v>76</v>
      </c>
      <c r="F17" s="176"/>
      <c r="G17" s="133" t="s">
        <v>1330</v>
      </c>
      <c r="H17" s="134" t="s">
        <v>766</v>
      </c>
      <c r="I17" s="188" t="s">
        <v>1328</v>
      </c>
      <c r="J17" s="188" t="s">
        <v>60</v>
      </c>
      <c r="K17" s="160">
        <v>37.503999999999998</v>
      </c>
    </row>
    <row r="18" spans="1:12" ht="12.95" customHeight="1">
      <c r="A18" s="128">
        <v>11</v>
      </c>
      <c r="B18" s="128">
        <v>8</v>
      </c>
      <c r="C18" s="176"/>
      <c r="D18" s="132" t="s">
        <v>676</v>
      </c>
      <c r="E18" s="133" t="s">
        <v>76</v>
      </c>
      <c r="F18" s="176"/>
      <c r="G18" s="133" t="s">
        <v>736</v>
      </c>
      <c r="H18" s="134" t="s">
        <v>1225</v>
      </c>
      <c r="I18" s="188" t="s">
        <v>1331</v>
      </c>
      <c r="J18" s="188" t="s">
        <v>60</v>
      </c>
      <c r="K18" s="160">
        <v>37.503999999999998</v>
      </c>
    </row>
    <row r="19" spans="1:12" ht="12.95" customHeight="1">
      <c r="A19" s="128">
        <v>12</v>
      </c>
      <c r="B19" s="128">
        <v>9</v>
      </c>
      <c r="C19" s="176"/>
      <c r="D19" s="132" t="s">
        <v>125</v>
      </c>
      <c r="E19" s="134" t="s">
        <v>76</v>
      </c>
      <c r="F19" s="176"/>
      <c r="G19" s="133" t="s">
        <v>760</v>
      </c>
      <c r="H19" s="134" t="s">
        <v>767</v>
      </c>
      <c r="I19" s="188" t="s">
        <v>1327</v>
      </c>
      <c r="J19" s="188" t="s">
        <v>60</v>
      </c>
      <c r="K19" s="160">
        <v>37.503999999999998</v>
      </c>
    </row>
    <row r="20" spans="1:12" ht="12.95" customHeight="1">
      <c r="A20" s="128">
        <v>13</v>
      </c>
      <c r="B20" s="128">
        <v>10</v>
      </c>
      <c r="C20" s="176"/>
      <c r="D20" s="132" t="s">
        <v>329</v>
      </c>
      <c r="E20" s="134" t="s">
        <v>76</v>
      </c>
      <c r="F20" s="176"/>
      <c r="G20" s="133" t="s">
        <v>760</v>
      </c>
      <c r="H20" s="134" t="s">
        <v>771</v>
      </c>
      <c r="I20" s="188" t="s">
        <v>1329</v>
      </c>
      <c r="J20" s="188" t="s">
        <v>60</v>
      </c>
      <c r="K20" s="160">
        <v>37.503999999999998</v>
      </c>
    </row>
    <row r="21" spans="1:12" ht="12.95" customHeight="1">
      <c r="A21" s="128">
        <v>14</v>
      </c>
      <c r="B21" s="128">
        <v>11</v>
      </c>
      <c r="C21" s="134"/>
      <c r="D21" s="132" t="s">
        <v>696</v>
      </c>
      <c r="E21" s="134" t="s">
        <v>76</v>
      </c>
      <c r="F21" s="134"/>
      <c r="G21" s="133" t="s">
        <v>760</v>
      </c>
      <c r="H21" s="134" t="s">
        <v>763</v>
      </c>
      <c r="I21" s="188" t="s">
        <v>1328</v>
      </c>
      <c r="J21" s="188" t="s">
        <v>60</v>
      </c>
      <c r="K21" s="160">
        <v>37.503999999999998</v>
      </c>
    </row>
    <row r="22" spans="1:12" ht="12.95" customHeight="1">
      <c r="A22" s="128">
        <v>15</v>
      </c>
      <c r="B22" s="128">
        <v>12</v>
      </c>
      <c r="C22" s="134"/>
      <c r="D22" s="132" t="s">
        <v>114</v>
      </c>
      <c r="E22" s="134" t="s">
        <v>76</v>
      </c>
      <c r="F22" s="134"/>
      <c r="G22" s="133" t="s">
        <v>771</v>
      </c>
      <c r="H22" s="134" t="s">
        <v>768</v>
      </c>
      <c r="I22" s="188" t="s">
        <v>1327</v>
      </c>
      <c r="J22" s="188" t="s">
        <v>60</v>
      </c>
      <c r="K22" s="160">
        <v>37.503999999999998</v>
      </c>
    </row>
    <row r="23" spans="1:12" ht="12.95" customHeight="1">
      <c r="A23" s="128">
        <v>16</v>
      </c>
      <c r="B23" s="128">
        <v>13</v>
      </c>
      <c r="C23" s="134"/>
      <c r="D23" s="132" t="s">
        <v>699</v>
      </c>
      <c r="E23" s="134" t="s">
        <v>62</v>
      </c>
      <c r="F23" s="134"/>
      <c r="G23" s="133" t="s">
        <v>771</v>
      </c>
      <c r="H23" s="134" t="s">
        <v>769</v>
      </c>
      <c r="I23" s="188" t="s">
        <v>1329</v>
      </c>
      <c r="J23" s="188" t="s">
        <v>60</v>
      </c>
      <c r="K23" s="160">
        <v>38.847000000000001</v>
      </c>
    </row>
    <row r="24" spans="1:12" ht="12.95" customHeight="1">
      <c r="A24" s="128">
        <v>17</v>
      </c>
      <c r="B24" s="128">
        <v>14</v>
      </c>
      <c r="C24" s="134"/>
      <c r="D24" s="132" t="s">
        <v>677</v>
      </c>
      <c r="E24" s="134" t="s">
        <v>62</v>
      </c>
      <c r="F24" s="134"/>
      <c r="G24" s="133" t="s">
        <v>1225</v>
      </c>
      <c r="H24" s="134" t="s">
        <v>772</v>
      </c>
      <c r="I24" s="188" t="s">
        <v>1331</v>
      </c>
      <c r="J24" s="188" t="s">
        <v>60</v>
      </c>
      <c r="K24" s="160">
        <v>38.847000000000001</v>
      </c>
    </row>
    <row r="25" spans="1:12" ht="12.95" customHeight="1">
      <c r="A25" s="128">
        <v>18</v>
      </c>
      <c r="B25" s="128">
        <v>15</v>
      </c>
      <c r="C25" s="134"/>
      <c r="D25" s="132" t="s">
        <v>680</v>
      </c>
      <c r="E25" s="134" t="s">
        <v>62</v>
      </c>
      <c r="F25" s="134"/>
      <c r="G25" s="133" t="s">
        <v>763</v>
      </c>
      <c r="H25" s="134" t="s">
        <v>644</v>
      </c>
      <c r="I25" s="188" t="s">
        <v>1328</v>
      </c>
      <c r="J25" s="188" t="s">
        <v>60</v>
      </c>
      <c r="K25" s="160">
        <v>38.847000000000001</v>
      </c>
    </row>
    <row r="26" spans="1:12" ht="12.95" customHeight="1">
      <c r="A26" s="128">
        <v>19</v>
      </c>
      <c r="B26" s="128">
        <v>16</v>
      </c>
      <c r="C26" s="134"/>
      <c r="D26" s="132" t="s">
        <v>130</v>
      </c>
      <c r="E26" s="134" t="s">
        <v>76</v>
      </c>
      <c r="F26" s="134"/>
      <c r="G26" s="133" t="s">
        <v>768</v>
      </c>
      <c r="H26" s="134" t="s">
        <v>774</v>
      </c>
      <c r="I26" s="188" t="s">
        <v>1327</v>
      </c>
      <c r="J26" s="188" t="s">
        <v>60</v>
      </c>
      <c r="K26" s="160">
        <v>37.503999999999998</v>
      </c>
    </row>
    <row r="27" spans="1:12" ht="12.95" customHeight="1">
      <c r="A27" s="128">
        <v>20</v>
      </c>
      <c r="B27" s="128">
        <v>17</v>
      </c>
      <c r="C27" s="134"/>
      <c r="D27" s="132" t="s">
        <v>684</v>
      </c>
      <c r="E27" s="134" t="s">
        <v>76</v>
      </c>
      <c r="F27" s="134"/>
      <c r="G27" s="133" t="s">
        <v>768</v>
      </c>
      <c r="H27" s="134" t="s">
        <v>651</v>
      </c>
      <c r="I27" s="188" t="s">
        <v>1329</v>
      </c>
      <c r="J27" s="188" t="s">
        <v>60</v>
      </c>
      <c r="K27" s="160">
        <v>37.503999999999998</v>
      </c>
    </row>
    <row r="28" spans="1:12" ht="12.95" customHeight="1">
      <c r="A28" s="128">
        <v>21</v>
      </c>
      <c r="B28" s="128">
        <v>18</v>
      </c>
      <c r="C28" s="134"/>
      <c r="D28" s="132" t="s">
        <v>142</v>
      </c>
      <c r="E28" s="134" t="s">
        <v>62</v>
      </c>
      <c r="F28" s="134"/>
      <c r="G28" s="133" t="s">
        <v>774</v>
      </c>
      <c r="H28" s="134" t="s">
        <v>779</v>
      </c>
      <c r="I28" s="188" t="s">
        <v>1327</v>
      </c>
      <c r="J28" s="188" t="s">
        <v>60</v>
      </c>
      <c r="K28" s="160">
        <v>38.847000000000001</v>
      </c>
    </row>
    <row r="29" spans="1:12" ht="12.95" customHeight="1">
      <c r="A29" s="128">
        <v>22</v>
      </c>
      <c r="B29" s="128">
        <v>19</v>
      </c>
      <c r="C29" s="134"/>
      <c r="D29" s="132" t="s">
        <v>682</v>
      </c>
      <c r="E29" s="134" t="s">
        <v>62</v>
      </c>
      <c r="F29" s="134"/>
      <c r="G29" s="133" t="s">
        <v>768</v>
      </c>
      <c r="H29" s="134" t="s">
        <v>652</v>
      </c>
      <c r="I29" s="188" t="s">
        <v>1331</v>
      </c>
      <c r="J29" s="188" t="s">
        <v>60</v>
      </c>
      <c r="K29" s="160">
        <v>38.847000000000001</v>
      </c>
    </row>
    <row r="30" spans="1:12" ht="12.95" customHeight="1">
      <c r="A30" s="128">
        <v>23</v>
      </c>
      <c r="B30" s="128">
        <v>20</v>
      </c>
      <c r="C30" s="134"/>
      <c r="D30" s="132" t="s">
        <v>688</v>
      </c>
      <c r="E30" s="134" t="s">
        <v>62</v>
      </c>
      <c r="F30" s="134"/>
      <c r="G30" s="133" t="s">
        <v>644</v>
      </c>
      <c r="H30" s="134" t="s">
        <v>652</v>
      </c>
      <c r="I30" s="188" t="s">
        <v>1328</v>
      </c>
      <c r="J30" s="188" t="s">
        <v>60</v>
      </c>
      <c r="K30" s="160">
        <v>38.847000000000001</v>
      </c>
    </row>
    <row r="31" spans="1:12" ht="12.95" customHeight="1">
      <c r="A31" s="128"/>
      <c r="B31" s="184">
        <v>45231</v>
      </c>
      <c r="C31" s="134"/>
      <c r="D31" s="132"/>
      <c r="E31" s="134"/>
      <c r="F31" s="134"/>
      <c r="G31" s="133"/>
      <c r="H31" s="134"/>
      <c r="I31" s="188"/>
      <c r="J31" s="188"/>
      <c r="L31" s="160">
        <f>SUM(K11:K30)</f>
        <v>759.48099999999999</v>
      </c>
    </row>
    <row r="32" spans="1:12" ht="12.95" customHeight="1">
      <c r="A32" s="128">
        <v>24</v>
      </c>
      <c r="B32" s="128">
        <v>1</v>
      </c>
      <c r="C32" s="134"/>
      <c r="D32" s="132" t="s">
        <v>695</v>
      </c>
      <c r="E32" s="134" t="s">
        <v>62</v>
      </c>
      <c r="F32" s="134"/>
      <c r="G32" s="133" t="s">
        <v>779</v>
      </c>
      <c r="H32" s="134" t="s">
        <v>1262</v>
      </c>
      <c r="I32" s="188" t="s">
        <v>1327</v>
      </c>
      <c r="J32" s="188" t="s">
        <v>60</v>
      </c>
      <c r="K32" s="160">
        <v>38.847000000000001</v>
      </c>
    </row>
    <row r="33" spans="1:11" ht="12.95" customHeight="1">
      <c r="A33" s="128">
        <v>25</v>
      </c>
      <c r="B33" s="128">
        <v>2</v>
      </c>
      <c r="C33" s="134"/>
      <c r="D33" s="132" t="s">
        <v>678</v>
      </c>
      <c r="E33" s="134" t="s">
        <v>62</v>
      </c>
      <c r="F33" s="134"/>
      <c r="G33" s="133" t="s">
        <v>651</v>
      </c>
      <c r="H33" s="134" t="s">
        <v>653</v>
      </c>
      <c r="I33" s="188" t="s">
        <v>1329</v>
      </c>
      <c r="J33" s="188" t="s">
        <v>60</v>
      </c>
      <c r="K33" s="160">
        <v>38.847000000000001</v>
      </c>
    </row>
    <row r="34" spans="1:11" ht="12.95" customHeight="1">
      <c r="A34" s="128">
        <v>26</v>
      </c>
      <c r="B34" s="185">
        <v>3</v>
      </c>
      <c r="D34" s="132" t="s">
        <v>91</v>
      </c>
      <c r="E34" s="137" t="s">
        <v>76</v>
      </c>
      <c r="G34" s="186" t="s">
        <v>652</v>
      </c>
      <c r="H34" s="137" t="s">
        <v>1332</v>
      </c>
      <c r="I34" s="188" t="s">
        <v>1328</v>
      </c>
      <c r="J34" s="188" t="s">
        <v>60</v>
      </c>
      <c r="K34" s="160">
        <v>37.503999999999998</v>
      </c>
    </row>
    <row r="35" spans="1:11" ht="12.95" customHeight="1">
      <c r="A35" s="128">
        <v>27</v>
      </c>
      <c r="B35" s="128">
        <v>4</v>
      </c>
      <c r="C35" s="176"/>
      <c r="D35" s="132" t="s">
        <v>355</v>
      </c>
      <c r="E35" s="137" t="s">
        <v>62</v>
      </c>
      <c r="F35" s="176"/>
      <c r="G35" s="134" t="s">
        <v>655</v>
      </c>
      <c r="H35" s="134" t="s">
        <v>1332</v>
      </c>
      <c r="I35" s="188" t="s">
        <v>1327</v>
      </c>
      <c r="J35" s="188" t="s">
        <v>60</v>
      </c>
      <c r="K35" s="160">
        <v>38.847000000000001</v>
      </c>
    </row>
    <row r="36" spans="1:11" ht="12.95" customHeight="1">
      <c r="A36" s="128">
        <v>28</v>
      </c>
      <c r="B36" s="128">
        <v>5</v>
      </c>
      <c r="C36" s="134"/>
      <c r="D36" s="132" t="s">
        <v>704</v>
      </c>
      <c r="E36" s="134" t="s">
        <v>76</v>
      </c>
      <c r="F36" s="134"/>
      <c r="G36" s="134" t="s">
        <v>1333</v>
      </c>
      <c r="H36" s="134" t="s">
        <v>1334</v>
      </c>
      <c r="I36" s="188" t="s">
        <v>1329</v>
      </c>
      <c r="J36" s="188" t="s">
        <v>60</v>
      </c>
      <c r="K36" s="160">
        <v>37.503999999999998</v>
      </c>
    </row>
    <row r="37" spans="1:11" ht="12.95" customHeight="1">
      <c r="A37" s="128">
        <v>29</v>
      </c>
      <c r="B37" s="185">
        <v>6</v>
      </c>
      <c r="C37" s="134"/>
      <c r="D37" s="132" t="s">
        <v>759</v>
      </c>
      <c r="E37" s="134" t="s">
        <v>76</v>
      </c>
      <c r="F37" s="134"/>
      <c r="G37" s="133" t="s">
        <v>652</v>
      </c>
      <c r="H37" s="134" t="s">
        <v>1335</v>
      </c>
      <c r="I37" s="188" t="s">
        <v>1331</v>
      </c>
      <c r="J37" s="188" t="s">
        <v>60</v>
      </c>
      <c r="K37" s="160">
        <v>37.503999999999998</v>
      </c>
    </row>
    <row r="38" spans="1:11" ht="12.95" customHeight="1">
      <c r="A38" s="128">
        <v>30</v>
      </c>
      <c r="B38" s="128">
        <v>7</v>
      </c>
      <c r="C38" s="134"/>
      <c r="D38" s="132" t="s">
        <v>554</v>
      </c>
      <c r="E38" s="134" t="s">
        <v>62</v>
      </c>
      <c r="F38" s="134"/>
      <c r="G38" s="133" t="s">
        <v>783</v>
      </c>
      <c r="H38" s="134" t="s">
        <v>1336</v>
      </c>
      <c r="I38" s="188" t="s">
        <v>1327</v>
      </c>
      <c r="J38" s="188" t="s">
        <v>60</v>
      </c>
      <c r="K38" s="160">
        <v>38.847000000000001</v>
      </c>
    </row>
    <row r="39" spans="1:11" ht="12.95" customHeight="1">
      <c r="A39" s="128">
        <v>31</v>
      </c>
      <c r="B39" s="128">
        <v>8</v>
      </c>
      <c r="C39" s="134"/>
      <c r="D39" s="132" t="s">
        <v>98</v>
      </c>
      <c r="E39" s="134" t="s">
        <v>76</v>
      </c>
      <c r="F39" s="134"/>
      <c r="G39" s="133" t="s">
        <v>783</v>
      </c>
      <c r="H39" s="134" t="s">
        <v>1336</v>
      </c>
      <c r="I39" s="188" t="s">
        <v>1328</v>
      </c>
      <c r="J39" s="188" t="s">
        <v>60</v>
      </c>
      <c r="K39" s="160">
        <v>37.503999999999998</v>
      </c>
    </row>
    <row r="40" spans="1:11" ht="12.95" customHeight="1">
      <c r="A40" s="128">
        <v>32</v>
      </c>
      <c r="B40" s="185">
        <v>9</v>
      </c>
      <c r="C40" s="134"/>
      <c r="D40" s="132" t="s">
        <v>714</v>
      </c>
      <c r="E40" s="134" t="s">
        <v>62</v>
      </c>
      <c r="F40" s="134"/>
      <c r="G40" s="133" t="s">
        <v>657</v>
      </c>
      <c r="H40" s="134" t="s">
        <v>1337</v>
      </c>
      <c r="I40" s="188" t="s">
        <v>1329</v>
      </c>
      <c r="J40" s="188" t="s">
        <v>60</v>
      </c>
      <c r="K40" s="160">
        <v>38.847000000000001</v>
      </c>
    </row>
    <row r="41" spans="1:11" ht="12.95" customHeight="1">
      <c r="A41" s="128">
        <v>33</v>
      </c>
      <c r="B41" s="128">
        <v>10</v>
      </c>
      <c r="C41" s="134"/>
      <c r="D41" s="132" t="s">
        <v>726</v>
      </c>
      <c r="E41" s="134" t="s">
        <v>62</v>
      </c>
      <c r="F41" s="134"/>
      <c r="G41" s="133" t="s">
        <v>659</v>
      </c>
      <c r="H41" s="134" t="s">
        <v>1338</v>
      </c>
      <c r="I41" s="188" t="s">
        <v>1327</v>
      </c>
      <c r="J41" s="188" t="s">
        <v>60</v>
      </c>
      <c r="K41" s="160">
        <v>38.847000000000001</v>
      </c>
    </row>
    <row r="42" spans="1:11" ht="12.95" customHeight="1">
      <c r="A42" s="128">
        <v>34</v>
      </c>
      <c r="B42" s="128">
        <v>11</v>
      </c>
      <c r="C42" s="134"/>
      <c r="D42" s="132" t="s">
        <v>109</v>
      </c>
      <c r="E42" s="134" t="s">
        <v>76</v>
      </c>
      <c r="F42" s="134"/>
      <c r="G42" s="133" t="s">
        <v>659</v>
      </c>
      <c r="H42" s="134" t="s">
        <v>1339</v>
      </c>
      <c r="I42" s="188" t="s">
        <v>1328</v>
      </c>
      <c r="J42" s="188" t="s">
        <v>60</v>
      </c>
      <c r="K42" s="160">
        <v>37.503999999999998</v>
      </c>
    </row>
    <row r="43" spans="1:11" ht="12.95" customHeight="1">
      <c r="A43" s="128">
        <v>35</v>
      </c>
      <c r="B43" s="185">
        <v>12</v>
      </c>
      <c r="C43" s="134"/>
      <c r="D43" s="132" t="s">
        <v>483</v>
      </c>
      <c r="E43" s="134" t="s">
        <v>62</v>
      </c>
      <c r="F43" s="134"/>
      <c r="G43" s="133" t="s">
        <v>660</v>
      </c>
      <c r="H43" s="134" t="s">
        <v>1340</v>
      </c>
      <c r="I43" s="188" t="s">
        <v>1329</v>
      </c>
      <c r="J43" s="188" t="s">
        <v>60</v>
      </c>
      <c r="K43" s="160">
        <v>38.847000000000001</v>
      </c>
    </row>
    <row r="44" spans="1:11" ht="12.95" customHeight="1">
      <c r="A44" s="128">
        <v>36</v>
      </c>
      <c r="B44" s="128">
        <v>13</v>
      </c>
      <c r="C44" s="134"/>
      <c r="D44" s="132" t="s">
        <v>173</v>
      </c>
      <c r="E44" s="134" t="s">
        <v>76</v>
      </c>
      <c r="F44" s="134"/>
      <c r="G44" s="133" t="s">
        <v>660</v>
      </c>
      <c r="H44" s="134" t="s">
        <v>1341</v>
      </c>
      <c r="I44" s="188" t="s">
        <v>1342</v>
      </c>
      <c r="J44" s="188" t="s">
        <v>60</v>
      </c>
      <c r="K44" s="160">
        <v>37.503999999999998</v>
      </c>
    </row>
    <row r="45" spans="1:11" ht="12.95" customHeight="1">
      <c r="A45" s="128">
        <v>37</v>
      </c>
      <c r="B45" s="128">
        <v>14</v>
      </c>
      <c r="C45" s="134"/>
      <c r="D45" s="132" t="s">
        <v>694</v>
      </c>
      <c r="E45" s="134" t="s">
        <v>62</v>
      </c>
      <c r="F45" s="134"/>
      <c r="G45" s="133" t="s">
        <v>659</v>
      </c>
      <c r="H45" s="134" t="s">
        <v>1341</v>
      </c>
      <c r="I45" s="188" t="s">
        <v>1331</v>
      </c>
      <c r="J45" s="188" t="s">
        <v>60</v>
      </c>
      <c r="K45" s="160">
        <v>38.847000000000001</v>
      </c>
    </row>
    <row r="46" spans="1:11" ht="12.95" customHeight="1">
      <c r="A46" s="128">
        <v>38</v>
      </c>
      <c r="B46" s="185">
        <v>15</v>
      </c>
      <c r="C46" s="176"/>
      <c r="D46" s="132" t="s">
        <v>729</v>
      </c>
      <c r="E46" s="134" t="s">
        <v>62</v>
      </c>
      <c r="F46" s="176"/>
      <c r="G46" s="133" t="s">
        <v>661</v>
      </c>
      <c r="H46" s="134" t="s">
        <v>1341</v>
      </c>
      <c r="I46" s="188" t="s">
        <v>1327</v>
      </c>
      <c r="J46" s="188" t="s">
        <v>60</v>
      </c>
      <c r="K46" s="160">
        <v>38.847000000000001</v>
      </c>
    </row>
    <row r="47" spans="1:11" ht="12.95" customHeight="1">
      <c r="A47" s="128">
        <v>39</v>
      </c>
      <c r="B47" s="128">
        <v>16</v>
      </c>
      <c r="C47" s="176"/>
      <c r="D47" s="132" t="s">
        <v>357</v>
      </c>
      <c r="E47" s="134" t="s">
        <v>76</v>
      </c>
      <c r="F47" s="176"/>
      <c r="G47" s="133" t="s">
        <v>664</v>
      </c>
      <c r="H47" s="134" t="s">
        <v>1343</v>
      </c>
      <c r="I47" s="188" t="s">
        <v>1328</v>
      </c>
      <c r="J47" s="188" t="s">
        <v>60</v>
      </c>
      <c r="K47" s="160">
        <v>37.503999999999998</v>
      </c>
    </row>
    <row r="48" spans="1:11" ht="12.95" customHeight="1">
      <c r="A48" s="128">
        <v>40</v>
      </c>
      <c r="B48" s="128">
        <v>17</v>
      </c>
      <c r="C48" s="176"/>
      <c r="D48" s="132" t="s">
        <v>185</v>
      </c>
      <c r="E48" s="134" t="s">
        <v>62</v>
      </c>
      <c r="F48" s="176"/>
      <c r="G48" s="133" t="s">
        <v>1344</v>
      </c>
      <c r="H48" s="134" t="s">
        <v>1343</v>
      </c>
      <c r="I48" s="188" t="s">
        <v>1329</v>
      </c>
      <c r="J48" s="188" t="s">
        <v>60</v>
      </c>
      <c r="K48" s="160">
        <v>38.847000000000001</v>
      </c>
    </row>
    <row r="49" spans="1:12" ht="12.95" customHeight="1">
      <c r="A49" s="128">
        <v>41</v>
      </c>
      <c r="B49" s="185">
        <v>18</v>
      </c>
      <c r="C49" s="176"/>
      <c r="D49" s="132" t="s">
        <v>732</v>
      </c>
      <c r="E49" s="134" t="s">
        <v>62</v>
      </c>
      <c r="F49" s="176"/>
      <c r="G49" s="133" t="s">
        <v>1345</v>
      </c>
      <c r="H49" s="134" t="s">
        <v>1343</v>
      </c>
      <c r="I49" s="188" t="s">
        <v>1327</v>
      </c>
      <c r="J49" s="188" t="s">
        <v>60</v>
      </c>
      <c r="K49" s="160">
        <v>38.847000000000001</v>
      </c>
    </row>
    <row r="50" spans="1:12" ht="12.95" customHeight="1">
      <c r="A50" s="128">
        <v>42</v>
      </c>
      <c r="B50" s="128">
        <v>19</v>
      </c>
      <c r="C50" s="134"/>
      <c r="D50" s="132" t="s">
        <v>166</v>
      </c>
      <c r="E50" s="134" t="s">
        <v>76</v>
      </c>
      <c r="F50" s="134"/>
      <c r="G50" s="133" t="s">
        <v>1345</v>
      </c>
      <c r="H50" s="134" t="s">
        <v>1346</v>
      </c>
      <c r="I50" s="188" t="s">
        <v>1342</v>
      </c>
      <c r="J50" s="188" t="s">
        <v>60</v>
      </c>
      <c r="K50" s="160">
        <v>37.503999999999998</v>
      </c>
    </row>
    <row r="51" spans="1:12" ht="12.95" customHeight="1">
      <c r="A51" s="128">
        <v>43</v>
      </c>
      <c r="B51" s="128">
        <v>20</v>
      </c>
      <c r="C51" s="134"/>
      <c r="D51" s="132" t="s">
        <v>735</v>
      </c>
      <c r="E51" s="134" t="s">
        <v>76</v>
      </c>
      <c r="F51" s="134"/>
      <c r="G51" s="133" t="s">
        <v>1347</v>
      </c>
      <c r="H51" s="134" t="s">
        <v>1348</v>
      </c>
      <c r="I51" s="188" t="s">
        <v>1327</v>
      </c>
      <c r="J51" s="188" t="s">
        <v>60</v>
      </c>
      <c r="K51" s="160">
        <v>37.503999999999998</v>
      </c>
    </row>
    <row r="52" spans="1:12" ht="12.95" customHeight="1">
      <c r="A52" s="128">
        <v>44</v>
      </c>
      <c r="B52" s="185">
        <v>21</v>
      </c>
      <c r="C52" s="134"/>
      <c r="D52" s="132" t="s">
        <v>526</v>
      </c>
      <c r="E52" s="134" t="s">
        <v>62</v>
      </c>
      <c r="F52" s="134"/>
      <c r="G52" s="133" t="s">
        <v>1347</v>
      </c>
      <c r="H52" s="134" t="s">
        <v>1348</v>
      </c>
      <c r="I52" s="188" t="s">
        <v>1329</v>
      </c>
      <c r="J52" s="188" t="s">
        <v>60</v>
      </c>
      <c r="K52" s="160">
        <v>38.847000000000001</v>
      </c>
    </row>
    <row r="53" spans="1:12" ht="12.95" customHeight="1">
      <c r="A53" s="128">
        <v>45</v>
      </c>
      <c r="B53" s="128">
        <v>22</v>
      </c>
      <c r="C53" s="134"/>
      <c r="D53" s="132" t="s">
        <v>401</v>
      </c>
      <c r="E53" s="134" t="s">
        <v>76</v>
      </c>
      <c r="F53" s="134"/>
      <c r="G53" s="133" t="s">
        <v>1347</v>
      </c>
      <c r="H53" s="134" t="s">
        <v>669</v>
      </c>
      <c r="I53" s="188" t="s">
        <v>1328</v>
      </c>
      <c r="J53" s="188" t="s">
        <v>60</v>
      </c>
      <c r="K53" s="160">
        <v>37.503999999999998</v>
      </c>
    </row>
    <row r="54" spans="1:12" ht="12.95" customHeight="1">
      <c r="A54" s="128"/>
      <c r="B54" s="184">
        <v>45261</v>
      </c>
      <c r="C54" s="134"/>
      <c r="D54" s="134"/>
      <c r="E54" s="134"/>
      <c r="F54" s="134"/>
      <c r="G54" s="133"/>
      <c r="H54" s="134"/>
      <c r="I54" s="134"/>
      <c r="J54" s="134"/>
      <c r="L54" s="160">
        <f>SUM(K32:K53)</f>
        <v>841.20399999999995</v>
      </c>
    </row>
    <row r="55" spans="1:12" ht="12.95" customHeight="1">
      <c r="A55" s="128">
        <v>46</v>
      </c>
      <c r="B55" s="128">
        <v>1</v>
      </c>
      <c r="C55" s="134"/>
      <c r="D55" s="132" t="s">
        <v>326</v>
      </c>
      <c r="E55" s="134" t="s">
        <v>62</v>
      </c>
      <c r="F55" s="134"/>
      <c r="G55" s="133" t="s">
        <v>1345</v>
      </c>
      <c r="H55" s="134" t="s">
        <v>1349</v>
      </c>
      <c r="I55" s="188" t="s">
        <v>1331</v>
      </c>
      <c r="J55" s="188" t="s">
        <v>60</v>
      </c>
      <c r="K55" s="160">
        <v>38.847000000000001</v>
      </c>
    </row>
    <row r="56" spans="1:12" ht="12.95" customHeight="1">
      <c r="A56" s="128">
        <v>47</v>
      </c>
      <c r="B56" s="185">
        <v>2</v>
      </c>
      <c r="C56" s="176"/>
      <c r="D56" s="132" t="s">
        <v>139</v>
      </c>
      <c r="E56" s="134" t="s">
        <v>62</v>
      </c>
      <c r="F56" s="176"/>
      <c r="G56" s="133" t="s">
        <v>787</v>
      </c>
      <c r="H56" s="134" t="s">
        <v>1230</v>
      </c>
      <c r="I56" s="188" t="s">
        <v>1342</v>
      </c>
      <c r="J56" s="188" t="s">
        <v>60</v>
      </c>
      <c r="K56" s="160">
        <v>38.847000000000001</v>
      </c>
    </row>
    <row r="57" spans="1:12" ht="12.95" customHeight="1">
      <c r="A57" s="128">
        <v>48</v>
      </c>
      <c r="B57" s="128">
        <v>3</v>
      </c>
      <c r="C57" s="176"/>
      <c r="D57" s="132" t="s">
        <v>746</v>
      </c>
      <c r="E57" s="134" t="s">
        <v>62</v>
      </c>
      <c r="F57" s="176"/>
      <c r="G57" s="133" t="s">
        <v>1348</v>
      </c>
      <c r="H57" s="134" t="s">
        <v>1230</v>
      </c>
      <c r="I57" s="188" t="s">
        <v>1327</v>
      </c>
      <c r="J57" s="188" t="s">
        <v>60</v>
      </c>
      <c r="K57" s="160">
        <v>38.847000000000001</v>
      </c>
    </row>
    <row r="58" spans="1:12" ht="12.95" customHeight="1">
      <c r="A58" s="128">
        <v>49</v>
      </c>
      <c r="B58" s="128">
        <v>4</v>
      </c>
      <c r="C58" s="176"/>
      <c r="D58" s="132" t="s">
        <v>530</v>
      </c>
      <c r="E58" s="134" t="s">
        <v>62</v>
      </c>
      <c r="F58" s="176"/>
      <c r="G58" s="133" t="s">
        <v>1348</v>
      </c>
      <c r="H58" s="134" t="s">
        <v>1265</v>
      </c>
      <c r="I58" s="188" t="s">
        <v>1329</v>
      </c>
      <c r="J58" s="188" t="s">
        <v>60</v>
      </c>
      <c r="K58" s="160">
        <v>38.847000000000001</v>
      </c>
    </row>
    <row r="59" spans="1:12" ht="12.95" customHeight="1">
      <c r="A59" s="128">
        <v>50</v>
      </c>
      <c r="B59" s="185">
        <v>5</v>
      </c>
      <c r="C59" s="176"/>
      <c r="D59" s="132" t="s">
        <v>691</v>
      </c>
      <c r="E59" s="134" t="s">
        <v>62</v>
      </c>
      <c r="F59" s="176"/>
      <c r="G59" s="133" t="s">
        <v>669</v>
      </c>
      <c r="H59" s="134" t="s">
        <v>790</v>
      </c>
      <c r="I59" s="188" t="s">
        <v>1328</v>
      </c>
      <c r="J59" s="188" t="s">
        <v>60</v>
      </c>
      <c r="K59" s="160">
        <v>38.847000000000001</v>
      </c>
    </row>
    <row r="60" spans="1:12" ht="12.95" customHeight="1">
      <c r="A60" s="128">
        <v>51</v>
      </c>
      <c r="B60" s="128">
        <v>6</v>
      </c>
      <c r="C60" s="134"/>
      <c r="D60" s="132" t="s">
        <v>761</v>
      </c>
      <c r="E60" s="134" t="s">
        <v>62</v>
      </c>
      <c r="F60" s="134"/>
      <c r="G60" s="134" t="s">
        <v>1230</v>
      </c>
      <c r="H60" s="134" t="s">
        <v>790</v>
      </c>
      <c r="I60" s="188" t="s">
        <v>1327</v>
      </c>
      <c r="J60" s="188" t="s">
        <v>60</v>
      </c>
      <c r="K60" s="160">
        <v>38.847000000000001</v>
      </c>
    </row>
    <row r="61" spans="1:12" ht="12.95" customHeight="1">
      <c r="A61" s="128">
        <v>52</v>
      </c>
      <c r="B61" s="185">
        <v>7</v>
      </c>
      <c r="C61" s="134"/>
      <c r="D61" s="132" t="s">
        <v>168</v>
      </c>
      <c r="E61" s="134" t="s">
        <v>62</v>
      </c>
      <c r="F61" s="134"/>
      <c r="G61" s="134" t="s">
        <v>1230</v>
      </c>
      <c r="H61" s="134" t="s">
        <v>789</v>
      </c>
      <c r="I61" s="188" t="s">
        <v>1342</v>
      </c>
      <c r="J61" s="188" t="s">
        <v>60</v>
      </c>
      <c r="K61" s="160">
        <v>38.847000000000001</v>
      </c>
    </row>
    <row r="62" spans="1:12" ht="12.95" customHeight="1">
      <c r="A62" s="128">
        <v>53</v>
      </c>
      <c r="B62" s="128">
        <v>8</v>
      </c>
      <c r="C62" s="134"/>
      <c r="D62" s="132" t="s">
        <v>294</v>
      </c>
      <c r="E62" s="134" t="s">
        <v>76</v>
      </c>
      <c r="F62" s="134"/>
      <c r="G62" s="133" t="s">
        <v>1230</v>
      </c>
      <c r="H62" s="134" t="s">
        <v>459</v>
      </c>
      <c r="I62" s="188" t="s">
        <v>1331</v>
      </c>
      <c r="J62" s="188" t="s">
        <v>60</v>
      </c>
      <c r="K62" s="160">
        <v>37.503999999999998</v>
      </c>
    </row>
    <row r="63" spans="1:12" ht="12.95" customHeight="1">
      <c r="A63" s="128">
        <v>54</v>
      </c>
      <c r="B63" s="128">
        <v>9</v>
      </c>
      <c r="C63" s="134"/>
      <c r="D63" s="132" t="s">
        <v>702</v>
      </c>
      <c r="E63" s="134" t="s">
        <v>62</v>
      </c>
      <c r="F63" s="134"/>
      <c r="G63" s="134" t="s">
        <v>1265</v>
      </c>
      <c r="H63" s="134" t="s">
        <v>459</v>
      </c>
      <c r="I63" s="188" t="s">
        <v>1329</v>
      </c>
      <c r="J63" s="188" t="s">
        <v>60</v>
      </c>
      <c r="K63" s="160">
        <v>38.847000000000001</v>
      </c>
    </row>
    <row r="64" spans="1:12" ht="12.95" customHeight="1">
      <c r="A64" s="128">
        <v>55</v>
      </c>
      <c r="B64" s="185">
        <v>10</v>
      </c>
      <c r="D64" s="132" t="s">
        <v>710</v>
      </c>
      <c r="E64" s="137" t="s">
        <v>62</v>
      </c>
      <c r="G64" s="137" t="s">
        <v>789</v>
      </c>
      <c r="H64" s="162" t="s">
        <v>1314</v>
      </c>
      <c r="I64" s="188" t="s">
        <v>1342</v>
      </c>
      <c r="J64" s="188" t="s">
        <v>60</v>
      </c>
      <c r="K64" s="160">
        <v>38.847000000000001</v>
      </c>
    </row>
    <row r="65" spans="1:11" ht="12.95" customHeight="1">
      <c r="A65" s="128">
        <v>56</v>
      </c>
      <c r="B65" s="128">
        <v>11</v>
      </c>
      <c r="C65" s="134"/>
      <c r="D65" s="132" t="s">
        <v>155</v>
      </c>
      <c r="E65" s="134" t="s">
        <v>1269</v>
      </c>
      <c r="F65" s="134"/>
      <c r="G65" s="134" t="s">
        <v>790</v>
      </c>
      <c r="H65" s="134" t="s">
        <v>56</v>
      </c>
      <c r="I65" s="188" t="s">
        <v>1327</v>
      </c>
      <c r="J65" s="188" t="s">
        <v>60</v>
      </c>
      <c r="K65" s="160">
        <v>57.597000000000001</v>
      </c>
    </row>
    <row r="66" spans="1:11" ht="12.95" customHeight="1">
      <c r="A66" s="128">
        <v>57</v>
      </c>
      <c r="B66" s="185">
        <v>12</v>
      </c>
      <c r="C66" s="134"/>
      <c r="D66" s="132" t="s">
        <v>180</v>
      </c>
      <c r="E66" s="134" t="s">
        <v>76</v>
      </c>
      <c r="F66" s="134"/>
      <c r="G66" s="134" t="s">
        <v>790</v>
      </c>
      <c r="H66" s="134" t="s">
        <v>57</v>
      </c>
      <c r="I66" s="188" t="s">
        <v>1328</v>
      </c>
      <c r="J66" s="188" t="s">
        <v>60</v>
      </c>
      <c r="K66" s="160">
        <v>37.503999999999998</v>
      </c>
    </row>
    <row r="67" spans="1:11" ht="12.95" customHeight="1">
      <c r="A67" s="128">
        <v>58</v>
      </c>
      <c r="B67" s="128">
        <v>13</v>
      </c>
      <c r="C67" s="134"/>
      <c r="D67" s="132" t="s">
        <v>542</v>
      </c>
      <c r="E67" s="134" t="s">
        <v>62</v>
      </c>
      <c r="F67" s="134"/>
      <c r="G67" s="134" t="s">
        <v>459</v>
      </c>
      <c r="H67" s="134" t="s">
        <v>99</v>
      </c>
      <c r="I67" s="188" t="s">
        <v>1329</v>
      </c>
      <c r="J67" s="188" t="s">
        <v>60</v>
      </c>
      <c r="K67" s="160">
        <v>38.847000000000001</v>
      </c>
    </row>
    <row r="68" spans="1:11" ht="12.95" customHeight="1">
      <c r="A68" s="128">
        <v>59</v>
      </c>
      <c r="B68" s="128">
        <v>14</v>
      </c>
      <c r="C68" s="134"/>
      <c r="D68" s="132" t="s">
        <v>712</v>
      </c>
      <c r="E68" s="134" t="s">
        <v>62</v>
      </c>
      <c r="F68" s="134"/>
      <c r="G68" s="134" t="s">
        <v>459</v>
      </c>
      <c r="H68" s="134" t="s">
        <v>64</v>
      </c>
      <c r="I68" s="188" t="s">
        <v>1331</v>
      </c>
      <c r="J68" s="188" t="s">
        <v>60</v>
      </c>
      <c r="K68" s="160">
        <v>38.847000000000001</v>
      </c>
    </row>
    <row r="69" spans="1:11" ht="12.95" customHeight="1">
      <c r="A69" s="128">
        <v>60</v>
      </c>
      <c r="B69" s="185">
        <v>15</v>
      </c>
      <c r="C69" s="134"/>
      <c r="D69" s="132" t="s">
        <v>731</v>
      </c>
      <c r="E69" s="134" t="s">
        <v>62</v>
      </c>
      <c r="F69" s="134"/>
      <c r="G69" s="133" t="s">
        <v>1314</v>
      </c>
      <c r="H69" s="134" t="s">
        <v>67</v>
      </c>
      <c r="I69" s="188" t="s">
        <v>1342</v>
      </c>
      <c r="J69" s="188" t="s">
        <v>60</v>
      </c>
      <c r="K69" s="160">
        <v>38.847000000000001</v>
      </c>
    </row>
    <row r="70" spans="1:11" ht="12.95" customHeight="1">
      <c r="A70" s="128">
        <v>61</v>
      </c>
      <c r="B70" s="128">
        <v>16</v>
      </c>
      <c r="C70" s="134"/>
      <c r="D70" s="132" t="s">
        <v>775</v>
      </c>
      <c r="E70" s="134" t="s">
        <v>1269</v>
      </c>
      <c r="F70" s="134"/>
      <c r="G70" s="133" t="s">
        <v>56</v>
      </c>
      <c r="H70" s="134" t="s">
        <v>69</v>
      </c>
      <c r="I70" s="188" t="s">
        <v>1327</v>
      </c>
      <c r="J70" s="188" t="s">
        <v>60</v>
      </c>
      <c r="K70" s="160">
        <v>57.597000000000001</v>
      </c>
    </row>
    <row r="71" spans="1:11" ht="12.95" customHeight="1">
      <c r="A71" s="128">
        <v>62</v>
      </c>
      <c r="B71" s="185">
        <v>17</v>
      </c>
      <c r="C71" s="134"/>
      <c r="D71" s="132" t="s">
        <v>135</v>
      </c>
      <c r="E71" s="134" t="s">
        <v>76</v>
      </c>
      <c r="F71" s="134"/>
      <c r="G71" s="133" t="s">
        <v>64</v>
      </c>
      <c r="H71" s="134" t="s">
        <v>69</v>
      </c>
      <c r="I71" s="188" t="s">
        <v>1329</v>
      </c>
      <c r="J71" s="188" t="s">
        <v>60</v>
      </c>
      <c r="K71" s="160">
        <v>37.503999999999998</v>
      </c>
    </row>
    <row r="72" spans="1:11" ht="12.95" customHeight="1">
      <c r="A72" s="128">
        <v>63</v>
      </c>
      <c r="B72" s="185">
        <v>18</v>
      </c>
      <c r="C72" s="134"/>
      <c r="D72" s="132" t="s">
        <v>170</v>
      </c>
      <c r="E72" s="134" t="s">
        <v>76</v>
      </c>
      <c r="F72" s="134"/>
      <c r="G72" s="133" t="s">
        <v>57</v>
      </c>
      <c r="H72" s="134" t="s">
        <v>77</v>
      </c>
      <c r="I72" s="188" t="s">
        <v>1328</v>
      </c>
      <c r="J72" s="188" t="s">
        <v>60</v>
      </c>
      <c r="K72" s="160">
        <v>37.503999999999998</v>
      </c>
    </row>
    <row r="73" spans="1:11" ht="12.95" customHeight="1">
      <c r="A73" s="128">
        <v>64</v>
      </c>
      <c r="B73" s="185">
        <v>19</v>
      </c>
      <c r="C73" s="134"/>
      <c r="D73" s="132" t="s">
        <v>375</v>
      </c>
      <c r="E73" s="134" t="s">
        <v>76</v>
      </c>
      <c r="F73" s="134"/>
      <c r="G73" s="133" t="s">
        <v>64</v>
      </c>
      <c r="H73" s="134" t="s">
        <v>1231</v>
      </c>
      <c r="I73" s="188" t="s">
        <v>1331</v>
      </c>
      <c r="J73" s="188" t="s">
        <v>60</v>
      </c>
      <c r="K73" s="160">
        <v>37.503999999999998</v>
      </c>
    </row>
    <row r="74" spans="1:11" ht="12.95" customHeight="1">
      <c r="A74" s="128">
        <v>65</v>
      </c>
      <c r="B74" s="185">
        <v>20</v>
      </c>
      <c r="C74" s="134"/>
      <c r="D74" s="132" t="s">
        <v>749</v>
      </c>
      <c r="E74" s="134" t="s">
        <v>62</v>
      </c>
      <c r="F74" s="134"/>
      <c r="G74" s="133" t="s">
        <v>67</v>
      </c>
      <c r="H74" s="134" t="s">
        <v>1231</v>
      </c>
      <c r="I74" s="188" t="s">
        <v>1342</v>
      </c>
      <c r="J74" s="188" t="s">
        <v>60</v>
      </c>
      <c r="K74" s="160">
        <v>38.847000000000001</v>
      </c>
    </row>
    <row r="75" spans="1:11" ht="12.95" customHeight="1">
      <c r="A75" s="128">
        <v>66</v>
      </c>
      <c r="B75" s="185">
        <v>21</v>
      </c>
      <c r="C75" s="134"/>
      <c r="D75" s="132" t="s">
        <v>751</v>
      </c>
      <c r="E75" s="134" t="s">
        <v>76</v>
      </c>
      <c r="F75" s="134"/>
      <c r="G75" s="133" t="s">
        <v>77</v>
      </c>
      <c r="H75" s="134" t="s">
        <v>73</v>
      </c>
      <c r="I75" s="188" t="s">
        <v>1327</v>
      </c>
      <c r="J75" s="132" t="s">
        <v>60</v>
      </c>
      <c r="K75" s="160">
        <v>37.503999999999998</v>
      </c>
    </row>
    <row r="76" spans="1:11" ht="12.95" customHeight="1">
      <c r="A76" s="128">
        <v>67</v>
      </c>
      <c r="B76" s="185">
        <v>22</v>
      </c>
      <c r="C76" s="134"/>
      <c r="D76" s="132" t="s">
        <v>492</v>
      </c>
      <c r="E76" s="134" t="s">
        <v>76</v>
      </c>
      <c r="F76" s="134"/>
      <c r="G76" s="133" t="s">
        <v>77</v>
      </c>
      <c r="H76" s="134" t="s">
        <v>73</v>
      </c>
      <c r="I76" s="188" t="s">
        <v>1329</v>
      </c>
      <c r="J76" s="132" t="s">
        <v>60</v>
      </c>
      <c r="K76" s="160">
        <v>37.503999999999998</v>
      </c>
    </row>
    <row r="77" spans="1:11" ht="12.95" customHeight="1">
      <c r="A77" s="128">
        <v>68</v>
      </c>
      <c r="B77" s="185">
        <v>23</v>
      </c>
      <c r="C77" s="134"/>
      <c r="D77" s="132" t="s">
        <v>557</v>
      </c>
      <c r="E77" s="134" t="s">
        <v>62</v>
      </c>
      <c r="F77" s="134"/>
      <c r="G77" s="133" t="s">
        <v>1231</v>
      </c>
      <c r="H77" s="134" t="s">
        <v>88</v>
      </c>
      <c r="I77" s="132" t="s">
        <v>1342</v>
      </c>
      <c r="J77" s="132" t="s">
        <v>60</v>
      </c>
      <c r="K77" s="160">
        <v>38.847000000000001</v>
      </c>
    </row>
    <row r="78" spans="1:11" ht="12.95" customHeight="1">
      <c r="A78" s="128">
        <v>69</v>
      </c>
      <c r="B78" s="185">
        <v>24</v>
      </c>
      <c r="C78" s="134"/>
      <c r="D78" s="132" t="s">
        <v>740</v>
      </c>
      <c r="E78" s="134" t="s">
        <v>62</v>
      </c>
      <c r="F78" s="134"/>
      <c r="G78" s="133" t="s">
        <v>73</v>
      </c>
      <c r="H78" s="134" t="s">
        <v>88</v>
      </c>
      <c r="I78" s="132" t="s">
        <v>1327</v>
      </c>
      <c r="J78" s="132" t="s">
        <v>60</v>
      </c>
      <c r="K78" s="160">
        <v>38.847000000000001</v>
      </c>
    </row>
    <row r="79" spans="1:11" ht="12.95" customHeight="1">
      <c r="A79" s="128">
        <v>70</v>
      </c>
      <c r="B79" s="185">
        <v>25</v>
      </c>
      <c r="C79" s="134"/>
      <c r="D79" s="132" t="s">
        <v>416</v>
      </c>
      <c r="E79" s="134" t="s">
        <v>1269</v>
      </c>
      <c r="F79" s="134"/>
      <c r="G79" s="134" t="s">
        <v>789</v>
      </c>
      <c r="H79" s="134" t="s">
        <v>93</v>
      </c>
      <c r="I79" s="188" t="s">
        <v>1328</v>
      </c>
      <c r="J79" s="132" t="s">
        <v>60</v>
      </c>
      <c r="K79" s="160">
        <v>57.597000000000001</v>
      </c>
    </row>
    <row r="80" spans="1:11" ht="12.95" customHeight="1">
      <c r="A80" s="128">
        <v>71</v>
      </c>
      <c r="B80" s="185">
        <v>26</v>
      </c>
      <c r="C80" s="134"/>
      <c r="D80" s="132" t="s">
        <v>336</v>
      </c>
      <c r="E80" s="134" t="s">
        <v>76</v>
      </c>
      <c r="F80" s="134"/>
      <c r="G80" s="133" t="s">
        <v>1231</v>
      </c>
      <c r="H80" s="134" t="s">
        <v>93</v>
      </c>
      <c r="I80" s="132" t="s">
        <v>1331</v>
      </c>
      <c r="J80" s="132" t="s">
        <v>60</v>
      </c>
      <c r="K80" s="160">
        <v>37.503999999999998</v>
      </c>
    </row>
    <row r="81" spans="1:12" ht="12.95" customHeight="1">
      <c r="A81" s="128">
        <v>72</v>
      </c>
      <c r="B81" s="185">
        <v>27</v>
      </c>
      <c r="C81" s="134"/>
      <c r="D81" s="132" t="s">
        <v>782</v>
      </c>
      <c r="E81" s="134" t="s">
        <v>62</v>
      </c>
      <c r="F81" s="134"/>
      <c r="G81" s="133" t="s">
        <v>73</v>
      </c>
      <c r="H81" s="134" t="s">
        <v>93</v>
      </c>
      <c r="I81" s="132" t="s">
        <v>1329</v>
      </c>
      <c r="J81" s="132" t="s">
        <v>60</v>
      </c>
      <c r="K81" s="160">
        <v>38.847000000000001</v>
      </c>
    </row>
    <row r="82" spans="1:12" ht="12.95" customHeight="1">
      <c r="A82" s="128"/>
      <c r="B82" s="189">
        <v>45292</v>
      </c>
      <c r="C82" s="134"/>
      <c r="D82" s="134"/>
      <c r="E82" s="134"/>
      <c r="F82" s="134"/>
      <c r="G82" s="133"/>
      <c r="H82" s="134"/>
      <c r="I82" s="134"/>
      <c r="J82" s="134"/>
      <c r="L82" s="160">
        <f>SUM(K55:K81)</f>
        <v>1094.375</v>
      </c>
    </row>
    <row r="83" spans="1:12" ht="12.95" customHeight="1">
      <c r="A83" s="128">
        <v>73</v>
      </c>
      <c r="B83" s="185">
        <v>1</v>
      </c>
      <c r="C83" s="134"/>
      <c r="D83" s="132" t="s">
        <v>778</v>
      </c>
      <c r="E83" s="134" t="s">
        <v>1269</v>
      </c>
      <c r="F83" s="134"/>
      <c r="G83" s="133" t="s">
        <v>88</v>
      </c>
      <c r="H83" s="134" t="s">
        <v>104</v>
      </c>
      <c r="I83" s="132" t="s">
        <v>1327</v>
      </c>
      <c r="J83" s="132" t="s">
        <v>60</v>
      </c>
      <c r="K83" s="160">
        <v>57.597000000000001</v>
      </c>
    </row>
    <row r="84" spans="1:12" ht="12.95" customHeight="1">
      <c r="A84" s="128">
        <v>74</v>
      </c>
      <c r="B84" s="185">
        <v>2</v>
      </c>
      <c r="C84" s="134"/>
      <c r="D84" s="132" t="s">
        <v>503</v>
      </c>
      <c r="E84" s="134" t="s">
        <v>76</v>
      </c>
      <c r="F84" s="134"/>
      <c r="G84" s="133" t="s">
        <v>88</v>
      </c>
      <c r="H84" s="134" t="s">
        <v>104</v>
      </c>
      <c r="I84" s="132" t="s">
        <v>1342</v>
      </c>
      <c r="J84" s="132" t="s">
        <v>60</v>
      </c>
      <c r="K84" s="160">
        <v>37.503999999999998</v>
      </c>
    </row>
    <row r="85" spans="1:12" ht="12.95" customHeight="1">
      <c r="A85" s="128">
        <v>75</v>
      </c>
      <c r="B85" s="185">
        <v>3</v>
      </c>
      <c r="C85" s="134"/>
      <c r="D85" s="132" t="s">
        <v>791</v>
      </c>
      <c r="E85" s="134" t="s">
        <v>62</v>
      </c>
      <c r="F85" s="134"/>
      <c r="G85" s="133" t="s">
        <v>93</v>
      </c>
      <c r="H85" s="134" t="s">
        <v>115</v>
      </c>
      <c r="I85" s="132" t="s">
        <v>1329</v>
      </c>
      <c r="J85" s="132" t="s">
        <v>60</v>
      </c>
      <c r="K85" s="160">
        <v>38.847000000000001</v>
      </c>
    </row>
    <row r="86" spans="1:12" ht="12.95" customHeight="1">
      <c r="A86" s="128">
        <v>76</v>
      </c>
      <c r="B86" s="185">
        <v>4</v>
      </c>
      <c r="C86" s="134"/>
      <c r="D86" s="132" t="s">
        <v>322</v>
      </c>
      <c r="E86" s="134" t="s">
        <v>76</v>
      </c>
      <c r="F86" s="134"/>
      <c r="G86" s="133" t="s">
        <v>93</v>
      </c>
      <c r="H86" s="134" t="s">
        <v>126</v>
      </c>
      <c r="I86" s="132" t="s">
        <v>1331</v>
      </c>
      <c r="J86" s="132" t="s">
        <v>60</v>
      </c>
      <c r="K86" s="160">
        <v>37.503999999999998</v>
      </c>
    </row>
    <row r="87" spans="1:12" ht="12.95" customHeight="1">
      <c r="A87" s="128">
        <v>77</v>
      </c>
      <c r="B87" s="185">
        <v>5</v>
      </c>
      <c r="C87" s="134"/>
      <c r="D87" s="132" t="s">
        <v>762</v>
      </c>
      <c r="E87" s="134" t="s">
        <v>1269</v>
      </c>
      <c r="F87" s="134"/>
      <c r="G87" s="133" t="s">
        <v>93</v>
      </c>
      <c r="H87" s="134" t="s">
        <v>117</v>
      </c>
      <c r="I87" s="132" t="s">
        <v>1328</v>
      </c>
      <c r="J87" s="132" t="s">
        <v>60</v>
      </c>
      <c r="K87" s="160">
        <v>57.597000000000001</v>
      </c>
    </row>
    <row r="88" spans="1:12" ht="12.95" customHeight="1">
      <c r="A88" s="128">
        <v>78</v>
      </c>
      <c r="B88" s="185">
        <v>6</v>
      </c>
      <c r="C88" s="134"/>
      <c r="D88" s="132" t="s">
        <v>521</v>
      </c>
      <c r="E88" s="134" t="s">
        <v>76</v>
      </c>
      <c r="F88" s="134"/>
      <c r="G88" s="133" t="s">
        <v>104</v>
      </c>
      <c r="H88" s="134" t="s">
        <v>117</v>
      </c>
      <c r="I88" s="132" t="s">
        <v>1342</v>
      </c>
      <c r="J88" s="132" t="s">
        <v>60</v>
      </c>
      <c r="K88" s="160">
        <v>37.503999999999998</v>
      </c>
    </row>
    <row r="89" spans="1:12" ht="12.95" customHeight="1">
      <c r="A89" s="128">
        <v>79</v>
      </c>
      <c r="B89" s="185">
        <v>7</v>
      </c>
      <c r="C89" s="134"/>
      <c r="D89" s="132" t="s">
        <v>488</v>
      </c>
      <c r="E89" s="134" t="s">
        <v>62</v>
      </c>
      <c r="F89" s="134"/>
      <c r="G89" s="133" t="s">
        <v>115</v>
      </c>
      <c r="H89" s="134" t="s">
        <v>124</v>
      </c>
      <c r="I89" s="132" t="s">
        <v>1329</v>
      </c>
      <c r="J89" s="132" t="s">
        <v>60</v>
      </c>
      <c r="K89" s="160">
        <v>38.847000000000001</v>
      </c>
    </row>
    <row r="90" spans="1:12" ht="12.95" customHeight="1">
      <c r="A90" s="128">
        <v>80</v>
      </c>
      <c r="B90" s="185">
        <v>8</v>
      </c>
      <c r="C90" s="134"/>
      <c r="D90" s="132" t="s">
        <v>748</v>
      </c>
      <c r="E90" s="134" t="s">
        <v>62</v>
      </c>
      <c r="F90" s="134"/>
      <c r="G90" s="133" t="s">
        <v>104</v>
      </c>
      <c r="H90" s="134" t="s">
        <v>132</v>
      </c>
      <c r="I90" s="132" t="s">
        <v>1327</v>
      </c>
      <c r="J90" s="132" t="s">
        <v>60</v>
      </c>
      <c r="K90" s="160">
        <v>38.847000000000001</v>
      </c>
    </row>
    <row r="91" spans="1:12" ht="12.95" customHeight="1">
      <c r="A91" s="128">
        <v>81</v>
      </c>
      <c r="B91" s="185">
        <v>9</v>
      </c>
      <c r="C91" s="134"/>
      <c r="D91" s="132" t="s">
        <v>555</v>
      </c>
      <c r="E91" s="134" t="s">
        <v>62</v>
      </c>
      <c r="F91" s="134"/>
      <c r="G91" s="133" t="s">
        <v>117</v>
      </c>
      <c r="H91" s="134" t="s">
        <v>1350</v>
      </c>
      <c r="I91" s="132" t="s">
        <v>1342</v>
      </c>
      <c r="J91" s="132" t="s">
        <v>60</v>
      </c>
      <c r="K91" s="160">
        <v>38.847000000000001</v>
      </c>
    </row>
    <row r="92" spans="1:12" ht="12.95" customHeight="1">
      <c r="A92" s="128">
        <v>82</v>
      </c>
      <c r="B92" s="185">
        <v>10</v>
      </c>
      <c r="C92" s="134"/>
      <c r="D92" s="132" t="s">
        <v>738</v>
      </c>
      <c r="E92" s="134" t="s">
        <v>62</v>
      </c>
      <c r="F92" s="134"/>
      <c r="G92" s="133" t="s">
        <v>1225</v>
      </c>
      <c r="H92" s="134" t="s">
        <v>1351</v>
      </c>
      <c r="I92" s="132" t="s">
        <v>1327</v>
      </c>
      <c r="J92" s="132" t="s">
        <v>60</v>
      </c>
      <c r="K92" s="160">
        <v>38.847000000000001</v>
      </c>
    </row>
    <row r="93" spans="1:12" ht="12.95" customHeight="1">
      <c r="A93" s="128">
        <v>83</v>
      </c>
      <c r="B93" s="185">
        <v>11</v>
      </c>
      <c r="C93" s="134"/>
      <c r="D93" s="132" t="s">
        <v>286</v>
      </c>
      <c r="E93" s="135" t="s">
        <v>1269</v>
      </c>
      <c r="F93" s="135"/>
      <c r="G93" s="190" t="s">
        <v>126</v>
      </c>
      <c r="H93" s="135" t="s">
        <v>149</v>
      </c>
      <c r="I93" s="132" t="s">
        <v>1331</v>
      </c>
      <c r="J93" s="132" t="s">
        <v>60</v>
      </c>
      <c r="K93" s="160">
        <v>57.597000000000001</v>
      </c>
    </row>
    <row r="94" spans="1:12" ht="12.95" customHeight="1">
      <c r="A94" s="128">
        <v>84</v>
      </c>
      <c r="B94" s="185">
        <v>12</v>
      </c>
      <c r="C94" s="134"/>
      <c r="D94" s="132" t="s">
        <v>786</v>
      </c>
      <c r="E94" s="135" t="s">
        <v>76</v>
      </c>
      <c r="F94" s="135"/>
      <c r="G94" s="190" t="s">
        <v>132</v>
      </c>
      <c r="H94" s="135" t="s">
        <v>149</v>
      </c>
      <c r="I94" s="132" t="s">
        <v>1328</v>
      </c>
      <c r="J94" s="132" t="s">
        <v>60</v>
      </c>
      <c r="K94" s="160">
        <v>37.503999999999998</v>
      </c>
    </row>
    <row r="95" spans="1:12" ht="12.95" customHeight="1">
      <c r="A95" s="128">
        <v>85</v>
      </c>
      <c r="B95" s="185">
        <v>13</v>
      </c>
      <c r="C95" s="134"/>
      <c r="D95" s="132" t="s">
        <v>785</v>
      </c>
      <c r="E95" s="135" t="s">
        <v>76</v>
      </c>
      <c r="F95" s="135"/>
      <c r="G95" s="190" t="s">
        <v>132</v>
      </c>
      <c r="H95" s="135" t="s">
        <v>149</v>
      </c>
      <c r="I95" s="132" t="s">
        <v>1329</v>
      </c>
      <c r="J95" s="132" t="s">
        <v>60</v>
      </c>
      <c r="K95" s="160">
        <v>37.503999999999998</v>
      </c>
    </row>
    <row r="96" spans="1:12" ht="12.95" customHeight="1">
      <c r="A96" s="128">
        <v>86</v>
      </c>
      <c r="B96" s="185">
        <v>14</v>
      </c>
      <c r="C96" s="134"/>
      <c r="D96" s="132" t="s">
        <v>756</v>
      </c>
      <c r="E96" s="135" t="s">
        <v>62</v>
      </c>
      <c r="F96" s="135"/>
      <c r="G96" s="190" t="s">
        <v>1351</v>
      </c>
      <c r="H96" s="135" t="s">
        <v>153</v>
      </c>
      <c r="I96" s="132" t="s">
        <v>1327</v>
      </c>
      <c r="J96" s="132" t="s">
        <v>60</v>
      </c>
      <c r="K96" s="160">
        <v>38.847000000000001</v>
      </c>
    </row>
    <row r="97" spans="1:12" ht="12.95" customHeight="1">
      <c r="A97" s="128">
        <v>87</v>
      </c>
      <c r="B97" s="185">
        <v>15</v>
      </c>
      <c r="C97" s="134"/>
      <c r="D97" s="132" t="s">
        <v>719</v>
      </c>
      <c r="E97" s="135" t="s">
        <v>249</v>
      </c>
      <c r="F97" s="135"/>
      <c r="G97" s="190" t="s">
        <v>1350</v>
      </c>
      <c r="H97" s="135" t="s">
        <v>160</v>
      </c>
      <c r="I97" s="132" t="s">
        <v>1342</v>
      </c>
      <c r="J97" s="132" t="s">
        <v>60</v>
      </c>
      <c r="K97" s="160">
        <v>47.148000000000003</v>
      </c>
    </row>
    <row r="98" spans="1:12" ht="12.95" customHeight="1">
      <c r="A98" s="128">
        <v>88</v>
      </c>
      <c r="B98" s="185">
        <v>16</v>
      </c>
      <c r="C98" s="134"/>
      <c r="D98" s="132" t="s">
        <v>724</v>
      </c>
      <c r="E98" s="134" t="s">
        <v>76</v>
      </c>
      <c r="F98" s="134"/>
      <c r="G98" s="133" t="s">
        <v>1352</v>
      </c>
      <c r="H98" s="134" t="s">
        <v>171</v>
      </c>
      <c r="I98" s="132" t="s">
        <v>1342</v>
      </c>
      <c r="J98" s="132" t="s">
        <v>60</v>
      </c>
      <c r="K98" s="160">
        <v>37.503999999999998</v>
      </c>
    </row>
    <row r="99" spans="1:12" ht="12.95" customHeight="1">
      <c r="A99" s="128">
        <v>89</v>
      </c>
      <c r="B99" s="185">
        <v>17</v>
      </c>
      <c r="C99" s="134"/>
      <c r="D99" s="132" t="s">
        <v>773</v>
      </c>
      <c r="E99" s="134" t="s">
        <v>1269</v>
      </c>
      <c r="F99" s="134"/>
      <c r="G99" s="133" t="s">
        <v>153</v>
      </c>
      <c r="H99" s="134" t="s">
        <v>172</v>
      </c>
      <c r="I99" s="132" t="s">
        <v>1328</v>
      </c>
      <c r="J99" s="132" t="s">
        <v>60</v>
      </c>
      <c r="K99" s="160">
        <v>57.597000000000001</v>
      </c>
    </row>
    <row r="100" spans="1:12" ht="12.95"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5"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5"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5"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5" customHeight="1">
      <c r="A104" s="128"/>
      <c r="B104" s="533" t="s">
        <v>181</v>
      </c>
      <c r="C104" s="134"/>
      <c r="D104" s="134"/>
      <c r="E104" s="134"/>
      <c r="F104" s="134"/>
      <c r="G104" s="133"/>
      <c r="H104" s="134"/>
      <c r="I104" s="134"/>
      <c r="J104" s="134"/>
      <c r="L104" s="160">
        <f>SUM(K83:K103)</f>
        <v>935.48799999999994</v>
      </c>
    </row>
    <row r="105" spans="1:12" ht="12.95"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5"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5"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5"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5"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5"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5"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5"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5" customHeight="1">
      <c r="A113" s="134"/>
      <c r="B113" s="154" t="s">
        <v>1233</v>
      </c>
      <c r="C113" s="134"/>
      <c r="D113" s="134"/>
      <c r="E113" s="134"/>
      <c r="F113" s="134"/>
      <c r="G113" s="133"/>
      <c r="H113" s="134"/>
      <c r="I113" s="134"/>
      <c r="J113" s="134"/>
      <c r="L113" s="160">
        <f>SUM(K105:K112)</f>
        <v>300.03199999999998</v>
      </c>
    </row>
    <row r="114" spans="1:12" ht="12.95" customHeight="1">
      <c r="A114" s="134">
        <v>102</v>
      </c>
      <c r="B114" s="134">
        <v>1</v>
      </c>
      <c r="C114" s="134"/>
      <c r="D114" s="132" t="s">
        <v>565</v>
      </c>
      <c r="E114" s="134" t="s">
        <v>1277</v>
      </c>
      <c r="F114" s="134"/>
      <c r="G114" s="133" t="s">
        <v>1271</v>
      </c>
      <c r="H114" s="134" t="s">
        <v>295</v>
      </c>
      <c r="I114" s="134" t="s">
        <v>1327</v>
      </c>
      <c r="J114" s="132" t="s">
        <v>60</v>
      </c>
      <c r="K114" s="160">
        <v>66.381</v>
      </c>
    </row>
    <row r="115" spans="1:12" ht="12.95" customHeight="1">
      <c r="A115" s="134">
        <v>103</v>
      </c>
      <c r="B115" s="134">
        <v>2</v>
      </c>
      <c r="C115" s="134"/>
      <c r="D115" s="132" t="s">
        <v>350</v>
      </c>
      <c r="E115" s="134" t="s">
        <v>287</v>
      </c>
      <c r="F115" s="134"/>
      <c r="G115" s="134" t="s">
        <v>291</v>
      </c>
      <c r="H115" s="134" t="s">
        <v>301</v>
      </c>
      <c r="I115" s="134" t="s">
        <v>1328</v>
      </c>
      <c r="J115" s="132" t="s">
        <v>60</v>
      </c>
      <c r="K115" s="160">
        <v>66.381</v>
      </c>
    </row>
    <row r="116" spans="1:12" ht="12.95"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5"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5" customHeight="1">
      <c r="A118" s="134"/>
      <c r="B118" s="154" t="s">
        <v>303</v>
      </c>
      <c r="C118" s="134"/>
      <c r="D118" s="134"/>
      <c r="E118" s="134"/>
      <c r="F118" s="134"/>
      <c r="G118" s="134"/>
      <c r="H118" s="134"/>
      <c r="I118" s="134"/>
      <c r="J118" s="134"/>
      <c r="L118" s="160">
        <f>SUM(K114:K117)</f>
        <v>240.83800000000002</v>
      </c>
    </row>
    <row r="119" spans="1:12" ht="12.95"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5"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5"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5" customHeight="1">
      <c r="A122" s="134">
        <v>109</v>
      </c>
      <c r="B122" s="134">
        <v>4</v>
      </c>
      <c r="D122" s="132" t="s">
        <v>134</v>
      </c>
      <c r="E122" s="134" t="s">
        <v>76</v>
      </c>
      <c r="G122" s="134" t="s">
        <v>1294</v>
      </c>
      <c r="H122" s="134" t="s">
        <v>1357</v>
      </c>
      <c r="I122" s="134" t="s">
        <v>1328</v>
      </c>
      <c r="J122" s="132" t="s">
        <v>60</v>
      </c>
      <c r="K122" s="160">
        <v>37.503999999999998</v>
      </c>
    </row>
    <row r="123" spans="1:12" ht="12.95" customHeight="1">
      <c r="A123" s="134">
        <v>110</v>
      </c>
      <c r="B123" s="134">
        <v>5</v>
      </c>
      <c r="D123" s="132" t="s">
        <v>151</v>
      </c>
      <c r="E123" s="134" t="s">
        <v>76</v>
      </c>
      <c r="G123" s="134" t="s">
        <v>1294</v>
      </c>
      <c r="H123" s="134" t="s">
        <v>325</v>
      </c>
      <c r="I123" s="134" t="s">
        <v>1328</v>
      </c>
      <c r="J123" s="132" t="s">
        <v>60</v>
      </c>
      <c r="K123" s="160">
        <v>37.503999999999998</v>
      </c>
    </row>
    <row r="124" spans="1:12" ht="12.95" customHeight="1">
      <c r="B124" s="154" t="s">
        <v>354</v>
      </c>
      <c r="L124" s="160">
        <f>SUM(K119:K123)</f>
        <v>187.51999999999998</v>
      </c>
    </row>
    <row r="125" spans="1:12" ht="12.95" customHeight="1">
      <c r="A125" s="134">
        <v>111</v>
      </c>
      <c r="B125" s="134">
        <v>1</v>
      </c>
      <c r="D125" s="132" t="s">
        <v>800</v>
      </c>
      <c r="E125" s="16" t="s">
        <v>76</v>
      </c>
      <c r="F125" s="176"/>
      <c r="G125" s="134" t="s">
        <v>879</v>
      </c>
      <c r="H125" s="134" t="s">
        <v>370</v>
      </c>
      <c r="I125" s="134" t="s">
        <v>1358</v>
      </c>
      <c r="J125" s="132" t="s">
        <v>60</v>
      </c>
      <c r="K125" s="160">
        <v>37.503999999999998</v>
      </c>
    </row>
    <row r="126" spans="1:12" ht="12.95" customHeight="1">
      <c r="A126" s="134"/>
      <c r="B126" s="154" t="s">
        <v>368</v>
      </c>
      <c r="D126" s="16"/>
      <c r="E126" s="16"/>
      <c r="F126" s="176"/>
      <c r="G126" s="134"/>
      <c r="H126" s="134"/>
      <c r="I126" s="134"/>
      <c r="J126" s="134"/>
    </row>
    <row r="127" spans="1:12" ht="12.95" customHeight="1">
      <c r="A127" s="134">
        <v>112</v>
      </c>
      <c r="B127" s="134">
        <v>1</v>
      </c>
      <c r="D127" s="132" t="s">
        <v>430</v>
      </c>
      <c r="E127" s="154" t="s">
        <v>76</v>
      </c>
      <c r="F127" s="176"/>
      <c r="G127" s="134" t="s">
        <v>876</v>
      </c>
      <c r="H127" s="134" t="s">
        <v>376</v>
      </c>
      <c r="I127" s="134" t="s">
        <v>1328</v>
      </c>
      <c r="J127" s="132" t="s">
        <v>60</v>
      </c>
      <c r="K127" s="160">
        <v>37.503999999999998</v>
      </c>
    </row>
    <row r="128" spans="1:12" ht="12.95" customHeight="1">
      <c r="A128" s="134">
        <v>113</v>
      </c>
      <c r="B128" s="134">
        <v>2</v>
      </c>
      <c r="D128" s="132" t="s">
        <v>722</v>
      </c>
      <c r="E128" s="154" t="s">
        <v>76</v>
      </c>
      <c r="F128" s="176"/>
      <c r="G128" s="134" t="s">
        <v>376</v>
      </c>
      <c r="H128" s="134" t="s">
        <v>1324</v>
      </c>
      <c r="I128" s="134" t="s">
        <v>1328</v>
      </c>
      <c r="J128" s="132" t="s">
        <v>60</v>
      </c>
      <c r="K128" s="160">
        <v>37.503999999999998</v>
      </c>
    </row>
    <row r="129" spans="1:12" ht="12.95" customHeight="1">
      <c r="A129" s="134">
        <v>114</v>
      </c>
      <c r="B129" s="134">
        <v>3</v>
      </c>
      <c r="D129" s="132" t="s">
        <v>484</v>
      </c>
      <c r="E129" s="191" t="s">
        <v>76</v>
      </c>
      <c r="F129" s="176"/>
      <c r="G129" s="134" t="s">
        <v>363</v>
      </c>
      <c r="H129" s="134" t="s">
        <v>1324</v>
      </c>
      <c r="I129" s="134" t="s">
        <v>1359</v>
      </c>
      <c r="J129" s="132" t="s">
        <v>60</v>
      </c>
      <c r="K129" s="160">
        <v>37.503999999999998</v>
      </c>
    </row>
    <row r="130" spans="1:12" ht="12.95" customHeight="1">
      <c r="A130" s="134">
        <v>115</v>
      </c>
      <c r="B130" s="134">
        <v>4</v>
      </c>
      <c r="D130" s="132" t="s">
        <v>737</v>
      </c>
      <c r="E130" s="191" t="s">
        <v>76</v>
      </c>
      <c r="F130" s="176"/>
      <c r="G130" s="134" t="s">
        <v>376</v>
      </c>
      <c r="H130" s="134" t="s">
        <v>382</v>
      </c>
      <c r="I130" s="134" t="s">
        <v>1328</v>
      </c>
      <c r="J130" s="132" t="s">
        <v>60</v>
      </c>
      <c r="K130" s="160">
        <v>37.503999999999998</v>
      </c>
    </row>
    <row r="131" spans="1:12" ht="12.95" customHeight="1">
      <c r="A131" s="134">
        <v>116</v>
      </c>
      <c r="B131" s="134">
        <v>5</v>
      </c>
      <c r="D131" s="132" t="s">
        <v>562</v>
      </c>
      <c r="E131" s="191" t="s">
        <v>76</v>
      </c>
      <c r="F131" s="176"/>
      <c r="G131" s="134" t="s">
        <v>374</v>
      </c>
      <c r="H131" s="134" t="s">
        <v>385</v>
      </c>
      <c r="I131" s="134" t="s">
        <v>1358</v>
      </c>
      <c r="J131" s="132" t="s">
        <v>60</v>
      </c>
      <c r="K131" s="160">
        <v>37.503999999999998</v>
      </c>
    </row>
    <row r="132" spans="1:12" ht="12.95" customHeight="1">
      <c r="A132" s="134">
        <v>117</v>
      </c>
      <c r="B132" s="134">
        <v>6</v>
      </c>
      <c r="D132" s="132" t="s">
        <v>848</v>
      </c>
      <c r="E132" s="191" t="s">
        <v>76</v>
      </c>
      <c r="F132" s="176"/>
      <c r="G132" s="134" t="s">
        <v>382</v>
      </c>
      <c r="H132" s="134" t="s">
        <v>390</v>
      </c>
      <c r="I132" s="134" t="s">
        <v>1328</v>
      </c>
      <c r="J132" s="132" t="s">
        <v>60</v>
      </c>
      <c r="K132" s="160">
        <v>37.503999999999998</v>
      </c>
    </row>
    <row r="133" spans="1:12" ht="12.95" customHeight="1">
      <c r="A133" s="134">
        <v>118</v>
      </c>
      <c r="B133" s="134">
        <v>7</v>
      </c>
      <c r="D133" s="132" t="s">
        <v>473</v>
      </c>
      <c r="E133" s="191" t="s">
        <v>243</v>
      </c>
      <c r="F133" s="176"/>
      <c r="G133" s="134" t="s">
        <v>1324</v>
      </c>
      <c r="H133" s="134" t="s">
        <v>391</v>
      </c>
      <c r="I133" s="134" t="s">
        <v>1359</v>
      </c>
      <c r="J133" s="132" t="s">
        <v>60</v>
      </c>
      <c r="K133" s="160">
        <v>57.597000000000001</v>
      </c>
    </row>
    <row r="134" spans="1:12" ht="12.95" customHeight="1">
      <c r="A134" s="134">
        <v>119</v>
      </c>
      <c r="B134" s="134">
        <v>8</v>
      </c>
      <c r="D134" s="132" t="s">
        <v>334</v>
      </c>
      <c r="E134" s="191" t="s">
        <v>76</v>
      </c>
      <c r="F134" s="176"/>
      <c r="G134" s="134" t="s">
        <v>385</v>
      </c>
      <c r="H134" s="134" t="s">
        <v>391</v>
      </c>
      <c r="I134" s="134" t="s">
        <v>1358</v>
      </c>
      <c r="J134" s="132" t="s">
        <v>60</v>
      </c>
      <c r="K134" s="160">
        <v>37.503999999999998</v>
      </c>
    </row>
    <row r="135" spans="1:12" ht="12.95" customHeight="1">
      <c r="A135" s="134">
        <v>120</v>
      </c>
      <c r="B135" s="134">
        <v>9</v>
      </c>
      <c r="D135" s="132" t="s">
        <v>313</v>
      </c>
      <c r="E135" s="191" t="s">
        <v>76</v>
      </c>
      <c r="F135" s="176"/>
      <c r="G135" s="134" t="s">
        <v>391</v>
      </c>
      <c r="H135" s="134" t="s">
        <v>395</v>
      </c>
      <c r="I135" s="134" t="s">
        <v>1358</v>
      </c>
      <c r="J135" s="132" t="s">
        <v>60</v>
      </c>
      <c r="K135" s="160">
        <v>37.503999999999998</v>
      </c>
    </row>
    <row r="136" spans="1:12" ht="12.95" customHeight="1">
      <c r="A136" s="134">
        <v>121</v>
      </c>
      <c r="B136" s="134">
        <v>10</v>
      </c>
      <c r="D136" s="132" t="s">
        <v>479</v>
      </c>
      <c r="E136" s="191" t="s">
        <v>76</v>
      </c>
      <c r="F136" s="176"/>
      <c r="G136" s="134" t="s">
        <v>391</v>
      </c>
      <c r="H136" s="134" t="s">
        <v>397</v>
      </c>
      <c r="I136" s="134" t="s">
        <v>1359</v>
      </c>
      <c r="J136" s="132" t="s">
        <v>60</v>
      </c>
      <c r="K136" s="160">
        <v>37.503999999999998</v>
      </c>
    </row>
    <row r="137" spans="1:12" ht="12.95" customHeight="1">
      <c r="A137" s="134">
        <v>122</v>
      </c>
      <c r="B137" s="134">
        <v>11</v>
      </c>
      <c r="D137" s="132" t="s">
        <v>852</v>
      </c>
      <c r="E137" s="192" t="s">
        <v>809</v>
      </c>
      <c r="F137" s="176"/>
      <c r="G137" s="134" t="s">
        <v>390</v>
      </c>
      <c r="H137" s="134" t="s">
        <v>400</v>
      </c>
      <c r="I137" s="134" t="s">
        <v>1328</v>
      </c>
      <c r="J137" s="132" t="s">
        <v>60</v>
      </c>
      <c r="K137" s="160">
        <v>70.700999999999993</v>
      </c>
    </row>
    <row r="138" spans="1:12" ht="12.95" customHeight="1">
      <c r="A138" s="134">
        <v>123</v>
      </c>
      <c r="B138" s="134">
        <v>12</v>
      </c>
      <c r="D138" s="132" t="s">
        <v>845</v>
      </c>
      <c r="E138" s="191" t="s">
        <v>53</v>
      </c>
      <c r="F138" s="176"/>
      <c r="G138" s="134" t="s">
        <v>374</v>
      </c>
      <c r="H138" s="134" t="s">
        <v>1281</v>
      </c>
      <c r="I138" s="134" t="s">
        <v>1360</v>
      </c>
      <c r="J138" s="132" t="s">
        <v>60</v>
      </c>
      <c r="K138" s="160">
        <v>45.412999999999997</v>
      </c>
    </row>
    <row r="139" spans="1:12" ht="12.95" customHeight="1">
      <c r="A139" s="134">
        <v>124</v>
      </c>
      <c r="B139" s="134">
        <v>13</v>
      </c>
      <c r="D139" s="132" t="s">
        <v>346</v>
      </c>
      <c r="E139" s="191" t="s">
        <v>1361</v>
      </c>
      <c r="F139" s="176"/>
      <c r="G139" s="134" t="s">
        <v>395</v>
      </c>
      <c r="H139" s="134" t="s">
        <v>1281</v>
      </c>
      <c r="I139" s="134" t="s">
        <v>1358</v>
      </c>
      <c r="J139" s="132" t="s">
        <v>60</v>
      </c>
      <c r="K139" s="160">
        <v>69.228999999999999</v>
      </c>
    </row>
    <row r="140" spans="1:12" ht="12.95" customHeight="1">
      <c r="A140" s="134">
        <v>125</v>
      </c>
      <c r="B140" s="134">
        <v>14</v>
      </c>
      <c r="D140" s="132" t="s">
        <v>495</v>
      </c>
      <c r="E140" s="16" t="s">
        <v>76</v>
      </c>
      <c r="F140" s="176"/>
      <c r="G140" s="134" t="s">
        <v>397</v>
      </c>
      <c r="H140" s="154" t="s">
        <v>1281</v>
      </c>
      <c r="I140" s="134" t="s">
        <v>1359</v>
      </c>
      <c r="J140" s="132" t="s">
        <v>60</v>
      </c>
      <c r="K140" s="160">
        <v>37.503999999999998</v>
      </c>
    </row>
    <row r="141" spans="1:12" ht="12.95" customHeight="1">
      <c r="A141" s="134">
        <v>126</v>
      </c>
      <c r="B141" s="134">
        <v>15</v>
      </c>
      <c r="D141" s="132" t="s">
        <v>402</v>
      </c>
      <c r="E141" s="16" t="s">
        <v>76</v>
      </c>
      <c r="F141" s="176"/>
      <c r="G141" s="134" t="s">
        <v>400</v>
      </c>
      <c r="H141" s="154" t="s">
        <v>414</v>
      </c>
      <c r="I141" s="134" t="s">
        <v>1328</v>
      </c>
      <c r="J141" s="132" t="s">
        <v>60</v>
      </c>
      <c r="K141" s="160">
        <v>37.503999999999998</v>
      </c>
    </row>
    <row r="142" spans="1:12" ht="12.95" customHeight="1">
      <c r="A142" s="134"/>
      <c r="B142" s="154" t="s">
        <v>412</v>
      </c>
      <c r="D142" s="134"/>
      <c r="E142" s="16"/>
      <c r="F142" s="176"/>
      <c r="G142" s="134"/>
      <c r="H142" s="134"/>
      <c r="I142" s="134"/>
      <c r="J142" s="134"/>
      <c r="L142" s="160">
        <f>SUM(K127:K141)</f>
        <v>655.48400000000015</v>
      </c>
    </row>
    <row r="143" spans="1:12" ht="12.95" customHeight="1">
      <c r="A143" s="134">
        <v>127</v>
      </c>
      <c r="B143" s="134">
        <v>1</v>
      </c>
      <c r="D143" s="132" t="s">
        <v>497</v>
      </c>
      <c r="E143" s="16" t="s">
        <v>76</v>
      </c>
      <c r="F143" s="176"/>
      <c r="G143" s="134" t="s">
        <v>1281</v>
      </c>
      <c r="H143" s="154" t="s">
        <v>415</v>
      </c>
      <c r="I143" s="137" t="s">
        <v>1359</v>
      </c>
      <c r="J143" s="132" t="s">
        <v>60</v>
      </c>
      <c r="K143" s="160">
        <v>37.503999999999998</v>
      </c>
    </row>
    <row r="144" spans="1:12" ht="12.95" customHeight="1">
      <c r="A144" s="134">
        <v>128</v>
      </c>
      <c r="B144" s="134">
        <v>2</v>
      </c>
      <c r="D144" s="132" t="s">
        <v>458</v>
      </c>
      <c r="E144" s="16" t="s">
        <v>76</v>
      </c>
      <c r="F144" s="176"/>
      <c r="G144" s="134" t="s">
        <v>414</v>
      </c>
      <c r="H144" s="154" t="s">
        <v>428</v>
      </c>
      <c r="I144" s="137" t="s">
        <v>1328</v>
      </c>
      <c r="J144" s="132" t="s">
        <v>60</v>
      </c>
      <c r="K144" s="160">
        <v>37.503999999999998</v>
      </c>
    </row>
    <row r="145" spans="1:13" ht="12.95" customHeight="1">
      <c r="A145" s="134">
        <v>129</v>
      </c>
      <c r="B145" s="134">
        <v>3</v>
      </c>
      <c r="D145" s="132" t="s">
        <v>882</v>
      </c>
      <c r="E145" s="15" t="s">
        <v>62</v>
      </c>
      <c r="F145" s="176"/>
      <c r="G145" s="134" t="s">
        <v>1364</v>
      </c>
      <c r="H145" s="154" t="s">
        <v>420</v>
      </c>
      <c r="I145" s="137" t="s">
        <v>1359</v>
      </c>
      <c r="J145" s="132" t="s">
        <v>60</v>
      </c>
      <c r="K145" s="160">
        <v>38.847000000000001</v>
      </c>
    </row>
    <row r="146" spans="1:13" ht="14.45" customHeight="1">
      <c r="A146" s="134">
        <v>130</v>
      </c>
      <c r="B146" s="134">
        <v>4</v>
      </c>
      <c r="D146" s="132" t="s">
        <v>806</v>
      </c>
      <c r="E146" s="16" t="s">
        <v>62</v>
      </c>
      <c r="F146" s="176"/>
      <c r="G146" s="134" t="s">
        <v>407</v>
      </c>
      <c r="H146" s="134" t="s">
        <v>426</v>
      </c>
      <c r="I146" s="194" t="s">
        <v>1360</v>
      </c>
      <c r="J146" s="132" t="s">
        <v>60</v>
      </c>
      <c r="K146" s="160">
        <v>38.847000000000001</v>
      </c>
    </row>
    <row r="147" spans="1:13" ht="12.95" customHeight="1">
      <c r="A147" s="134">
        <v>131</v>
      </c>
      <c r="B147" s="134">
        <v>5</v>
      </c>
      <c r="D147" s="132" t="s">
        <v>874</v>
      </c>
      <c r="E147" s="15" t="s">
        <v>62</v>
      </c>
      <c r="F147" s="176"/>
      <c r="G147" s="134" t="s">
        <v>420</v>
      </c>
      <c r="H147" s="134" t="s">
        <v>429</v>
      </c>
      <c r="I147" s="194" t="s">
        <v>1359</v>
      </c>
      <c r="J147" s="132" t="s">
        <v>60</v>
      </c>
      <c r="K147" s="160">
        <v>38.847000000000001</v>
      </c>
    </row>
    <row r="148" spans="1:13" ht="12.95" customHeight="1">
      <c r="A148" s="134">
        <v>132</v>
      </c>
      <c r="B148" s="134">
        <v>6</v>
      </c>
      <c r="D148" s="132" t="s">
        <v>857</v>
      </c>
      <c r="E148" s="16" t="s">
        <v>76</v>
      </c>
      <c r="F148" s="176"/>
      <c r="G148" s="134" t="s">
        <v>410</v>
      </c>
      <c r="H148" s="134" t="s">
        <v>429</v>
      </c>
      <c r="I148" s="194" t="s">
        <v>1366</v>
      </c>
      <c r="J148" s="132" t="s">
        <v>60</v>
      </c>
      <c r="K148" s="160">
        <v>37.503999999999998</v>
      </c>
    </row>
    <row r="149" spans="1:13" ht="12.95" customHeight="1">
      <c r="A149" s="134">
        <v>133</v>
      </c>
      <c r="B149" s="134">
        <v>7</v>
      </c>
      <c r="D149" s="178" t="s">
        <v>378</v>
      </c>
      <c r="E149" s="15" t="s">
        <v>881</v>
      </c>
      <c r="F149" s="182"/>
      <c r="G149" s="137" t="s">
        <v>428</v>
      </c>
      <c r="H149" s="137" t="s">
        <v>434</v>
      </c>
      <c r="I149" s="194" t="s">
        <v>1328</v>
      </c>
      <c r="J149" s="178" t="s">
        <v>60</v>
      </c>
      <c r="K149" s="160">
        <v>105.068</v>
      </c>
    </row>
    <row r="150" spans="1:13" ht="12.95"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5"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5"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5"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5"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5"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5"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5" customHeight="1">
      <c r="A157" s="134"/>
      <c r="B157" s="154" t="s">
        <v>443</v>
      </c>
      <c r="C157" s="134"/>
      <c r="D157" s="134"/>
      <c r="E157" s="137"/>
      <c r="F157" s="134"/>
      <c r="G157" s="137"/>
      <c r="H157" s="134"/>
      <c r="I157" s="134"/>
      <c r="J157" s="134"/>
      <c r="L157" s="160">
        <f>SUM(K143:K156)</f>
        <v>649.13400000000013</v>
      </c>
    </row>
    <row r="158" spans="1:13" ht="12.95"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5"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5"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5"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5"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5"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5"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5"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5"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5"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5"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5"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5" customHeight="1">
      <c r="A170" s="134"/>
      <c r="B170" s="154" t="s">
        <v>935</v>
      </c>
      <c r="C170" s="134"/>
      <c r="D170" s="134"/>
      <c r="E170" s="134"/>
      <c r="F170" s="134"/>
      <c r="G170" s="134"/>
      <c r="H170" s="134"/>
      <c r="I170" s="134"/>
      <c r="J170" s="134"/>
      <c r="L170" s="160">
        <f>SUM(K158:K169)</f>
        <v>554.50700000000006</v>
      </c>
      <c r="M170" s="160">
        <v>700</v>
      </c>
    </row>
    <row r="171" spans="1:13" ht="12.95"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5"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5"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5"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5"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5"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5"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5"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5"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5"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5"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5"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5"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5"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5"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5"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5" customHeight="1">
      <c r="A188" s="134"/>
      <c r="B188" s="194" t="s">
        <v>15</v>
      </c>
      <c r="C188" s="134"/>
      <c r="D188" s="134"/>
      <c r="E188" s="162"/>
      <c r="F188" s="134"/>
      <c r="G188" s="134"/>
      <c r="H188" s="134"/>
      <c r="I188" s="134"/>
      <c r="J188" s="134"/>
      <c r="L188" s="160">
        <f>SUM(K171:K187)</f>
        <v>898.09100000000024</v>
      </c>
    </row>
    <row r="189" spans="1:12" ht="12.95"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5"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3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5"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5"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5"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5"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5"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5"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5"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5"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5"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5" customHeight="1">
      <c r="A201" s="134"/>
      <c r="B201" s="527" t="s">
        <v>17</v>
      </c>
      <c r="C201" s="134"/>
      <c r="D201" s="134"/>
      <c r="E201" s="134"/>
      <c r="F201" s="134"/>
      <c r="G201" s="133"/>
      <c r="H201" s="134"/>
      <c r="I201" s="134"/>
      <c r="J201" s="134"/>
      <c r="L201" s="160">
        <f>SUM(K189:K200)</f>
        <v>561.46299999999997</v>
      </c>
    </row>
    <row r="202" spans="1:12" ht="12.95"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5"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5"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5"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5"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5"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5"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5"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5"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5" customHeight="1">
      <c r="A211" s="134"/>
      <c r="B211" s="527" t="s">
        <v>1704</v>
      </c>
      <c r="C211" s="176"/>
      <c r="D211" s="132"/>
      <c r="E211" s="534"/>
      <c r="F211" s="134"/>
      <c r="G211" s="133"/>
      <c r="H211" s="134"/>
      <c r="I211" s="134"/>
      <c r="J211" s="132"/>
      <c r="L211" s="160">
        <f>SUM(K202:K210)</f>
        <v>517.56399999999996</v>
      </c>
    </row>
    <row r="212" spans="1:12" ht="12.95" customHeight="1">
      <c r="A212" s="134">
        <v>191</v>
      </c>
      <c r="B212" s="134">
        <v>1</v>
      </c>
      <c r="C212" s="134"/>
      <c r="D212" s="132" t="s">
        <v>148</v>
      </c>
      <c r="E212" s="534" t="s">
        <v>445</v>
      </c>
      <c r="F212" s="134"/>
      <c r="G212" s="133" t="s">
        <v>537</v>
      </c>
      <c r="H212" s="134"/>
      <c r="I212" s="534" t="s">
        <v>1667</v>
      </c>
      <c r="J212" s="132" t="s">
        <v>60</v>
      </c>
      <c r="K212" s="160">
        <v>67.873000000000005</v>
      </c>
    </row>
    <row r="213" spans="1:12" ht="12.95" customHeight="1">
      <c r="A213" s="134">
        <v>192</v>
      </c>
      <c r="B213" s="134">
        <v>2</v>
      </c>
      <c r="C213" s="134"/>
      <c r="D213" s="132" t="s">
        <v>963</v>
      </c>
      <c r="E213" s="534" t="s">
        <v>287</v>
      </c>
      <c r="F213" s="134"/>
      <c r="G213" s="133" t="s">
        <v>1701</v>
      </c>
      <c r="H213" s="134" t="s">
        <v>1712</v>
      </c>
      <c r="I213" s="534" t="s">
        <v>1377</v>
      </c>
      <c r="J213" s="132" t="s">
        <v>60</v>
      </c>
      <c r="K213" s="160">
        <v>66.381</v>
      </c>
    </row>
    <row r="214" spans="1:12" ht="12.95"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5"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5"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5"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5" customHeight="1">
      <c r="A218" s="134">
        <v>197</v>
      </c>
      <c r="B218" s="134">
        <v>7</v>
      </c>
      <c r="C218" s="134"/>
      <c r="D218" s="132" t="s">
        <v>820</v>
      </c>
      <c r="E218" s="134" t="s">
        <v>249</v>
      </c>
      <c r="F218" s="134"/>
      <c r="G218" s="133" t="s">
        <v>1721</v>
      </c>
      <c r="H218" s="134"/>
      <c r="I218" s="534" t="s">
        <v>1377</v>
      </c>
      <c r="J218" s="132" t="s">
        <v>60</v>
      </c>
      <c r="K218" s="160">
        <v>47.148000000000003</v>
      </c>
    </row>
    <row r="219" spans="1:12" ht="12.95"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5"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5"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5"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5" customHeight="1">
      <c r="A223" s="134"/>
      <c r="B223" s="527" t="s">
        <v>1739</v>
      </c>
      <c r="C223" s="134"/>
      <c r="D223" s="134"/>
      <c r="E223" s="534"/>
      <c r="F223" s="134"/>
      <c r="G223" s="133"/>
      <c r="H223" s="134"/>
      <c r="I223" s="534"/>
      <c r="J223" s="132"/>
    </row>
    <row r="224" spans="1:12" ht="29.45" customHeight="1">
      <c r="A224" s="134">
        <v>202</v>
      </c>
      <c r="B224" s="134">
        <v>1</v>
      </c>
      <c r="C224" s="134"/>
      <c r="D224" s="195" t="s">
        <v>884</v>
      </c>
      <c r="E224" s="534" t="s">
        <v>62</v>
      </c>
      <c r="F224" s="134"/>
      <c r="G224" s="133" t="s">
        <v>535</v>
      </c>
      <c r="H224" s="134"/>
      <c r="I224" s="134" t="s">
        <v>1342</v>
      </c>
      <c r="J224" s="196" t="s">
        <v>1374</v>
      </c>
    </row>
    <row r="225" spans="1:11" ht="12.95"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1" width="7.85546875" style="160" hidden="1" customWidth="1"/>
    <col min="12" max="12" width="18" style="160" hidden="1" customWidth="1"/>
    <col min="13" max="13" width="27.42578125" style="160" hidden="1" customWidth="1"/>
    <col min="14" max="183" width="7.85546875" style="160"/>
    <col min="184" max="185" width="5.140625" style="160" customWidth="1"/>
    <col min="186" max="186" width="5.42578125" style="160" customWidth="1"/>
    <col min="187" max="187" width="6.5703125" style="160" customWidth="1"/>
    <col min="188" max="188" width="8.5703125" style="160" customWidth="1"/>
    <col min="189" max="189" width="12.42578125" style="160" customWidth="1"/>
    <col min="190" max="190" width="10.5703125" style="160" customWidth="1"/>
    <col min="191" max="191" width="9.85546875" style="160" customWidth="1"/>
    <col min="192" max="192" width="9.5703125" style="160" customWidth="1"/>
    <col min="193" max="198" width="8.140625" style="160" customWidth="1"/>
    <col min="199" max="199" width="9.42578125" style="160" customWidth="1"/>
    <col min="200" max="200" width="8" style="160" customWidth="1"/>
    <col min="201" max="201" width="8.140625" style="160" customWidth="1"/>
    <col min="202" max="202" width="7.42578125" style="160" customWidth="1"/>
    <col min="203" max="203" width="7.5703125" style="160" customWidth="1"/>
    <col min="204" max="211" width="7.85546875" style="160" hidden="1" customWidth="1"/>
    <col min="212" max="212" width="9.140625" style="160" customWidth="1"/>
    <col min="213" max="213" width="8.5703125" style="160" customWidth="1"/>
    <col min="214" max="214" width="10.5703125" style="160" customWidth="1"/>
    <col min="215" max="215" width="25.42578125" style="160" customWidth="1"/>
    <col min="216" max="216" width="14.42578125" style="160" customWidth="1"/>
    <col min="217" max="217" width="4.5703125" style="160" customWidth="1"/>
    <col min="218" max="218" width="9.85546875" style="160" customWidth="1"/>
    <col min="219" max="219" width="9.5703125" style="160" customWidth="1"/>
    <col min="220" max="439" width="7.85546875" style="160"/>
    <col min="440" max="441" width="5.140625" style="160" customWidth="1"/>
    <col min="442" max="442" width="5.42578125" style="160" customWidth="1"/>
    <col min="443" max="443" width="6.5703125" style="160" customWidth="1"/>
    <col min="444" max="444" width="8.5703125" style="160" customWidth="1"/>
    <col min="445" max="445" width="12.42578125" style="160" customWidth="1"/>
    <col min="446" max="446" width="10.5703125" style="160" customWidth="1"/>
    <col min="447" max="447" width="9.85546875" style="160" customWidth="1"/>
    <col min="448" max="448" width="9.5703125" style="160" customWidth="1"/>
    <col min="449" max="454" width="8.140625" style="160" customWidth="1"/>
    <col min="455" max="455" width="9.42578125" style="160" customWidth="1"/>
    <col min="456" max="456" width="8" style="160" customWidth="1"/>
    <col min="457" max="457" width="8.140625" style="160" customWidth="1"/>
    <col min="458" max="458" width="7.42578125" style="160" customWidth="1"/>
    <col min="459" max="459" width="7.5703125" style="160" customWidth="1"/>
    <col min="460" max="467" width="7.85546875" style="160" hidden="1" customWidth="1"/>
    <col min="468" max="468" width="9.140625" style="160" customWidth="1"/>
    <col min="469" max="469" width="8.5703125" style="160" customWidth="1"/>
    <col min="470" max="470" width="10.5703125" style="160" customWidth="1"/>
    <col min="471" max="471" width="25.42578125" style="160" customWidth="1"/>
    <col min="472" max="472" width="14.42578125" style="160" customWidth="1"/>
    <col min="473" max="473" width="4.5703125" style="160" customWidth="1"/>
    <col min="474" max="474" width="9.85546875" style="160" customWidth="1"/>
    <col min="475" max="475" width="9.5703125" style="160" customWidth="1"/>
    <col min="476" max="695" width="7.85546875" style="160"/>
    <col min="696" max="697" width="5.140625" style="160" customWidth="1"/>
    <col min="698" max="698" width="5.42578125" style="160" customWidth="1"/>
    <col min="699" max="699" width="6.5703125" style="160" customWidth="1"/>
    <col min="700" max="700" width="8.5703125" style="160" customWidth="1"/>
    <col min="701" max="701" width="12.42578125" style="160" customWidth="1"/>
    <col min="702" max="702" width="10.5703125" style="160" customWidth="1"/>
    <col min="703" max="703" width="9.85546875" style="160" customWidth="1"/>
    <col min="704" max="704" width="9.5703125" style="160" customWidth="1"/>
    <col min="705" max="710" width="8.140625" style="160" customWidth="1"/>
    <col min="711" max="711" width="9.42578125" style="160" customWidth="1"/>
    <col min="712" max="712" width="8" style="160" customWidth="1"/>
    <col min="713" max="713" width="8.140625" style="160" customWidth="1"/>
    <col min="714" max="714" width="7.42578125" style="160" customWidth="1"/>
    <col min="715" max="715" width="7.5703125" style="160" customWidth="1"/>
    <col min="716" max="723" width="7.85546875" style="160" hidden="1" customWidth="1"/>
    <col min="724" max="724" width="9.140625" style="160" customWidth="1"/>
    <col min="725" max="725" width="8.5703125" style="160" customWidth="1"/>
    <col min="726" max="726" width="10.5703125" style="160" customWidth="1"/>
    <col min="727" max="727" width="25.42578125" style="160" customWidth="1"/>
    <col min="728" max="728" width="14.42578125" style="160" customWidth="1"/>
    <col min="729" max="729" width="4.5703125" style="160" customWidth="1"/>
    <col min="730" max="730" width="9.85546875" style="160" customWidth="1"/>
    <col min="731" max="731" width="9.5703125" style="160" customWidth="1"/>
    <col min="732" max="951" width="7.85546875" style="160"/>
    <col min="952" max="953" width="5.140625" style="160" customWidth="1"/>
    <col min="954" max="954" width="5.42578125" style="160" customWidth="1"/>
    <col min="955" max="955" width="6.5703125" style="160" customWidth="1"/>
    <col min="956" max="956" width="8.5703125" style="160" customWidth="1"/>
    <col min="957" max="957" width="12.42578125" style="160" customWidth="1"/>
    <col min="958" max="958" width="10.5703125" style="160" customWidth="1"/>
    <col min="959" max="959" width="9.85546875" style="160" customWidth="1"/>
    <col min="960" max="960" width="9.5703125" style="160" customWidth="1"/>
    <col min="961" max="966" width="8.140625" style="160" customWidth="1"/>
    <col min="967" max="967" width="9.42578125" style="160" customWidth="1"/>
    <col min="968" max="968" width="8" style="160" customWidth="1"/>
    <col min="969" max="969" width="8.140625" style="160" customWidth="1"/>
    <col min="970" max="970" width="7.42578125" style="160" customWidth="1"/>
    <col min="971" max="971" width="7.5703125" style="160" customWidth="1"/>
    <col min="972" max="979" width="7.85546875" style="160" hidden="1" customWidth="1"/>
    <col min="980" max="980" width="9.140625" style="160" customWidth="1"/>
    <col min="981" max="981" width="8.5703125" style="160" customWidth="1"/>
    <col min="982" max="982" width="10.5703125" style="160" customWidth="1"/>
    <col min="983" max="983" width="25.42578125" style="160" customWidth="1"/>
    <col min="984" max="984" width="14.42578125" style="160" customWidth="1"/>
    <col min="985" max="985" width="4.5703125" style="160" customWidth="1"/>
    <col min="986" max="986" width="9.85546875" style="160" customWidth="1"/>
    <col min="987" max="987" width="9.5703125" style="160" customWidth="1"/>
    <col min="988" max="1207" width="7.85546875" style="160"/>
    <col min="1208" max="1209" width="5.140625" style="160" customWidth="1"/>
    <col min="1210" max="1210" width="5.42578125" style="160" customWidth="1"/>
    <col min="1211" max="1211" width="6.5703125" style="160" customWidth="1"/>
    <col min="1212" max="1212" width="8.5703125" style="160" customWidth="1"/>
    <col min="1213" max="1213" width="12.42578125" style="160" customWidth="1"/>
    <col min="1214" max="1214" width="10.5703125" style="160" customWidth="1"/>
    <col min="1215" max="1215" width="9.85546875" style="160" customWidth="1"/>
    <col min="1216" max="1216" width="9.5703125" style="160" customWidth="1"/>
    <col min="1217" max="1222" width="8.140625" style="160" customWidth="1"/>
    <col min="1223" max="1223" width="9.42578125" style="160" customWidth="1"/>
    <col min="1224" max="1224" width="8" style="160" customWidth="1"/>
    <col min="1225" max="1225" width="8.140625" style="160" customWidth="1"/>
    <col min="1226" max="1226" width="7.42578125" style="160" customWidth="1"/>
    <col min="1227" max="1227" width="7.5703125" style="160" customWidth="1"/>
    <col min="1228" max="1235" width="7.85546875" style="160" hidden="1" customWidth="1"/>
    <col min="1236" max="1236" width="9.140625" style="160" customWidth="1"/>
    <col min="1237" max="1237" width="8.5703125" style="160" customWidth="1"/>
    <col min="1238" max="1238" width="10.5703125" style="160" customWidth="1"/>
    <col min="1239" max="1239" width="25.42578125" style="160" customWidth="1"/>
    <col min="1240" max="1240" width="14.42578125" style="160" customWidth="1"/>
    <col min="1241" max="1241" width="4.5703125" style="160" customWidth="1"/>
    <col min="1242" max="1242" width="9.85546875" style="160" customWidth="1"/>
    <col min="1243" max="1243" width="9.5703125" style="160" customWidth="1"/>
    <col min="1244" max="1463" width="7.85546875" style="160"/>
    <col min="1464" max="1465" width="5.140625" style="160" customWidth="1"/>
    <col min="1466" max="1466" width="5.42578125" style="160" customWidth="1"/>
    <col min="1467" max="1467" width="6.5703125" style="160" customWidth="1"/>
    <col min="1468" max="1468" width="8.5703125" style="160" customWidth="1"/>
    <col min="1469" max="1469" width="12.42578125" style="160" customWidth="1"/>
    <col min="1470" max="1470" width="10.5703125" style="160" customWidth="1"/>
    <col min="1471" max="1471" width="9.85546875" style="160" customWidth="1"/>
    <col min="1472" max="1472" width="9.5703125" style="160" customWidth="1"/>
    <col min="1473" max="1478" width="8.140625" style="160" customWidth="1"/>
    <col min="1479" max="1479" width="9.42578125" style="160" customWidth="1"/>
    <col min="1480" max="1480" width="8" style="160" customWidth="1"/>
    <col min="1481" max="1481" width="8.140625" style="160" customWidth="1"/>
    <col min="1482" max="1482" width="7.42578125" style="160" customWidth="1"/>
    <col min="1483" max="1483" width="7.5703125" style="160" customWidth="1"/>
    <col min="1484" max="1491" width="7.85546875" style="160" hidden="1" customWidth="1"/>
    <col min="1492" max="1492" width="9.140625" style="160" customWidth="1"/>
    <col min="1493" max="1493" width="8.5703125" style="160" customWidth="1"/>
    <col min="1494" max="1494" width="10.5703125" style="160" customWidth="1"/>
    <col min="1495" max="1495" width="25.42578125" style="160" customWidth="1"/>
    <col min="1496" max="1496" width="14.42578125" style="160" customWidth="1"/>
    <col min="1497" max="1497" width="4.5703125" style="160" customWidth="1"/>
    <col min="1498" max="1498" width="9.85546875" style="160" customWidth="1"/>
    <col min="1499" max="1499" width="9.5703125" style="160" customWidth="1"/>
    <col min="1500" max="1719" width="7.85546875" style="160"/>
    <col min="1720" max="1721" width="5.140625" style="160" customWidth="1"/>
    <col min="1722" max="1722" width="5.42578125" style="160" customWidth="1"/>
    <col min="1723" max="1723" width="6.5703125" style="160" customWidth="1"/>
    <col min="1724" max="1724" width="8.5703125" style="160" customWidth="1"/>
    <col min="1725" max="1725" width="12.42578125" style="160" customWidth="1"/>
    <col min="1726" max="1726" width="10.5703125" style="160" customWidth="1"/>
    <col min="1727" max="1727" width="9.85546875" style="160" customWidth="1"/>
    <col min="1728" max="1728" width="9.5703125" style="160" customWidth="1"/>
    <col min="1729" max="1734" width="8.140625" style="160" customWidth="1"/>
    <col min="1735" max="1735" width="9.42578125" style="160" customWidth="1"/>
    <col min="1736" max="1736" width="8" style="160" customWidth="1"/>
    <col min="1737" max="1737" width="8.140625" style="160" customWidth="1"/>
    <col min="1738" max="1738" width="7.42578125" style="160" customWidth="1"/>
    <col min="1739" max="1739" width="7.5703125" style="160" customWidth="1"/>
    <col min="1740" max="1747" width="7.85546875" style="160" hidden="1" customWidth="1"/>
    <col min="1748" max="1748" width="9.140625" style="160" customWidth="1"/>
    <col min="1749" max="1749" width="8.5703125" style="160" customWidth="1"/>
    <col min="1750" max="1750" width="10.5703125" style="160" customWidth="1"/>
    <col min="1751" max="1751" width="25.42578125" style="160" customWidth="1"/>
    <col min="1752" max="1752" width="14.42578125" style="160" customWidth="1"/>
    <col min="1753" max="1753" width="4.5703125" style="160" customWidth="1"/>
    <col min="1754" max="1754" width="9.85546875" style="160" customWidth="1"/>
    <col min="1755" max="1755" width="9.5703125" style="160" customWidth="1"/>
    <col min="1756" max="1975" width="7.85546875" style="160"/>
    <col min="1976" max="1977" width="5.140625" style="160" customWidth="1"/>
    <col min="1978" max="1978" width="5.42578125" style="160" customWidth="1"/>
    <col min="1979" max="1979" width="6.5703125" style="160" customWidth="1"/>
    <col min="1980" max="1980" width="8.5703125" style="160" customWidth="1"/>
    <col min="1981" max="1981" width="12.42578125" style="160" customWidth="1"/>
    <col min="1982" max="1982" width="10.5703125" style="160" customWidth="1"/>
    <col min="1983" max="1983" width="9.85546875" style="160" customWidth="1"/>
    <col min="1984" max="1984" width="9.5703125" style="160" customWidth="1"/>
    <col min="1985" max="1990" width="8.140625" style="160" customWidth="1"/>
    <col min="1991" max="1991" width="9.42578125" style="160" customWidth="1"/>
    <col min="1992" max="1992" width="8" style="160" customWidth="1"/>
    <col min="1993" max="1993" width="8.140625" style="160" customWidth="1"/>
    <col min="1994" max="1994" width="7.42578125" style="160" customWidth="1"/>
    <col min="1995" max="1995" width="7.5703125" style="160" customWidth="1"/>
    <col min="1996" max="2003" width="7.85546875" style="160" hidden="1" customWidth="1"/>
    <col min="2004" max="2004" width="9.140625" style="160" customWidth="1"/>
    <col min="2005" max="2005" width="8.5703125" style="160" customWidth="1"/>
    <col min="2006" max="2006" width="10.5703125" style="160" customWidth="1"/>
    <col min="2007" max="2007" width="25.42578125" style="160" customWidth="1"/>
    <col min="2008" max="2008" width="14.42578125" style="160" customWidth="1"/>
    <col min="2009" max="2009" width="4.5703125" style="160" customWidth="1"/>
    <col min="2010" max="2010" width="9.85546875" style="160" customWidth="1"/>
    <col min="2011" max="2011" width="9.5703125" style="160" customWidth="1"/>
    <col min="2012" max="2231" width="7.85546875" style="160"/>
    <col min="2232" max="2233" width="5.140625" style="160" customWidth="1"/>
    <col min="2234" max="2234" width="5.42578125" style="160" customWidth="1"/>
    <col min="2235" max="2235" width="6.5703125" style="160" customWidth="1"/>
    <col min="2236" max="2236" width="8.5703125" style="160" customWidth="1"/>
    <col min="2237" max="2237" width="12.42578125" style="160" customWidth="1"/>
    <col min="2238" max="2238" width="10.5703125" style="160" customWidth="1"/>
    <col min="2239" max="2239" width="9.85546875" style="160" customWidth="1"/>
    <col min="2240" max="2240" width="9.5703125" style="160" customWidth="1"/>
    <col min="2241" max="2246" width="8.140625" style="160" customWidth="1"/>
    <col min="2247" max="2247" width="9.42578125" style="160" customWidth="1"/>
    <col min="2248" max="2248" width="8" style="160" customWidth="1"/>
    <col min="2249" max="2249" width="8.140625" style="160" customWidth="1"/>
    <col min="2250" max="2250" width="7.42578125" style="160" customWidth="1"/>
    <col min="2251" max="2251" width="7.5703125" style="160" customWidth="1"/>
    <col min="2252" max="2259" width="7.85546875" style="160" hidden="1" customWidth="1"/>
    <col min="2260" max="2260" width="9.140625" style="160" customWidth="1"/>
    <col min="2261" max="2261" width="8.5703125" style="160" customWidth="1"/>
    <col min="2262" max="2262" width="10.5703125" style="160" customWidth="1"/>
    <col min="2263" max="2263" width="25.42578125" style="160" customWidth="1"/>
    <col min="2264" max="2264" width="14.42578125" style="160" customWidth="1"/>
    <col min="2265" max="2265" width="4.5703125" style="160" customWidth="1"/>
    <col min="2266" max="2266" width="9.85546875" style="160" customWidth="1"/>
    <col min="2267" max="2267" width="9.5703125" style="160" customWidth="1"/>
    <col min="2268" max="2487" width="7.85546875" style="160"/>
    <col min="2488" max="2489" width="5.140625" style="160" customWidth="1"/>
    <col min="2490" max="2490" width="5.42578125" style="160" customWidth="1"/>
    <col min="2491" max="2491" width="6.5703125" style="160" customWidth="1"/>
    <col min="2492" max="2492" width="8.5703125" style="160" customWidth="1"/>
    <col min="2493" max="2493" width="12.42578125" style="160" customWidth="1"/>
    <col min="2494" max="2494" width="10.5703125" style="160" customWidth="1"/>
    <col min="2495" max="2495" width="9.85546875" style="160" customWidth="1"/>
    <col min="2496" max="2496" width="9.5703125" style="160" customWidth="1"/>
    <col min="2497" max="2502" width="8.140625" style="160" customWidth="1"/>
    <col min="2503" max="2503" width="9.42578125" style="160" customWidth="1"/>
    <col min="2504" max="2504" width="8" style="160" customWidth="1"/>
    <col min="2505" max="2505" width="8.140625" style="160" customWidth="1"/>
    <col min="2506" max="2506" width="7.42578125" style="160" customWidth="1"/>
    <col min="2507" max="2507" width="7.5703125" style="160" customWidth="1"/>
    <col min="2508" max="2515" width="7.85546875" style="160" hidden="1" customWidth="1"/>
    <col min="2516" max="2516" width="9.140625" style="160" customWidth="1"/>
    <col min="2517" max="2517" width="8.5703125" style="160" customWidth="1"/>
    <col min="2518" max="2518" width="10.5703125" style="160" customWidth="1"/>
    <col min="2519" max="2519" width="25.42578125" style="160" customWidth="1"/>
    <col min="2520" max="2520" width="14.42578125" style="160" customWidth="1"/>
    <col min="2521" max="2521" width="4.5703125" style="160" customWidth="1"/>
    <col min="2522" max="2522" width="9.85546875" style="160" customWidth="1"/>
    <col min="2523" max="2523" width="9.5703125" style="160" customWidth="1"/>
    <col min="2524" max="2743" width="7.85546875" style="160"/>
    <col min="2744" max="2745" width="5.140625" style="160" customWidth="1"/>
    <col min="2746" max="2746" width="5.42578125" style="160" customWidth="1"/>
    <col min="2747" max="2747" width="6.5703125" style="160" customWidth="1"/>
    <col min="2748" max="2748" width="8.5703125" style="160" customWidth="1"/>
    <col min="2749" max="2749" width="12.42578125" style="160" customWidth="1"/>
    <col min="2750" max="2750" width="10.5703125" style="160" customWidth="1"/>
    <col min="2751" max="2751" width="9.85546875" style="160" customWidth="1"/>
    <col min="2752" max="2752" width="9.5703125" style="160" customWidth="1"/>
    <col min="2753" max="2758" width="8.140625" style="160" customWidth="1"/>
    <col min="2759" max="2759" width="9.42578125" style="160" customWidth="1"/>
    <col min="2760" max="2760" width="8" style="160" customWidth="1"/>
    <col min="2761" max="2761" width="8.140625" style="160" customWidth="1"/>
    <col min="2762" max="2762" width="7.42578125" style="160" customWidth="1"/>
    <col min="2763" max="2763" width="7.5703125" style="160" customWidth="1"/>
    <col min="2764" max="2771" width="7.85546875" style="160" hidden="1" customWidth="1"/>
    <col min="2772" max="2772" width="9.140625" style="160" customWidth="1"/>
    <col min="2773" max="2773" width="8.5703125" style="160" customWidth="1"/>
    <col min="2774" max="2774" width="10.5703125" style="160" customWidth="1"/>
    <col min="2775" max="2775" width="25.42578125" style="160" customWidth="1"/>
    <col min="2776" max="2776" width="14.42578125" style="160" customWidth="1"/>
    <col min="2777" max="2777" width="4.5703125" style="160" customWidth="1"/>
    <col min="2778" max="2778" width="9.85546875" style="160" customWidth="1"/>
    <col min="2779" max="2779" width="9.5703125" style="160" customWidth="1"/>
    <col min="2780" max="2999" width="7.85546875" style="160"/>
    <col min="3000" max="3001" width="5.140625" style="160" customWidth="1"/>
    <col min="3002" max="3002" width="5.42578125" style="160" customWidth="1"/>
    <col min="3003" max="3003" width="6.5703125" style="160" customWidth="1"/>
    <col min="3004" max="3004" width="8.5703125" style="160" customWidth="1"/>
    <col min="3005" max="3005" width="12.42578125" style="160" customWidth="1"/>
    <col min="3006" max="3006" width="10.5703125" style="160" customWidth="1"/>
    <col min="3007" max="3007" width="9.85546875" style="160" customWidth="1"/>
    <col min="3008" max="3008" width="9.5703125" style="160" customWidth="1"/>
    <col min="3009" max="3014" width="8.140625" style="160" customWidth="1"/>
    <col min="3015" max="3015" width="9.42578125" style="160" customWidth="1"/>
    <col min="3016" max="3016" width="8" style="160" customWidth="1"/>
    <col min="3017" max="3017" width="8.140625" style="160" customWidth="1"/>
    <col min="3018" max="3018" width="7.42578125" style="160" customWidth="1"/>
    <col min="3019" max="3019" width="7.5703125" style="160" customWidth="1"/>
    <col min="3020" max="3027" width="7.85546875" style="160" hidden="1" customWidth="1"/>
    <col min="3028" max="3028" width="9.140625" style="160" customWidth="1"/>
    <col min="3029" max="3029" width="8.5703125" style="160" customWidth="1"/>
    <col min="3030" max="3030" width="10.5703125" style="160" customWidth="1"/>
    <col min="3031" max="3031" width="25.42578125" style="160" customWidth="1"/>
    <col min="3032" max="3032" width="14.42578125" style="160" customWidth="1"/>
    <col min="3033" max="3033" width="4.5703125" style="160" customWidth="1"/>
    <col min="3034" max="3034" width="9.85546875" style="160" customWidth="1"/>
    <col min="3035" max="3035" width="9.5703125" style="160" customWidth="1"/>
    <col min="3036" max="3255" width="7.85546875" style="160"/>
    <col min="3256" max="3257" width="5.140625" style="160" customWidth="1"/>
    <col min="3258" max="3258" width="5.42578125" style="160" customWidth="1"/>
    <col min="3259" max="3259" width="6.5703125" style="160" customWidth="1"/>
    <col min="3260" max="3260" width="8.5703125" style="160" customWidth="1"/>
    <col min="3261" max="3261" width="12.42578125" style="160" customWidth="1"/>
    <col min="3262" max="3262" width="10.5703125" style="160" customWidth="1"/>
    <col min="3263" max="3263" width="9.85546875" style="160" customWidth="1"/>
    <col min="3264" max="3264" width="9.5703125" style="160" customWidth="1"/>
    <col min="3265" max="3270" width="8.140625" style="160" customWidth="1"/>
    <col min="3271" max="3271" width="9.42578125" style="160" customWidth="1"/>
    <col min="3272" max="3272" width="8" style="160" customWidth="1"/>
    <col min="3273" max="3273" width="8.140625" style="160" customWidth="1"/>
    <col min="3274" max="3274" width="7.42578125" style="160" customWidth="1"/>
    <col min="3275" max="3275" width="7.5703125" style="160" customWidth="1"/>
    <col min="3276" max="3283" width="7.85546875" style="160" hidden="1" customWidth="1"/>
    <col min="3284" max="3284" width="9.140625" style="160" customWidth="1"/>
    <col min="3285" max="3285" width="8.5703125" style="160" customWidth="1"/>
    <col min="3286" max="3286" width="10.5703125" style="160" customWidth="1"/>
    <col min="3287" max="3287" width="25.42578125" style="160" customWidth="1"/>
    <col min="3288" max="3288" width="14.42578125" style="160" customWidth="1"/>
    <col min="3289" max="3289" width="4.5703125" style="160" customWidth="1"/>
    <col min="3290" max="3290" width="9.85546875" style="160" customWidth="1"/>
    <col min="3291" max="3291" width="9.5703125" style="160" customWidth="1"/>
    <col min="3292" max="3511" width="7.85546875" style="160"/>
    <col min="3512" max="3513" width="5.140625" style="160" customWidth="1"/>
    <col min="3514" max="3514" width="5.42578125" style="160" customWidth="1"/>
    <col min="3515" max="3515" width="6.5703125" style="160" customWidth="1"/>
    <col min="3516" max="3516" width="8.5703125" style="160" customWidth="1"/>
    <col min="3517" max="3517" width="12.42578125" style="160" customWidth="1"/>
    <col min="3518" max="3518" width="10.5703125" style="160" customWidth="1"/>
    <col min="3519" max="3519" width="9.85546875" style="160" customWidth="1"/>
    <col min="3520" max="3520" width="9.5703125" style="160" customWidth="1"/>
    <col min="3521" max="3526" width="8.140625" style="160" customWidth="1"/>
    <col min="3527" max="3527" width="9.42578125" style="160" customWidth="1"/>
    <col min="3528" max="3528" width="8" style="160" customWidth="1"/>
    <col min="3529" max="3529" width="8.140625" style="160" customWidth="1"/>
    <col min="3530" max="3530" width="7.42578125" style="160" customWidth="1"/>
    <col min="3531" max="3531" width="7.5703125" style="160" customWidth="1"/>
    <col min="3532" max="3539" width="7.85546875" style="160" hidden="1" customWidth="1"/>
    <col min="3540" max="3540" width="9.140625" style="160" customWidth="1"/>
    <col min="3541" max="3541" width="8.5703125" style="160" customWidth="1"/>
    <col min="3542" max="3542" width="10.5703125" style="160" customWidth="1"/>
    <col min="3543" max="3543" width="25.42578125" style="160" customWidth="1"/>
    <col min="3544" max="3544" width="14.42578125" style="160" customWidth="1"/>
    <col min="3545" max="3545" width="4.5703125" style="160" customWidth="1"/>
    <col min="3546" max="3546" width="9.85546875" style="160" customWidth="1"/>
    <col min="3547" max="3547" width="9.5703125" style="160" customWidth="1"/>
    <col min="3548" max="3767" width="7.85546875" style="160"/>
    <col min="3768" max="3769" width="5.140625" style="160" customWidth="1"/>
    <col min="3770" max="3770" width="5.42578125" style="160" customWidth="1"/>
    <col min="3771" max="3771" width="6.5703125" style="160" customWidth="1"/>
    <col min="3772" max="3772" width="8.5703125" style="160" customWidth="1"/>
    <col min="3773" max="3773" width="12.42578125" style="160" customWidth="1"/>
    <col min="3774" max="3774" width="10.5703125" style="160" customWidth="1"/>
    <col min="3775" max="3775" width="9.85546875" style="160" customWidth="1"/>
    <col min="3776" max="3776" width="9.5703125" style="160" customWidth="1"/>
    <col min="3777" max="3782" width="8.140625" style="160" customWidth="1"/>
    <col min="3783" max="3783" width="9.42578125" style="160" customWidth="1"/>
    <col min="3784" max="3784" width="8" style="160" customWidth="1"/>
    <col min="3785" max="3785" width="8.140625" style="160" customWidth="1"/>
    <col min="3786" max="3786" width="7.42578125" style="160" customWidth="1"/>
    <col min="3787" max="3787" width="7.5703125" style="160" customWidth="1"/>
    <col min="3788" max="3795" width="7.85546875" style="160" hidden="1" customWidth="1"/>
    <col min="3796" max="3796" width="9.140625" style="160" customWidth="1"/>
    <col min="3797" max="3797" width="8.5703125" style="160" customWidth="1"/>
    <col min="3798" max="3798" width="10.5703125" style="160" customWidth="1"/>
    <col min="3799" max="3799" width="25.42578125" style="160" customWidth="1"/>
    <col min="3800" max="3800" width="14.42578125" style="160" customWidth="1"/>
    <col min="3801" max="3801" width="4.5703125" style="160" customWidth="1"/>
    <col min="3802" max="3802" width="9.85546875" style="160" customWidth="1"/>
    <col min="3803" max="3803" width="9.5703125" style="160" customWidth="1"/>
    <col min="3804" max="4023" width="7.85546875" style="160"/>
    <col min="4024" max="4025" width="5.140625" style="160" customWidth="1"/>
    <col min="4026" max="4026" width="5.42578125" style="160" customWidth="1"/>
    <col min="4027" max="4027" width="6.5703125" style="160" customWidth="1"/>
    <col min="4028" max="4028" width="8.5703125" style="160" customWidth="1"/>
    <col min="4029" max="4029" width="12.42578125" style="160" customWidth="1"/>
    <col min="4030" max="4030" width="10.5703125" style="160" customWidth="1"/>
    <col min="4031" max="4031" width="9.85546875" style="160" customWidth="1"/>
    <col min="4032" max="4032" width="9.5703125" style="160" customWidth="1"/>
    <col min="4033" max="4038" width="8.140625" style="160" customWidth="1"/>
    <col min="4039" max="4039" width="9.42578125" style="160" customWidth="1"/>
    <col min="4040" max="4040" width="8" style="160" customWidth="1"/>
    <col min="4041" max="4041" width="8.140625" style="160" customWidth="1"/>
    <col min="4042" max="4042" width="7.42578125" style="160" customWidth="1"/>
    <col min="4043" max="4043" width="7.5703125" style="160" customWidth="1"/>
    <col min="4044" max="4051" width="7.85546875" style="160" hidden="1" customWidth="1"/>
    <col min="4052" max="4052" width="9.140625" style="160" customWidth="1"/>
    <col min="4053" max="4053" width="8.5703125" style="160" customWidth="1"/>
    <col min="4054" max="4054" width="10.5703125" style="160" customWidth="1"/>
    <col min="4055" max="4055" width="25.42578125" style="160" customWidth="1"/>
    <col min="4056" max="4056" width="14.42578125" style="160" customWidth="1"/>
    <col min="4057" max="4057" width="4.5703125" style="160" customWidth="1"/>
    <col min="4058" max="4058" width="9.85546875" style="160" customWidth="1"/>
    <col min="4059" max="4059" width="9.5703125" style="160" customWidth="1"/>
    <col min="4060" max="4279" width="7.85546875" style="160"/>
    <col min="4280" max="4281" width="5.140625" style="160" customWidth="1"/>
    <col min="4282" max="4282" width="5.42578125" style="160" customWidth="1"/>
    <col min="4283" max="4283" width="6.5703125" style="160" customWidth="1"/>
    <col min="4284" max="4284" width="8.5703125" style="160" customWidth="1"/>
    <col min="4285" max="4285" width="12.42578125" style="160" customWidth="1"/>
    <col min="4286" max="4286" width="10.5703125" style="160" customWidth="1"/>
    <col min="4287" max="4287" width="9.85546875" style="160" customWidth="1"/>
    <col min="4288" max="4288" width="9.5703125" style="160" customWidth="1"/>
    <col min="4289" max="4294" width="8.140625" style="160" customWidth="1"/>
    <col min="4295" max="4295" width="9.42578125" style="160" customWidth="1"/>
    <col min="4296" max="4296" width="8" style="160" customWidth="1"/>
    <col min="4297" max="4297" width="8.140625" style="160" customWidth="1"/>
    <col min="4298" max="4298" width="7.42578125" style="160" customWidth="1"/>
    <col min="4299" max="4299" width="7.5703125" style="160" customWidth="1"/>
    <col min="4300" max="4307" width="7.85546875" style="160" hidden="1" customWidth="1"/>
    <col min="4308" max="4308" width="9.140625" style="160" customWidth="1"/>
    <col min="4309" max="4309" width="8.5703125" style="160" customWidth="1"/>
    <col min="4310" max="4310" width="10.5703125" style="160" customWidth="1"/>
    <col min="4311" max="4311" width="25.42578125" style="160" customWidth="1"/>
    <col min="4312" max="4312" width="14.42578125" style="160" customWidth="1"/>
    <col min="4313" max="4313" width="4.5703125" style="160" customWidth="1"/>
    <col min="4314" max="4314" width="9.85546875" style="160" customWidth="1"/>
    <col min="4315" max="4315" width="9.5703125" style="160" customWidth="1"/>
    <col min="4316" max="4535" width="7.85546875" style="160"/>
    <col min="4536" max="4537" width="5.140625" style="160" customWidth="1"/>
    <col min="4538" max="4538" width="5.42578125" style="160" customWidth="1"/>
    <col min="4539" max="4539" width="6.5703125" style="160" customWidth="1"/>
    <col min="4540" max="4540" width="8.5703125" style="160" customWidth="1"/>
    <col min="4541" max="4541" width="12.42578125" style="160" customWidth="1"/>
    <col min="4542" max="4542" width="10.5703125" style="160" customWidth="1"/>
    <col min="4543" max="4543" width="9.85546875" style="160" customWidth="1"/>
    <col min="4544" max="4544" width="9.5703125" style="160" customWidth="1"/>
    <col min="4545" max="4550" width="8.140625" style="160" customWidth="1"/>
    <col min="4551" max="4551" width="9.42578125" style="160" customWidth="1"/>
    <col min="4552" max="4552" width="8" style="160" customWidth="1"/>
    <col min="4553" max="4553" width="8.140625" style="160" customWidth="1"/>
    <col min="4554" max="4554" width="7.42578125" style="160" customWidth="1"/>
    <col min="4555" max="4555" width="7.5703125" style="160" customWidth="1"/>
    <col min="4556" max="4563" width="7.85546875" style="160" hidden="1" customWidth="1"/>
    <col min="4564" max="4564" width="9.140625" style="160" customWidth="1"/>
    <col min="4565" max="4565" width="8.5703125" style="160" customWidth="1"/>
    <col min="4566" max="4566" width="10.5703125" style="160" customWidth="1"/>
    <col min="4567" max="4567" width="25.42578125" style="160" customWidth="1"/>
    <col min="4568" max="4568" width="14.42578125" style="160" customWidth="1"/>
    <col min="4569" max="4569" width="4.5703125" style="160" customWidth="1"/>
    <col min="4570" max="4570" width="9.85546875" style="160" customWidth="1"/>
    <col min="4571" max="4571" width="9.5703125" style="160" customWidth="1"/>
    <col min="4572" max="4791" width="7.85546875" style="160"/>
    <col min="4792" max="4793" width="5.140625" style="160" customWidth="1"/>
    <col min="4794" max="4794" width="5.42578125" style="160" customWidth="1"/>
    <col min="4795" max="4795" width="6.5703125" style="160" customWidth="1"/>
    <col min="4796" max="4796" width="8.5703125" style="160" customWidth="1"/>
    <col min="4797" max="4797" width="12.42578125" style="160" customWidth="1"/>
    <col min="4798" max="4798" width="10.5703125" style="160" customWidth="1"/>
    <col min="4799" max="4799" width="9.85546875" style="160" customWidth="1"/>
    <col min="4800" max="4800" width="9.5703125" style="160" customWidth="1"/>
    <col min="4801" max="4806" width="8.140625" style="160" customWidth="1"/>
    <col min="4807" max="4807" width="9.42578125" style="160" customWidth="1"/>
    <col min="4808" max="4808" width="8" style="160" customWidth="1"/>
    <col min="4809" max="4809" width="8.140625" style="160" customWidth="1"/>
    <col min="4810" max="4810" width="7.42578125" style="160" customWidth="1"/>
    <col min="4811" max="4811" width="7.5703125" style="160" customWidth="1"/>
    <col min="4812" max="4819" width="7.85546875" style="160" hidden="1" customWidth="1"/>
    <col min="4820" max="4820" width="9.140625" style="160" customWidth="1"/>
    <col min="4821" max="4821" width="8.5703125" style="160" customWidth="1"/>
    <col min="4822" max="4822" width="10.5703125" style="160" customWidth="1"/>
    <col min="4823" max="4823" width="25.42578125" style="160" customWidth="1"/>
    <col min="4824" max="4824" width="14.42578125" style="160" customWidth="1"/>
    <col min="4825" max="4825" width="4.5703125" style="160" customWidth="1"/>
    <col min="4826" max="4826" width="9.85546875" style="160" customWidth="1"/>
    <col min="4827" max="4827" width="9.5703125" style="160" customWidth="1"/>
    <col min="4828" max="5047" width="7.85546875" style="160"/>
    <col min="5048" max="5049" width="5.140625" style="160" customWidth="1"/>
    <col min="5050" max="5050" width="5.42578125" style="160" customWidth="1"/>
    <col min="5051" max="5051" width="6.5703125" style="160" customWidth="1"/>
    <col min="5052" max="5052" width="8.5703125" style="160" customWidth="1"/>
    <col min="5053" max="5053" width="12.42578125" style="160" customWidth="1"/>
    <col min="5054" max="5054" width="10.5703125" style="160" customWidth="1"/>
    <col min="5055" max="5055" width="9.85546875" style="160" customWidth="1"/>
    <col min="5056" max="5056" width="9.5703125" style="160" customWidth="1"/>
    <col min="5057" max="5062" width="8.140625" style="160" customWidth="1"/>
    <col min="5063" max="5063" width="9.42578125" style="160" customWidth="1"/>
    <col min="5064" max="5064" width="8" style="160" customWidth="1"/>
    <col min="5065" max="5065" width="8.140625" style="160" customWidth="1"/>
    <col min="5066" max="5066" width="7.42578125" style="160" customWidth="1"/>
    <col min="5067" max="5067" width="7.5703125" style="160" customWidth="1"/>
    <col min="5068" max="5075" width="7.85546875" style="160" hidden="1" customWidth="1"/>
    <col min="5076" max="5076" width="9.140625" style="160" customWidth="1"/>
    <col min="5077" max="5077" width="8.5703125" style="160" customWidth="1"/>
    <col min="5078" max="5078" width="10.5703125" style="160" customWidth="1"/>
    <col min="5079" max="5079" width="25.42578125" style="160" customWidth="1"/>
    <col min="5080" max="5080" width="14.42578125" style="160" customWidth="1"/>
    <col min="5081" max="5081" width="4.5703125" style="160" customWidth="1"/>
    <col min="5082" max="5082" width="9.85546875" style="160" customWidth="1"/>
    <col min="5083" max="5083" width="9.5703125" style="160" customWidth="1"/>
    <col min="5084" max="5303" width="7.85546875" style="160"/>
    <col min="5304" max="5305" width="5.140625" style="160" customWidth="1"/>
    <col min="5306" max="5306" width="5.42578125" style="160" customWidth="1"/>
    <col min="5307" max="5307" width="6.5703125" style="160" customWidth="1"/>
    <col min="5308" max="5308" width="8.5703125" style="160" customWidth="1"/>
    <col min="5309" max="5309" width="12.42578125" style="160" customWidth="1"/>
    <col min="5310" max="5310" width="10.5703125" style="160" customWidth="1"/>
    <col min="5311" max="5311" width="9.85546875" style="160" customWidth="1"/>
    <col min="5312" max="5312" width="9.5703125" style="160" customWidth="1"/>
    <col min="5313" max="5318" width="8.140625" style="160" customWidth="1"/>
    <col min="5319" max="5319" width="9.42578125" style="160" customWidth="1"/>
    <col min="5320" max="5320" width="8" style="160" customWidth="1"/>
    <col min="5321" max="5321" width="8.140625" style="160" customWidth="1"/>
    <col min="5322" max="5322" width="7.42578125" style="160" customWidth="1"/>
    <col min="5323" max="5323" width="7.5703125" style="160" customWidth="1"/>
    <col min="5324" max="5331" width="7.85546875" style="160" hidden="1" customWidth="1"/>
    <col min="5332" max="5332" width="9.140625" style="160" customWidth="1"/>
    <col min="5333" max="5333" width="8.5703125" style="160" customWidth="1"/>
    <col min="5334" max="5334" width="10.5703125" style="160" customWidth="1"/>
    <col min="5335" max="5335" width="25.42578125" style="160" customWidth="1"/>
    <col min="5336" max="5336" width="14.42578125" style="160" customWidth="1"/>
    <col min="5337" max="5337" width="4.5703125" style="160" customWidth="1"/>
    <col min="5338" max="5338" width="9.85546875" style="160" customWidth="1"/>
    <col min="5339" max="5339" width="9.5703125" style="160" customWidth="1"/>
    <col min="5340" max="5559" width="7.85546875" style="160"/>
    <col min="5560" max="5561" width="5.140625" style="160" customWidth="1"/>
    <col min="5562" max="5562" width="5.42578125" style="160" customWidth="1"/>
    <col min="5563" max="5563" width="6.5703125" style="160" customWidth="1"/>
    <col min="5564" max="5564" width="8.5703125" style="160" customWidth="1"/>
    <col min="5565" max="5565" width="12.42578125" style="160" customWidth="1"/>
    <col min="5566" max="5566" width="10.5703125" style="160" customWidth="1"/>
    <col min="5567" max="5567" width="9.85546875" style="160" customWidth="1"/>
    <col min="5568" max="5568" width="9.5703125" style="160" customWidth="1"/>
    <col min="5569" max="5574" width="8.140625" style="160" customWidth="1"/>
    <col min="5575" max="5575" width="9.42578125" style="160" customWidth="1"/>
    <col min="5576" max="5576" width="8" style="160" customWidth="1"/>
    <col min="5577" max="5577" width="8.140625" style="160" customWidth="1"/>
    <col min="5578" max="5578" width="7.42578125" style="160" customWidth="1"/>
    <col min="5579" max="5579" width="7.5703125" style="160" customWidth="1"/>
    <col min="5580" max="5587" width="7.85546875" style="160" hidden="1" customWidth="1"/>
    <col min="5588" max="5588" width="9.140625" style="160" customWidth="1"/>
    <col min="5589" max="5589" width="8.5703125" style="160" customWidth="1"/>
    <col min="5590" max="5590" width="10.5703125" style="160" customWidth="1"/>
    <col min="5591" max="5591" width="25.42578125" style="160" customWidth="1"/>
    <col min="5592" max="5592" width="14.42578125" style="160" customWidth="1"/>
    <col min="5593" max="5593" width="4.5703125" style="160" customWidth="1"/>
    <col min="5594" max="5594" width="9.85546875" style="160" customWidth="1"/>
    <col min="5595" max="5595" width="9.5703125" style="160" customWidth="1"/>
    <col min="5596" max="5815" width="7.85546875" style="160"/>
    <col min="5816" max="5817" width="5.140625" style="160" customWidth="1"/>
    <col min="5818" max="5818" width="5.42578125" style="160" customWidth="1"/>
    <col min="5819" max="5819" width="6.5703125" style="160" customWidth="1"/>
    <col min="5820" max="5820" width="8.5703125" style="160" customWidth="1"/>
    <col min="5821" max="5821" width="12.42578125" style="160" customWidth="1"/>
    <col min="5822" max="5822" width="10.5703125" style="160" customWidth="1"/>
    <col min="5823" max="5823" width="9.85546875" style="160" customWidth="1"/>
    <col min="5824" max="5824" width="9.5703125" style="160" customWidth="1"/>
    <col min="5825" max="5830" width="8.140625" style="160" customWidth="1"/>
    <col min="5831" max="5831" width="9.42578125" style="160" customWidth="1"/>
    <col min="5832" max="5832" width="8" style="160" customWidth="1"/>
    <col min="5833" max="5833" width="8.140625" style="160" customWidth="1"/>
    <col min="5834" max="5834" width="7.42578125" style="160" customWidth="1"/>
    <col min="5835" max="5835" width="7.5703125" style="160" customWidth="1"/>
    <col min="5836" max="5843" width="7.85546875" style="160" hidden="1" customWidth="1"/>
    <col min="5844" max="5844" width="9.140625" style="160" customWidth="1"/>
    <col min="5845" max="5845" width="8.5703125" style="160" customWidth="1"/>
    <col min="5846" max="5846" width="10.5703125" style="160" customWidth="1"/>
    <col min="5847" max="5847" width="25.42578125" style="160" customWidth="1"/>
    <col min="5848" max="5848" width="14.42578125" style="160" customWidth="1"/>
    <col min="5849" max="5849" width="4.5703125" style="160" customWidth="1"/>
    <col min="5850" max="5850" width="9.85546875" style="160" customWidth="1"/>
    <col min="5851" max="5851" width="9.5703125" style="160" customWidth="1"/>
    <col min="5852" max="6071" width="7.85546875" style="160"/>
    <col min="6072" max="6073" width="5.140625" style="160" customWidth="1"/>
    <col min="6074" max="6074" width="5.42578125" style="160" customWidth="1"/>
    <col min="6075" max="6075" width="6.5703125" style="160" customWidth="1"/>
    <col min="6076" max="6076" width="8.5703125" style="160" customWidth="1"/>
    <col min="6077" max="6077" width="12.42578125" style="160" customWidth="1"/>
    <col min="6078" max="6078" width="10.5703125" style="160" customWidth="1"/>
    <col min="6079" max="6079" width="9.85546875" style="160" customWidth="1"/>
    <col min="6080" max="6080" width="9.5703125" style="160" customWidth="1"/>
    <col min="6081" max="6086" width="8.140625" style="160" customWidth="1"/>
    <col min="6087" max="6087" width="9.42578125" style="160" customWidth="1"/>
    <col min="6088" max="6088" width="8" style="160" customWidth="1"/>
    <col min="6089" max="6089" width="8.140625" style="160" customWidth="1"/>
    <col min="6090" max="6090" width="7.42578125" style="160" customWidth="1"/>
    <col min="6091" max="6091" width="7.5703125" style="160" customWidth="1"/>
    <col min="6092" max="6099" width="7.85546875" style="160" hidden="1" customWidth="1"/>
    <col min="6100" max="6100" width="9.140625" style="160" customWidth="1"/>
    <col min="6101" max="6101" width="8.5703125" style="160" customWidth="1"/>
    <col min="6102" max="6102" width="10.5703125" style="160" customWidth="1"/>
    <col min="6103" max="6103" width="25.42578125" style="160" customWidth="1"/>
    <col min="6104" max="6104" width="14.42578125" style="160" customWidth="1"/>
    <col min="6105" max="6105" width="4.5703125" style="160" customWidth="1"/>
    <col min="6106" max="6106" width="9.85546875" style="160" customWidth="1"/>
    <col min="6107" max="6107" width="9.5703125" style="160" customWidth="1"/>
    <col min="6108" max="6327" width="7.85546875" style="160"/>
    <col min="6328" max="6329" width="5.140625" style="160" customWidth="1"/>
    <col min="6330" max="6330" width="5.42578125" style="160" customWidth="1"/>
    <col min="6331" max="6331" width="6.5703125" style="160" customWidth="1"/>
    <col min="6332" max="6332" width="8.5703125" style="160" customWidth="1"/>
    <col min="6333" max="6333" width="12.42578125" style="160" customWidth="1"/>
    <col min="6334" max="6334" width="10.5703125" style="160" customWidth="1"/>
    <col min="6335" max="6335" width="9.85546875" style="160" customWidth="1"/>
    <col min="6336" max="6336" width="9.5703125" style="160" customWidth="1"/>
    <col min="6337" max="6342" width="8.140625" style="160" customWidth="1"/>
    <col min="6343" max="6343" width="9.42578125" style="160" customWidth="1"/>
    <col min="6344" max="6344" width="8" style="160" customWidth="1"/>
    <col min="6345" max="6345" width="8.140625" style="160" customWidth="1"/>
    <col min="6346" max="6346" width="7.42578125" style="160" customWidth="1"/>
    <col min="6347" max="6347" width="7.5703125" style="160" customWidth="1"/>
    <col min="6348" max="6355" width="7.85546875" style="160" hidden="1" customWidth="1"/>
    <col min="6356" max="6356" width="9.140625" style="160" customWidth="1"/>
    <col min="6357" max="6357" width="8.5703125" style="160" customWidth="1"/>
    <col min="6358" max="6358" width="10.5703125" style="160" customWidth="1"/>
    <col min="6359" max="6359" width="25.42578125" style="160" customWidth="1"/>
    <col min="6360" max="6360" width="14.42578125" style="160" customWidth="1"/>
    <col min="6361" max="6361" width="4.5703125" style="160" customWidth="1"/>
    <col min="6362" max="6362" width="9.85546875" style="160" customWidth="1"/>
    <col min="6363" max="6363" width="9.5703125" style="160" customWidth="1"/>
    <col min="6364" max="6583" width="7.85546875" style="160"/>
    <col min="6584" max="6585" width="5.140625" style="160" customWidth="1"/>
    <col min="6586" max="6586" width="5.42578125" style="160" customWidth="1"/>
    <col min="6587" max="6587" width="6.5703125" style="160" customWidth="1"/>
    <col min="6588" max="6588" width="8.5703125" style="160" customWidth="1"/>
    <col min="6589" max="6589" width="12.42578125" style="160" customWidth="1"/>
    <col min="6590" max="6590" width="10.5703125" style="160" customWidth="1"/>
    <col min="6591" max="6591" width="9.85546875" style="160" customWidth="1"/>
    <col min="6592" max="6592" width="9.5703125" style="160" customWidth="1"/>
    <col min="6593" max="6598" width="8.140625" style="160" customWidth="1"/>
    <col min="6599" max="6599" width="9.42578125" style="160" customWidth="1"/>
    <col min="6600" max="6600" width="8" style="160" customWidth="1"/>
    <col min="6601" max="6601" width="8.140625" style="160" customWidth="1"/>
    <col min="6602" max="6602" width="7.42578125" style="160" customWidth="1"/>
    <col min="6603" max="6603" width="7.5703125" style="160" customWidth="1"/>
    <col min="6604" max="6611" width="7.85546875" style="160" hidden="1" customWidth="1"/>
    <col min="6612" max="6612" width="9.140625" style="160" customWidth="1"/>
    <col min="6613" max="6613" width="8.5703125" style="160" customWidth="1"/>
    <col min="6614" max="6614" width="10.5703125" style="160" customWidth="1"/>
    <col min="6615" max="6615" width="25.42578125" style="160" customWidth="1"/>
    <col min="6616" max="6616" width="14.42578125" style="160" customWidth="1"/>
    <col min="6617" max="6617" width="4.5703125" style="160" customWidth="1"/>
    <col min="6618" max="6618" width="9.85546875" style="160" customWidth="1"/>
    <col min="6619" max="6619" width="9.5703125" style="160" customWidth="1"/>
    <col min="6620" max="6839" width="7.85546875" style="160"/>
    <col min="6840" max="6841" width="5.140625" style="160" customWidth="1"/>
    <col min="6842" max="6842" width="5.42578125" style="160" customWidth="1"/>
    <col min="6843" max="6843" width="6.5703125" style="160" customWidth="1"/>
    <col min="6844" max="6844" width="8.5703125" style="160" customWidth="1"/>
    <col min="6845" max="6845" width="12.42578125" style="160" customWidth="1"/>
    <col min="6846" max="6846" width="10.5703125" style="160" customWidth="1"/>
    <col min="6847" max="6847" width="9.85546875" style="160" customWidth="1"/>
    <col min="6848" max="6848" width="9.5703125" style="160" customWidth="1"/>
    <col min="6849" max="6854" width="8.140625" style="160" customWidth="1"/>
    <col min="6855" max="6855" width="9.42578125" style="160" customWidth="1"/>
    <col min="6856" max="6856" width="8" style="160" customWidth="1"/>
    <col min="6857" max="6857" width="8.140625" style="160" customWidth="1"/>
    <col min="6858" max="6858" width="7.42578125" style="160" customWidth="1"/>
    <col min="6859" max="6859" width="7.5703125" style="160" customWidth="1"/>
    <col min="6860" max="6867" width="7.85546875" style="160" hidden="1" customWidth="1"/>
    <col min="6868" max="6868" width="9.140625" style="160" customWidth="1"/>
    <col min="6869" max="6869" width="8.5703125" style="160" customWidth="1"/>
    <col min="6870" max="6870" width="10.5703125" style="160" customWidth="1"/>
    <col min="6871" max="6871" width="25.42578125" style="160" customWidth="1"/>
    <col min="6872" max="6872" width="14.42578125" style="160" customWidth="1"/>
    <col min="6873" max="6873" width="4.5703125" style="160" customWidth="1"/>
    <col min="6874" max="6874" width="9.85546875" style="160" customWidth="1"/>
    <col min="6875" max="6875" width="9.5703125" style="160" customWidth="1"/>
    <col min="6876" max="7095" width="7.85546875" style="160"/>
    <col min="7096" max="7097" width="5.140625" style="160" customWidth="1"/>
    <col min="7098" max="7098" width="5.42578125" style="160" customWidth="1"/>
    <col min="7099" max="7099" width="6.5703125" style="160" customWidth="1"/>
    <col min="7100" max="7100" width="8.5703125" style="160" customWidth="1"/>
    <col min="7101" max="7101" width="12.42578125" style="160" customWidth="1"/>
    <col min="7102" max="7102" width="10.5703125" style="160" customWidth="1"/>
    <col min="7103" max="7103" width="9.85546875" style="160" customWidth="1"/>
    <col min="7104" max="7104" width="9.5703125" style="160" customWidth="1"/>
    <col min="7105" max="7110" width="8.140625" style="160" customWidth="1"/>
    <col min="7111" max="7111" width="9.42578125" style="160" customWidth="1"/>
    <col min="7112" max="7112" width="8" style="160" customWidth="1"/>
    <col min="7113" max="7113" width="8.140625" style="160" customWidth="1"/>
    <col min="7114" max="7114" width="7.42578125" style="160" customWidth="1"/>
    <col min="7115" max="7115" width="7.5703125" style="160" customWidth="1"/>
    <col min="7116" max="7123" width="7.85546875" style="160" hidden="1" customWidth="1"/>
    <col min="7124" max="7124" width="9.140625" style="160" customWidth="1"/>
    <col min="7125" max="7125" width="8.5703125" style="160" customWidth="1"/>
    <col min="7126" max="7126" width="10.5703125" style="160" customWidth="1"/>
    <col min="7127" max="7127" width="25.42578125" style="160" customWidth="1"/>
    <col min="7128" max="7128" width="14.42578125" style="160" customWidth="1"/>
    <col min="7129" max="7129" width="4.5703125" style="160" customWidth="1"/>
    <col min="7130" max="7130" width="9.85546875" style="160" customWidth="1"/>
    <col min="7131" max="7131" width="9.5703125" style="160" customWidth="1"/>
    <col min="7132" max="7351" width="7.85546875" style="160"/>
    <col min="7352" max="7353" width="5.140625" style="160" customWidth="1"/>
    <col min="7354" max="7354" width="5.42578125" style="160" customWidth="1"/>
    <col min="7355" max="7355" width="6.5703125" style="160" customWidth="1"/>
    <col min="7356" max="7356" width="8.5703125" style="160" customWidth="1"/>
    <col min="7357" max="7357" width="12.42578125" style="160" customWidth="1"/>
    <col min="7358" max="7358" width="10.5703125" style="160" customWidth="1"/>
    <col min="7359" max="7359" width="9.85546875" style="160" customWidth="1"/>
    <col min="7360" max="7360" width="9.5703125" style="160" customWidth="1"/>
    <col min="7361" max="7366" width="8.140625" style="160" customWidth="1"/>
    <col min="7367" max="7367" width="9.42578125" style="160" customWidth="1"/>
    <col min="7368" max="7368" width="8" style="160" customWidth="1"/>
    <col min="7369" max="7369" width="8.140625" style="160" customWidth="1"/>
    <col min="7370" max="7370" width="7.42578125" style="160" customWidth="1"/>
    <col min="7371" max="7371" width="7.5703125" style="160" customWidth="1"/>
    <col min="7372" max="7379" width="7.85546875" style="160" hidden="1" customWidth="1"/>
    <col min="7380" max="7380" width="9.140625" style="160" customWidth="1"/>
    <col min="7381" max="7381" width="8.5703125" style="160" customWidth="1"/>
    <col min="7382" max="7382" width="10.5703125" style="160" customWidth="1"/>
    <col min="7383" max="7383" width="25.42578125" style="160" customWidth="1"/>
    <col min="7384" max="7384" width="14.42578125" style="160" customWidth="1"/>
    <col min="7385" max="7385" width="4.5703125" style="160" customWidth="1"/>
    <col min="7386" max="7386" width="9.85546875" style="160" customWidth="1"/>
    <col min="7387" max="7387" width="9.5703125" style="160" customWidth="1"/>
    <col min="7388" max="7607" width="7.85546875" style="160"/>
    <col min="7608" max="7609" width="5.140625" style="160" customWidth="1"/>
    <col min="7610" max="7610" width="5.42578125" style="160" customWidth="1"/>
    <col min="7611" max="7611" width="6.5703125" style="160" customWidth="1"/>
    <col min="7612" max="7612" width="8.5703125" style="160" customWidth="1"/>
    <col min="7613" max="7613" width="12.42578125" style="160" customWidth="1"/>
    <col min="7614" max="7614" width="10.5703125" style="160" customWidth="1"/>
    <col min="7615" max="7615" width="9.85546875" style="160" customWidth="1"/>
    <col min="7616" max="7616" width="9.5703125" style="160" customWidth="1"/>
    <col min="7617" max="7622" width="8.140625" style="160" customWidth="1"/>
    <col min="7623" max="7623" width="9.42578125" style="160" customWidth="1"/>
    <col min="7624" max="7624" width="8" style="160" customWidth="1"/>
    <col min="7625" max="7625" width="8.140625" style="160" customWidth="1"/>
    <col min="7626" max="7626" width="7.42578125" style="160" customWidth="1"/>
    <col min="7627" max="7627" width="7.5703125" style="160" customWidth="1"/>
    <col min="7628" max="7635" width="7.85546875" style="160" hidden="1" customWidth="1"/>
    <col min="7636" max="7636" width="9.140625" style="160" customWidth="1"/>
    <col min="7637" max="7637" width="8.5703125" style="160" customWidth="1"/>
    <col min="7638" max="7638" width="10.5703125" style="160" customWidth="1"/>
    <col min="7639" max="7639" width="25.42578125" style="160" customWidth="1"/>
    <col min="7640" max="7640" width="14.42578125" style="160" customWidth="1"/>
    <col min="7641" max="7641" width="4.5703125" style="160" customWidth="1"/>
    <col min="7642" max="7642" width="9.85546875" style="160" customWidth="1"/>
    <col min="7643" max="7643" width="9.5703125" style="160" customWidth="1"/>
    <col min="7644" max="7863" width="7.85546875" style="160"/>
    <col min="7864" max="7865" width="5.140625" style="160" customWidth="1"/>
    <col min="7866" max="7866" width="5.42578125" style="160" customWidth="1"/>
    <col min="7867" max="7867" width="6.5703125" style="160" customWidth="1"/>
    <col min="7868" max="7868" width="8.5703125" style="160" customWidth="1"/>
    <col min="7869" max="7869" width="12.42578125" style="160" customWidth="1"/>
    <col min="7870" max="7870" width="10.5703125" style="160" customWidth="1"/>
    <col min="7871" max="7871" width="9.85546875" style="160" customWidth="1"/>
    <col min="7872" max="7872" width="9.5703125" style="160" customWidth="1"/>
    <col min="7873" max="7878" width="8.140625" style="160" customWidth="1"/>
    <col min="7879" max="7879" width="9.42578125" style="160" customWidth="1"/>
    <col min="7880" max="7880" width="8" style="160" customWidth="1"/>
    <col min="7881" max="7881" width="8.140625" style="160" customWidth="1"/>
    <col min="7882" max="7882" width="7.42578125" style="160" customWidth="1"/>
    <col min="7883" max="7883" width="7.5703125" style="160" customWidth="1"/>
    <col min="7884" max="7891" width="7.85546875" style="160" hidden="1" customWidth="1"/>
    <col min="7892" max="7892" width="9.140625" style="160" customWidth="1"/>
    <col min="7893" max="7893" width="8.5703125" style="160" customWidth="1"/>
    <col min="7894" max="7894" width="10.5703125" style="160" customWidth="1"/>
    <col min="7895" max="7895" width="25.42578125" style="160" customWidth="1"/>
    <col min="7896" max="7896" width="14.42578125" style="160" customWidth="1"/>
    <col min="7897" max="7897" width="4.5703125" style="160" customWidth="1"/>
    <col min="7898" max="7898" width="9.85546875" style="160" customWidth="1"/>
    <col min="7899" max="7899" width="9.5703125" style="160" customWidth="1"/>
    <col min="7900" max="8119" width="7.85546875" style="160"/>
    <col min="8120" max="8121" width="5.140625" style="160" customWidth="1"/>
    <col min="8122" max="8122" width="5.42578125" style="160" customWidth="1"/>
    <col min="8123" max="8123" width="6.5703125" style="160" customWidth="1"/>
    <col min="8124" max="8124" width="8.5703125" style="160" customWidth="1"/>
    <col min="8125" max="8125" width="12.42578125" style="160" customWidth="1"/>
    <col min="8126" max="8126" width="10.5703125" style="160" customWidth="1"/>
    <col min="8127" max="8127" width="9.85546875" style="160" customWidth="1"/>
    <col min="8128" max="8128" width="9.5703125" style="160" customWidth="1"/>
    <col min="8129" max="8134" width="8.140625" style="160" customWidth="1"/>
    <col min="8135" max="8135" width="9.42578125" style="160" customWidth="1"/>
    <col min="8136" max="8136" width="8" style="160" customWidth="1"/>
    <col min="8137" max="8137" width="8.140625" style="160" customWidth="1"/>
    <col min="8138" max="8138" width="7.42578125" style="160" customWidth="1"/>
    <col min="8139" max="8139" width="7.5703125" style="160" customWidth="1"/>
    <col min="8140" max="8147" width="7.85546875" style="160" hidden="1" customWidth="1"/>
    <col min="8148" max="8148" width="9.140625" style="160" customWidth="1"/>
    <col min="8149" max="8149" width="8.5703125" style="160" customWidth="1"/>
    <col min="8150" max="8150" width="10.5703125" style="160" customWidth="1"/>
    <col min="8151" max="8151" width="25.42578125" style="160" customWidth="1"/>
    <col min="8152" max="8152" width="14.42578125" style="160" customWidth="1"/>
    <col min="8153" max="8153" width="4.5703125" style="160" customWidth="1"/>
    <col min="8154" max="8154" width="9.85546875" style="160" customWidth="1"/>
    <col min="8155" max="8155" width="9.5703125" style="160" customWidth="1"/>
    <col min="8156" max="8375" width="7.85546875" style="160"/>
    <col min="8376" max="8377" width="5.140625" style="160" customWidth="1"/>
    <col min="8378" max="8378" width="5.42578125" style="160" customWidth="1"/>
    <col min="8379" max="8379" width="6.5703125" style="160" customWidth="1"/>
    <col min="8380" max="8380" width="8.5703125" style="160" customWidth="1"/>
    <col min="8381" max="8381" width="12.42578125" style="160" customWidth="1"/>
    <col min="8382" max="8382" width="10.5703125" style="160" customWidth="1"/>
    <col min="8383" max="8383" width="9.85546875" style="160" customWidth="1"/>
    <col min="8384" max="8384" width="9.5703125" style="160" customWidth="1"/>
    <col min="8385" max="8390" width="8.140625" style="160" customWidth="1"/>
    <col min="8391" max="8391" width="9.42578125" style="160" customWidth="1"/>
    <col min="8392" max="8392" width="8" style="160" customWidth="1"/>
    <col min="8393" max="8393" width="8.140625" style="160" customWidth="1"/>
    <col min="8394" max="8394" width="7.42578125" style="160" customWidth="1"/>
    <col min="8395" max="8395" width="7.5703125" style="160" customWidth="1"/>
    <col min="8396" max="8403" width="7.85546875" style="160" hidden="1" customWidth="1"/>
    <col min="8404" max="8404" width="9.140625" style="160" customWidth="1"/>
    <col min="8405" max="8405" width="8.5703125" style="160" customWidth="1"/>
    <col min="8406" max="8406" width="10.5703125" style="160" customWidth="1"/>
    <col min="8407" max="8407" width="25.42578125" style="160" customWidth="1"/>
    <col min="8408" max="8408" width="14.42578125" style="160" customWidth="1"/>
    <col min="8409" max="8409" width="4.5703125" style="160" customWidth="1"/>
    <col min="8410" max="8410" width="9.85546875" style="160" customWidth="1"/>
    <col min="8411" max="8411" width="9.5703125" style="160" customWidth="1"/>
    <col min="8412" max="8631" width="7.85546875" style="160"/>
    <col min="8632" max="8633" width="5.140625" style="160" customWidth="1"/>
    <col min="8634" max="8634" width="5.42578125" style="160" customWidth="1"/>
    <col min="8635" max="8635" width="6.5703125" style="160" customWidth="1"/>
    <col min="8636" max="8636" width="8.5703125" style="160" customWidth="1"/>
    <col min="8637" max="8637" width="12.42578125" style="160" customWidth="1"/>
    <col min="8638" max="8638" width="10.5703125" style="160" customWidth="1"/>
    <col min="8639" max="8639" width="9.85546875" style="160" customWidth="1"/>
    <col min="8640" max="8640" width="9.5703125" style="160" customWidth="1"/>
    <col min="8641" max="8646" width="8.140625" style="160" customWidth="1"/>
    <col min="8647" max="8647" width="9.42578125" style="160" customWidth="1"/>
    <col min="8648" max="8648" width="8" style="160" customWidth="1"/>
    <col min="8649" max="8649" width="8.140625" style="160" customWidth="1"/>
    <col min="8650" max="8650" width="7.42578125" style="160" customWidth="1"/>
    <col min="8651" max="8651" width="7.5703125" style="160" customWidth="1"/>
    <col min="8652" max="8659" width="7.85546875" style="160" hidden="1" customWidth="1"/>
    <col min="8660" max="8660" width="9.140625" style="160" customWidth="1"/>
    <col min="8661" max="8661" width="8.5703125" style="160" customWidth="1"/>
    <col min="8662" max="8662" width="10.5703125" style="160" customWidth="1"/>
    <col min="8663" max="8663" width="25.42578125" style="160" customWidth="1"/>
    <col min="8664" max="8664" width="14.42578125" style="160" customWidth="1"/>
    <col min="8665" max="8665" width="4.5703125" style="160" customWidth="1"/>
    <col min="8666" max="8666" width="9.85546875" style="160" customWidth="1"/>
    <col min="8667" max="8667" width="9.5703125" style="160" customWidth="1"/>
    <col min="8668" max="8887" width="7.85546875" style="160"/>
    <col min="8888" max="8889" width="5.140625" style="160" customWidth="1"/>
    <col min="8890" max="8890" width="5.42578125" style="160" customWidth="1"/>
    <col min="8891" max="8891" width="6.5703125" style="160" customWidth="1"/>
    <col min="8892" max="8892" width="8.5703125" style="160" customWidth="1"/>
    <col min="8893" max="8893" width="12.42578125" style="160" customWidth="1"/>
    <col min="8894" max="8894" width="10.5703125" style="160" customWidth="1"/>
    <col min="8895" max="8895" width="9.85546875" style="160" customWidth="1"/>
    <col min="8896" max="8896" width="9.5703125" style="160" customWidth="1"/>
    <col min="8897" max="8902" width="8.140625" style="160" customWidth="1"/>
    <col min="8903" max="8903" width="9.42578125" style="160" customWidth="1"/>
    <col min="8904" max="8904" width="8" style="160" customWidth="1"/>
    <col min="8905" max="8905" width="8.140625" style="160" customWidth="1"/>
    <col min="8906" max="8906" width="7.42578125" style="160" customWidth="1"/>
    <col min="8907" max="8907" width="7.5703125" style="160" customWidth="1"/>
    <col min="8908" max="8915" width="7.85546875" style="160" hidden="1" customWidth="1"/>
    <col min="8916" max="8916" width="9.140625" style="160" customWidth="1"/>
    <col min="8917" max="8917" width="8.5703125" style="160" customWidth="1"/>
    <col min="8918" max="8918" width="10.5703125" style="160" customWidth="1"/>
    <col min="8919" max="8919" width="25.42578125" style="160" customWidth="1"/>
    <col min="8920" max="8920" width="14.42578125" style="160" customWidth="1"/>
    <col min="8921" max="8921" width="4.5703125" style="160" customWidth="1"/>
    <col min="8922" max="8922" width="9.85546875" style="160" customWidth="1"/>
    <col min="8923" max="8923" width="9.5703125" style="160" customWidth="1"/>
    <col min="8924" max="9143" width="7.85546875" style="160"/>
    <col min="9144" max="9145" width="5.140625" style="160" customWidth="1"/>
    <col min="9146" max="9146" width="5.42578125" style="160" customWidth="1"/>
    <col min="9147" max="9147" width="6.5703125" style="160" customWidth="1"/>
    <col min="9148" max="9148" width="8.5703125" style="160" customWidth="1"/>
    <col min="9149" max="9149" width="12.42578125" style="160" customWidth="1"/>
    <col min="9150" max="9150" width="10.5703125" style="160" customWidth="1"/>
    <col min="9151" max="9151" width="9.85546875" style="160" customWidth="1"/>
    <col min="9152" max="9152" width="9.5703125" style="160" customWidth="1"/>
    <col min="9153" max="9158" width="8.140625" style="160" customWidth="1"/>
    <col min="9159" max="9159" width="9.42578125" style="160" customWidth="1"/>
    <col min="9160" max="9160" width="8" style="160" customWidth="1"/>
    <col min="9161" max="9161" width="8.140625" style="160" customWidth="1"/>
    <col min="9162" max="9162" width="7.42578125" style="160" customWidth="1"/>
    <col min="9163" max="9163" width="7.5703125" style="160" customWidth="1"/>
    <col min="9164" max="9171" width="7.85546875" style="160" hidden="1" customWidth="1"/>
    <col min="9172" max="9172" width="9.140625" style="160" customWidth="1"/>
    <col min="9173" max="9173" width="8.5703125" style="160" customWidth="1"/>
    <col min="9174" max="9174" width="10.5703125" style="160" customWidth="1"/>
    <col min="9175" max="9175" width="25.42578125" style="160" customWidth="1"/>
    <col min="9176" max="9176" width="14.42578125" style="160" customWidth="1"/>
    <col min="9177" max="9177" width="4.5703125" style="160" customWidth="1"/>
    <col min="9178" max="9178" width="9.85546875" style="160" customWidth="1"/>
    <col min="9179" max="9179" width="9.5703125" style="160" customWidth="1"/>
    <col min="9180" max="9399" width="7.85546875" style="160"/>
    <col min="9400" max="9401" width="5.140625" style="160" customWidth="1"/>
    <col min="9402" max="9402" width="5.42578125" style="160" customWidth="1"/>
    <col min="9403" max="9403" width="6.5703125" style="160" customWidth="1"/>
    <col min="9404" max="9404" width="8.5703125" style="160" customWidth="1"/>
    <col min="9405" max="9405" width="12.42578125" style="160" customWidth="1"/>
    <col min="9406" max="9406" width="10.5703125" style="160" customWidth="1"/>
    <col min="9407" max="9407" width="9.85546875" style="160" customWidth="1"/>
    <col min="9408" max="9408" width="9.5703125" style="160" customWidth="1"/>
    <col min="9409" max="9414" width="8.140625" style="160" customWidth="1"/>
    <col min="9415" max="9415" width="9.42578125" style="160" customWidth="1"/>
    <col min="9416" max="9416" width="8" style="160" customWidth="1"/>
    <col min="9417" max="9417" width="8.140625" style="160" customWidth="1"/>
    <col min="9418" max="9418" width="7.42578125" style="160" customWidth="1"/>
    <col min="9419" max="9419" width="7.5703125" style="160" customWidth="1"/>
    <col min="9420" max="9427" width="7.85546875" style="160" hidden="1" customWidth="1"/>
    <col min="9428" max="9428" width="9.140625" style="160" customWidth="1"/>
    <col min="9429" max="9429" width="8.5703125" style="160" customWidth="1"/>
    <col min="9430" max="9430" width="10.5703125" style="160" customWidth="1"/>
    <col min="9431" max="9431" width="25.42578125" style="160" customWidth="1"/>
    <col min="9432" max="9432" width="14.42578125" style="160" customWidth="1"/>
    <col min="9433" max="9433" width="4.5703125" style="160" customWidth="1"/>
    <col min="9434" max="9434" width="9.85546875" style="160" customWidth="1"/>
    <col min="9435" max="9435" width="9.5703125" style="160" customWidth="1"/>
    <col min="9436" max="9655" width="7.85546875" style="160"/>
    <col min="9656" max="9657" width="5.140625" style="160" customWidth="1"/>
    <col min="9658" max="9658" width="5.42578125" style="160" customWidth="1"/>
    <col min="9659" max="9659" width="6.5703125" style="160" customWidth="1"/>
    <col min="9660" max="9660" width="8.5703125" style="160" customWidth="1"/>
    <col min="9661" max="9661" width="12.42578125" style="160" customWidth="1"/>
    <col min="9662" max="9662" width="10.5703125" style="160" customWidth="1"/>
    <col min="9663" max="9663" width="9.85546875" style="160" customWidth="1"/>
    <col min="9664" max="9664" width="9.5703125" style="160" customWidth="1"/>
    <col min="9665" max="9670" width="8.140625" style="160" customWidth="1"/>
    <col min="9671" max="9671" width="9.42578125" style="160" customWidth="1"/>
    <col min="9672" max="9672" width="8" style="160" customWidth="1"/>
    <col min="9673" max="9673" width="8.140625" style="160" customWidth="1"/>
    <col min="9674" max="9674" width="7.42578125" style="160" customWidth="1"/>
    <col min="9675" max="9675" width="7.5703125" style="160" customWidth="1"/>
    <col min="9676" max="9683" width="7.85546875" style="160" hidden="1" customWidth="1"/>
    <col min="9684" max="9684" width="9.140625" style="160" customWidth="1"/>
    <col min="9685" max="9685" width="8.5703125" style="160" customWidth="1"/>
    <col min="9686" max="9686" width="10.5703125" style="160" customWidth="1"/>
    <col min="9687" max="9687" width="25.42578125" style="160" customWidth="1"/>
    <col min="9688" max="9688" width="14.42578125" style="160" customWidth="1"/>
    <col min="9689" max="9689" width="4.5703125" style="160" customWidth="1"/>
    <col min="9690" max="9690" width="9.85546875" style="160" customWidth="1"/>
    <col min="9691" max="9691" width="9.5703125" style="160" customWidth="1"/>
    <col min="9692" max="9911" width="7.85546875" style="160"/>
    <col min="9912" max="9913" width="5.140625" style="160" customWidth="1"/>
    <col min="9914" max="9914" width="5.42578125" style="160" customWidth="1"/>
    <col min="9915" max="9915" width="6.5703125" style="160" customWidth="1"/>
    <col min="9916" max="9916" width="8.5703125" style="160" customWidth="1"/>
    <col min="9917" max="9917" width="12.42578125" style="160" customWidth="1"/>
    <col min="9918" max="9918" width="10.5703125" style="160" customWidth="1"/>
    <col min="9919" max="9919" width="9.85546875" style="160" customWidth="1"/>
    <col min="9920" max="9920" width="9.5703125" style="160" customWidth="1"/>
    <col min="9921" max="9926" width="8.140625" style="160" customWidth="1"/>
    <col min="9927" max="9927" width="9.42578125" style="160" customWidth="1"/>
    <col min="9928" max="9928" width="8" style="160" customWidth="1"/>
    <col min="9929" max="9929" width="8.140625" style="160" customWidth="1"/>
    <col min="9930" max="9930" width="7.42578125" style="160" customWidth="1"/>
    <col min="9931" max="9931" width="7.5703125" style="160" customWidth="1"/>
    <col min="9932" max="9939" width="7.85546875" style="160" hidden="1" customWidth="1"/>
    <col min="9940" max="9940" width="9.140625" style="160" customWidth="1"/>
    <col min="9941" max="9941" width="8.5703125" style="160" customWidth="1"/>
    <col min="9942" max="9942" width="10.5703125" style="160" customWidth="1"/>
    <col min="9943" max="9943" width="25.42578125" style="160" customWidth="1"/>
    <col min="9944" max="9944" width="14.42578125" style="160" customWidth="1"/>
    <col min="9945" max="9945" width="4.5703125" style="160" customWidth="1"/>
    <col min="9946" max="9946" width="9.85546875" style="160" customWidth="1"/>
    <col min="9947" max="9947" width="9.5703125" style="160" customWidth="1"/>
    <col min="9948" max="10167" width="7.85546875" style="160"/>
    <col min="10168" max="10169" width="5.140625" style="160" customWidth="1"/>
    <col min="10170" max="10170" width="5.42578125" style="160" customWidth="1"/>
    <col min="10171" max="10171" width="6.5703125" style="160" customWidth="1"/>
    <col min="10172" max="10172" width="8.5703125" style="160" customWidth="1"/>
    <col min="10173" max="10173" width="12.42578125" style="160" customWidth="1"/>
    <col min="10174" max="10174" width="10.5703125" style="160" customWidth="1"/>
    <col min="10175" max="10175" width="9.85546875" style="160" customWidth="1"/>
    <col min="10176" max="10176" width="9.5703125" style="160" customWidth="1"/>
    <col min="10177" max="10182" width="8.140625" style="160" customWidth="1"/>
    <col min="10183" max="10183" width="9.42578125" style="160" customWidth="1"/>
    <col min="10184" max="10184" width="8" style="160" customWidth="1"/>
    <col min="10185" max="10185" width="8.140625" style="160" customWidth="1"/>
    <col min="10186" max="10186" width="7.42578125" style="160" customWidth="1"/>
    <col min="10187" max="10187" width="7.5703125" style="160" customWidth="1"/>
    <col min="10188" max="10195" width="7.85546875" style="160" hidden="1" customWidth="1"/>
    <col min="10196" max="10196" width="9.140625" style="160" customWidth="1"/>
    <col min="10197" max="10197" width="8.5703125" style="160" customWidth="1"/>
    <col min="10198" max="10198" width="10.5703125" style="160" customWidth="1"/>
    <col min="10199" max="10199" width="25.42578125" style="160" customWidth="1"/>
    <col min="10200" max="10200" width="14.42578125" style="160" customWidth="1"/>
    <col min="10201" max="10201" width="4.5703125" style="160" customWidth="1"/>
    <col min="10202" max="10202" width="9.85546875" style="160" customWidth="1"/>
    <col min="10203" max="10203" width="9.5703125" style="160" customWidth="1"/>
    <col min="10204" max="10423" width="7.85546875" style="160"/>
    <col min="10424" max="10425" width="5.140625" style="160" customWidth="1"/>
    <col min="10426" max="10426" width="5.42578125" style="160" customWidth="1"/>
    <col min="10427" max="10427" width="6.5703125" style="160" customWidth="1"/>
    <col min="10428" max="10428" width="8.5703125" style="160" customWidth="1"/>
    <col min="10429" max="10429" width="12.42578125" style="160" customWidth="1"/>
    <col min="10430" max="10430" width="10.5703125" style="160" customWidth="1"/>
    <col min="10431" max="10431" width="9.85546875" style="160" customWidth="1"/>
    <col min="10432" max="10432" width="9.5703125" style="160" customWidth="1"/>
    <col min="10433" max="10438" width="8.140625" style="160" customWidth="1"/>
    <col min="10439" max="10439" width="9.42578125" style="160" customWidth="1"/>
    <col min="10440" max="10440" width="8" style="160" customWidth="1"/>
    <col min="10441" max="10441" width="8.140625" style="160" customWidth="1"/>
    <col min="10442" max="10442" width="7.42578125" style="160" customWidth="1"/>
    <col min="10443" max="10443" width="7.5703125" style="160" customWidth="1"/>
    <col min="10444" max="10451" width="7.85546875" style="160" hidden="1" customWidth="1"/>
    <col min="10452" max="10452" width="9.140625" style="160" customWidth="1"/>
    <col min="10453" max="10453" width="8.5703125" style="160" customWidth="1"/>
    <col min="10454" max="10454" width="10.5703125" style="160" customWidth="1"/>
    <col min="10455" max="10455" width="25.42578125" style="160" customWidth="1"/>
    <col min="10456" max="10456" width="14.42578125" style="160" customWidth="1"/>
    <col min="10457" max="10457" width="4.5703125" style="160" customWidth="1"/>
    <col min="10458" max="10458" width="9.85546875" style="160" customWidth="1"/>
    <col min="10459" max="10459" width="9.5703125" style="160" customWidth="1"/>
    <col min="10460" max="10679" width="7.85546875" style="160"/>
    <col min="10680" max="10681" width="5.140625" style="160" customWidth="1"/>
    <col min="10682" max="10682" width="5.42578125" style="160" customWidth="1"/>
    <col min="10683" max="10683" width="6.5703125" style="160" customWidth="1"/>
    <col min="10684" max="10684" width="8.5703125" style="160" customWidth="1"/>
    <col min="10685" max="10685" width="12.42578125" style="160" customWidth="1"/>
    <col min="10686" max="10686" width="10.5703125" style="160" customWidth="1"/>
    <col min="10687" max="10687" width="9.85546875" style="160" customWidth="1"/>
    <col min="10688" max="10688" width="9.5703125" style="160" customWidth="1"/>
    <col min="10689" max="10694" width="8.140625" style="160" customWidth="1"/>
    <col min="10695" max="10695" width="9.42578125" style="160" customWidth="1"/>
    <col min="10696" max="10696" width="8" style="160" customWidth="1"/>
    <col min="10697" max="10697" width="8.140625" style="160" customWidth="1"/>
    <col min="10698" max="10698" width="7.42578125" style="160" customWidth="1"/>
    <col min="10699" max="10699" width="7.5703125" style="160" customWidth="1"/>
    <col min="10700" max="10707" width="7.85546875" style="160" hidden="1" customWidth="1"/>
    <col min="10708" max="10708" width="9.140625" style="160" customWidth="1"/>
    <col min="10709" max="10709" width="8.5703125" style="160" customWidth="1"/>
    <col min="10710" max="10710" width="10.5703125" style="160" customWidth="1"/>
    <col min="10711" max="10711" width="25.42578125" style="160" customWidth="1"/>
    <col min="10712" max="10712" width="14.42578125" style="160" customWidth="1"/>
    <col min="10713" max="10713" width="4.5703125" style="160" customWidth="1"/>
    <col min="10714" max="10714" width="9.85546875" style="160" customWidth="1"/>
    <col min="10715" max="10715" width="9.5703125" style="160" customWidth="1"/>
    <col min="10716" max="10935" width="7.85546875" style="160"/>
    <col min="10936" max="10937" width="5.140625" style="160" customWidth="1"/>
    <col min="10938" max="10938" width="5.42578125" style="160" customWidth="1"/>
    <col min="10939" max="10939" width="6.5703125" style="160" customWidth="1"/>
    <col min="10940" max="10940" width="8.5703125" style="160" customWidth="1"/>
    <col min="10941" max="10941" width="12.42578125" style="160" customWidth="1"/>
    <col min="10942" max="10942" width="10.5703125" style="160" customWidth="1"/>
    <col min="10943" max="10943" width="9.85546875" style="160" customWidth="1"/>
    <col min="10944" max="10944" width="9.5703125" style="160" customWidth="1"/>
    <col min="10945" max="10950" width="8.140625" style="160" customWidth="1"/>
    <col min="10951" max="10951" width="9.42578125" style="160" customWidth="1"/>
    <col min="10952" max="10952" width="8" style="160" customWidth="1"/>
    <col min="10953" max="10953" width="8.140625" style="160" customWidth="1"/>
    <col min="10954" max="10954" width="7.42578125" style="160" customWidth="1"/>
    <col min="10955" max="10955" width="7.5703125" style="160" customWidth="1"/>
    <col min="10956" max="10963" width="7.85546875" style="160" hidden="1" customWidth="1"/>
    <col min="10964" max="10964" width="9.140625" style="160" customWidth="1"/>
    <col min="10965" max="10965" width="8.5703125" style="160" customWidth="1"/>
    <col min="10966" max="10966" width="10.5703125" style="160" customWidth="1"/>
    <col min="10967" max="10967" width="25.42578125" style="160" customWidth="1"/>
    <col min="10968" max="10968" width="14.42578125" style="160" customWidth="1"/>
    <col min="10969" max="10969" width="4.5703125" style="160" customWidth="1"/>
    <col min="10970" max="10970" width="9.85546875" style="160" customWidth="1"/>
    <col min="10971" max="10971" width="9.5703125" style="160" customWidth="1"/>
    <col min="10972" max="11191" width="7.85546875" style="160"/>
    <col min="11192" max="11193" width="5.140625" style="160" customWidth="1"/>
    <col min="11194" max="11194" width="5.42578125" style="160" customWidth="1"/>
    <col min="11195" max="11195" width="6.5703125" style="160" customWidth="1"/>
    <col min="11196" max="11196" width="8.5703125" style="160" customWidth="1"/>
    <col min="11197" max="11197" width="12.42578125" style="160" customWidth="1"/>
    <col min="11198" max="11198" width="10.5703125" style="160" customWidth="1"/>
    <col min="11199" max="11199" width="9.85546875" style="160" customWidth="1"/>
    <col min="11200" max="11200" width="9.5703125" style="160" customWidth="1"/>
    <col min="11201" max="11206" width="8.140625" style="160" customWidth="1"/>
    <col min="11207" max="11207" width="9.42578125" style="160" customWidth="1"/>
    <col min="11208" max="11208" width="8" style="160" customWidth="1"/>
    <col min="11209" max="11209" width="8.140625" style="160" customWidth="1"/>
    <col min="11210" max="11210" width="7.42578125" style="160" customWidth="1"/>
    <col min="11211" max="11211" width="7.5703125" style="160" customWidth="1"/>
    <col min="11212" max="11219" width="7.85546875" style="160" hidden="1" customWidth="1"/>
    <col min="11220" max="11220" width="9.140625" style="160" customWidth="1"/>
    <col min="11221" max="11221" width="8.5703125" style="160" customWidth="1"/>
    <col min="11222" max="11222" width="10.5703125" style="160" customWidth="1"/>
    <col min="11223" max="11223" width="25.42578125" style="160" customWidth="1"/>
    <col min="11224" max="11224" width="14.42578125" style="160" customWidth="1"/>
    <col min="11225" max="11225" width="4.5703125" style="160" customWidth="1"/>
    <col min="11226" max="11226" width="9.85546875" style="160" customWidth="1"/>
    <col min="11227" max="11227" width="9.5703125" style="160" customWidth="1"/>
    <col min="11228" max="11447" width="7.85546875" style="160"/>
    <col min="11448" max="11449" width="5.140625" style="160" customWidth="1"/>
    <col min="11450" max="11450" width="5.42578125" style="160" customWidth="1"/>
    <col min="11451" max="11451" width="6.5703125" style="160" customWidth="1"/>
    <col min="11452" max="11452" width="8.5703125" style="160" customWidth="1"/>
    <col min="11453" max="11453" width="12.42578125" style="160" customWidth="1"/>
    <col min="11454" max="11454" width="10.5703125" style="160" customWidth="1"/>
    <col min="11455" max="11455" width="9.85546875" style="160" customWidth="1"/>
    <col min="11456" max="11456" width="9.5703125" style="160" customWidth="1"/>
    <col min="11457" max="11462" width="8.140625" style="160" customWidth="1"/>
    <col min="11463" max="11463" width="9.42578125" style="160" customWidth="1"/>
    <col min="11464" max="11464" width="8" style="160" customWidth="1"/>
    <col min="11465" max="11465" width="8.140625" style="160" customWidth="1"/>
    <col min="11466" max="11466" width="7.42578125" style="160" customWidth="1"/>
    <col min="11467" max="11467" width="7.5703125" style="160" customWidth="1"/>
    <col min="11468" max="11475" width="7.85546875" style="160" hidden="1" customWidth="1"/>
    <col min="11476" max="11476" width="9.140625" style="160" customWidth="1"/>
    <col min="11477" max="11477" width="8.5703125" style="160" customWidth="1"/>
    <col min="11478" max="11478" width="10.5703125" style="160" customWidth="1"/>
    <col min="11479" max="11479" width="25.42578125" style="160" customWidth="1"/>
    <col min="11480" max="11480" width="14.42578125" style="160" customWidth="1"/>
    <col min="11481" max="11481" width="4.5703125" style="160" customWidth="1"/>
    <col min="11482" max="11482" width="9.85546875" style="160" customWidth="1"/>
    <col min="11483" max="11483" width="9.5703125" style="160" customWidth="1"/>
    <col min="11484" max="11703" width="7.85546875" style="160"/>
    <col min="11704" max="11705" width="5.140625" style="160" customWidth="1"/>
    <col min="11706" max="11706" width="5.42578125" style="160" customWidth="1"/>
    <col min="11707" max="11707" width="6.5703125" style="160" customWidth="1"/>
    <col min="11708" max="11708" width="8.5703125" style="160" customWidth="1"/>
    <col min="11709" max="11709" width="12.42578125" style="160" customWidth="1"/>
    <col min="11710" max="11710" width="10.5703125" style="160" customWidth="1"/>
    <col min="11711" max="11711" width="9.85546875" style="160" customWidth="1"/>
    <col min="11712" max="11712" width="9.5703125" style="160" customWidth="1"/>
    <col min="11713" max="11718" width="8.140625" style="160" customWidth="1"/>
    <col min="11719" max="11719" width="9.42578125" style="160" customWidth="1"/>
    <col min="11720" max="11720" width="8" style="160" customWidth="1"/>
    <col min="11721" max="11721" width="8.140625" style="160" customWidth="1"/>
    <col min="11722" max="11722" width="7.42578125" style="160" customWidth="1"/>
    <col min="11723" max="11723" width="7.5703125" style="160" customWidth="1"/>
    <col min="11724" max="11731" width="7.85546875" style="160" hidden="1" customWidth="1"/>
    <col min="11732" max="11732" width="9.140625" style="160" customWidth="1"/>
    <col min="11733" max="11733" width="8.5703125" style="160" customWidth="1"/>
    <col min="11734" max="11734" width="10.5703125" style="160" customWidth="1"/>
    <col min="11735" max="11735" width="25.42578125" style="160" customWidth="1"/>
    <col min="11736" max="11736" width="14.42578125" style="160" customWidth="1"/>
    <col min="11737" max="11737" width="4.5703125" style="160" customWidth="1"/>
    <col min="11738" max="11738" width="9.85546875" style="160" customWidth="1"/>
    <col min="11739" max="11739" width="9.5703125" style="160" customWidth="1"/>
    <col min="11740" max="11959" width="7.85546875" style="160"/>
    <col min="11960" max="11961" width="5.140625" style="160" customWidth="1"/>
    <col min="11962" max="11962" width="5.42578125" style="160" customWidth="1"/>
    <col min="11963" max="11963" width="6.5703125" style="160" customWidth="1"/>
    <col min="11964" max="11964" width="8.5703125" style="160" customWidth="1"/>
    <col min="11965" max="11965" width="12.42578125" style="160" customWidth="1"/>
    <col min="11966" max="11966" width="10.5703125" style="160" customWidth="1"/>
    <col min="11967" max="11967" width="9.85546875" style="160" customWidth="1"/>
    <col min="11968" max="11968" width="9.5703125" style="160" customWidth="1"/>
    <col min="11969" max="11974" width="8.140625" style="160" customWidth="1"/>
    <col min="11975" max="11975" width="9.42578125" style="160" customWidth="1"/>
    <col min="11976" max="11976" width="8" style="160" customWidth="1"/>
    <col min="11977" max="11977" width="8.140625" style="160" customWidth="1"/>
    <col min="11978" max="11978" width="7.42578125" style="160" customWidth="1"/>
    <col min="11979" max="11979" width="7.5703125" style="160" customWidth="1"/>
    <col min="11980" max="11987" width="7.85546875" style="160" hidden="1" customWidth="1"/>
    <col min="11988" max="11988" width="9.140625" style="160" customWidth="1"/>
    <col min="11989" max="11989" width="8.5703125" style="160" customWidth="1"/>
    <col min="11990" max="11990" width="10.5703125" style="160" customWidth="1"/>
    <col min="11991" max="11991" width="25.42578125" style="160" customWidth="1"/>
    <col min="11992" max="11992" width="14.42578125" style="160" customWidth="1"/>
    <col min="11993" max="11993" width="4.5703125" style="160" customWidth="1"/>
    <col min="11994" max="11994" width="9.85546875" style="160" customWidth="1"/>
    <col min="11995" max="11995" width="9.5703125" style="160" customWidth="1"/>
    <col min="11996" max="12215" width="7.85546875" style="160"/>
    <col min="12216" max="12217" width="5.140625" style="160" customWidth="1"/>
    <col min="12218" max="12218" width="5.42578125" style="160" customWidth="1"/>
    <col min="12219" max="12219" width="6.5703125" style="160" customWidth="1"/>
    <col min="12220" max="12220" width="8.5703125" style="160" customWidth="1"/>
    <col min="12221" max="12221" width="12.42578125" style="160" customWidth="1"/>
    <col min="12222" max="12222" width="10.5703125" style="160" customWidth="1"/>
    <col min="12223" max="12223" width="9.85546875" style="160" customWidth="1"/>
    <col min="12224" max="12224" width="9.5703125" style="160" customWidth="1"/>
    <col min="12225" max="12230" width="8.140625" style="160" customWidth="1"/>
    <col min="12231" max="12231" width="9.42578125" style="160" customWidth="1"/>
    <col min="12232" max="12232" width="8" style="160" customWidth="1"/>
    <col min="12233" max="12233" width="8.140625" style="160" customWidth="1"/>
    <col min="12234" max="12234" width="7.42578125" style="160" customWidth="1"/>
    <col min="12235" max="12235" width="7.5703125" style="160" customWidth="1"/>
    <col min="12236" max="12243" width="7.85546875" style="160" hidden="1" customWidth="1"/>
    <col min="12244" max="12244" width="9.140625" style="160" customWidth="1"/>
    <col min="12245" max="12245" width="8.5703125" style="160" customWidth="1"/>
    <col min="12246" max="12246" width="10.5703125" style="160" customWidth="1"/>
    <col min="12247" max="12247" width="25.42578125" style="160" customWidth="1"/>
    <col min="12248" max="12248" width="14.42578125" style="160" customWidth="1"/>
    <col min="12249" max="12249" width="4.5703125" style="160" customWidth="1"/>
    <col min="12250" max="12250" width="9.85546875" style="160" customWidth="1"/>
    <col min="12251" max="12251" width="9.5703125" style="160" customWidth="1"/>
    <col min="12252" max="12471" width="7.85546875" style="160"/>
    <col min="12472" max="12473" width="5.140625" style="160" customWidth="1"/>
    <col min="12474" max="12474" width="5.42578125" style="160" customWidth="1"/>
    <col min="12475" max="12475" width="6.5703125" style="160" customWidth="1"/>
    <col min="12476" max="12476" width="8.5703125" style="160" customWidth="1"/>
    <col min="12477" max="12477" width="12.42578125" style="160" customWidth="1"/>
    <col min="12478" max="12478" width="10.5703125" style="160" customWidth="1"/>
    <col min="12479" max="12479" width="9.85546875" style="160" customWidth="1"/>
    <col min="12480" max="12480" width="9.5703125" style="160" customWidth="1"/>
    <col min="12481" max="12486" width="8.140625" style="160" customWidth="1"/>
    <col min="12487" max="12487" width="9.42578125" style="160" customWidth="1"/>
    <col min="12488" max="12488" width="8" style="160" customWidth="1"/>
    <col min="12489" max="12489" width="8.140625" style="160" customWidth="1"/>
    <col min="12490" max="12490" width="7.42578125" style="160" customWidth="1"/>
    <col min="12491" max="12491" width="7.5703125" style="160" customWidth="1"/>
    <col min="12492" max="12499" width="7.85546875" style="160" hidden="1" customWidth="1"/>
    <col min="12500" max="12500" width="9.140625" style="160" customWidth="1"/>
    <col min="12501" max="12501" width="8.5703125" style="160" customWidth="1"/>
    <col min="12502" max="12502" width="10.5703125" style="160" customWidth="1"/>
    <col min="12503" max="12503" width="25.42578125" style="160" customWidth="1"/>
    <col min="12504" max="12504" width="14.42578125" style="160" customWidth="1"/>
    <col min="12505" max="12505" width="4.5703125" style="160" customWidth="1"/>
    <col min="12506" max="12506" width="9.85546875" style="160" customWidth="1"/>
    <col min="12507" max="12507" width="9.5703125" style="160" customWidth="1"/>
    <col min="12508" max="12727" width="7.85546875" style="160"/>
    <col min="12728" max="12729" width="5.140625" style="160" customWidth="1"/>
    <col min="12730" max="12730" width="5.42578125" style="160" customWidth="1"/>
    <col min="12731" max="12731" width="6.5703125" style="160" customWidth="1"/>
    <col min="12732" max="12732" width="8.5703125" style="160" customWidth="1"/>
    <col min="12733" max="12733" width="12.42578125" style="160" customWidth="1"/>
    <col min="12734" max="12734" width="10.5703125" style="160" customWidth="1"/>
    <col min="12735" max="12735" width="9.85546875" style="160" customWidth="1"/>
    <col min="12736" max="12736" width="9.5703125" style="160" customWidth="1"/>
    <col min="12737" max="12742" width="8.140625" style="160" customWidth="1"/>
    <col min="12743" max="12743" width="9.42578125" style="160" customWidth="1"/>
    <col min="12744" max="12744" width="8" style="160" customWidth="1"/>
    <col min="12745" max="12745" width="8.140625" style="160" customWidth="1"/>
    <col min="12746" max="12746" width="7.42578125" style="160" customWidth="1"/>
    <col min="12747" max="12747" width="7.5703125" style="160" customWidth="1"/>
    <col min="12748" max="12755" width="7.85546875" style="160" hidden="1" customWidth="1"/>
    <col min="12756" max="12756" width="9.140625" style="160" customWidth="1"/>
    <col min="12757" max="12757" width="8.5703125" style="160" customWidth="1"/>
    <col min="12758" max="12758" width="10.5703125" style="160" customWidth="1"/>
    <col min="12759" max="12759" width="25.42578125" style="160" customWidth="1"/>
    <col min="12760" max="12760" width="14.42578125" style="160" customWidth="1"/>
    <col min="12761" max="12761" width="4.5703125" style="160" customWidth="1"/>
    <col min="12762" max="12762" width="9.85546875" style="160" customWidth="1"/>
    <col min="12763" max="12763" width="9.5703125" style="160" customWidth="1"/>
    <col min="12764" max="12983" width="7.85546875" style="160"/>
    <col min="12984" max="12985" width="5.140625" style="160" customWidth="1"/>
    <col min="12986" max="12986" width="5.42578125" style="160" customWidth="1"/>
    <col min="12987" max="12987" width="6.5703125" style="160" customWidth="1"/>
    <col min="12988" max="12988" width="8.5703125" style="160" customWidth="1"/>
    <col min="12989" max="12989" width="12.42578125" style="160" customWidth="1"/>
    <col min="12990" max="12990" width="10.5703125" style="160" customWidth="1"/>
    <col min="12991" max="12991" width="9.85546875" style="160" customWidth="1"/>
    <col min="12992" max="12992" width="9.5703125" style="160" customWidth="1"/>
    <col min="12993" max="12998" width="8.140625" style="160" customWidth="1"/>
    <col min="12999" max="12999" width="9.42578125" style="160" customWidth="1"/>
    <col min="13000" max="13000" width="8" style="160" customWidth="1"/>
    <col min="13001" max="13001" width="8.140625" style="160" customWidth="1"/>
    <col min="13002" max="13002" width="7.42578125" style="160" customWidth="1"/>
    <col min="13003" max="13003" width="7.5703125" style="160" customWidth="1"/>
    <col min="13004" max="13011" width="7.85546875" style="160" hidden="1" customWidth="1"/>
    <col min="13012" max="13012" width="9.140625" style="160" customWidth="1"/>
    <col min="13013" max="13013" width="8.5703125" style="160" customWidth="1"/>
    <col min="13014" max="13014" width="10.5703125" style="160" customWidth="1"/>
    <col min="13015" max="13015" width="25.42578125" style="160" customWidth="1"/>
    <col min="13016" max="13016" width="14.42578125" style="160" customWidth="1"/>
    <col min="13017" max="13017" width="4.5703125" style="160" customWidth="1"/>
    <col min="13018" max="13018" width="9.85546875" style="160" customWidth="1"/>
    <col min="13019" max="13019" width="9.5703125" style="160" customWidth="1"/>
    <col min="13020" max="13239" width="7.85546875" style="160"/>
    <col min="13240" max="13241" width="5.140625" style="160" customWidth="1"/>
    <col min="13242" max="13242" width="5.42578125" style="160" customWidth="1"/>
    <col min="13243" max="13243" width="6.5703125" style="160" customWidth="1"/>
    <col min="13244" max="13244" width="8.5703125" style="160" customWidth="1"/>
    <col min="13245" max="13245" width="12.42578125" style="160" customWidth="1"/>
    <col min="13246" max="13246" width="10.5703125" style="160" customWidth="1"/>
    <col min="13247" max="13247" width="9.85546875" style="160" customWidth="1"/>
    <col min="13248" max="13248" width="9.5703125" style="160" customWidth="1"/>
    <col min="13249" max="13254" width="8.140625" style="160" customWidth="1"/>
    <col min="13255" max="13255" width="9.42578125" style="160" customWidth="1"/>
    <col min="13256" max="13256" width="8" style="160" customWidth="1"/>
    <col min="13257" max="13257" width="8.140625" style="160" customWidth="1"/>
    <col min="13258" max="13258" width="7.42578125" style="160" customWidth="1"/>
    <col min="13259" max="13259" width="7.5703125" style="160" customWidth="1"/>
    <col min="13260" max="13267" width="7.85546875" style="160" hidden="1" customWidth="1"/>
    <col min="13268" max="13268" width="9.140625" style="160" customWidth="1"/>
    <col min="13269" max="13269" width="8.5703125" style="160" customWidth="1"/>
    <col min="13270" max="13270" width="10.5703125" style="160" customWidth="1"/>
    <col min="13271" max="13271" width="25.42578125" style="160" customWidth="1"/>
    <col min="13272" max="13272" width="14.42578125" style="160" customWidth="1"/>
    <col min="13273" max="13273" width="4.5703125" style="160" customWidth="1"/>
    <col min="13274" max="13274" width="9.85546875" style="160" customWidth="1"/>
    <col min="13275" max="13275" width="9.5703125" style="160" customWidth="1"/>
    <col min="13276" max="13495" width="7.85546875" style="160"/>
    <col min="13496" max="13497" width="5.140625" style="160" customWidth="1"/>
    <col min="13498" max="13498" width="5.42578125" style="160" customWidth="1"/>
    <col min="13499" max="13499" width="6.5703125" style="160" customWidth="1"/>
    <col min="13500" max="13500" width="8.5703125" style="160" customWidth="1"/>
    <col min="13501" max="13501" width="12.42578125" style="160" customWidth="1"/>
    <col min="13502" max="13502" width="10.5703125" style="160" customWidth="1"/>
    <col min="13503" max="13503" width="9.85546875" style="160" customWidth="1"/>
    <col min="13504" max="13504" width="9.5703125" style="160" customWidth="1"/>
    <col min="13505" max="13510" width="8.140625" style="160" customWidth="1"/>
    <col min="13511" max="13511" width="9.42578125" style="160" customWidth="1"/>
    <col min="13512" max="13512" width="8" style="160" customWidth="1"/>
    <col min="13513" max="13513" width="8.140625" style="160" customWidth="1"/>
    <col min="13514" max="13514" width="7.42578125" style="160" customWidth="1"/>
    <col min="13515" max="13515" width="7.5703125" style="160" customWidth="1"/>
    <col min="13516" max="13523" width="7.85546875" style="160" hidden="1" customWidth="1"/>
    <col min="13524" max="13524" width="9.140625" style="160" customWidth="1"/>
    <col min="13525" max="13525" width="8.5703125" style="160" customWidth="1"/>
    <col min="13526" max="13526" width="10.5703125" style="160" customWidth="1"/>
    <col min="13527" max="13527" width="25.42578125" style="160" customWidth="1"/>
    <col min="13528" max="13528" width="14.42578125" style="160" customWidth="1"/>
    <col min="13529" max="13529" width="4.5703125" style="160" customWidth="1"/>
    <col min="13530" max="13530" width="9.85546875" style="160" customWidth="1"/>
    <col min="13531" max="13531" width="9.5703125" style="160" customWidth="1"/>
    <col min="13532" max="13751" width="7.85546875" style="160"/>
    <col min="13752" max="13753" width="5.140625" style="160" customWidth="1"/>
    <col min="13754" max="13754" width="5.42578125" style="160" customWidth="1"/>
    <col min="13755" max="13755" width="6.5703125" style="160" customWidth="1"/>
    <col min="13756" max="13756" width="8.5703125" style="160" customWidth="1"/>
    <col min="13757" max="13757" width="12.42578125" style="160" customWidth="1"/>
    <col min="13758" max="13758" width="10.5703125" style="160" customWidth="1"/>
    <col min="13759" max="13759" width="9.85546875" style="160" customWidth="1"/>
    <col min="13760" max="13760" width="9.5703125" style="160" customWidth="1"/>
    <col min="13761" max="13766" width="8.140625" style="160" customWidth="1"/>
    <col min="13767" max="13767" width="9.42578125" style="160" customWidth="1"/>
    <col min="13768" max="13768" width="8" style="160" customWidth="1"/>
    <col min="13769" max="13769" width="8.140625" style="160" customWidth="1"/>
    <col min="13770" max="13770" width="7.42578125" style="160" customWidth="1"/>
    <col min="13771" max="13771" width="7.5703125" style="160" customWidth="1"/>
    <col min="13772" max="13779" width="7.85546875" style="160" hidden="1" customWidth="1"/>
    <col min="13780" max="13780" width="9.140625" style="160" customWidth="1"/>
    <col min="13781" max="13781" width="8.5703125" style="160" customWidth="1"/>
    <col min="13782" max="13782" width="10.5703125" style="160" customWidth="1"/>
    <col min="13783" max="13783" width="25.42578125" style="160" customWidth="1"/>
    <col min="13784" max="13784" width="14.42578125" style="160" customWidth="1"/>
    <col min="13785" max="13785" width="4.5703125" style="160" customWidth="1"/>
    <col min="13786" max="13786" width="9.85546875" style="160" customWidth="1"/>
    <col min="13787" max="13787" width="9.5703125" style="160" customWidth="1"/>
    <col min="13788" max="14007" width="7.85546875" style="160"/>
    <col min="14008" max="14009" width="5.140625" style="160" customWidth="1"/>
    <col min="14010" max="14010" width="5.42578125" style="160" customWidth="1"/>
    <col min="14011" max="14011" width="6.5703125" style="160" customWidth="1"/>
    <col min="14012" max="14012" width="8.5703125" style="160" customWidth="1"/>
    <col min="14013" max="14013" width="12.42578125" style="160" customWidth="1"/>
    <col min="14014" max="14014" width="10.5703125" style="160" customWidth="1"/>
    <col min="14015" max="14015" width="9.85546875" style="160" customWidth="1"/>
    <col min="14016" max="14016" width="9.5703125" style="160" customWidth="1"/>
    <col min="14017" max="14022" width="8.140625" style="160" customWidth="1"/>
    <col min="14023" max="14023" width="9.42578125" style="160" customWidth="1"/>
    <col min="14024" max="14024" width="8" style="160" customWidth="1"/>
    <col min="14025" max="14025" width="8.140625" style="160" customWidth="1"/>
    <col min="14026" max="14026" width="7.42578125" style="160" customWidth="1"/>
    <col min="14027" max="14027" width="7.5703125" style="160" customWidth="1"/>
    <col min="14028" max="14035" width="7.85546875" style="160" hidden="1" customWidth="1"/>
    <col min="14036" max="14036" width="9.140625" style="160" customWidth="1"/>
    <col min="14037" max="14037" width="8.5703125" style="160" customWidth="1"/>
    <col min="14038" max="14038" width="10.5703125" style="160" customWidth="1"/>
    <col min="14039" max="14039" width="25.42578125" style="160" customWidth="1"/>
    <col min="14040" max="14040" width="14.42578125" style="160" customWidth="1"/>
    <col min="14041" max="14041" width="4.5703125" style="160" customWidth="1"/>
    <col min="14042" max="14042" width="9.85546875" style="160" customWidth="1"/>
    <col min="14043" max="14043" width="9.5703125" style="160" customWidth="1"/>
    <col min="14044" max="14263" width="7.85546875" style="160"/>
    <col min="14264" max="14265" width="5.140625" style="160" customWidth="1"/>
    <col min="14266" max="14266" width="5.42578125" style="160" customWidth="1"/>
    <col min="14267" max="14267" width="6.5703125" style="160" customWidth="1"/>
    <col min="14268" max="14268" width="8.5703125" style="160" customWidth="1"/>
    <col min="14269" max="14269" width="12.42578125" style="160" customWidth="1"/>
    <col min="14270" max="14270" width="10.5703125" style="160" customWidth="1"/>
    <col min="14271" max="14271" width="9.85546875" style="160" customWidth="1"/>
    <col min="14272" max="14272" width="9.5703125" style="160" customWidth="1"/>
    <col min="14273" max="14278" width="8.140625" style="160" customWidth="1"/>
    <col min="14279" max="14279" width="9.42578125" style="160" customWidth="1"/>
    <col min="14280" max="14280" width="8" style="160" customWidth="1"/>
    <col min="14281" max="14281" width="8.140625" style="160" customWidth="1"/>
    <col min="14282" max="14282" width="7.42578125" style="160" customWidth="1"/>
    <col min="14283" max="14283" width="7.5703125" style="160" customWidth="1"/>
    <col min="14284" max="14291" width="7.85546875" style="160" hidden="1" customWidth="1"/>
    <col min="14292" max="14292" width="9.140625" style="160" customWidth="1"/>
    <col min="14293" max="14293" width="8.5703125" style="160" customWidth="1"/>
    <col min="14294" max="14294" width="10.5703125" style="160" customWidth="1"/>
    <col min="14295" max="14295" width="25.42578125" style="160" customWidth="1"/>
    <col min="14296" max="14296" width="14.42578125" style="160" customWidth="1"/>
    <col min="14297" max="14297" width="4.5703125" style="160" customWidth="1"/>
    <col min="14298" max="14298" width="9.85546875" style="160" customWidth="1"/>
    <col min="14299" max="14299" width="9.5703125" style="160" customWidth="1"/>
    <col min="14300" max="14519" width="7.85546875" style="160"/>
    <col min="14520" max="14521" width="5.140625" style="160" customWidth="1"/>
    <col min="14522" max="14522" width="5.42578125" style="160" customWidth="1"/>
    <col min="14523" max="14523" width="6.5703125" style="160" customWidth="1"/>
    <col min="14524" max="14524" width="8.5703125" style="160" customWidth="1"/>
    <col min="14525" max="14525" width="12.42578125" style="160" customWidth="1"/>
    <col min="14526" max="14526" width="10.5703125" style="160" customWidth="1"/>
    <col min="14527" max="14527" width="9.85546875" style="160" customWidth="1"/>
    <col min="14528" max="14528" width="9.5703125" style="160" customWidth="1"/>
    <col min="14529" max="14534" width="8.140625" style="160" customWidth="1"/>
    <col min="14535" max="14535" width="9.42578125" style="160" customWidth="1"/>
    <col min="14536" max="14536" width="8" style="160" customWidth="1"/>
    <col min="14537" max="14537" width="8.140625" style="160" customWidth="1"/>
    <col min="14538" max="14538" width="7.42578125" style="160" customWidth="1"/>
    <col min="14539" max="14539" width="7.5703125" style="160" customWidth="1"/>
    <col min="14540" max="14547" width="7.85546875" style="160" hidden="1" customWidth="1"/>
    <col min="14548" max="14548" width="9.140625" style="160" customWidth="1"/>
    <col min="14549" max="14549" width="8.5703125" style="160" customWidth="1"/>
    <col min="14550" max="14550" width="10.5703125" style="160" customWidth="1"/>
    <col min="14551" max="14551" width="25.42578125" style="160" customWidth="1"/>
    <col min="14552" max="14552" width="14.42578125" style="160" customWidth="1"/>
    <col min="14553" max="14553" width="4.5703125" style="160" customWidth="1"/>
    <col min="14554" max="14554" width="9.85546875" style="160" customWidth="1"/>
    <col min="14555" max="14555" width="9.5703125" style="160" customWidth="1"/>
    <col min="14556" max="14775" width="7.85546875" style="160"/>
    <col min="14776" max="14777" width="5.140625" style="160" customWidth="1"/>
    <col min="14778" max="14778" width="5.42578125" style="160" customWidth="1"/>
    <col min="14779" max="14779" width="6.5703125" style="160" customWidth="1"/>
    <col min="14780" max="14780" width="8.5703125" style="160" customWidth="1"/>
    <col min="14781" max="14781" width="12.42578125" style="160" customWidth="1"/>
    <col min="14782" max="14782" width="10.5703125" style="160" customWidth="1"/>
    <col min="14783" max="14783" width="9.85546875" style="160" customWidth="1"/>
    <col min="14784" max="14784" width="9.5703125" style="160" customWidth="1"/>
    <col min="14785" max="14790" width="8.140625" style="160" customWidth="1"/>
    <col min="14791" max="14791" width="9.42578125" style="160" customWidth="1"/>
    <col min="14792" max="14792" width="8" style="160" customWidth="1"/>
    <col min="14793" max="14793" width="8.140625" style="160" customWidth="1"/>
    <col min="14794" max="14794" width="7.42578125" style="160" customWidth="1"/>
    <col min="14795" max="14795" width="7.5703125" style="160" customWidth="1"/>
    <col min="14796" max="14803" width="7.85546875" style="160" hidden="1" customWidth="1"/>
    <col min="14804" max="14804" width="9.140625" style="160" customWidth="1"/>
    <col min="14805" max="14805" width="8.5703125" style="160" customWidth="1"/>
    <col min="14806" max="14806" width="10.5703125" style="160" customWidth="1"/>
    <col min="14807" max="14807" width="25.42578125" style="160" customWidth="1"/>
    <col min="14808" max="14808" width="14.42578125" style="160" customWidth="1"/>
    <col min="14809" max="14809" width="4.5703125" style="160" customWidth="1"/>
    <col min="14810" max="14810" width="9.85546875" style="160" customWidth="1"/>
    <col min="14811" max="14811" width="9.5703125" style="160" customWidth="1"/>
    <col min="14812" max="15031" width="7.85546875" style="160"/>
    <col min="15032" max="15033" width="5.140625" style="160" customWidth="1"/>
    <col min="15034" max="15034" width="5.42578125" style="160" customWidth="1"/>
    <col min="15035" max="15035" width="6.5703125" style="160" customWidth="1"/>
    <col min="15036" max="15036" width="8.5703125" style="160" customWidth="1"/>
    <col min="15037" max="15037" width="12.42578125" style="160" customWidth="1"/>
    <col min="15038" max="15038" width="10.5703125" style="160" customWidth="1"/>
    <col min="15039" max="15039" width="9.85546875" style="160" customWidth="1"/>
    <col min="15040" max="15040" width="9.5703125" style="160" customWidth="1"/>
    <col min="15041" max="15046" width="8.140625" style="160" customWidth="1"/>
    <col min="15047" max="15047" width="9.42578125" style="160" customWidth="1"/>
    <col min="15048" max="15048" width="8" style="160" customWidth="1"/>
    <col min="15049" max="15049" width="8.140625" style="160" customWidth="1"/>
    <col min="15050" max="15050" width="7.42578125" style="160" customWidth="1"/>
    <col min="15051" max="15051" width="7.5703125" style="160" customWidth="1"/>
    <col min="15052" max="15059" width="7.85546875" style="160" hidden="1" customWidth="1"/>
    <col min="15060" max="15060" width="9.140625" style="160" customWidth="1"/>
    <col min="15061" max="15061" width="8.5703125" style="160" customWidth="1"/>
    <col min="15062" max="15062" width="10.5703125" style="160" customWidth="1"/>
    <col min="15063" max="15063" width="25.42578125" style="160" customWidth="1"/>
    <col min="15064" max="15064" width="14.42578125" style="160" customWidth="1"/>
    <col min="15065" max="15065" width="4.5703125" style="160" customWidth="1"/>
    <col min="15066" max="15066" width="9.85546875" style="160" customWidth="1"/>
    <col min="15067" max="15067" width="9.5703125" style="160" customWidth="1"/>
    <col min="15068" max="15287" width="7.85546875" style="160"/>
    <col min="15288" max="15289" width="5.140625" style="160" customWidth="1"/>
    <col min="15290" max="15290" width="5.42578125" style="160" customWidth="1"/>
    <col min="15291" max="15291" width="6.5703125" style="160" customWidth="1"/>
    <col min="15292" max="15292" width="8.5703125" style="160" customWidth="1"/>
    <col min="15293" max="15293" width="12.42578125" style="160" customWidth="1"/>
    <col min="15294" max="15294" width="10.5703125" style="160" customWidth="1"/>
    <col min="15295" max="15295" width="9.85546875" style="160" customWidth="1"/>
    <col min="15296" max="15296" width="9.5703125" style="160" customWidth="1"/>
    <col min="15297" max="15302" width="8.140625" style="160" customWidth="1"/>
    <col min="15303" max="15303" width="9.42578125" style="160" customWidth="1"/>
    <col min="15304" max="15304" width="8" style="160" customWidth="1"/>
    <col min="15305" max="15305" width="8.140625" style="160" customWidth="1"/>
    <col min="15306" max="15306" width="7.42578125" style="160" customWidth="1"/>
    <col min="15307" max="15307" width="7.5703125" style="160" customWidth="1"/>
    <col min="15308" max="15315" width="7.85546875" style="160" hidden="1" customWidth="1"/>
    <col min="15316" max="15316" width="9.140625" style="160" customWidth="1"/>
    <col min="15317" max="15317" width="8.5703125" style="160" customWidth="1"/>
    <col min="15318" max="15318" width="10.5703125" style="160" customWidth="1"/>
    <col min="15319" max="15319" width="25.42578125" style="160" customWidth="1"/>
    <col min="15320" max="15320" width="14.42578125" style="160" customWidth="1"/>
    <col min="15321" max="15321" width="4.5703125" style="160" customWidth="1"/>
    <col min="15322" max="15322" width="9.85546875" style="160" customWidth="1"/>
    <col min="15323" max="15323" width="9.5703125" style="160" customWidth="1"/>
    <col min="15324" max="15543" width="7.85546875" style="160"/>
    <col min="15544" max="15545" width="5.140625" style="160" customWidth="1"/>
    <col min="15546" max="15546" width="5.42578125" style="160" customWidth="1"/>
    <col min="15547" max="15547" width="6.5703125" style="160" customWidth="1"/>
    <col min="15548" max="15548" width="8.5703125" style="160" customWidth="1"/>
    <col min="15549" max="15549" width="12.42578125" style="160" customWidth="1"/>
    <col min="15550" max="15550" width="10.5703125" style="160" customWidth="1"/>
    <col min="15551" max="15551" width="9.85546875" style="160" customWidth="1"/>
    <col min="15552" max="15552" width="9.5703125" style="160" customWidth="1"/>
    <col min="15553" max="15558" width="8.140625" style="160" customWidth="1"/>
    <col min="15559" max="15559" width="9.42578125" style="160" customWidth="1"/>
    <col min="15560" max="15560" width="8" style="160" customWidth="1"/>
    <col min="15561" max="15561" width="8.140625" style="160" customWidth="1"/>
    <col min="15562" max="15562" width="7.42578125" style="160" customWidth="1"/>
    <col min="15563" max="15563" width="7.5703125" style="160" customWidth="1"/>
    <col min="15564" max="15571" width="7.85546875" style="160" hidden="1" customWidth="1"/>
    <col min="15572" max="15572" width="9.140625" style="160" customWidth="1"/>
    <col min="15573" max="15573" width="8.5703125" style="160" customWidth="1"/>
    <col min="15574" max="15574" width="10.5703125" style="160" customWidth="1"/>
    <col min="15575" max="15575" width="25.42578125" style="160" customWidth="1"/>
    <col min="15576" max="15576" width="14.42578125" style="160" customWidth="1"/>
    <col min="15577" max="15577" width="4.5703125" style="160" customWidth="1"/>
    <col min="15578" max="15578" width="9.85546875" style="160" customWidth="1"/>
    <col min="15579" max="15579" width="9.5703125" style="160" customWidth="1"/>
    <col min="15580" max="15799" width="7.85546875" style="160"/>
    <col min="15800" max="15801" width="5.140625" style="160" customWidth="1"/>
    <col min="15802" max="15802" width="5.42578125" style="160" customWidth="1"/>
    <col min="15803" max="15803" width="6.5703125" style="160" customWidth="1"/>
    <col min="15804" max="15804" width="8.5703125" style="160" customWidth="1"/>
    <col min="15805" max="15805" width="12.42578125" style="160" customWidth="1"/>
    <col min="15806" max="15806" width="10.5703125" style="160" customWidth="1"/>
    <col min="15807" max="15807" width="9.85546875" style="160" customWidth="1"/>
    <col min="15808" max="15808" width="9.5703125" style="160" customWidth="1"/>
    <col min="15809" max="15814" width="8.140625" style="160" customWidth="1"/>
    <col min="15815" max="15815" width="9.42578125" style="160" customWidth="1"/>
    <col min="15816" max="15816" width="8" style="160" customWidth="1"/>
    <col min="15817" max="15817" width="8.140625" style="160" customWidth="1"/>
    <col min="15818" max="15818" width="7.42578125" style="160" customWidth="1"/>
    <col min="15819" max="15819" width="7.5703125" style="160" customWidth="1"/>
    <col min="15820" max="15827" width="7.85546875" style="160" hidden="1" customWidth="1"/>
    <col min="15828" max="15828" width="9.140625" style="160" customWidth="1"/>
    <col min="15829" max="15829" width="8.5703125" style="160" customWidth="1"/>
    <col min="15830" max="15830" width="10.5703125" style="160" customWidth="1"/>
    <col min="15831" max="15831" width="25.42578125" style="160" customWidth="1"/>
    <col min="15832" max="15832" width="14.42578125" style="160" customWidth="1"/>
    <col min="15833" max="15833" width="4.5703125" style="160" customWidth="1"/>
    <col min="15834" max="15834" width="9.85546875" style="160" customWidth="1"/>
    <col min="15835" max="15835" width="9.5703125" style="160" customWidth="1"/>
    <col min="15836" max="16055" width="7.85546875" style="160"/>
    <col min="16056" max="16057" width="5.140625" style="160" customWidth="1"/>
    <col min="16058" max="16058" width="5.42578125" style="160" customWidth="1"/>
    <col min="16059" max="16059" width="6.5703125" style="160" customWidth="1"/>
    <col min="16060" max="16060" width="8.5703125" style="160" customWidth="1"/>
    <col min="16061" max="16061" width="12.42578125" style="160" customWidth="1"/>
    <col min="16062" max="16062" width="10.5703125" style="160" customWidth="1"/>
    <col min="16063" max="16063" width="9.85546875" style="160" customWidth="1"/>
    <col min="16064" max="16064" width="9.5703125" style="160" customWidth="1"/>
    <col min="16065" max="16070" width="8.140625" style="160" customWidth="1"/>
    <col min="16071" max="16071" width="9.42578125" style="160" customWidth="1"/>
    <col min="16072" max="16072" width="8" style="160" customWidth="1"/>
    <col min="16073" max="16073" width="8.140625" style="160" customWidth="1"/>
    <col min="16074" max="16074" width="7.42578125" style="160" customWidth="1"/>
    <col min="16075" max="16075" width="7.5703125" style="160" customWidth="1"/>
    <col min="16076" max="16083" width="7.85546875" style="160" hidden="1" customWidth="1"/>
    <col min="16084" max="16084" width="9.140625" style="160" customWidth="1"/>
    <col min="16085" max="16085" width="8.5703125" style="160" customWidth="1"/>
    <col min="16086" max="16086" width="10.5703125" style="160" customWidth="1"/>
    <col min="16087" max="16087" width="25.42578125" style="160" customWidth="1"/>
    <col min="16088" max="16088" width="14.42578125" style="160" customWidth="1"/>
    <col min="16089" max="16089" width="4.5703125" style="160" customWidth="1"/>
    <col min="16090" max="16090" width="9.85546875" style="160" customWidth="1"/>
    <col min="16091" max="16091" width="9.5703125" style="160" customWidth="1"/>
    <col min="16092" max="16384" width="7.8554687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515" t="s">
        <v>1255</v>
      </c>
      <c r="B4" s="1515" t="s">
        <v>41</v>
      </c>
      <c r="C4" s="1516" t="s">
        <v>42</v>
      </c>
      <c r="D4" s="1517" t="s">
        <v>43</v>
      </c>
      <c r="E4" s="1517" t="s">
        <v>44</v>
      </c>
      <c r="F4" s="1517" t="s">
        <v>1285</v>
      </c>
      <c r="G4" s="1521" t="s">
        <v>47</v>
      </c>
      <c r="H4" s="1517" t="s">
        <v>1256</v>
      </c>
      <c r="I4" s="1518" t="s">
        <v>49</v>
      </c>
      <c r="J4" s="1518" t="s">
        <v>1258</v>
      </c>
    </row>
    <row r="5" spans="1:15" s="159" customFormat="1" ht="15">
      <c r="A5" s="1515"/>
      <c r="B5" s="1515"/>
      <c r="C5" s="1516"/>
      <c r="D5" s="1517"/>
      <c r="E5" s="1517"/>
      <c r="F5" s="1517"/>
      <c r="G5" s="1521"/>
      <c r="H5" s="1517"/>
      <c r="I5" s="1518"/>
      <c r="J5" s="1518"/>
      <c r="O5"/>
    </row>
    <row r="6" spans="1:15" s="159" customFormat="1" ht="1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5" customHeight="1">
      <c r="A15" s="128">
        <v>9</v>
      </c>
      <c r="B15" s="134">
        <v>9</v>
      </c>
      <c r="C15" s="176"/>
      <c r="D15" s="132" t="s">
        <v>102</v>
      </c>
      <c r="E15" s="134" t="s">
        <v>53</v>
      </c>
      <c r="F15" s="134"/>
      <c r="G15" s="133" t="s">
        <v>213</v>
      </c>
      <c r="H15" s="134" t="s">
        <v>228</v>
      </c>
      <c r="I15" s="134" t="s">
        <v>1359</v>
      </c>
      <c r="J15" s="132" t="s">
        <v>60</v>
      </c>
      <c r="N15" s="160">
        <v>45.412999999999997</v>
      </c>
    </row>
    <row r="16" spans="1:15" ht="12.95" customHeight="1">
      <c r="A16" s="128">
        <v>10</v>
      </c>
      <c r="B16" s="134">
        <v>10</v>
      </c>
      <c r="C16" s="176"/>
      <c r="D16" s="132" t="s">
        <v>72</v>
      </c>
      <c r="E16" s="134" t="s">
        <v>62</v>
      </c>
      <c r="F16" s="134"/>
      <c r="G16" s="133" t="s">
        <v>230</v>
      </c>
      <c r="H16" s="134" t="s">
        <v>228</v>
      </c>
      <c r="I16" s="134" t="s">
        <v>1377</v>
      </c>
      <c r="J16" s="132" t="s">
        <v>60</v>
      </c>
      <c r="N16" s="160">
        <v>38.847000000000001</v>
      </c>
    </row>
    <row r="17" spans="1:15" ht="12.95" customHeight="1">
      <c r="A17" s="128">
        <v>11</v>
      </c>
      <c r="B17" s="134">
        <v>11</v>
      </c>
      <c r="C17" s="176"/>
      <c r="D17" s="132" t="s">
        <v>136</v>
      </c>
      <c r="E17" s="134" t="s">
        <v>76</v>
      </c>
      <c r="F17" s="134"/>
      <c r="G17" s="133" t="s">
        <v>230</v>
      </c>
      <c r="H17" s="134" t="s">
        <v>231</v>
      </c>
      <c r="I17" s="134" t="s">
        <v>1329</v>
      </c>
      <c r="J17" s="132" t="s">
        <v>60</v>
      </c>
      <c r="N17" s="160">
        <v>37.503999999999998</v>
      </c>
    </row>
    <row r="18" spans="1:15" ht="12.95"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5" customHeight="1">
      <c r="A19" s="134">
        <v>13</v>
      </c>
      <c r="B19" s="134">
        <v>13</v>
      </c>
      <c r="C19" s="176"/>
      <c r="D19" s="132" t="s">
        <v>96</v>
      </c>
      <c r="E19" s="134" t="s">
        <v>62</v>
      </c>
      <c r="F19" s="134"/>
      <c r="G19" s="133" t="s">
        <v>223</v>
      </c>
      <c r="H19" s="134" t="s">
        <v>236</v>
      </c>
      <c r="I19" s="134" t="s">
        <v>1378</v>
      </c>
      <c r="J19" s="132" t="s">
        <v>60</v>
      </c>
      <c r="N19" s="160">
        <v>38.847000000000001</v>
      </c>
    </row>
    <row r="20" spans="1:15" ht="12.95" customHeight="1">
      <c r="A20" s="128">
        <v>14</v>
      </c>
      <c r="B20" s="134">
        <v>14</v>
      </c>
      <c r="C20" s="176"/>
      <c r="D20" s="132" t="s">
        <v>75</v>
      </c>
      <c r="E20" s="134" t="s">
        <v>76</v>
      </c>
      <c r="F20" s="134"/>
      <c r="G20" s="133" t="s">
        <v>228</v>
      </c>
      <c r="H20" s="134" t="s">
        <v>236</v>
      </c>
      <c r="I20" s="134" t="s">
        <v>1359</v>
      </c>
      <c r="J20" s="132" t="s">
        <v>60</v>
      </c>
      <c r="N20" s="160">
        <v>37.503999999999998</v>
      </c>
    </row>
    <row r="21" spans="1:15" ht="12.95" customHeight="1">
      <c r="A21" s="128">
        <v>15</v>
      </c>
      <c r="B21" s="134">
        <v>15</v>
      </c>
      <c r="C21" s="176"/>
      <c r="D21" s="132" t="s">
        <v>144</v>
      </c>
      <c r="E21" s="134" t="s">
        <v>76</v>
      </c>
      <c r="F21" s="134"/>
      <c r="G21" s="133" t="s">
        <v>228</v>
      </c>
      <c r="H21" s="134" t="s">
        <v>236</v>
      </c>
      <c r="I21" s="134" t="s">
        <v>1377</v>
      </c>
      <c r="J21" s="132" t="s">
        <v>60</v>
      </c>
      <c r="N21" s="160">
        <v>37.503999999999998</v>
      </c>
    </row>
    <row r="22" spans="1:15" ht="12.95" customHeight="1">
      <c r="A22" s="128">
        <v>16</v>
      </c>
      <c r="B22" s="134">
        <v>16</v>
      </c>
      <c r="C22" s="176"/>
      <c r="D22" s="132" t="s">
        <v>162</v>
      </c>
      <c r="E22" s="134" t="s">
        <v>62</v>
      </c>
      <c r="F22" s="134"/>
      <c r="G22" s="133" t="s">
        <v>231</v>
      </c>
      <c r="H22" s="134" t="s">
        <v>815</v>
      </c>
      <c r="I22" s="134" t="s">
        <v>1329</v>
      </c>
      <c r="J22" s="132" t="s">
        <v>60</v>
      </c>
      <c r="N22" s="160">
        <v>38.847000000000001</v>
      </c>
    </row>
    <row r="23" spans="1:15" ht="12.95" customHeight="1">
      <c r="A23" s="134">
        <v>17</v>
      </c>
      <c r="B23" s="134">
        <v>17</v>
      </c>
      <c r="C23" s="176"/>
      <c r="D23" s="132" t="s">
        <v>87</v>
      </c>
      <c r="E23" s="134" t="s">
        <v>62</v>
      </c>
      <c r="F23" s="134"/>
      <c r="G23" s="133" t="s">
        <v>233</v>
      </c>
      <c r="H23" s="134" t="s">
        <v>815</v>
      </c>
      <c r="I23" s="134" t="s">
        <v>1327</v>
      </c>
      <c r="J23" s="132" t="s">
        <v>60</v>
      </c>
      <c r="N23" s="160">
        <v>38.847000000000001</v>
      </c>
    </row>
    <row r="24" spans="1:15" ht="12.95" customHeight="1">
      <c r="A24" s="134">
        <v>18</v>
      </c>
      <c r="B24" s="134">
        <v>18</v>
      </c>
      <c r="C24" s="134"/>
      <c r="D24" s="132" t="s">
        <v>1379</v>
      </c>
      <c r="E24" s="140" t="s">
        <v>62</v>
      </c>
      <c r="F24" s="134"/>
      <c r="G24" s="133" t="s">
        <v>236</v>
      </c>
      <c r="H24" s="134" t="s">
        <v>241</v>
      </c>
      <c r="I24" s="134" t="s">
        <v>1359</v>
      </c>
      <c r="J24" s="132" t="s">
        <v>60</v>
      </c>
      <c r="N24" s="160">
        <v>38.847000000000001</v>
      </c>
    </row>
    <row r="25" spans="1:15" ht="12.95" customHeight="1">
      <c r="A25" s="128">
        <v>19</v>
      </c>
      <c r="B25" s="134">
        <v>19</v>
      </c>
      <c r="C25" s="134"/>
      <c r="D25" s="132" t="s">
        <v>101</v>
      </c>
      <c r="E25" s="140" t="s">
        <v>76</v>
      </c>
      <c r="F25" s="134"/>
      <c r="G25" s="133" t="s">
        <v>815</v>
      </c>
      <c r="H25" s="134" t="s">
        <v>241</v>
      </c>
      <c r="I25" s="134" t="s">
        <v>1327</v>
      </c>
      <c r="J25" s="132" t="s">
        <v>60</v>
      </c>
      <c r="N25" s="160">
        <v>37.503999999999998</v>
      </c>
    </row>
    <row r="26" spans="1:15" ht="12.95" customHeight="1">
      <c r="A26" s="128">
        <v>20</v>
      </c>
      <c r="B26" s="134">
        <v>20</v>
      </c>
      <c r="C26" s="134"/>
      <c r="D26" s="132" t="s">
        <v>89</v>
      </c>
      <c r="E26" s="140" t="s">
        <v>1026</v>
      </c>
      <c r="F26" s="134"/>
      <c r="G26" s="133" t="s">
        <v>236</v>
      </c>
      <c r="H26" s="134" t="s">
        <v>244</v>
      </c>
      <c r="I26" s="134" t="s">
        <v>1378</v>
      </c>
      <c r="J26" s="132" t="s">
        <v>60</v>
      </c>
      <c r="N26" s="160">
        <v>60.097000000000001</v>
      </c>
    </row>
    <row r="27" spans="1:15" ht="12.95" customHeight="1">
      <c r="A27" s="128">
        <v>21</v>
      </c>
      <c r="B27" s="134">
        <v>21</v>
      </c>
      <c r="C27" s="134"/>
      <c r="D27" s="132" t="s">
        <v>133</v>
      </c>
      <c r="E27" s="140" t="s">
        <v>62</v>
      </c>
      <c r="F27" s="134"/>
      <c r="G27" s="133" t="s">
        <v>236</v>
      </c>
      <c r="H27" s="134" t="s">
        <v>244</v>
      </c>
      <c r="I27" s="134" t="s">
        <v>1377</v>
      </c>
      <c r="J27" s="132" t="s">
        <v>60</v>
      </c>
      <c r="N27" s="160">
        <v>38.847000000000001</v>
      </c>
    </row>
    <row r="28" spans="1:15" ht="12.95" customHeight="1">
      <c r="A28" s="134">
        <v>22</v>
      </c>
      <c r="B28" s="134">
        <v>22</v>
      </c>
      <c r="C28" s="134"/>
      <c r="D28" s="132" t="s">
        <v>123</v>
      </c>
      <c r="E28" s="140" t="s">
        <v>76</v>
      </c>
      <c r="F28" s="134"/>
      <c r="G28" s="133" t="s">
        <v>815</v>
      </c>
      <c r="H28" s="134" t="s">
        <v>244</v>
      </c>
      <c r="I28" s="134" t="s">
        <v>1329</v>
      </c>
      <c r="J28" s="132" t="s">
        <v>60</v>
      </c>
      <c r="N28" s="160">
        <v>37.503999999999998</v>
      </c>
    </row>
    <row r="29" spans="1:15" ht="12.95" customHeight="1">
      <c r="A29" s="134"/>
      <c r="B29" s="154" t="s">
        <v>247</v>
      </c>
      <c r="C29" s="134"/>
      <c r="D29" s="134"/>
      <c r="E29" s="177"/>
      <c r="F29" s="134"/>
      <c r="G29" s="133"/>
      <c r="H29" s="134"/>
      <c r="I29" s="134"/>
      <c r="J29" s="134"/>
      <c r="O29" s="160">
        <f>SUM(N7:N28)</f>
        <v>879.61500000000001</v>
      </c>
    </row>
    <row r="30" spans="1:15" ht="12.95" customHeight="1">
      <c r="A30" s="134">
        <v>23</v>
      </c>
      <c r="B30" s="134">
        <v>1</v>
      </c>
      <c r="C30" s="134"/>
      <c r="D30" s="132" t="s">
        <v>106</v>
      </c>
      <c r="E30" s="140" t="s">
        <v>62</v>
      </c>
      <c r="F30" s="134"/>
      <c r="G30" s="133" t="s">
        <v>244</v>
      </c>
      <c r="H30" s="134" t="s">
        <v>252</v>
      </c>
      <c r="I30" s="134" t="s">
        <v>1327</v>
      </c>
      <c r="J30" s="132" t="s">
        <v>60</v>
      </c>
      <c r="N30" s="160">
        <v>38.847000000000001</v>
      </c>
    </row>
    <row r="31" spans="1:15" ht="12.95" customHeight="1">
      <c r="A31" s="128">
        <v>24</v>
      </c>
      <c r="B31" s="134">
        <v>2</v>
      </c>
      <c r="C31" s="134"/>
      <c r="D31" s="132" t="s">
        <v>146</v>
      </c>
      <c r="E31" s="140" t="s">
        <v>62</v>
      </c>
      <c r="F31" s="134"/>
      <c r="G31" s="133" t="s">
        <v>244</v>
      </c>
      <c r="H31" s="134" t="s">
        <v>250</v>
      </c>
      <c r="I31" s="134" t="s">
        <v>1377</v>
      </c>
      <c r="J31" s="132" t="s">
        <v>60</v>
      </c>
      <c r="N31" s="160">
        <v>38.847000000000001</v>
      </c>
    </row>
    <row r="32" spans="1:15" ht="12.95" customHeight="1">
      <c r="A32" s="134">
        <v>25</v>
      </c>
      <c r="B32" s="134">
        <v>3</v>
      </c>
      <c r="C32" s="134"/>
      <c r="D32" s="132" t="s">
        <v>118</v>
      </c>
      <c r="E32" s="140" t="s">
        <v>76</v>
      </c>
      <c r="F32" s="134"/>
      <c r="G32" s="133" t="s">
        <v>244</v>
      </c>
      <c r="H32" s="134" t="s">
        <v>255</v>
      </c>
      <c r="I32" s="134" t="s">
        <v>1359</v>
      </c>
      <c r="J32" s="132" t="s">
        <v>60</v>
      </c>
      <c r="N32" s="160">
        <v>37.503999999999998</v>
      </c>
    </row>
    <row r="33" spans="1:14" ht="12.95" customHeight="1">
      <c r="A33" s="134">
        <v>26</v>
      </c>
      <c r="B33" s="134">
        <v>4</v>
      </c>
      <c r="C33" s="134"/>
      <c r="D33" s="132" t="s">
        <v>68</v>
      </c>
      <c r="E33" s="140" t="s">
        <v>62</v>
      </c>
      <c r="F33" s="134"/>
      <c r="G33" s="133" t="s">
        <v>250</v>
      </c>
      <c r="H33" s="134" t="s">
        <v>826</v>
      </c>
      <c r="I33" s="134" t="s">
        <v>1327</v>
      </c>
      <c r="J33" s="132" t="s">
        <v>60</v>
      </c>
      <c r="N33" s="160">
        <v>38.847000000000001</v>
      </c>
    </row>
    <row r="34" spans="1:14" ht="12.95" customHeight="1">
      <c r="A34" s="128">
        <v>27</v>
      </c>
      <c r="B34" s="134">
        <v>5</v>
      </c>
      <c r="C34" s="134"/>
      <c r="D34" s="132" t="s">
        <v>208</v>
      </c>
      <c r="E34" s="140" t="s">
        <v>249</v>
      </c>
      <c r="F34" s="134"/>
      <c r="G34" s="133" t="s">
        <v>244</v>
      </c>
      <c r="H34" s="133" t="s">
        <v>261</v>
      </c>
      <c r="I34" s="134" t="s">
        <v>1331</v>
      </c>
      <c r="J34" s="132" t="s">
        <v>60</v>
      </c>
      <c r="N34" s="160">
        <v>47.417999999999999</v>
      </c>
    </row>
    <row r="35" spans="1:14" ht="12.95" customHeight="1">
      <c r="A35" s="134">
        <v>28</v>
      </c>
      <c r="B35" s="134">
        <v>6</v>
      </c>
      <c r="C35" s="134"/>
      <c r="D35" s="132" t="s">
        <v>163</v>
      </c>
      <c r="E35" s="140" t="s">
        <v>76</v>
      </c>
      <c r="F35" s="134"/>
      <c r="G35" s="133" t="s">
        <v>255</v>
      </c>
      <c r="H35" s="133" t="s">
        <v>261</v>
      </c>
      <c r="I35" s="134" t="s">
        <v>1359</v>
      </c>
      <c r="J35" s="132" t="s">
        <v>60</v>
      </c>
      <c r="N35" s="160">
        <v>37.503999999999998</v>
      </c>
    </row>
    <row r="36" spans="1:14" ht="12.95" customHeight="1">
      <c r="A36" s="134">
        <v>29</v>
      </c>
      <c r="B36" s="134">
        <v>7</v>
      </c>
      <c r="C36" s="134"/>
      <c r="D36" s="132" t="s">
        <v>137</v>
      </c>
      <c r="E36" s="140" t="s">
        <v>76</v>
      </c>
      <c r="F36" s="134"/>
      <c r="G36" s="133" t="s">
        <v>826</v>
      </c>
      <c r="H36" s="133" t="s">
        <v>261</v>
      </c>
      <c r="I36" s="134" t="s">
        <v>1327</v>
      </c>
      <c r="J36" s="132" t="s">
        <v>60</v>
      </c>
      <c r="N36" s="160">
        <v>37.503999999999998</v>
      </c>
    </row>
    <row r="37" spans="1:14" ht="12.95" customHeight="1">
      <c r="A37" s="128">
        <v>30</v>
      </c>
      <c r="B37" s="134">
        <v>8</v>
      </c>
      <c r="D37" s="132" t="s">
        <v>150</v>
      </c>
      <c r="E37" s="140" t="s">
        <v>62</v>
      </c>
      <c r="F37" s="134"/>
      <c r="G37" s="133" t="s">
        <v>261</v>
      </c>
      <c r="H37" s="134" t="s">
        <v>262</v>
      </c>
      <c r="I37" s="134" t="s">
        <v>1327</v>
      </c>
      <c r="J37" s="132" t="s">
        <v>60</v>
      </c>
      <c r="N37" s="160">
        <v>38.847000000000001</v>
      </c>
    </row>
    <row r="38" spans="1:14" ht="12.95" customHeight="1">
      <c r="A38" s="134">
        <v>31</v>
      </c>
      <c r="B38" s="134">
        <v>9</v>
      </c>
      <c r="D38" s="132" t="s">
        <v>134</v>
      </c>
      <c r="E38" s="7" t="s">
        <v>62</v>
      </c>
      <c r="F38" s="134"/>
      <c r="G38" s="133" t="s">
        <v>261</v>
      </c>
      <c r="H38" s="134" t="s">
        <v>272</v>
      </c>
      <c r="I38" s="134" t="s">
        <v>1359</v>
      </c>
      <c r="J38" s="132" t="s">
        <v>60</v>
      </c>
      <c r="N38" s="160">
        <v>38.847000000000001</v>
      </c>
    </row>
    <row r="39" spans="1:14" ht="12.95" customHeight="1">
      <c r="A39" s="134">
        <v>32</v>
      </c>
      <c r="B39" s="134">
        <v>10</v>
      </c>
      <c r="D39" s="132" t="s">
        <v>116</v>
      </c>
      <c r="E39" s="140" t="s">
        <v>62</v>
      </c>
      <c r="F39" s="134"/>
      <c r="G39" s="133" t="s">
        <v>261</v>
      </c>
      <c r="H39" s="134" t="s">
        <v>264</v>
      </c>
      <c r="I39" s="134" t="s">
        <v>1331</v>
      </c>
      <c r="J39" s="132" t="s">
        <v>60</v>
      </c>
      <c r="N39" s="160">
        <v>38.847000000000001</v>
      </c>
    </row>
    <row r="40" spans="1:14" ht="12.95" customHeight="1">
      <c r="A40" s="128">
        <v>33</v>
      </c>
      <c r="B40" s="134">
        <v>11</v>
      </c>
      <c r="D40" s="132" t="s">
        <v>127</v>
      </c>
      <c r="E40" s="140" t="s">
        <v>76</v>
      </c>
      <c r="F40" s="134"/>
      <c r="G40" s="134" t="s">
        <v>262</v>
      </c>
      <c r="H40" s="134" t="s">
        <v>269</v>
      </c>
      <c r="I40" s="134" t="s">
        <v>1327</v>
      </c>
      <c r="J40" s="132" t="s">
        <v>60</v>
      </c>
      <c r="N40" s="160">
        <v>37.503999999999998</v>
      </c>
    </row>
    <row r="41" spans="1:14" ht="12.95" customHeight="1">
      <c r="A41" s="134">
        <v>34</v>
      </c>
      <c r="B41" s="134">
        <v>12</v>
      </c>
      <c r="D41" s="132" t="s">
        <v>151</v>
      </c>
      <c r="E41" s="140" t="s">
        <v>76</v>
      </c>
      <c r="F41" s="134"/>
      <c r="G41" s="134" t="s">
        <v>272</v>
      </c>
      <c r="H41" s="134" t="s">
        <v>270</v>
      </c>
      <c r="I41" s="134" t="s">
        <v>1359</v>
      </c>
      <c r="J41" s="132" t="s">
        <v>60</v>
      </c>
      <c r="N41" s="160">
        <v>37.503999999999998</v>
      </c>
    </row>
    <row r="42" spans="1:14" ht="12.95" customHeight="1">
      <c r="A42" s="134">
        <v>35</v>
      </c>
      <c r="B42" s="134">
        <v>13</v>
      </c>
      <c r="D42" s="132" t="s">
        <v>204</v>
      </c>
      <c r="E42" s="140" t="s">
        <v>62</v>
      </c>
      <c r="F42" s="134"/>
      <c r="G42" s="134" t="s">
        <v>269</v>
      </c>
      <c r="H42" s="134" t="s">
        <v>277</v>
      </c>
      <c r="I42" s="134" t="s">
        <v>1327</v>
      </c>
      <c r="J42" s="132" t="s">
        <v>60</v>
      </c>
      <c r="N42" s="160">
        <v>38.847000000000001</v>
      </c>
    </row>
    <row r="43" spans="1:14" ht="12.95" customHeight="1">
      <c r="A43" s="128">
        <v>36</v>
      </c>
      <c r="B43" s="134">
        <v>14</v>
      </c>
      <c r="D43" s="132" t="s">
        <v>245</v>
      </c>
      <c r="E43" s="140" t="s">
        <v>62</v>
      </c>
      <c r="F43" s="134"/>
      <c r="G43" s="134" t="s">
        <v>269</v>
      </c>
      <c r="H43" s="134" t="s">
        <v>275</v>
      </c>
      <c r="I43" s="134" t="s">
        <v>1331</v>
      </c>
      <c r="J43" s="132" t="s">
        <v>60</v>
      </c>
      <c r="N43" s="160">
        <v>38.847000000000001</v>
      </c>
    </row>
    <row r="44" spans="1:14" ht="12.95" customHeight="1">
      <c r="A44" s="134">
        <v>37</v>
      </c>
      <c r="B44" s="134">
        <v>15</v>
      </c>
      <c r="D44" s="132" t="s">
        <v>147</v>
      </c>
      <c r="E44" s="140" t="s">
        <v>76</v>
      </c>
      <c r="F44" s="134"/>
      <c r="G44" s="134" t="s">
        <v>270</v>
      </c>
      <c r="H44" s="134" t="s">
        <v>278</v>
      </c>
      <c r="I44" s="134" t="s">
        <v>1359</v>
      </c>
      <c r="J44" s="132" t="s">
        <v>60</v>
      </c>
      <c r="N44" s="160">
        <v>37.503999999999998</v>
      </c>
    </row>
    <row r="45" spans="1:14" ht="12.95" customHeight="1">
      <c r="A45" s="134">
        <v>38</v>
      </c>
      <c r="B45" s="134">
        <v>16</v>
      </c>
      <c r="D45" s="132" t="s">
        <v>193</v>
      </c>
      <c r="E45" s="140" t="s">
        <v>76</v>
      </c>
      <c r="F45" s="134"/>
      <c r="G45" s="134" t="s">
        <v>274</v>
      </c>
      <c r="H45" s="134" t="s">
        <v>278</v>
      </c>
      <c r="I45" s="134" t="s">
        <v>1377</v>
      </c>
      <c r="J45" s="132" t="s">
        <v>60</v>
      </c>
      <c r="N45" s="160">
        <v>37.503999999999998</v>
      </c>
    </row>
    <row r="46" spans="1:14" ht="12.95" customHeight="1">
      <c r="A46" s="128">
        <v>39</v>
      </c>
      <c r="B46" s="134">
        <v>17</v>
      </c>
      <c r="D46" s="132" t="s">
        <v>215</v>
      </c>
      <c r="E46" s="140" t="s">
        <v>249</v>
      </c>
      <c r="F46" s="134"/>
      <c r="G46" s="134" t="s">
        <v>277</v>
      </c>
      <c r="H46" s="134" t="s">
        <v>1271</v>
      </c>
      <c r="I46" s="134" t="s">
        <v>1327</v>
      </c>
      <c r="J46" s="132" t="s">
        <v>60</v>
      </c>
      <c r="N46" s="160">
        <v>47.417999999999999</v>
      </c>
    </row>
    <row r="47" spans="1:14" ht="12.95" customHeight="1">
      <c r="A47" s="134">
        <v>40</v>
      </c>
      <c r="B47" s="134">
        <v>18</v>
      </c>
      <c r="D47" s="132" t="s">
        <v>182</v>
      </c>
      <c r="E47" s="140" t="s">
        <v>62</v>
      </c>
      <c r="F47" s="134"/>
      <c r="G47" s="134" t="s">
        <v>278</v>
      </c>
      <c r="H47" s="134" t="s">
        <v>281</v>
      </c>
      <c r="I47" s="134" t="s">
        <v>1377</v>
      </c>
      <c r="J47" s="132" t="s">
        <v>60</v>
      </c>
      <c r="N47" s="160">
        <v>38.847000000000001</v>
      </c>
    </row>
    <row r="48" spans="1:14" ht="12.95" customHeight="1">
      <c r="A48" s="134">
        <v>41</v>
      </c>
      <c r="B48" s="134">
        <v>19</v>
      </c>
      <c r="D48" s="132" t="s">
        <v>239</v>
      </c>
      <c r="E48" s="140" t="s">
        <v>62</v>
      </c>
      <c r="F48" s="134"/>
      <c r="G48" s="134" t="s">
        <v>275</v>
      </c>
      <c r="H48" s="134" t="s">
        <v>282</v>
      </c>
      <c r="I48" s="134" t="s">
        <v>1331</v>
      </c>
      <c r="J48" s="132" t="s">
        <v>60</v>
      </c>
      <c r="N48" s="160">
        <v>38.847000000000001</v>
      </c>
    </row>
    <row r="49" spans="1:15" ht="12.95" customHeight="1">
      <c r="A49" s="128">
        <v>42</v>
      </c>
      <c r="B49" s="134">
        <v>20</v>
      </c>
      <c r="D49" s="132" t="s">
        <v>129</v>
      </c>
      <c r="E49" s="140" t="s">
        <v>76</v>
      </c>
      <c r="F49" s="134"/>
      <c r="G49" s="134" t="s">
        <v>278</v>
      </c>
      <c r="H49" s="134" t="s">
        <v>282</v>
      </c>
      <c r="I49" s="134" t="s">
        <v>1359</v>
      </c>
      <c r="J49" s="132" t="s">
        <v>60</v>
      </c>
      <c r="N49" s="160">
        <v>37.503999999999998</v>
      </c>
    </row>
    <row r="50" spans="1:15" ht="12.95" customHeight="1">
      <c r="A50" s="128"/>
      <c r="B50" s="154" t="s">
        <v>1380</v>
      </c>
      <c r="C50" s="134"/>
      <c r="D50" s="134"/>
      <c r="E50" s="177"/>
      <c r="F50" s="134"/>
      <c r="G50" s="133"/>
      <c r="H50" s="134"/>
      <c r="I50" s="134"/>
      <c r="J50" s="134"/>
      <c r="O50" s="160">
        <f>SUM(N30:N49)</f>
        <v>783.33799999999997</v>
      </c>
    </row>
    <row r="51" spans="1:15" ht="12.95" customHeight="1">
      <c r="A51" s="134">
        <v>43</v>
      </c>
      <c r="B51" s="134">
        <v>1</v>
      </c>
      <c r="D51" s="132" t="s">
        <v>178</v>
      </c>
      <c r="E51" s="140" t="s">
        <v>62</v>
      </c>
      <c r="F51" s="134"/>
      <c r="G51" s="134" t="s">
        <v>281</v>
      </c>
      <c r="H51" s="134" t="s">
        <v>288</v>
      </c>
      <c r="I51" s="134" t="s">
        <v>1377</v>
      </c>
      <c r="J51" s="132" t="s">
        <v>60</v>
      </c>
      <c r="N51" s="160">
        <v>38.847000000000001</v>
      </c>
    </row>
    <row r="52" spans="1:15" ht="12.95" customHeight="1">
      <c r="A52" s="128">
        <v>44</v>
      </c>
      <c r="B52" s="134">
        <v>2</v>
      </c>
      <c r="D52" s="132" t="s">
        <v>122</v>
      </c>
      <c r="E52" s="140" t="s">
        <v>76</v>
      </c>
      <c r="F52" s="134"/>
      <c r="G52" s="134" t="s">
        <v>282</v>
      </c>
      <c r="H52" s="134" t="s">
        <v>295</v>
      </c>
      <c r="I52" s="134" t="s">
        <v>1359</v>
      </c>
      <c r="J52" s="132" t="s">
        <v>60</v>
      </c>
      <c r="N52" s="160">
        <v>37.503999999999998</v>
      </c>
    </row>
    <row r="53" spans="1:15" ht="12.95" customHeight="1">
      <c r="A53" s="134">
        <v>45</v>
      </c>
      <c r="B53" s="134">
        <v>3</v>
      </c>
      <c r="D53" s="132" t="s">
        <v>238</v>
      </c>
      <c r="E53" s="140" t="s">
        <v>62</v>
      </c>
      <c r="F53" s="134"/>
      <c r="G53" s="134" t="s">
        <v>282</v>
      </c>
      <c r="H53" s="134" t="s">
        <v>289</v>
      </c>
      <c r="I53" s="134" t="s">
        <v>1331</v>
      </c>
      <c r="J53" s="132" t="s">
        <v>60</v>
      </c>
      <c r="N53" s="160">
        <v>38.847000000000001</v>
      </c>
    </row>
    <row r="54" spans="1:15" ht="12.95" customHeight="1">
      <c r="A54" s="134">
        <v>46</v>
      </c>
      <c r="B54" s="134">
        <v>4</v>
      </c>
      <c r="D54" s="132" t="s">
        <v>195</v>
      </c>
      <c r="E54" s="140" t="s">
        <v>62</v>
      </c>
      <c r="F54" s="134"/>
      <c r="G54" s="134" t="s">
        <v>285</v>
      </c>
      <c r="H54" s="134" t="s">
        <v>289</v>
      </c>
      <c r="I54" s="134" t="s">
        <v>1381</v>
      </c>
      <c r="J54" s="132" t="s">
        <v>60</v>
      </c>
      <c r="N54" s="160">
        <v>38.847000000000001</v>
      </c>
    </row>
    <row r="55" spans="1:15" ht="12.95" customHeight="1">
      <c r="A55" s="134">
        <v>47</v>
      </c>
      <c r="B55" s="134">
        <v>5</v>
      </c>
      <c r="D55" s="132" t="s">
        <v>159</v>
      </c>
      <c r="E55" s="140" t="s">
        <v>62</v>
      </c>
      <c r="F55" s="134"/>
      <c r="G55" s="134" t="s">
        <v>288</v>
      </c>
      <c r="H55" s="134" t="s">
        <v>291</v>
      </c>
      <c r="I55" s="134" t="s">
        <v>1377</v>
      </c>
      <c r="J55" s="132" t="s">
        <v>60</v>
      </c>
      <c r="N55" s="160">
        <v>38.847000000000001</v>
      </c>
    </row>
    <row r="56" spans="1:15" ht="12.95" customHeight="1">
      <c r="A56" s="128">
        <v>48</v>
      </c>
      <c r="B56" s="134">
        <v>6</v>
      </c>
      <c r="D56" s="132" t="s">
        <v>200</v>
      </c>
      <c r="E56" s="140" t="s">
        <v>76</v>
      </c>
      <c r="F56" s="134"/>
      <c r="G56" s="134" t="s">
        <v>1287</v>
      </c>
      <c r="H56" s="134" t="s">
        <v>1382</v>
      </c>
      <c r="I56" s="134" t="s">
        <v>1359</v>
      </c>
      <c r="J56" s="132" t="s">
        <v>60</v>
      </c>
      <c r="N56" s="160">
        <v>37.503999999999998</v>
      </c>
    </row>
    <row r="57" spans="1:15" ht="12.95" customHeight="1">
      <c r="A57" s="134">
        <v>49</v>
      </c>
      <c r="B57" s="134">
        <v>7</v>
      </c>
      <c r="D57" s="132" t="s">
        <v>148</v>
      </c>
      <c r="E57" s="140" t="s">
        <v>1269</v>
      </c>
      <c r="F57" s="134"/>
      <c r="G57" s="134" t="s">
        <v>1287</v>
      </c>
      <c r="H57" s="134" t="s">
        <v>1383</v>
      </c>
      <c r="I57" s="134" t="s">
        <v>1327</v>
      </c>
      <c r="J57" s="132" t="s">
        <v>60</v>
      </c>
      <c r="N57" s="160">
        <v>57.597999999999999</v>
      </c>
    </row>
    <row r="58" spans="1:15" ht="12.95" customHeight="1">
      <c r="A58" s="134">
        <v>50</v>
      </c>
      <c r="B58" s="134">
        <v>8</v>
      </c>
      <c r="D58" s="132" t="s">
        <v>187</v>
      </c>
      <c r="E58" s="140" t="s">
        <v>76</v>
      </c>
      <c r="F58" s="134"/>
      <c r="G58" s="134" t="s">
        <v>289</v>
      </c>
      <c r="H58" s="161" t="s">
        <v>293</v>
      </c>
      <c r="I58" s="134" t="s">
        <v>1381</v>
      </c>
      <c r="J58" s="132" t="s">
        <v>60</v>
      </c>
      <c r="N58" s="160">
        <v>37.503999999999998</v>
      </c>
    </row>
    <row r="59" spans="1:15" ht="12.95" customHeight="1">
      <c r="A59" s="134">
        <v>51</v>
      </c>
      <c r="B59" s="134">
        <v>9</v>
      </c>
      <c r="D59" s="178" t="s">
        <v>188</v>
      </c>
      <c r="E59" s="179" t="s">
        <v>76</v>
      </c>
      <c r="F59" s="137"/>
      <c r="G59" s="137" t="s">
        <v>1382</v>
      </c>
      <c r="H59" s="137" t="s">
        <v>296</v>
      </c>
      <c r="I59" s="137" t="s">
        <v>1359</v>
      </c>
      <c r="J59" s="178" t="s">
        <v>60</v>
      </c>
      <c r="N59" s="160">
        <v>37.503999999999998</v>
      </c>
    </row>
    <row r="60" spans="1:15" ht="12.95" customHeight="1">
      <c r="A60" s="128">
        <v>52</v>
      </c>
      <c r="B60" s="134">
        <v>10</v>
      </c>
      <c r="C60" s="134"/>
      <c r="D60" s="132" t="s">
        <v>177</v>
      </c>
      <c r="E60" s="140" t="s">
        <v>62</v>
      </c>
      <c r="F60" s="134"/>
      <c r="G60" s="134" t="s">
        <v>293</v>
      </c>
      <c r="H60" s="134" t="s">
        <v>1384</v>
      </c>
      <c r="I60" s="134" t="s">
        <v>1381</v>
      </c>
      <c r="J60" s="132" t="s">
        <v>60</v>
      </c>
      <c r="N60" s="160">
        <v>38.847000000000001</v>
      </c>
    </row>
    <row r="61" spans="1:15" ht="12.95" customHeight="1">
      <c r="A61" s="134">
        <v>53</v>
      </c>
      <c r="B61" s="134">
        <v>11</v>
      </c>
      <c r="C61" s="134"/>
      <c r="D61" s="132" t="s">
        <v>201</v>
      </c>
      <c r="E61" s="134" t="s">
        <v>62</v>
      </c>
      <c r="F61" s="134"/>
      <c r="G61" s="133" t="s">
        <v>296</v>
      </c>
      <c r="H61" s="134" t="s">
        <v>302</v>
      </c>
      <c r="I61" s="134" t="s">
        <v>1359</v>
      </c>
      <c r="J61" s="132" t="s">
        <v>60</v>
      </c>
      <c r="N61" s="160">
        <v>38.847000000000001</v>
      </c>
    </row>
    <row r="62" spans="1:15" ht="12.95" customHeight="1">
      <c r="A62" s="134">
        <v>54</v>
      </c>
      <c r="B62" s="134">
        <v>12</v>
      </c>
      <c r="C62" s="134"/>
      <c r="D62" s="132" t="s">
        <v>154</v>
      </c>
      <c r="E62" s="134" t="s">
        <v>62</v>
      </c>
      <c r="F62" s="134"/>
      <c r="G62" s="133" t="s">
        <v>1385</v>
      </c>
      <c r="H62" s="134" t="s">
        <v>306</v>
      </c>
      <c r="I62" s="134" t="s">
        <v>1377</v>
      </c>
      <c r="J62" s="132" t="s">
        <v>60</v>
      </c>
      <c r="N62" s="160">
        <v>38.847000000000001</v>
      </c>
    </row>
    <row r="63" spans="1:15" ht="12.95" customHeight="1">
      <c r="A63" s="134">
        <v>55</v>
      </c>
      <c r="B63" s="134">
        <v>13</v>
      </c>
      <c r="C63" s="134"/>
      <c r="D63" s="132" t="s">
        <v>180</v>
      </c>
      <c r="E63" s="134" t="s">
        <v>53</v>
      </c>
      <c r="F63" s="134"/>
      <c r="G63" s="133" t="s">
        <v>301</v>
      </c>
      <c r="H63" s="134" t="s">
        <v>307</v>
      </c>
      <c r="I63" s="134" t="s">
        <v>1327</v>
      </c>
      <c r="J63" s="132" t="s">
        <v>60</v>
      </c>
      <c r="N63" s="160">
        <v>45.412999999999997</v>
      </c>
    </row>
    <row r="64" spans="1:15" ht="12.95" customHeight="1">
      <c r="A64" s="128">
        <v>56</v>
      </c>
      <c r="B64" s="134">
        <v>14</v>
      </c>
      <c r="C64" s="134"/>
      <c r="D64" s="132" t="s">
        <v>169</v>
      </c>
      <c r="E64" s="134" t="s">
        <v>76</v>
      </c>
      <c r="F64" s="134"/>
      <c r="G64" s="133" t="s">
        <v>1384</v>
      </c>
      <c r="H64" s="134" t="s">
        <v>307</v>
      </c>
      <c r="I64" s="134" t="s">
        <v>1329</v>
      </c>
      <c r="J64" s="132" t="s">
        <v>60</v>
      </c>
      <c r="N64" s="160">
        <v>37.503999999999998</v>
      </c>
    </row>
    <row r="65" spans="1:15" ht="12.95" customHeight="1">
      <c r="A65" s="134">
        <v>57</v>
      </c>
      <c r="B65" s="134">
        <v>15</v>
      </c>
      <c r="C65" s="134"/>
      <c r="D65" s="132" t="s">
        <v>219</v>
      </c>
      <c r="E65" s="134" t="s">
        <v>53</v>
      </c>
      <c r="F65" s="134"/>
      <c r="G65" s="133" t="s">
        <v>1355</v>
      </c>
      <c r="H65" s="134" t="s">
        <v>1288</v>
      </c>
      <c r="I65" s="134" t="s">
        <v>1331</v>
      </c>
      <c r="J65" s="132" t="s">
        <v>60</v>
      </c>
      <c r="N65" s="160">
        <v>45.412999999999997</v>
      </c>
    </row>
    <row r="66" spans="1:15" ht="12.95" customHeight="1">
      <c r="A66" s="134">
        <v>58</v>
      </c>
      <c r="B66" s="134">
        <v>16</v>
      </c>
      <c r="C66" s="134"/>
      <c r="D66" s="132" t="s">
        <v>175</v>
      </c>
      <c r="E66" s="134" t="s">
        <v>76</v>
      </c>
      <c r="F66" s="134"/>
      <c r="G66" s="133" t="s">
        <v>306</v>
      </c>
      <c r="H66" s="134" t="s">
        <v>1356</v>
      </c>
      <c r="I66" s="134" t="s">
        <v>1377</v>
      </c>
      <c r="J66" s="132" t="s">
        <v>60</v>
      </c>
      <c r="N66" s="160">
        <v>37.503999999999998</v>
      </c>
    </row>
    <row r="67" spans="1:15" ht="12.95" customHeight="1">
      <c r="A67" s="134">
        <v>59</v>
      </c>
      <c r="B67" s="134">
        <v>17</v>
      </c>
      <c r="C67" s="134"/>
      <c r="D67" s="132" t="s">
        <v>242</v>
      </c>
      <c r="E67" s="134" t="s">
        <v>243</v>
      </c>
      <c r="F67" s="134"/>
      <c r="G67" s="133" t="s">
        <v>306</v>
      </c>
      <c r="H67" s="134" t="s">
        <v>1289</v>
      </c>
      <c r="I67" s="134" t="s">
        <v>1359</v>
      </c>
      <c r="J67" s="132" t="s">
        <v>60</v>
      </c>
      <c r="N67" s="160">
        <v>57.597999999999999</v>
      </c>
    </row>
    <row r="68" spans="1:15" ht="12.95" customHeight="1">
      <c r="A68" s="128">
        <v>60</v>
      </c>
      <c r="B68" s="134">
        <v>18</v>
      </c>
      <c r="C68" s="134"/>
      <c r="D68" s="132" t="s">
        <v>156</v>
      </c>
      <c r="E68" s="134" t="s">
        <v>62</v>
      </c>
      <c r="F68" s="134"/>
      <c r="G68" s="133" t="s">
        <v>307</v>
      </c>
      <c r="H68" s="134" t="s">
        <v>1289</v>
      </c>
      <c r="I68" s="134" t="s">
        <v>1329</v>
      </c>
      <c r="J68" s="132" t="s">
        <v>60</v>
      </c>
      <c r="N68" s="160">
        <v>38.847000000000001</v>
      </c>
    </row>
    <row r="69" spans="1:15" ht="12.95" customHeight="1">
      <c r="A69" s="134">
        <v>61</v>
      </c>
      <c r="B69" s="134">
        <v>19</v>
      </c>
      <c r="C69" s="134"/>
      <c r="D69" s="132" t="s">
        <v>170</v>
      </c>
      <c r="E69" s="134" t="s">
        <v>53</v>
      </c>
      <c r="F69" s="134"/>
      <c r="G69" s="133" t="s">
        <v>307</v>
      </c>
      <c r="H69" s="133" t="s">
        <v>832</v>
      </c>
      <c r="I69" s="134" t="s">
        <v>1327</v>
      </c>
      <c r="J69" s="132" t="s">
        <v>60</v>
      </c>
      <c r="N69" s="160">
        <v>45.412999999999997</v>
      </c>
    </row>
    <row r="70" spans="1:15" ht="12.95" customHeight="1">
      <c r="A70" s="134"/>
      <c r="B70" s="154" t="s">
        <v>303</v>
      </c>
      <c r="C70" s="134"/>
      <c r="D70" s="134"/>
      <c r="E70" s="134"/>
      <c r="F70" s="134"/>
      <c r="G70" s="133"/>
      <c r="H70" s="133"/>
      <c r="I70" s="134"/>
      <c r="J70" s="134"/>
      <c r="O70" s="160">
        <f>SUM(N51:N69)</f>
        <v>787.23500000000001</v>
      </c>
    </row>
    <row r="71" spans="1:15" ht="12.95" customHeight="1">
      <c r="A71" s="134">
        <v>62</v>
      </c>
      <c r="B71" s="134">
        <v>1</v>
      </c>
      <c r="C71" s="134"/>
      <c r="D71" s="132" t="s">
        <v>251</v>
      </c>
      <c r="E71" s="134" t="s">
        <v>76</v>
      </c>
      <c r="F71" s="134"/>
      <c r="G71" s="133" t="s">
        <v>1289</v>
      </c>
      <c r="H71" s="134" t="s">
        <v>308</v>
      </c>
      <c r="I71" s="134" t="s">
        <v>1359</v>
      </c>
      <c r="J71" s="132" t="s">
        <v>60</v>
      </c>
      <c r="N71" s="160">
        <v>37.503999999999998</v>
      </c>
    </row>
    <row r="72" spans="1:15" ht="12.95" customHeight="1">
      <c r="A72" s="134">
        <v>63</v>
      </c>
      <c r="B72" s="134">
        <v>2</v>
      </c>
      <c r="C72" s="134"/>
      <c r="D72" s="132" t="s">
        <v>121</v>
      </c>
      <c r="E72" s="134" t="s">
        <v>62</v>
      </c>
      <c r="F72" s="134"/>
      <c r="G72" s="133" t="s">
        <v>1289</v>
      </c>
      <c r="H72" s="134" t="s">
        <v>308</v>
      </c>
      <c r="I72" s="134" t="s">
        <v>1329</v>
      </c>
      <c r="J72" s="132" t="s">
        <v>60</v>
      </c>
      <c r="N72" s="160">
        <v>38.847000000000001</v>
      </c>
    </row>
    <row r="73" spans="1:15" ht="12.95" customHeight="1">
      <c r="A73" s="134">
        <v>64</v>
      </c>
      <c r="B73" s="134">
        <v>3</v>
      </c>
      <c r="C73" s="134"/>
      <c r="D73" s="132" t="s">
        <v>111</v>
      </c>
      <c r="E73" s="134" t="s">
        <v>112</v>
      </c>
      <c r="F73" s="134"/>
      <c r="G73" s="133" t="s">
        <v>1289</v>
      </c>
      <c r="H73" s="134" t="s">
        <v>311</v>
      </c>
      <c r="I73" s="134" t="s">
        <v>1377</v>
      </c>
      <c r="J73" s="132" t="s">
        <v>60</v>
      </c>
      <c r="N73" s="160">
        <v>57.597999999999999</v>
      </c>
    </row>
    <row r="74" spans="1:15" ht="12.95" customHeight="1">
      <c r="A74" s="134">
        <v>65</v>
      </c>
      <c r="B74" s="134">
        <v>4</v>
      </c>
      <c r="C74" s="134"/>
      <c r="D74" s="132" t="s">
        <v>83</v>
      </c>
      <c r="E74" s="134" t="s">
        <v>62</v>
      </c>
      <c r="F74" s="134"/>
      <c r="G74" s="133" t="s">
        <v>832</v>
      </c>
      <c r="H74" s="134" t="s">
        <v>311</v>
      </c>
      <c r="I74" s="134" t="s">
        <v>1327</v>
      </c>
      <c r="J74" s="132" t="s">
        <v>60</v>
      </c>
      <c r="N74" s="160">
        <v>38.847000000000001</v>
      </c>
    </row>
    <row r="75" spans="1:15" ht="12.95" customHeight="1">
      <c r="A75" s="134">
        <v>66</v>
      </c>
      <c r="B75" s="134">
        <v>5</v>
      </c>
      <c r="C75" s="134"/>
      <c r="D75" s="132" t="s">
        <v>52</v>
      </c>
      <c r="E75" s="134" t="s">
        <v>53</v>
      </c>
      <c r="F75" s="134"/>
      <c r="G75" s="133" t="s">
        <v>311</v>
      </c>
      <c r="H75" s="134" t="s">
        <v>1386</v>
      </c>
      <c r="I75" s="134" t="s">
        <v>1327</v>
      </c>
      <c r="J75" s="132" t="s">
        <v>60</v>
      </c>
      <c r="N75" s="160">
        <v>45.412999999999997</v>
      </c>
    </row>
    <row r="76" spans="1:15" ht="12.95" customHeight="1">
      <c r="A76" s="134">
        <v>67</v>
      </c>
      <c r="B76" s="134">
        <v>6</v>
      </c>
      <c r="C76" s="134"/>
      <c r="D76" s="132" t="s">
        <v>211</v>
      </c>
      <c r="E76" s="134" t="s">
        <v>212</v>
      </c>
      <c r="F76" s="134"/>
      <c r="G76" s="133" t="s">
        <v>308</v>
      </c>
      <c r="H76" s="134" t="s">
        <v>1387</v>
      </c>
      <c r="I76" s="134" t="s">
        <v>1329</v>
      </c>
      <c r="J76" s="132" t="s">
        <v>60</v>
      </c>
      <c r="N76" s="160">
        <v>66.381</v>
      </c>
    </row>
    <row r="77" spans="1:15" ht="12.95" customHeight="1">
      <c r="A77" s="134">
        <v>68</v>
      </c>
      <c r="B77" s="134">
        <v>7</v>
      </c>
      <c r="C77" s="134"/>
      <c r="D77" s="132" t="s">
        <v>257</v>
      </c>
      <c r="E77" s="134" t="s">
        <v>62</v>
      </c>
      <c r="F77" s="134"/>
      <c r="G77" s="134" t="s">
        <v>1386</v>
      </c>
      <c r="H77" s="134" t="s">
        <v>1294</v>
      </c>
      <c r="I77" s="134" t="s">
        <v>1327</v>
      </c>
      <c r="J77" s="132" t="s">
        <v>60</v>
      </c>
      <c r="N77" s="160">
        <v>38.847000000000001</v>
      </c>
    </row>
    <row r="78" spans="1:15" ht="12.95" customHeight="1">
      <c r="A78" s="134">
        <v>69</v>
      </c>
      <c r="B78" s="134">
        <v>8</v>
      </c>
      <c r="C78" s="134"/>
      <c r="D78" s="132" t="s">
        <v>265</v>
      </c>
      <c r="E78" s="134" t="s">
        <v>1277</v>
      </c>
      <c r="F78" s="134"/>
      <c r="G78" s="133" t="s">
        <v>311</v>
      </c>
      <c r="H78" s="134" t="s">
        <v>316</v>
      </c>
      <c r="I78" s="134" t="s">
        <v>86</v>
      </c>
      <c r="J78" s="132" t="s">
        <v>60</v>
      </c>
      <c r="N78" s="160">
        <v>66.381</v>
      </c>
    </row>
    <row r="79" spans="1:15" ht="12.95" customHeight="1">
      <c r="A79" s="134">
        <v>70</v>
      </c>
      <c r="B79" s="134">
        <v>9</v>
      </c>
      <c r="C79" s="134"/>
      <c r="D79" s="132" t="s">
        <v>248</v>
      </c>
      <c r="E79" s="134" t="s">
        <v>249</v>
      </c>
      <c r="F79" s="134"/>
      <c r="G79" s="134" t="s">
        <v>1387</v>
      </c>
      <c r="H79" s="134" t="s">
        <v>323</v>
      </c>
      <c r="I79" s="134" t="s">
        <v>1329</v>
      </c>
      <c r="J79" s="132" t="s">
        <v>60</v>
      </c>
      <c r="N79" s="160">
        <v>47.417999999999999</v>
      </c>
    </row>
    <row r="80" spans="1:15" ht="12.95" customHeight="1">
      <c r="A80" s="134">
        <v>71</v>
      </c>
      <c r="B80" s="134">
        <v>10</v>
      </c>
      <c r="D80" s="132" t="s">
        <v>198</v>
      </c>
      <c r="E80" s="134" t="s">
        <v>62</v>
      </c>
      <c r="G80" s="134" t="s">
        <v>1294</v>
      </c>
      <c r="H80" s="134" t="s">
        <v>1388</v>
      </c>
      <c r="I80" s="134" t="s">
        <v>1327</v>
      </c>
      <c r="J80" s="132" t="s">
        <v>60</v>
      </c>
      <c r="N80" s="160">
        <v>38.847000000000001</v>
      </c>
    </row>
    <row r="81" spans="1:15" ht="12.95" customHeight="1">
      <c r="A81" s="134">
        <v>72</v>
      </c>
      <c r="B81" s="134">
        <v>11</v>
      </c>
      <c r="D81" s="132" t="s">
        <v>216</v>
      </c>
      <c r="E81" s="134" t="s">
        <v>76</v>
      </c>
      <c r="G81" s="134" t="s">
        <v>323</v>
      </c>
      <c r="H81" s="134" t="s">
        <v>324</v>
      </c>
      <c r="I81" s="134" t="s">
        <v>1329</v>
      </c>
      <c r="J81" s="132" t="s">
        <v>60</v>
      </c>
      <c r="N81" s="160">
        <v>37.503999999999998</v>
      </c>
    </row>
    <row r="82" spans="1:15" ht="12.95" customHeight="1">
      <c r="A82" s="134">
        <v>73</v>
      </c>
      <c r="B82" s="134">
        <v>12</v>
      </c>
      <c r="D82" s="132" t="s">
        <v>196</v>
      </c>
      <c r="E82" s="134" t="s">
        <v>53</v>
      </c>
      <c r="G82" s="134" t="s">
        <v>316</v>
      </c>
      <c r="H82" s="134" t="s">
        <v>1278</v>
      </c>
      <c r="I82" s="134" t="s">
        <v>86</v>
      </c>
      <c r="J82" s="132" t="s">
        <v>60</v>
      </c>
      <c r="N82" s="160">
        <v>45.412999999999997</v>
      </c>
    </row>
    <row r="83" spans="1:15" ht="12.95" customHeight="1">
      <c r="A83" s="134">
        <v>74</v>
      </c>
      <c r="B83" s="134">
        <v>13</v>
      </c>
      <c r="D83" s="132" t="s">
        <v>226</v>
      </c>
      <c r="E83" s="134" t="s">
        <v>53</v>
      </c>
      <c r="G83" s="134" t="s">
        <v>324</v>
      </c>
      <c r="H83" s="134" t="s">
        <v>1278</v>
      </c>
      <c r="I83" s="134" t="s">
        <v>1329</v>
      </c>
      <c r="J83" s="132" t="s">
        <v>60</v>
      </c>
      <c r="N83" s="160">
        <v>45.412999999999997</v>
      </c>
    </row>
    <row r="84" spans="1:15" ht="12.95" customHeight="1">
      <c r="A84" s="134">
        <v>75</v>
      </c>
      <c r="B84" s="134">
        <v>14</v>
      </c>
      <c r="C84" s="134"/>
      <c r="D84" s="132" t="s">
        <v>135</v>
      </c>
      <c r="E84" s="134" t="s">
        <v>76</v>
      </c>
      <c r="F84" s="134"/>
      <c r="G84" s="134" t="s">
        <v>1387</v>
      </c>
      <c r="H84" s="134" t="s">
        <v>331</v>
      </c>
      <c r="I84" s="134" t="s">
        <v>1389</v>
      </c>
      <c r="J84" s="132" t="s">
        <v>60</v>
      </c>
      <c r="N84" s="160">
        <v>37.503999999999998</v>
      </c>
    </row>
    <row r="85" spans="1:15" ht="12.95" customHeight="1">
      <c r="A85" s="134"/>
      <c r="B85" s="154" t="s">
        <v>335</v>
      </c>
      <c r="C85" s="162"/>
      <c r="D85" s="134"/>
      <c r="E85" s="134"/>
      <c r="F85" s="162"/>
      <c r="G85" s="134"/>
      <c r="H85" s="134"/>
      <c r="I85" s="134"/>
      <c r="J85" s="134"/>
      <c r="O85" s="160">
        <f>SUM(N71:N84)</f>
        <v>641.91700000000003</v>
      </c>
    </row>
    <row r="86" spans="1:15" ht="12.95" customHeight="1">
      <c r="A86" s="134">
        <v>76</v>
      </c>
      <c r="B86" s="134">
        <v>1</v>
      </c>
      <c r="D86" s="132" t="s">
        <v>114</v>
      </c>
      <c r="E86" s="134" t="s">
        <v>76</v>
      </c>
      <c r="G86" s="134" t="s">
        <v>333</v>
      </c>
      <c r="H86" s="134" t="s">
        <v>1247</v>
      </c>
      <c r="I86" s="134" t="s">
        <v>1390</v>
      </c>
      <c r="J86" s="132" t="s">
        <v>60</v>
      </c>
      <c r="N86" s="160">
        <v>37.503999999999998</v>
      </c>
    </row>
    <row r="87" spans="1:15" ht="12.95" customHeight="1">
      <c r="A87" s="134">
        <v>77</v>
      </c>
      <c r="B87" s="134">
        <v>2</v>
      </c>
      <c r="D87" s="132" t="s">
        <v>139</v>
      </c>
      <c r="E87" s="134" t="s">
        <v>76</v>
      </c>
      <c r="G87" s="134" t="s">
        <v>1391</v>
      </c>
      <c r="H87" s="134" t="s">
        <v>1392</v>
      </c>
      <c r="I87" s="134" t="s">
        <v>1389</v>
      </c>
      <c r="J87" s="132" t="s">
        <v>60</v>
      </c>
      <c r="N87" s="160">
        <v>37.503999999999998</v>
      </c>
    </row>
    <row r="88" spans="1:15" ht="12.95" customHeight="1">
      <c r="A88" s="134">
        <v>78</v>
      </c>
      <c r="B88" s="134">
        <v>3</v>
      </c>
      <c r="D88" s="132" t="s">
        <v>130</v>
      </c>
      <c r="E88" s="134" t="s">
        <v>76</v>
      </c>
      <c r="G88" s="134" t="s">
        <v>343</v>
      </c>
      <c r="H88" s="134" t="s">
        <v>1393</v>
      </c>
      <c r="I88" s="134" t="s">
        <v>1390</v>
      </c>
      <c r="J88" s="132" t="s">
        <v>60</v>
      </c>
      <c r="N88" s="160">
        <v>37.503999999999998</v>
      </c>
    </row>
    <row r="89" spans="1:15" ht="12.95" customHeight="1">
      <c r="A89" s="134"/>
      <c r="B89" s="154" t="s">
        <v>345</v>
      </c>
      <c r="D89" s="134"/>
      <c r="E89" s="134"/>
      <c r="G89" s="134"/>
      <c r="H89" s="134"/>
      <c r="I89" s="134"/>
      <c r="J89" s="134"/>
      <c r="O89" s="160">
        <f>SUM(N86:N88)</f>
        <v>112.512</v>
      </c>
    </row>
    <row r="90" spans="1:15" ht="12.95" customHeight="1">
      <c r="A90" s="134">
        <v>79</v>
      </c>
      <c r="B90" s="134">
        <v>1</v>
      </c>
      <c r="D90" s="132" t="s">
        <v>229</v>
      </c>
      <c r="E90" s="134" t="s">
        <v>62</v>
      </c>
      <c r="G90" s="134" t="s">
        <v>1394</v>
      </c>
      <c r="H90" s="134" t="s">
        <v>1395</v>
      </c>
      <c r="I90" s="134" t="s">
        <v>1390</v>
      </c>
      <c r="J90" s="132" t="s">
        <v>60</v>
      </c>
      <c r="N90" s="160">
        <v>38.847000000000001</v>
      </c>
    </row>
    <row r="91" spans="1:15" ht="12.95" customHeight="1">
      <c r="A91" s="134">
        <v>80</v>
      </c>
      <c r="B91" s="134">
        <v>2</v>
      </c>
      <c r="D91" s="132" t="s">
        <v>61</v>
      </c>
      <c r="E91" s="134" t="s">
        <v>62</v>
      </c>
      <c r="G91" s="134" t="s">
        <v>868</v>
      </c>
      <c r="H91" s="134" t="s">
        <v>846</v>
      </c>
      <c r="I91" s="134" t="s">
        <v>1390</v>
      </c>
      <c r="J91" s="132" t="s">
        <v>60</v>
      </c>
      <c r="N91" s="160">
        <v>38.847000000000001</v>
      </c>
    </row>
    <row r="92" spans="1:15" ht="12.95" customHeight="1">
      <c r="A92" s="134"/>
      <c r="B92" s="154" t="s">
        <v>354</v>
      </c>
      <c r="D92" s="132"/>
      <c r="E92" s="134"/>
      <c r="G92" s="134"/>
      <c r="H92" s="134"/>
      <c r="I92" s="134"/>
      <c r="J92" s="132"/>
      <c r="O92" s="160">
        <f>N91+N90</f>
        <v>77.694000000000003</v>
      </c>
    </row>
    <row r="93" spans="1:15" ht="12.95" customHeight="1">
      <c r="A93" s="134">
        <v>81</v>
      </c>
      <c r="B93" s="134">
        <v>1</v>
      </c>
      <c r="D93" s="132" t="s">
        <v>155</v>
      </c>
      <c r="E93" s="134" t="s">
        <v>62</v>
      </c>
      <c r="G93" s="134" t="s">
        <v>860</v>
      </c>
      <c r="H93" s="134" t="s">
        <v>886</v>
      </c>
      <c r="I93" s="134" t="s">
        <v>1358</v>
      </c>
      <c r="J93" s="132" t="s">
        <v>60</v>
      </c>
      <c r="N93" s="160">
        <v>38.847000000000001</v>
      </c>
    </row>
    <row r="94" spans="1:15" ht="12.95" customHeight="1">
      <c r="A94" s="134">
        <v>82</v>
      </c>
      <c r="B94" s="134">
        <v>2</v>
      </c>
      <c r="D94" s="178" t="s">
        <v>142</v>
      </c>
      <c r="E94" s="137" t="s">
        <v>62</v>
      </c>
      <c r="G94" s="137" t="s">
        <v>886</v>
      </c>
      <c r="H94" s="137" t="s">
        <v>367</v>
      </c>
      <c r="I94" s="137" t="s">
        <v>1358</v>
      </c>
      <c r="J94" s="178" t="s">
        <v>60</v>
      </c>
      <c r="N94" s="160">
        <v>38.847000000000001</v>
      </c>
    </row>
    <row r="95" spans="1:15" ht="12.95" customHeight="1">
      <c r="A95" s="134"/>
      <c r="B95" s="154" t="s">
        <v>368</v>
      </c>
      <c r="D95" s="137"/>
      <c r="E95" s="137"/>
      <c r="G95" s="137"/>
      <c r="H95" s="137"/>
      <c r="I95" s="137"/>
      <c r="J95" s="137"/>
      <c r="O95" s="160">
        <f>N94+N93</f>
        <v>77.694000000000003</v>
      </c>
    </row>
    <row r="96" spans="1:15" ht="12.95" customHeight="1">
      <c r="A96" s="134">
        <v>83</v>
      </c>
      <c r="B96" s="134">
        <v>1</v>
      </c>
      <c r="D96" s="178" t="s">
        <v>254</v>
      </c>
      <c r="E96" s="181" t="s">
        <v>112</v>
      </c>
      <c r="F96" s="176"/>
      <c r="G96" s="134" t="s">
        <v>878</v>
      </c>
      <c r="H96" s="134" t="s">
        <v>381</v>
      </c>
      <c r="I96" s="134" t="s">
        <v>1358</v>
      </c>
      <c r="J96" s="178" t="s">
        <v>60</v>
      </c>
      <c r="N96" s="160">
        <v>57.597999999999999</v>
      </c>
    </row>
    <row r="97" spans="1:15" ht="12.95" customHeight="1">
      <c r="A97" s="134">
        <v>84</v>
      </c>
      <c r="B97" s="134">
        <v>2</v>
      </c>
      <c r="D97" s="178" t="s">
        <v>284</v>
      </c>
      <c r="E97" s="181" t="s">
        <v>76</v>
      </c>
      <c r="F97" s="176"/>
      <c r="G97" s="134" t="s">
        <v>363</v>
      </c>
      <c r="H97" s="134" t="s">
        <v>374</v>
      </c>
      <c r="I97" s="134" t="s">
        <v>1396</v>
      </c>
      <c r="J97" s="178" t="s">
        <v>60</v>
      </c>
      <c r="N97" s="160">
        <v>37.503999999999998</v>
      </c>
    </row>
    <row r="98" spans="1:15" ht="12.95" customHeight="1">
      <c r="A98" s="134">
        <v>85</v>
      </c>
      <c r="B98" s="134">
        <v>3</v>
      </c>
      <c r="D98" s="178" t="s">
        <v>185</v>
      </c>
      <c r="E98" s="181" t="s">
        <v>249</v>
      </c>
      <c r="F98" s="176"/>
      <c r="G98" s="134" t="s">
        <v>879</v>
      </c>
      <c r="H98" s="134" t="s">
        <v>393</v>
      </c>
      <c r="I98" s="134" t="s">
        <v>1368</v>
      </c>
      <c r="J98" s="178" t="s">
        <v>60</v>
      </c>
      <c r="N98" s="160">
        <v>47.417999999999999</v>
      </c>
    </row>
    <row r="99" spans="1:15" ht="12.95" customHeight="1">
      <c r="A99" s="134">
        <v>86</v>
      </c>
      <c r="B99" s="134">
        <v>4</v>
      </c>
      <c r="D99" s="178" t="s">
        <v>290</v>
      </c>
      <c r="E99" s="181" t="s">
        <v>76</v>
      </c>
      <c r="F99" s="176"/>
      <c r="G99" s="134" t="s">
        <v>377</v>
      </c>
      <c r="H99" s="134" t="s">
        <v>393</v>
      </c>
      <c r="I99" s="134" t="s">
        <v>1396</v>
      </c>
      <c r="J99" s="178" t="s">
        <v>60</v>
      </c>
      <c r="N99" s="160">
        <v>37.503999999999998</v>
      </c>
    </row>
    <row r="100" spans="1:15" ht="12.95" customHeight="1">
      <c r="A100" s="134">
        <v>87</v>
      </c>
      <c r="B100" s="134">
        <v>5</v>
      </c>
      <c r="D100" s="178" t="s">
        <v>294</v>
      </c>
      <c r="E100" s="142" t="s">
        <v>249</v>
      </c>
      <c r="F100" s="176"/>
      <c r="G100" s="134" t="s">
        <v>381</v>
      </c>
      <c r="H100" s="134" t="s">
        <v>400</v>
      </c>
      <c r="I100" s="134" t="s">
        <v>1397</v>
      </c>
      <c r="J100" s="178" t="s">
        <v>60</v>
      </c>
      <c r="N100" s="160">
        <v>47.417999999999999</v>
      </c>
    </row>
    <row r="101" spans="1:15" ht="12.95" customHeight="1">
      <c r="A101" s="134">
        <v>88</v>
      </c>
      <c r="B101" s="134">
        <v>6</v>
      </c>
      <c r="D101" s="178" t="s">
        <v>292</v>
      </c>
      <c r="E101" s="142" t="s">
        <v>76</v>
      </c>
      <c r="F101" s="176"/>
      <c r="G101" s="134" t="s">
        <v>393</v>
      </c>
      <c r="H101" s="134" t="s">
        <v>1281</v>
      </c>
      <c r="I101" s="134" t="s">
        <v>1396</v>
      </c>
      <c r="J101" s="178" t="s">
        <v>60</v>
      </c>
      <c r="N101" s="160">
        <v>37.503999999999998</v>
      </c>
    </row>
    <row r="102" spans="1:15" ht="12.95" customHeight="1">
      <c r="A102" s="134">
        <v>89</v>
      </c>
      <c r="B102" s="134">
        <v>7</v>
      </c>
      <c r="D102" s="178" t="s">
        <v>191</v>
      </c>
      <c r="E102" s="4" t="s">
        <v>53</v>
      </c>
      <c r="F102" s="176"/>
      <c r="G102" s="134" t="s">
        <v>393</v>
      </c>
      <c r="H102" s="134" t="s">
        <v>410</v>
      </c>
      <c r="I102" s="134" t="s">
        <v>1368</v>
      </c>
      <c r="J102" s="178" t="s">
        <v>60</v>
      </c>
      <c r="N102" s="160">
        <v>45.412999999999997</v>
      </c>
    </row>
    <row r="103" spans="1:15" ht="12.95"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5"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5"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5"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5"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5"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5"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5"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5"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5"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5"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5"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5"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5"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5"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5"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5" customHeight="1">
      <c r="A119" s="134"/>
      <c r="B119" s="154" t="s">
        <v>443</v>
      </c>
      <c r="C119" s="134"/>
      <c r="D119" s="134"/>
      <c r="E119" s="134"/>
      <c r="F119" s="134"/>
      <c r="G119" s="134"/>
      <c r="H119" s="134"/>
      <c r="I119" s="134"/>
      <c r="J119" s="134"/>
      <c r="O119" s="160">
        <f>SUM(N104:N118)</f>
        <v>676.9380000000001</v>
      </c>
    </row>
    <row r="120" spans="1:15" ht="14.45"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5" customHeight="1">
      <c r="A121" s="134">
        <v>106</v>
      </c>
      <c r="B121" s="134">
        <v>2</v>
      </c>
      <c r="D121" s="132" t="s">
        <v>109</v>
      </c>
      <c r="E121" s="134" t="s">
        <v>62</v>
      </c>
      <c r="F121" s="176"/>
      <c r="G121" s="134" t="s">
        <v>1367</v>
      </c>
      <c r="H121" s="134" t="s">
        <v>910</v>
      </c>
      <c r="I121" s="134" t="s">
        <v>1396</v>
      </c>
      <c r="J121" s="132" t="s">
        <v>60</v>
      </c>
      <c r="N121" s="160">
        <v>38.847000000000001</v>
      </c>
    </row>
    <row r="122" spans="1:15" ht="12.95"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5" customHeight="1">
      <c r="A123" s="134">
        <v>108</v>
      </c>
      <c r="B123" s="134">
        <v>4</v>
      </c>
      <c r="D123" s="132" t="s">
        <v>436</v>
      </c>
      <c r="E123" s="134" t="s">
        <v>62</v>
      </c>
      <c r="F123" s="176"/>
      <c r="G123" s="134" t="s">
        <v>1370</v>
      </c>
      <c r="H123" s="134" t="s">
        <v>913</v>
      </c>
      <c r="I123" s="134" t="s">
        <v>1396</v>
      </c>
      <c r="J123" s="132" t="s">
        <v>60</v>
      </c>
      <c r="N123" s="160">
        <v>38.847000000000001</v>
      </c>
    </row>
    <row r="124" spans="1:15" ht="12.95"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5"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5" customHeight="1">
      <c r="A126" s="134">
        <v>111</v>
      </c>
      <c r="B126" s="134">
        <v>7</v>
      </c>
      <c r="D126" s="132" t="s">
        <v>380</v>
      </c>
      <c r="E126" s="134" t="s">
        <v>76</v>
      </c>
      <c r="F126" s="176"/>
      <c r="G126" s="134" t="s">
        <v>913</v>
      </c>
      <c r="H126" s="134" t="s">
        <v>1372</v>
      </c>
      <c r="I126" s="134" t="s">
        <v>1342</v>
      </c>
      <c r="J126" s="132" t="s">
        <v>60</v>
      </c>
      <c r="N126" s="160">
        <v>37.503999999999998</v>
      </c>
    </row>
    <row r="127" spans="1:15" ht="12.95"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5" customHeight="1">
      <c r="A128" s="134">
        <v>113</v>
      </c>
      <c r="B128" s="134">
        <v>9</v>
      </c>
      <c r="D128" s="132" t="s">
        <v>399</v>
      </c>
      <c r="E128" s="134" t="s">
        <v>62</v>
      </c>
      <c r="F128" s="134"/>
      <c r="G128" s="134" t="s">
        <v>1372</v>
      </c>
      <c r="H128" s="134" t="s">
        <v>921</v>
      </c>
      <c r="I128" s="134" t="s">
        <v>1342</v>
      </c>
      <c r="J128" s="132" t="s">
        <v>60</v>
      </c>
      <c r="N128" s="160">
        <v>38.847000000000001</v>
      </c>
    </row>
    <row r="129" spans="1:15" ht="12.95"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5" customHeight="1">
      <c r="A130" s="134">
        <v>115</v>
      </c>
      <c r="B130" s="134">
        <v>11</v>
      </c>
      <c r="D130" s="132" t="s">
        <v>392</v>
      </c>
      <c r="E130" s="134" t="s">
        <v>76</v>
      </c>
      <c r="F130" s="134"/>
      <c r="G130" s="134" t="s">
        <v>921</v>
      </c>
      <c r="H130" s="134" t="s">
        <v>919</v>
      </c>
      <c r="I130" s="134" t="s">
        <v>1342</v>
      </c>
      <c r="J130" s="132" t="s">
        <v>60</v>
      </c>
      <c r="N130" s="160">
        <v>37.503999999999998</v>
      </c>
    </row>
    <row r="131" spans="1:15" ht="12.95" customHeight="1">
      <c r="A131" s="134">
        <v>116</v>
      </c>
      <c r="B131" s="134">
        <v>12</v>
      </c>
      <c r="D131" s="132" t="s">
        <v>271</v>
      </c>
      <c r="E131" s="134" t="s">
        <v>53</v>
      </c>
      <c r="F131" s="134"/>
      <c r="G131" s="134" t="s">
        <v>910</v>
      </c>
      <c r="H131" s="134" t="s">
        <v>927</v>
      </c>
      <c r="I131" s="134" t="s">
        <v>1397</v>
      </c>
      <c r="J131" s="132" t="s">
        <v>60</v>
      </c>
      <c r="N131" s="160">
        <v>45.412999999999997</v>
      </c>
    </row>
    <row r="132" spans="1:15" ht="12.95"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5"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5" customHeight="1">
      <c r="A134" s="134">
        <v>119</v>
      </c>
      <c r="B134" s="134">
        <v>15</v>
      </c>
      <c r="D134" s="132" t="s">
        <v>220</v>
      </c>
      <c r="E134" s="137" t="s">
        <v>249</v>
      </c>
      <c r="F134" s="137"/>
      <c r="G134" s="137" t="s">
        <v>1372</v>
      </c>
      <c r="H134" s="137" t="s">
        <v>933</v>
      </c>
      <c r="I134" s="137" t="s">
        <v>1368</v>
      </c>
      <c r="J134" s="132" t="s">
        <v>60</v>
      </c>
      <c r="N134" s="160">
        <v>47.417999999999999</v>
      </c>
    </row>
    <row r="135" spans="1:15" ht="12.95"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5"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5"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5" customHeight="1">
      <c r="A138" s="134"/>
      <c r="B138" s="154" t="s">
        <v>935</v>
      </c>
      <c r="C138" s="134"/>
      <c r="D138" s="142"/>
      <c r="E138" s="142"/>
      <c r="F138" s="134"/>
      <c r="G138" s="134"/>
      <c r="H138" s="134"/>
      <c r="I138" s="134"/>
      <c r="J138" s="134"/>
      <c r="O138" s="160">
        <f>SUM(N120:N137)</f>
        <v>713.553</v>
      </c>
    </row>
    <row r="139" spans="1:15" ht="12.95"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5"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5"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5"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5"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5" customHeight="1">
      <c r="A144" s="137">
        <v>128</v>
      </c>
      <c r="B144" s="137">
        <v>6</v>
      </c>
      <c r="C144" s="183"/>
      <c r="D144" s="132" t="s">
        <v>416</v>
      </c>
      <c r="E144" s="134" t="s">
        <v>287</v>
      </c>
      <c r="F144" s="134"/>
      <c r="G144" s="134" t="s">
        <v>957</v>
      </c>
      <c r="H144" s="134" t="s">
        <v>456</v>
      </c>
      <c r="I144" s="134" t="s">
        <v>1360</v>
      </c>
      <c r="J144" s="132" t="s">
        <v>60</v>
      </c>
      <c r="N144" s="160">
        <v>66.381</v>
      </c>
    </row>
    <row r="145" spans="1:15" ht="12.95"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5" customHeight="1">
      <c r="A146" s="137"/>
      <c r="B146" s="154" t="s">
        <v>15</v>
      </c>
      <c r="C146" s="183"/>
      <c r="D146" s="137"/>
      <c r="E146" s="134"/>
      <c r="F146" s="134"/>
      <c r="G146" s="134"/>
      <c r="H146" s="134"/>
      <c r="I146" s="134"/>
      <c r="J146" s="134"/>
      <c r="O146" s="160">
        <f>SUM(N139:N145)</f>
        <v>295.43399999999997</v>
      </c>
    </row>
    <row r="147" spans="1:15" ht="12.95"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5"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5"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5"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5"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5"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5"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5"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5"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5"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5"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5" customHeight="1">
      <c r="A158" s="134"/>
      <c r="B158" s="527" t="s">
        <v>17</v>
      </c>
      <c r="C158" s="134"/>
      <c r="D158" s="134"/>
      <c r="E158" s="23"/>
      <c r="F158" s="134"/>
      <c r="G158" s="134"/>
      <c r="H158" s="134"/>
      <c r="I158" s="134"/>
      <c r="J158" s="134"/>
      <c r="O158" s="160">
        <f>SUM(N147:N157)</f>
        <v>526.548</v>
      </c>
    </row>
    <row r="159" spans="1:15" ht="12.95"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5"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5"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5"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5"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5" customHeight="1">
      <c r="A164" s="134">
        <v>146</v>
      </c>
      <c r="B164" s="134">
        <v>6</v>
      </c>
      <c r="C164" s="134"/>
      <c r="D164" s="542" t="s">
        <v>533</v>
      </c>
      <c r="E164" s="134" t="s">
        <v>287</v>
      </c>
      <c r="F164" s="134"/>
      <c r="G164" s="133" t="s">
        <v>1668</v>
      </c>
      <c r="H164" s="534" t="s">
        <v>1681</v>
      </c>
      <c r="I164" s="134" t="s">
        <v>1377</v>
      </c>
      <c r="J164" s="542" t="s">
        <v>60</v>
      </c>
      <c r="N164" s="160">
        <v>66.381</v>
      </c>
    </row>
    <row r="165" spans="1:15" ht="12.95"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5"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5"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5"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5"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5" customHeight="1">
      <c r="A170" s="134"/>
      <c r="B170" s="527" t="s">
        <v>1705</v>
      </c>
      <c r="C170" s="134"/>
      <c r="D170" s="534"/>
      <c r="E170" s="534"/>
      <c r="F170" s="134"/>
      <c r="G170" s="133"/>
      <c r="H170" s="134"/>
      <c r="I170" s="134"/>
      <c r="J170" s="134"/>
      <c r="O170" s="160">
        <f>SUM(N159:N169)</f>
        <v>534.20900000000006</v>
      </c>
    </row>
    <row r="171" spans="1:15" ht="12.95"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5"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5"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5"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5"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5"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5"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5"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5"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5"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5"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5"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5"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5" customHeight="1">
      <c r="A184" s="134"/>
      <c r="B184" s="527" t="s">
        <v>1739</v>
      </c>
      <c r="C184" s="134"/>
      <c r="D184" s="637"/>
      <c r="E184" s="637"/>
      <c r="F184" s="134"/>
      <c r="G184" s="133"/>
      <c r="H184" s="134"/>
      <c r="I184" s="134"/>
      <c r="J184" s="134"/>
    </row>
    <row r="185" spans="1:15" ht="12.95" customHeight="1">
      <c r="A185" s="134">
        <v>165</v>
      </c>
      <c r="B185" s="134">
        <v>1</v>
      </c>
      <c r="D185" s="542" t="s">
        <v>273</v>
      </c>
      <c r="E185" s="534" t="s">
        <v>62</v>
      </c>
      <c r="F185" s="134"/>
      <c r="G185" s="133" t="s">
        <v>1738</v>
      </c>
      <c r="H185" s="134" t="s">
        <v>1743</v>
      </c>
      <c r="I185" s="134" t="s">
        <v>1327</v>
      </c>
      <c r="J185" s="542" t="s">
        <v>60</v>
      </c>
      <c r="N185" s="160">
        <v>38.847000000000001</v>
      </c>
    </row>
    <row r="186" spans="1:15" ht="12.95"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5" customHeight="1">
      <c r="A187" s="134">
        <v>167</v>
      </c>
      <c r="B187" s="134">
        <v>3</v>
      </c>
      <c r="C187" s="134"/>
      <c r="D187" s="154" t="s">
        <v>506</v>
      </c>
      <c r="E187" s="133" t="s">
        <v>249</v>
      </c>
      <c r="F187" s="134"/>
      <c r="G187" s="133" t="s">
        <v>1743</v>
      </c>
      <c r="H187" s="134"/>
      <c r="I187" s="134" t="s">
        <v>1368</v>
      </c>
      <c r="J187" s="176" t="s">
        <v>1751</v>
      </c>
      <c r="N187" s="160">
        <v>47.417999999999999</v>
      </c>
    </row>
    <row r="188" spans="1:15" ht="12.95" customHeight="1">
      <c r="A188" s="134">
        <v>168</v>
      </c>
      <c r="B188" s="134">
        <v>4</v>
      </c>
      <c r="C188" s="134"/>
      <c r="D188" s="154" t="s">
        <v>470</v>
      </c>
      <c r="E188" s="3" t="s">
        <v>62</v>
      </c>
      <c r="F188" s="134"/>
      <c r="G188" s="133"/>
      <c r="H188" s="134"/>
      <c r="I188" s="134" t="s">
        <v>1359</v>
      </c>
      <c r="J188" s="176" t="s">
        <v>1748</v>
      </c>
    </row>
    <row r="189" spans="1:15" ht="12.95"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5"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5"/>
  <cols>
    <col min="4" max="4" width="12.5703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5"/>
  <cols>
    <col min="6" max="6" width="12.5703125" customWidth="1"/>
    <col min="10" max="10" width="24.14062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515" t="s">
        <v>1255</v>
      </c>
      <c r="B4" s="1515" t="s">
        <v>41</v>
      </c>
      <c r="C4" s="1517" t="s">
        <v>43</v>
      </c>
      <c r="D4" s="1517" t="s">
        <v>44</v>
      </c>
      <c r="E4" s="1521" t="s">
        <v>1419</v>
      </c>
      <c r="F4" s="1518" t="s">
        <v>49</v>
      </c>
      <c r="G4" s="1518" t="s">
        <v>1258</v>
      </c>
    </row>
    <row r="5" spans="1:7">
      <c r="A5" s="1515"/>
      <c r="B5" s="1515"/>
      <c r="C5" s="1517"/>
      <c r="D5" s="1517"/>
      <c r="E5" s="1521"/>
      <c r="F5" s="1518"/>
      <c r="G5" s="151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515" t="s">
        <v>1255</v>
      </c>
      <c r="B4" s="1515" t="s">
        <v>41</v>
      </c>
      <c r="C4" s="1517" t="s">
        <v>43</v>
      </c>
      <c r="D4" s="1517" t="s">
        <v>44</v>
      </c>
      <c r="E4" s="1521" t="s">
        <v>47</v>
      </c>
      <c r="F4" s="1517" t="s">
        <v>1256</v>
      </c>
      <c r="G4" s="1518" t="s">
        <v>49</v>
      </c>
      <c r="H4" s="1518" t="s">
        <v>1258</v>
      </c>
    </row>
    <row r="5" spans="1:8">
      <c r="A5" s="1515"/>
      <c r="B5" s="1515"/>
      <c r="C5" s="1517"/>
      <c r="D5" s="1517"/>
      <c r="E5" s="1521"/>
      <c r="F5" s="1517"/>
      <c r="G5" s="1518"/>
      <c r="H5" s="151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515" t="s">
        <v>1255</v>
      </c>
      <c r="B4" s="1515" t="s">
        <v>41</v>
      </c>
      <c r="C4" s="1517" t="s">
        <v>43</v>
      </c>
      <c r="D4" s="1517" t="s">
        <v>44</v>
      </c>
      <c r="E4" s="1521" t="s">
        <v>47</v>
      </c>
      <c r="F4" s="1517" t="s">
        <v>1256</v>
      </c>
      <c r="G4" s="1518" t="s">
        <v>49</v>
      </c>
      <c r="H4" s="1518" t="s">
        <v>1258</v>
      </c>
    </row>
    <row r="5" spans="1:8">
      <c r="A5" s="1515"/>
      <c r="B5" s="1515"/>
      <c r="C5" s="1517"/>
      <c r="D5" s="1517"/>
      <c r="E5" s="1521"/>
      <c r="F5" s="1517"/>
      <c r="G5" s="1518"/>
      <c r="H5" s="151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515" t="s">
        <v>1255</v>
      </c>
      <c r="B4" s="1515" t="s">
        <v>41</v>
      </c>
      <c r="C4" s="1517" t="s">
        <v>43</v>
      </c>
      <c r="D4" s="1517" t="s">
        <v>44</v>
      </c>
      <c r="E4" s="1521" t="s">
        <v>1419</v>
      </c>
      <c r="F4" s="1518" t="s">
        <v>49</v>
      </c>
      <c r="G4" s="1518" t="s">
        <v>1258</v>
      </c>
    </row>
    <row r="5" spans="1:7">
      <c r="A5" s="1515"/>
      <c r="B5" s="1515"/>
      <c r="C5" s="1517"/>
      <c r="D5" s="1517"/>
      <c r="E5" s="1521"/>
      <c r="F5" s="1518"/>
      <c r="G5" s="151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140625" defaultRowHeight="15"/>
  <cols>
    <col min="1" max="1" width="8.85546875" style="609" customWidth="1"/>
    <col min="2" max="2" width="10.140625" style="597" customWidth="1"/>
    <col min="3" max="3" width="9.5703125" style="597" customWidth="1"/>
    <col min="4" max="4" width="11" style="597" customWidth="1"/>
    <col min="5" max="5" width="17.42578125" style="597" customWidth="1"/>
    <col min="6" max="6" width="11.5703125" style="597" customWidth="1"/>
    <col min="7" max="7" width="16.140625" style="597" customWidth="1"/>
    <col min="8" max="8" width="17" style="597" customWidth="1"/>
    <col min="9" max="9" width="13.42578125" style="597" customWidth="1"/>
    <col min="10" max="10" width="12.5703125" style="597" customWidth="1"/>
    <col min="11" max="11" width="13.42578125" style="597" customWidth="1"/>
    <col min="12" max="12" width="17.140625" style="597" customWidth="1"/>
    <col min="13" max="13" width="51.42578125" style="597" customWidth="1"/>
    <col min="14" max="14" width="21.42578125" style="597" customWidth="1"/>
    <col min="15" max="15" width="15.5703125" style="597" customWidth="1"/>
    <col min="16" max="16384" width="9.140625" style="597"/>
  </cols>
  <sheetData>
    <row r="1" spans="1:19">
      <c r="A1" s="596" t="s">
        <v>37</v>
      </c>
    </row>
    <row r="2" spans="1:19">
      <c r="A2" s="596" t="s">
        <v>39</v>
      </c>
    </row>
    <row r="3" spans="1:19" s="600" customFormat="1" ht="16.5" customHeight="1">
      <c r="A3" s="1769" t="s">
        <v>1430</v>
      </c>
      <c r="B3" s="1770"/>
      <c r="C3" s="1770"/>
      <c r="D3" s="1770"/>
      <c r="E3" s="1770"/>
      <c r="F3" s="597"/>
      <c r="G3" s="598"/>
      <c r="H3" s="597"/>
      <c r="I3" s="597"/>
      <c r="J3" s="597"/>
      <c r="K3" s="597"/>
      <c r="L3" s="597"/>
      <c r="M3" s="599"/>
    </row>
    <row r="4" spans="1:19" s="600" customFormat="1">
      <c r="A4" s="1771" t="s">
        <v>1431</v>
      </c>
      <c r="B4" s="1771"/>
      <c r="C4" s="1771"/>
      <c r="D4" s="1771"/>
      <c r="E4" s="1771"/>
      <c r="F4" s="1771"/>
      <c r="G4" s="1771"/>
      <c r="H4" s="1771"/>
      <c r="I4" s="1771"/>
      <c r="J4" s="1771"/>
      <c r="K4" s="1771"/>
      <c r="L4" s="1771"/>
      <c r="M4" s="1771"/>
    </row>
    <row r="5" spans="1:19" s="600" customFormat="1" ht="18" customHeight="1">
      <c r="A5" s="1773" t="s">
        <v>1432</v>
      </c>
      <c r="B5" s="1772" t="s">
        <v>1433</v>
      </c>
      <c r="C5" s="1772"/>
      <c r="D5" s="1772"/>
      <c r="E5" s="1772"/>
      <c r="F5" s="1772" t="s">
        <v>1434</v>
      </c>
      <c r="G5" s="1772"/>
      <c r="H5" s="1772"/>
      <c r="I5" s="1772" t="s">
        <v>1435</v>
      </c>
      <c r="J5" s="1772"/>
      <c r="K5" s="1772"/>
      <c r="L5" s="1773" t="s">
        <v>1436</v>
      </c>
      <c r="M5" s="1774" t="s">
        <v>19</v>
      </c>
    </row>
    <row r="6" spans="1:19" s="600" customFormat="1" ht="18" customHeight="1">
      <c r="A6" s="1773"/>
      <c r="B6" s="601" t="s">
        <v>1437</v>
      </c>
      <c r="C6" s="601" t="s">
        <v>1438</v>
      </c>
      <c r="D6" s="601" t="s">
        <v>1439</v>
      </c>
      <c r="E6" s="601" t="s">
        <v>1440</v>
      </c>
      <c r="F6" s="601" t="s">
        <v>1441</v>
      </c>
      <c r="G6" s="601" t="s">
        <v>1442</v>
      </c>
      <c r="H6" s="601" t="s">
        <v>1443</v>
      </c>
      <c r="I6" s="601" t="s">
        <v>1441</v>
      </c>
      <c r="J6" s="601" t="s">
        <v>1442</v>
      </c>
      <c r="K6" s="601" t="s">
        <v>1443</v>
      </c>
      <c r="L6" s="1773"/>
      <c r="M6" s="177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140625" defaultRowHeight="15.75"/>
  <cols>
    <col min="1" max="1" width="8.85546875" style="113" customWidth="1"/>
    <col min="2" max="2" width="10.140625" style="114" customWidth="1"/>
    <col min="3" max="3" width="9.5703125" style="114" customWidth="1"/>
    <col min="4" max="4" width="11" style="114" customWidth="1"/>
    <col min="5" max="5" width="17" style="114" customWidth="1"/>
    <col min="6" max="7" width="13.42578125" style="114" customWidth="1"/>
    <col min="8" max="8" width="12.5703125" style="114" customWidth="1"/>
    <col min="9" max="10" width="13.42578125" style="114" customWidth="1"/>
    <col min="11" max="11" width="17.140625" style="114" customWidth="1"/>
    <col min="12" max="12" width="50.5703125" style="114" customWidth="1"/>
    <col min="13" max="13" width="21.42578125" style="114" customWidth="1"/>
    <col min="14" max="14" width="13.5703125" style="114" customWidth="1"/>
    <col min="15" max="16384" width="9.140625" style="114"/>
  </cols>
  <sheetData>
    <row r="1" spans="1:12">
      <c r="A1" s="115" t="s">
        <v>37</v>
      </c>
    </row>
    <row r="2" spans="1:12">
      <c r="A2" s="115" t="s">
        <v>39</v>
      </c>
    </row>
    <row r="3" spans="1:12" s="112" customFormat="1" ht="16.5" customHeight="1">
      <c r="A3" s="1775" t="s">
        <v>1448</v>
      </c>
      <c r="B3" s="1776"/>
      <c r="C3" s="1776"/>
      <c r="D3" s="1776"/>
      <c r="E3" s="1776"/>
      <c r="F3" s="1776"/>
      <c r="G3" s="1776"/>
      <c r="H3" s="1776"/>
      <c r="I3" s="1776"/>
      <c r="J3" s="1776"/>
      <c r="K3" s="1776"/>
      <c r="L3" s="1776"/>
    </row>
    <row r="4" spans="1:12" s="112" customFormat="1" ht="16.5" customHeight="1">
      <c r="A4" s="1778" t="s">
        <v>1432</v>
      </c>
      <c r="B4" s="1777" t="s">
        <v>1433</v>
      </c>
      <c r="C4" s="1777"/>
      <c r="D4" s="1777"/>
      <c r="E4" s="1777" t="s">
        <v>1434</v>
      </c>
      <c r="F4" s="1777"/>
      <c r="G4" s="1777"/>
      <c r="H4" s="1777" t="s">
        <v>1435</v>
      </c>
      <c r="I4" s="1777"/>
      <c r="J4" s="1777"/>
      <c r="K4" s="1778" t="s">
        <v>1436</v>
      </c>
      <c r="L4" s="1779" t="s">
        <v>19</v>
      </c>
    </row>
    <row r="5" spans="1:12" s="112" customFormat="1">
      <c r="A5" s="1778"/>
      <c r="B5" s="116" t="s">
        <v>1437</v>
      </c>
      <c r="C5" s="116" t="s">
        <v>1438</v>
      </c>
      <c r="D5" s="117" t="s">
        <v>1439</v>
      </c>
      <c r="E5" s="116" t="s">
        <v>1441</v>
      </c>
      <c r="F5" s="116" t="s">
        <v>1442</v>
      </c>
      <c r="G5" s="116" t="s">
        <v>1443</v>
      </c>
      <c r="H5" s="116" t="s">
        <v>1441</v>
      </c>
      <c r="I5" s="116" t="s">
        <v>1442</v>
      </c>
      <c r="J5" s="116" t="s">
        <v>1443</v>
      </c>
      <c r="K5" s="1778"/>
      <c r="L5" s="177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23.85546875" style="544" customWidth="1"/>
    <col min="14" max="16384" width="8.85546875" style="544"/>
  </cols>
  <sheetData>
    <row r="1" spans="1:13">
      <c r="A1" s="1782" t="s">
        <v>1461</v>
      </c>
      <c r="B1" s="1782"/>
      <c r="C1" s="1782"/>
      <c r="D1" s="1783"/>
      <c r="E1" s="1783"/>
      <c r="F1" s="1783"/>
      <c r="G1" s="1783"/>
      <c r="H1" s="1783"/>
      <c r="I1" s="1783"/>
      <c r="J1" s="1783"/>
      <c r="K1" s="1783"/>
      <c r="L1" s="1783"/>
    </row>
    <row r="2" spans="1:13" ht="16.350000000000001" customHeight="1">
      <c r="A2" s="1784" t="s">
        <v>39</v>
      </c>
      <c r="B2" s="1784"/>
      <c r="C2" s="1784"/>
      <c r="D2" s="1785"/>
      <c r="E2" s="1785"/>
      <c r="F2" s="1785"/>
      <c r="G2" s="1785"/>
      <c r="H2" s="1785"/>
      <c r="I2" s="1785"/>
      <c r="J2" s="1785"/>
      <c r="K2" s="1785"/>
      <c r="L2" s="1785"/>
    </row>
    <row r="3" spans="1:13">
      <c r="A3" s="1786" t="s">
        <v>1671</v>
      </c>
      <c r="B3" s="1786"/>
      <c r="C3" s="1786"/>
      <c r="D3" s="1786"/>
      <c r="E3" s="1786"/>
      <c r="F3" s="1786"/>
      <c r="G3" s="1786"/>
      <c r="H3" s="1786"/>
      <c r="I3" s="1786"/>
      <c r="J3" s="1786"/>
      <c r="K3" s="1786"/>
      <c r="L3" s="1786"/>
    </row>
    <row r="4" spans="1:13" s="552" customFormat="1" ht="61.35" customHeight="1">
      <c r="A4" s="562" t="s">
        <v>1462</v>
      </c>
      <c r="B4" s="1787" t="s">
        <v>1433</v>
      </c>
      <c r="C4" s="1787"/>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350000000000001"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350000000000001"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350000000000001"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350000000000001"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350000000000001"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350000000000001"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350000000000001"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350000000000001" customHeight="1">
      <c r="A13" s="577"/>
      <c r="B13" s="578"/>
      <c r="C13" s="578"/>
      <c r="D13" s="579"/>
      <c r="E13" s="579"/>
      <c r="F13" s="580"/>
      <c r="G13" s="581"/>
      <c r="H13" s="582"/>
      <c r="I13" s="582"/>
      <c r="J13" s="583"/>
      <c r="K13" s="583"/>
      <c r="L13" s="584"/>
      <c r="M13" s="556"/>
    </row>
    <row r="14" spans="1:13" s="552" customFormat="1" ht="17.45" customHeight="1">
      <c r="A14" s="1788" t="s">
        <v>1473</v>
      </c>
      <c r="B14" s="1789"/>
      <c r="C14" s="1789"/>
      <c r="D14" s="585">
        <f>SUM(D5:D13)</f>
        <v>29.576000000000001</v>
      </c>
      <c r="E14" s="585">
        <f>SUM(E5:E13)</f>
        <v>31.869</v>
      </c>
      <c r="F14" s="586"/>
      <c r="G14" s="587"/>
      <c r="H14" s="587"/>
      <c r="I14" s="587"/>
      <c r="J14" s="588"/>
      <c r="K14" s="588"/>
      <c r="L14" s="589"/>
      <c r="M14" s="557"/>
    </row>
    <row r="15" spans="1:13" s="552" customFormat="1" ht="16.7" customHeight="1">
      <c r="A15" s="1780" t="s">
        <v>1474</v>
      </c>
      <c r="B15" s="1781"/>
      <c r="C15" s="178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30" style="544" bestFit="1" customWidth="1"/>
    <col min="14" max="16384" width="8.85546875" style="544"/>
  </cols>
  <sheetData>
    <row r="1" spans="1:13">
      <c r="A1" s="1782" t="s">
        <v>1461</v>
      </c>
      <c r="B1" s="1782"/>
      <c r="C1" s="1782"/>
      <c r="D1" s="1783"/>
      <c r="E1" s="1783"/>
      <c r="F1" s="1783"/>
      <c r="G1" s="1783"/>
      <c r="H1" s="1783"/>
      <c r="I1" s="1783"/>
      <c r="J1" s="1783"/>
      <c r="K1" s="1783"/>
      <c r="L1" s="1783"/>
    </row>
    <row r="2" spans="1:13" ht="16.350000000000001" customHeight="1">
      <c r="A2" s="1784" t="s">
        <v>39</v>
      </c>
      <c r="B2" s="1784"/>
      <c r="C2" s="1784"/>
      <c r="D2" s="1785"/>
      <c r="E2" s="1785"/>
      <c r="F2" s="1785"/>
      <c r="G2" s="1785"/>
      <c r="H2" s="1785"/>
      <c r="I2" s="1785"/>
      <c r="J2" s="1785"/>
      <c r="K2" s="1785"/>
      <c r="L2" s="1785"/>
    </row>
    <row r="3" spans="1:13" ht="15.75" thickBot="1">
      <c r="A3" s="1786" t="s">
        <v>1672</v>
      </c>
      <c r="B3" s="1786"/>
      <c r="C3" s="1786"/>
      <c r="D3" s="1786"/>
      <c r="E3" s="1786"/>
      <c r="F3" s="1786"/>
      <c r="G3" s="1786"/>
      <c r="H3" s="1786"/>
      <c r="I3" s="1786"/>
      <c r="J3" s="1786"/>
      <c r="K3" s="1786"/>
      <c r="L3" s="1786"/>
    </row>
    <row r="4" spans="1:13" s="552" customFormat="1" ht="61.35" customHeight="1" thickBot="1">
      <c r="A4" s="562" t="s">
        <v>1462</v>
      </c>
      <c r="B4" s="1787" t="s">
        <v>1433</v>
      </c>
      <c r="C4" s="1787"/>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350000000000001"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350000000000001"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350000000000001"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350000000000001"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350000000000001"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350000000000001"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350000000000001" customHeight="1">
      <c r="A12" s="564"/>
      <c r="B12" s="575"/>
      <c r="C12" s="575"/>
      <c r="D12" s="576"/>
      <c r="E12" s="575"/>
      <c r="F12" s="566"/>
      <c r="G12" s="566"/>
      <c r="H12" s="567"/>
      <c r="I12" s="567"/>
      <c r="J12" s="568"/>
      <c r="K12" s="569"/>
      <c r="L12" s="570"/>
      <c r="M12" s="554"/>
    </row>
    <row r="13" spans="1:13" s="552" customFormat="1" ht="16.350000000000001" customHeight="1" thickBot="1">
      <c r="A13" s="577"/>
      <c r="B13" s="578"/>
      <c r="C13" s="578"/>
      <c r="D13" s="579"/>
      <c r="E13" s="579"/>
      <c r="F13" s="580"/>
      <c r="G13" s="581"/>
      <c r="H13" s="582"/>
      <c r="I13" s="582"/>
      <c r="J13" s="583"/>
      <c r="K13" s="583"/>
      <c r="L13" s="584"/>
      <c r="M13" s="556"/>
    </row>
    <row r="14" spans="1:13" s="552" customFormat="1" ht="17.45" customHeight="1">
      <c r="A14" s="1788" t="s">
        <v>1473</v>
      </c>
      <c r="B14" s="1789"/>
      <c r="C14" s="1789"/>
      <c r="D14" s="585">
        <f>SUM(D5:D13)</f>
        <v>30.052</v>
      </c>
      <c r="E14" s="585">
        <f>SUM(E7:E13)</f>
        <v>0</v>
      </c>
      <c r="F14" s="586"/>
      <c r="G14" s="587"/>
      <c r="H14" s="587"/>
      <c r="I14" s="587"/>
      <c r="J14" s="588"/>
      <c r="K14" s="588"/>
      <c r="L14" s="589"/>
      <c r="M14" s="557"/>
    </row>
    <row r="15" spans="1:13" s="552" customFormat="1" ht="16.7" customHeight="1" thickBot="1">
      <c r="A15" s="1780" t="s">
        <v>1474</v>
      </c>
      <c r="B15" s="1781"/>
      <c r="C15" s="178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5"/>
  <cols>
    <col min="1" max="1" width="4.140625" customWidth="1"/>
    <col min="2" max="2" width="37" customWidth="1"/>
    <col min="3" max="3" width="6.5703125" customWidth="1"/>
    <col min="4" max="4" width="7.140625" customWidth="1"/>
    <col min="6" max="6" width="11.140625" customWidth="1"/>
    <col min="7" max="7" width="11.5703125" customWidth="1"/>
    <col min="8" max="8" width="29.42578125" customWidth="1"/>
    <col min="9" max="9" width="13.5703125" customWidth="1"/>
    <col min="10" max="10" width="0.85546875" customWidth="1"/>
    <col min="11" max="12" width="6.85546875" customWidth="1"/>
    <col min="14" max="14" width="11.42578125" customWidth="1"/>
    <col min="15" max="15" width="11.85546875" customWidth="1"/>
    <col min="16" max="16" width="22" customWidth="1"/>
    <col min="17" max="17" width="17.140625" customWidth="1"/>
  </cols>
  <sheetData>
    <row r="1" spans="1:19" ht="18.75">
      <c r="A1" s="1790" t="s">
        <v>1475</v>
      </c>
      <c r="B1" s="1791"/>
      <c r="C1" s="1791"/>
      <c r="D1" s="1791"/>
      <c r="E1" s="1791"/>
      <c r="F1" s="1791"/>
      <c r="G1" s="1791"/>
      <c r="H1" s="1791"/>
      <c r="I1" s="1791"/>
      <c r="J1" s="1791"/>
      <c r="K1" s="1791"/>
      <c r="L1" s="1791"/>
      <c r="M1" s="1791"/>
      <c r="N1" s="1791"/>
      <c r="O1" s="1791"/>
      <c r="P1" s="1791"/>
      <c r="Q1" s="1792"/>
    </row>
    <row r="2" spans="1:19" ht="18.75">
      <c r="A2" s="1813" t="s">
        <v>1476</v>
      </c>
      <c r="B2" s="1816" t="s">
        <v>1477</v>
      </c>
      <c r="C2" s="1793" t="s">
        <v>1478</v>
      </c>
      <c r="D2" s="1794"/>
      <c r="E2" s="1794"/>
      <c r="F2" s="1794"/>
      <c r="G2" s="1794"/>
      <c r="H2" s="1794"/>
      <c r="I2" s="1795"/>
      <c r="J2" s="60"/>
      <c r="K2" s="1796" t="s">
        <v>1479</v>
      </c>
      <c r="L2" s="1797"/>
      <c r="M2" s="1797"/>
      <c r="N2" s="1797"/>
      <c r="O2" s="1797"/>
      <c r="P2" s="1797"/>
      <c r="Q2" s="1798"/>
    </row>
    <row r="3" spans="1:19" ht="29.25" customHeight="1">
      <c r="A3" s="1814"/>
      <c r="B3" s="1817"/>
      <c r="C3" s="1799" t="s">
        <v>1433</v>
      </c>
      <c r="D3" s="1718"/>
      <c r="E3" s="1716" t="s">
        <v>1480</v>
      </c>
      <c r="F3" s="1716" t="s">
        <v>1481</v>
      </c>
      <c r="G3" s="1716" t="s">
        <v>1482</v>
      </c>
      <c r="H3" s="1803" t="s">
        <v>1483</v>
      </c>
      <c r="I3" s="1805" t="s">
        <v>19</v>
      </c>
      <c r="J3" s="61"/>
      <c r="K3" s="1800" t="s">
        <v>1433</v>
      </c>
      <c r="L3" s="1801"/>
      <c r="M3" s="1821" t="s">
        <v>1480</v>
      </c>
      <c r="N3" s="1821" t="s">
        <v>1481</v>
      </c>
      <c r="O3" s="1821" t="s">
        <v>1482</v>
      </c>
      <c r="P3" s="1822" t="s">
        <v>1483</v>
      </c>
      <c r="Q3" s="1807" t="s">
        <v>19</v>
      </c>
    </row>
    <row r="4" spans="1:19">
      <c r="A4" s="1815"/>
      <c r="B4" s="1818"/>
      <c r="C4" s="25" t="s">
        <v>1437</v>
      </c>
      <c r="D4" s="26" t="s">
        <v>1438</v>
      </c>
      <c r="E4" s="1802"/>
      <c r="F4" s="1802"/>
      <c r="G4" s="1802"/>
      <c r="H4" s="1804"/>
      <c r="I4" s="1806"/>
      <c r="J4" s="62"/>
      <c r="K4" s="25" t="s">
        <v>1437</v>
      </c>
      <c r="L4" s="26" t="s">
        <v>1438</v>
      </c>
      <c r="M4" s="1802"/>
      <c r="N4" s="1802"/>
      <c r="O4" s="1802"/>
      <c r="P4" s="1804"/>
      <c r="Q4" s="1806"/>
    </row>
    <row r="5" spans="1:19">
      <c r="A5" s="27" t="s">
        <v>1007</v>
      </c>
      <c r="B5" s="28" t="s">
        <v>1484</v>
      </c>
      <c r="C5" s="1808"/>
      <c r="D5" s="1809"/>
      <c r="E5" s="29"/>
      <c r="F5" s="29"/>
      <c r="G5" s="29"/>
      <c r="H5" s="30"/>
      <c r="I5" s="63"/>
      <c r="J5" s="64"/>
      <c r="K5" s="65"/>
      <c r="L5" s="66"/>
      <c r="M5" s="66"/>
      <c r="N5" s="66"/>
      <c r="O5" s="66"/>
      <c r="P5" s="66"/>
      <c r="Q5" s="106"/>
    </row>
    <row r="6" spans="1:19" ht="30">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30">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30">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810"/>
      <c r="D9" s="1811"/>
      <c r="E9" s="43"/>
      <c r="F9" s="43"/>
      <c r="G9" s="43"/>
      <c r="H9" s="44"/>
      <c r="I9" s="81"/>
      <c r="J9" s="82"/>
      <c r="K9" s="83"/>
      <c r="L9" s="84"/>
      <c r="M9" s="84"/>
      <c r="N9" s="84"/>
      <c r="O9" s="84"/>
      <c r="P9" s="84"/>
      <c r="Q9" s="109"/>
    </row>
    <row r="10" spans="1:19" ht="30">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810"/>
      <c r="D11" s="1811"/>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30">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30">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810"/>
      <c r="D19" s="1812"/>
      <c r="E19" s="1811"/>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819" t="s">
        <v>1540</v>
      </c>
      <c r="J20" s="102"/>
      <c r="K20" s="31" t="s">
        <v>451</v>
      </c>
      <c r="L20" s="33" t="s">
        <v>448</v>
      </c>
      <c r="M20" s="33" t="s">
        <v>1539</v>
      </c>
      <c r="N20" s="12"/>
      <c r="O20" s="12"/>
      <c r="P20" s="12"/>
      <c r="Q20" s="107"/>
    </row>
    <row r="21" spans="1:17" ht="30">
      <c r="A21" s="56">
        <v>2</v>
      </c>
      <c r="B21" s="57" t="s">
        <v>1541</v>
      </c>
      <c r="C21" s="56" t="s">
        <v>430</v>
      </c>
      <c r="D21" s="58" t="s">
        <v>722</v>
      </c>
      <c r="E21" s="58" t="s">
        <v>1542</v>
      </c>
      <c r="F21" s="58"/>
      <c r="G21" s="58"/>
      <c r="H21" s="59"/>
      <c r="I21" s="1820"/>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5"/>
  <cols>
    <col min="5" max="5" width="18" customWidth="1"/>
    <col min="6" max="6" width="4.5703125" customWidth="1"/>
    <col min="9" max="9" width="28.42578125" customWidth="1"/>
  </cols>
  <sheetData>
    <row r="4" spans="3:13" ht="14.45" customHeight="1">
      <c r="C4" s="1823" t="s">
        <v>1544</v>
      </c>
      <c r="D4" s="1823"/>
      <c r="E4" s="1823"/>
      <c r="F4" s="1823"/>
      <c r="G4" s="1823"/>
      <c r="H4" s="1823"/>
      <c r="I4" s="1823"/>
    </row>
    <row r="5" spans="3:13" ht="27">
      <c r="C5" s="17" t="s">
        <v>1545</v>
      </c>
      <c r="D5" s="17" t="s">
        <v>1546</v>
      </c>
      <c r="E5" s="17" t="s">
        <v>1547</v>
      </c>
      <c r="F5" s="1824"/>
      <c r="G5" s="17" t="s">
        <v>1545</v>
      </c>
      <c r="H5" s="17" t="s">
        <v>1548</v>
      </c>
      <c r="I5" s="17" t="s">
        <v>1547</v>
      </c>
    </row>
    <row r="6" spans="3:13">
      <c r="C6" s="18">
        <v>1</v>
      </c>
      <c r="D6" s="19" t="s">
        <v>1549</v>
      </c>
      <c r="E6" s="19" t="s">
        <v>1550</v>
      </c>
      <c r="F6" s="1824"/>
      <c r="G6" s="18">
        <v>1</v>
      </c>
      <c r="H6" s="19" t="s">
        <v>1551</v>
      </c>
      <c r="I6" s="12" t="s">
        <v>1550</v>
      </c>
      <c r="K6" t="s">
        <v>972</v>
      </c>
    </row>
    <row r="7" spans="3:13">
      <c r="C7" s="18">
        <v>2</v>
      </c>
      <c r="D7" s="19" t="s">
        <v>1552</v>
      </c>
      <c r="E7" s="19" t="s">
        <v>1550</v>
      </c>
      <c r="F7" s="1824"/>
      <c r="G7" s="18">
        <v>2</v>
      </c>
      <c r="H7" s="19" t="s">
        <v>1553</v>
      </c>
      <c r="I7" s="12" t="s">
        <v>1550</v>
      </c>
    </row>
    <row r="8" spans="3:13">
      <c r="C8" s="18">
        <v>3</v>
      </c>
      <c r="D8" s="19" t="s">
        <v>1554</v>
      </c>
      <c r="E8" s="19" t="s">
        <v>1550</v>
      </c>
      <c r="F8" s="1824"/>
      <c r="G8" s="18">
        <v>3</v>
      </c>
      <c r="H8" s="19" t="s">
        <v>1555</v>
      </c>
      <c r="I8" s="12" t="s">
        <v>1550</v>
      </c>
    </row>
    <row r="9" spans="3:13">
      <c r="C9" s="18">
        <v>4</v>
      </c>
      <c r="D9" s="19" t="s">
        <v>1556</v>
      </c>
      <c r="E9" s="19" t="s">
        <v>1550</v>
      </c>
      <c r="F9" s="1824"/>
      <c r="G9" s="18">
        <v>4</v>
      </c>
      <c r="H9" s="19" t="s">
        <v>1557</v>
      </c>
      <c r="I9" s="12" t="s">
        <v>1550</v>
      </c>
    </row>
    <row r="10" spans="3:13">
      <c r="C10" s="18">
        <v>5</v>
      </c>
      <c r="D10" s="19" t="s">
        <v>1558</v>
      </c>
      <c r="E10" s="19" t="s">
        <v>1550</v>
      </c>
      <c r="F10" s="1824"/>
      <c r="G10" s="18">
        <v>5</v>
      </c>
      <c r="H10" s="19" t="s">
        <v>1559</v>
      </c>
      <c r="I10" s="12" t="s">
        <v>1550</v>
      </c>
    </row>
    <row r="11" spans="3:13">
      <c r="C11" s="18">
        <v>6</v>
      </c>
      <c r="D11" s="19" t="s">
        <v>1560</v>
      </c>
      <c r="E11" s="19" t="s">
        <v>1550</v>
      </c>
      <c r="F11" s="1824"/>
      <c r="G11" s="18">
        <v>6</v>
      </c>
      <c r="H11" s="19" t="s">
        <v>1561</v>
      </c>
      <c r="I11" s="12" t="s">
        <v>1550</v>
      </c>
    </row>
    <row r="12" spans="3:13">
      <c r="C12" s="18">
        <v>7</v>
      </c>
      <c r="D12" s="19" t="s">
        <v>1562</v>
      </c>
      <c r="E12" s="19" t="s">
        <v>1550</v>
      </c>
      <c r="F12" s="1824"/>
      <c r="G12" s="18">
        <v>7</v>
      </c>
      <c r="H12" s="19" t="s">
        <v>1563</v>
      </c>
      <c r="I12" s="12" t="s">
        <v>1550</v>
      </c>
      <c r="M12">
        <f>624-487</f>
        <v>137</v>
      </c>
    </row>
    <row r="13" spans="3:13">
      <c r="C13" s="18">
        <v>8</v>
      </c>
      <c r="D13" s="19" t="s">
        <v>1564</v>
      </c>
      <c r="E13" s="19" t="s">
        <v>1550</v>
      </c>
      <c r="F13" s="1824"/>
      <c r="G13" s="18">
        <v>8</v>
      </c>
      <c r="H13" s="19" t="s">
        <v>1565</v>
      </c>
      <c r="I13" s="12" t="s">
        <v>1550</v>
      </c>
    </row>
    <row r="14" spans="3:13">
      <c r="C14" s="18">
        <v>9</v>
      </c>
      <c r="D14" s="19" t="s">
        <v>1566</v>
      </c>
      <c r="E14" s="19" t="s">
        <v>1550</v>
      </c>
      <c r="F14" s="1824"/>
      <c r="G14" s="18">
        <v>9</v>
      </c>
      <c r="H14" s="19" t="s">
        <v>1567</v>
      </c>
      <c r="I14" s="12" t="s">
        <v>1550</v>
      </c>
    </row>
    <row r="15" spans="3:13">
      <c r="C15" s="18">
        <v>10</v>
      </c>
      <c r="D15" s="19" t="s">
        <v>1568</v>
      </c>
      <c r="E15" s="19" t="s">
        <v>1550</v>
      </c>
      <c r="F15" s="1824"/>
      <c r="G15" s="18">
        <v>10</v>
      </c>
      <c r="H15" s="20" t="s">
        <v>1569</v>
      </c>
      <c r="I15" s="22" t="s">
        <v>1570</v>
      </c>
    </row>
    <row r="16" spans="3:13">
      <c r="C16" s="18">
        <v>11</v>
      </c>
      <c r="D16" s="19" t="s">
        <v>1571</v>
      </c>
      <c r="E16" s="19" t="s">
        <v>1550</v>
      </c>
      <c r="F16" s="1824"/>
      <c r="G16" s="18">
        <v>11</v>
      </c>
      <c r="H16" s="19" t="s">
        <v>1572</v>
      </c>
      <c r="I16" s="12" t="s">
        <v>1550</v>
      </c>
    </row>
    <row r="17" spans="3:9">
      <c r="C17" s="18">
        <v>12</v>
      </c>
      <c r="D17" s="19" t="s">
        <v>1573</v>
      </c>
      <c r="E17" s="19" t="s">
        <v>1550</v>
      </c>
      <c r="F17" s="1824"/>
      <c r="G17" s="18">
        <v>12</v>
      </c>
      <c r="H17" s="19" t="s">
        <v>1574</v>
      </c>
      <c r="I17" s="12" t="s">
        <v>1550</v>
      </c>
    </row>
    <row r="18" spans="3:9">
      <c r="C18" s="18">
        <v>13</v>
      </c>
      <c r="D18" s="19" t="s">
        <v>1575</v>
      </c>
      <c r="E18" s="19" t="s">
        <v>1550</v>
      </c>
      <c r="F18" s="1824"/>
      <c r="G18" s="18">
        <v>13</v>
      </c>
      <c r="H18" s="19" t="s">
        <v>1576</v>
      </c>
      <c r="I18" s="12" t="s">
        <v>1550</v>
      </c>
    </row>
    <row r="19" spans="3:9">
      <c r="C19" s="18">
        <v>14</v>
      </c>
      <c r="D19" s="19" t="s">
        <v>1577</v>
      </c>
      <c r="E19" s="19" t="s">
        <v>1550</v>
      </c>
      <c r="F19" s="1824"/>
      <c r="G19" s="18">
        <v>14</v>
      </c>
      <c r="H19" s="19" t="s">
        <v>1578</v>
      </c>
      <c r="I19" s="12" t="s">
        <v>1550</v>
      </c>
    </row>
    <row r="20" spans="3:9">
      <c r="C20" s="18">
        <v>15</v>
      </c>
      <c r="D20" s="19" t="s">
        <v>1579</v>
      </c>
      <c r="E20" s="19" t="s">
        <v>1550</v>
      </c>
      <c r="F20" s="1824"/>
      <c r="G20" s="18">
        <v>15</v>
      </c>
      <c r="H20" s="19" t="s">
        <v>1580</v>
      </c>
      <c r="I20" s="12" t="s">
        <v>1550</v>
      </c>
    </row>
    <row r="21" spans="3:9">
      <c r="C21" s="18">
        <v>16</v>
      </c>
      <c r="D21" s="19" t="s">
        <v>1581</v>
      </c>
      <c r="E21" s="19" t="s">
        <v>1550</v>
      </c>
      <c r="F21" s="1824"/>
      <c r="G21" s="18">
        <v>16</v>
      </c>
      <c r="H21" s="19" t="s">
        <v>1582</v>
      </c>
      <c r="I21" s="12" t="s">
        <v>1550</v>
      </c>
    </row>
    <row r="22" spans="3:9">
      <c r="C22" s="18">
        <v>17</v>
      </c>
      <c r="D22" s="19" t="s">
        <v>1583</v>
      </c>
      <c r="E22" s="19" t="s">
        <v>1550</v>
      </c>
      <c r="F22" s="1824"/>
      <c r="G22" s="18">
        <v>17</v>
      </c>
      <c r="H22" s="19" t="s">
        <v>1584</v>
      </c>
      <c r="I22" s="12" t="s">
        <v>1550</v>
      </c>
    </row>
    <row r="23" spans="3:9">
      <c r="C23" s="18">
        <v>18</v>
      </c>
      <c r="D23" s="19" t="s">
        <v>1585</v>
      </c>
      <c r="E23" s="19" t="s">
        <v>1550</v>
      </c>
      <c r="F23" s="1824"/>
      <c r="G23" s="18">
        <v>18</v>
      </c>
      <c r="H23" s="19" t="s">
        <v>1586</v>
      </c>
      <c r="I23" s="12" t="s">
        <v>1550</v>
      </c>
    </row>
    <row r="24" spans="3:9">
      <c r="C24" s="18">
        <v>19</v>
      </c>
      <c r="D24" s="19" t="s">
        <v>1587</v>
      </c>
      <c r="E24" s="19" t="s">
        <v>1550</v>
      </c>
      <c r="F24" s="1824"/>
      <c r="G24" s="18">
        <v>19</v>
      </c>
      <c r="H24" s="19" t="s">
        <v>1588</v>
      </c>
      <c r="I24" s="12" t="s">
        <v>1550</v>
      </c>
    </row>
    <row r="25" spans="3:9">
      <c r="C25" s="18">
        <v>20</v>
      </c>
      <c r="D25" s="19" t="s">
        <v>1589</v>
      </c>
      <c r="E25" s="19" t="s">
        <v>1550</v>
      </c>
      <c r="F25" s="1824"/>
      <c r="G25" s="18">
        <v>20</v>
      </c>
      <c r="H25" s="19" t="s">
        <v>1590</v>
      </c>
      <c r="I25" s="12" t="s">
        <v>1550</v>
      </c>
    </row>
    <row r="26" spans="3:9">
      <c r="C26" s="18">
        <v>21</v>
      </c>
      <c r="D26" s="19" t="s">
        <v>1591</v>
      </c>
      <c r="E26" s="19" t="s">
        <v>1550</v>
      </c>
      <c r="F26" s="1824"/>
      <c r="G26" s="18">
        <v>21</v>
      </c>
      <c r="H26" s="19" t="s">
        <v>1592</v>
      </c>
      <c r="I26" s="12" t="s">
        <v>1550</v>
      </c>
    </row>
    <row r="27" spans="3:9">
      <c r="C27" s="18">
        <v>22</v>
      </c>
      <c r="D27" s="19" t="s">
        <v>1593</v>
      </c>
      <c r="E27" s="19" t="s">
        <v>1550</v>
      </c>
      <c r="F27" s="1824"/>
      <c r="G27" s="18">
        <v>22</v>
      </c>
      <c r="H27" s="20" t="s">
        <v>1594</v>
      </c>
      <c r="I27" s="22" t="s">
        <v>1595</v>
      </c>
    </row>
    <row r="28" spans="3:9">
      <c r="C28" s="18">
        <v>23</v>
      </c>
      <c r="D28" s="19" t="s">
        <v>1596</v>
      </c>
      <c r="E28" s="19" t="s">
        <v>1550</v>
      </c>
      <c r="F28" s="1824"/>
      <c r="G28" s="18">
        <v>23</v>
      </c>
      <c r="H28" s="19" t="s">
        <v>1597</v>
      </c>
      <c r="I28" s="12" t="s">
        <v>1550</v>
      </c>
    </row>
    <row r="29" spans="3:9">
      <c r="C29" s="18">
        <v>24</v>
      </c>
      <c r="D29" s="19" t="s">
        <v>1598</v>
      </c>
      <c r="E29" s="19" t="s">
        <v>1550</v>
      </c>
      <c r="F29" s="1824"/>
      <c r="G29" s="18">
        <v>24</v>
      </c>
      <c r="H29" s="19" t="s">
        <v>1599</v>
      </c>
      <c r="I29" s="12" t="s">
        <v>1550</v>
      </c>
    </row>
    <row r="30" spans="3:9">
      <c r="C30" s="18">
        <v>25</v>
      </c>
      <c r="D30" s="19" t="s">
        <v>1600</v>
      </c>
      <c r="E30" s="19" t="s">
        <v>1550</v>
      </c>
      <c r="F30" s="1824"/>
      <c r="G30" s="18">
        <v>25</v>
      </c>
      <c r="H30" s="19" t="s">
        <v>1601</v>
      </c>
      <c r="I30" s="12" t="s">
        <v>1550</v>
      </c>
    </row>
    <row r="31" spans="3:9">
      <c r="C31" s="18">
        <v>26</v>
      </c>
      <c r="D31" s="19" t="s">
        <v>1602</v>
      </c>
      <c r="E31" s="19" t="s">
        <v>1550</v>
      </c>
      <c r="F31" s="1824"/>
      <c r="G31" s="18">
        <v>26</v>
      </c>
      <c r="H31" s="19" t="s">
        <v>1603</v>
      </c>
      <c r="I31" s="12" t="s">
        <v>1550</v>
      </c>
    </row>
    <row r="32" spans="3:9">
      <c r="C32" s="18">
        <v>27</v>
      </c>
      <c r="D32" s="19" t="s">
        <v>1604</v>
      </c>
      <c r="E32" s="19" t="s">
        <v>1550</v>
      </c>
      <c r="F32" s="1824"/>
      <c r="G32" s="18">
        <v>27</v>
      </c>
      <c r="H32" s="19" t="s">
        <v>1605</v>
      </c>
      <c r="I32" s="12" t="s">
        <v>1550</v>
      </c>
    </row>
    <row r="33" spans="3:9">
      <c r="C33" s="18">
        <v>28</v>
      </c>
      <c r="D33" s="19" t="s">
        <v>1606</v>
      </c>
      <c r="E33" s="19" t="s">
        <v>1550</v>
      </c>
      <c r="F33" s="1824"/>
      <c r="G33" s="18">
        <v>28</v>
      </c>
      <c r="H33" s="19" t="s">
        <v>1607</v>
      </c>
      <c r="I33" s="12" t="s">
        <v>1550</v>
      </c>
    </row>
    <row r="34" spans="3:9">
      <c r="C34" s="18">
        <v>29</v>
      </c>
      <c r="D34" s="19" t="s">
        <v>1608</v>
      </c>
      <c r="E34" s="19" t="s">
        <v>1550</v>
      </c>
      <c r="F34" s="1824"/>
      <c r="G34" s="18">
        <v>29</v>
      </c>
      <c r="H34" s="19" t="s">
        <v>1609</v>
      </c>
      <c r="I34" s="12" t="s">
        <v>1550</v>
      </c>
    </row>
    <row r="35" spans="3:9">
      <c r="C35" s="18">
        <v>30</v>
      </c>
      <c r="D35" s="19" t="s">
        <v>1610</v>
      </c>
      <c r="E35" s="19" t="s">
        <v>1550</v>
      </c>
      <c r="F35" s="1824"/>
      <c r="G35" s="18">
        <v>30</v>
      </c>
      <c r="H35" s="19" t="s">
        <v>1611</v>
      </c>
      <c r="I35" s="12" t="s">
        <v>1550</v>
      </c>
    </row>
    <row r="36" spans="3:9">
      <c r="C36" s="18">
        <v>31</v>
      </c>
      <c r="D36" s="19" t="s">
        <v>1565</v>
      </c>
      <c r="E36" s="19" t="s">
        <v>1550</v>
      </c>
      <c r="F36" s="1824"/>
      <c r="G36" s="18">
        <v>31</v>
      </c>
      <c r="H36" s="19" t="s">
        <v>1612</v>
      </c>
      <c r="I36" s="12" t="s">
        <v>1550</v>
      </c>
    </row>
    <row r="37" spans="3:9">
      <c r="C37" s="18">
        <v>32</v>
      </c>
      <c r="D37" s="19" t="s">
        <v>1613</v>
      </c>
      <c r="E37" s="19" t="s">
        <v>1550</v>
      </c>
      <c r="F37" s="1824"/>
      <c r="G37" s="18">
        <v>32</v>
      </c>
      <c r="H37" s="19" t="s">
        <v>1614</v>
      </c>
      <c r="I37" s="12" t="s">
        <v>1550</v>
      </c>
    </row>
    <row r="38" spans="3:9">
      <c r="C38" s="18">
        <v>33</v>
      </c>
      <c r="D38" s="19" t="s">
        <v>1615</v>
      </c>
      <c r="E38" s="19" t="s">
        <v>1550</v>
      </c>
      <c r="F38" s="1824"/>
      <c r="G38" s="21"/>
      <c r="H38" s="21"/>
      <c r="I38" s="12"/>
    </row>
    <row r="39" spans="3:9">
      <c r="C39" s="18">
        <v>34</v>
      </c>
      <c r="D39" s="19" t="s">
        <v>1616</v>
      </c>
      <c r="E39" s="19" t="s">
        <v>1550</v>
      </c>
      <c r="F39" s="1824"/>
      <c r="G39" s="21"/>
      <c r="H39" s="21"/>
      <c r="I39" s="12"/>
    </row>
    <row r="40" spans="3:9">
      <c r="C40" s="18">
        <v>35</v>
      </c>
      <c r="D40" s="19" t="s">
        <v>1617</v>
      </c>
      <c r="E40" s="19" t="s">
        <v>1550</v>
      </c>
      <c r="F40" s="1824"/>
      <c r="G40" s="21"/>
      <c r="H40" s="21"/>
      <c r="I40" s="12"/>
    </row>
    <row r="41" spans="3:9">
      <c r="C41" s="18">
        <v>36</v>
      </c>
      <c r="D41" s="19" t="s">
        <v>1618</v>
      </c>
      <c r="E41" s="19" t="s">
        <v>1550</v>
      </c>
      <c r="F41" s="1824"/>
      <c r="G41" s="21"/>
      <c r="H41" s="21"/>
      <c r="I41" s="12"/>
    </row>
    <row r="42" spans="3:9">
      <c r="C42" s="18">
        <v>37</v>
      </c>
      <c r="D42" s="19" t="s">
        <v>1619</v>
      </c>
      <c r="E42" s="19" t="s">
        <v>1550</v>
      </c>
      <c r="F42" s="1824"/>
      <c r="G42" s="21"/>
      <c r="H42" s="21"/>
      <c r="I42" s="12"/>
    </row>
    <row r="43" spans="3:9">
      <c r="C43" s="18">
        <v>38</v>
      </c>
      <c r="D43" s="19" t="s">
        <v>1620</v>
      </c>
      <c r="E43" s="19" t="s">
        <v>1550</v>
      </c>
      <c r="F43" s="1824"/>
      <c r="G43" s="21"/>
      <c r="H43" s="21"/>
      <c r="I43" s="12"/>
    </row>
    <row r="44" spans="3:9">
      <c r="C44" s="18">
        <v>39</v>
      </c>
      <c r="D44" s="19" t="s">
        <v>1621</v>
      </c>
      <c r="E44" s="19" t="s">
        <v>1550</v>
      </c>
      <c r="F44" s="1824"/>
      <c r="G44" s="21"/>
      <c r="H44" s="21"/>
      <c r="I44" s="12"/>
    </row>
    <row r="45" spans="3:9">
      <c r="C45" s="18">
        <v>40</v>
      </c>
      <c r="D45" s="19" t="s">
        <v>1622</v>
      </c>
      <c r="E45" s="19" t="s">
        <v>1550</v>
      </c>
      <c r="F45" s="1824"/>
      <c r="G45" s="21"/>
      <c r="H45" s="21"/>
      <c r="I45" s="12"/>
    </row>
    <row r="46" spans="3:9">
      <c r="C46" s="18">
        <v>41</v>
      </c>
      <c r="D46" s="19" t="s">
        <v>1597</v>
      </c>
      <c r="E46" s="19" t="s">
        <v>1550</v>
      </c>
      <c r="F46" s="1824"/>
      <c r="G46" s="21"/>
      <c r="H46" s="21"/>
      <c r="I46" s="12"/>
    </row>
    <row r="47" spans="3:9">
      <c r="C47" s="18">
        <v>42</v>
      </c>
      <c r="D47" s="19" t="s">
        <v>1623</v>
      </c>
      <c r="E47" s="19" t="s">
        <v>1624</v>
      </c>
      <c r="F47" s="1824"/>
      <c r="G47" s="21"/>
      <c r="H47" s="21"/>
      <c r="I47" s="12"/>
    </row>
    <row r="48" spans="3:9">
      <c r="C48" s="18">
        <v>43</v>
      </c>
      <c r="D48" s="19" t="s">
        <v>1625</v>
      </c>
      <c r="E48" s="19"/>
      <c r="F48" s="1824"/>
      <c r="G48" s="21"/>
      <c r="H48" s="21"/>
      <c r="I48" s="12"/>
    </row>
    <row r="49" spans="3:9">
      <c r="C49" s="18">
        <v>44</v>
      </c>
      <c r="D49" s="20" t="s">
        <v>1599</v>
      </c>
      <c r="E49" s="20" t="s">
        <v>1626</v>
      </c>
      <c r="F49" s="1824"/>
      <c r="G49" s="21"/>
      <c r="H49" s="21"/>
      <c r="I49" s="12"/>
    </row>
    <row r="50" spans="3:9">
      <c r="C50" s="18">
        <v>45</v>
      </c>
      <c r="D50" s="20" t="s">
        <v>1627</v>
      </c>
      <c r="E50" s="20" t="s">
        <v>1628</v>
      </c>
      <c r="F50" s="1824"/>
      <c r="G50" s="21"/>
      <c r="H50" s="21"/>
      <c r="I50" s="12"/>
    </row>
    <row r="51" spans="3:9">
      <c r="C51" s="18">
        <v>46</v>
      </c>
      <c r="D51" s="19" t="s">
        <v>1629</v>
      </c>
      <c r="E51" s="19"/>
      <c r="F51" s="182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83</vt:i4>
      </vt:variant>
      <vt:variant>
        <vt:lpstr>Named Ranges</vt:lpstr>
      </vt:variant>
      <vt:variant>
        <vt:i4>14</vt:i4>
      </vt:variant>
    </vt:vector>
  </HeadingPairs>
  <TitlesOfParts>
    <vt:vector size="97"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Erection -Jammu</vt:lpstr>
      <vt:lpstr>Vertical Chart -JS Line Jammu </vt:lpstr>
      <vt:lpstr>Sheet17</vt:lpstr>
      <vt:lpstr>Stringing JS-Jammu</vt:lpstr>
      <vt:lpstr>Foundation -KS Line</vt:lpstr>
      <vt:lpstr>Erection -SK</vt:lpstr>
      <vt:lpstr>Sheet7</vt:lpstr>
      <vt:lpstr>Sheet8</vt:lpstr>
      <vt:lpstr>Material Status SK</vt:lpstr>
      <vt:lpstr>Stringing SK</vt:lpstr>
      <vt:lpstr>LILO</vt:lpstr>
      <vt:lpstr>Erection-Punjab</vt:lpstr>
      <vt:lpstr>Vertical Chart -JS Line Punjab</vt:lpstr>
      <vt:lpstr>Sheet9</vt:lpstr>
      <vt:lpstr>ROW Front vs Progress</vt:lpstr>
      <vt:lpstr>Foundation -JS Line- Punjab</vt:lpstr>
      <vt:lpstr>Pile FDN</vt:lpstr>
      <vt:lpstr>Hindrance</vt:lpstr>
      <vt:lpstr>Final Checking.</vt:lpstr>
      <vt:lpstr>Manpower</vt:lpstr>
      <vt:lpstr>Sheet20</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'Stringing JS-Jammu'!Print_Area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Jigar Karena</cp:lastModifiedBy>
  <cp:lastPrinted>2026-08-08T10:10:50Z</cp:lastPrinted>
  <dcterms:created xsi:type="dcterms:W3CDTF">2023-09-21T16:13:00Z</dcterms:created>
  <dcterms:modified xsi:type="dcterms:W3CDTF">2026-08-13T03:53:10Z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