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odehoover/Downloads/"/>
    </mc:Choice>
  </mc:AlternateContent>
  <xr:revisionPtr revIDLastSave="0" documentId="13_ncr:1_{89F70CC3-3B5D-474B-8F50-A13A8A976A50}" xr6:coauthVersionLast="47" xr6:coauthVersionMax="47" xr10:uidLastSave="{00000000-0000-0000-0000-000000000000}"/>
  <bookViews>
    <workbookView xWindow="0" yWindow="500" windowWidth="28800" windowHeight="15960" xr2:uid="{00000000-000D-0000-FFFF-FFFF00000000}"/>
  </bookViews>
  <sheets>
    <sheet name="Samples and Simple Model" sheetId="2" r:id="rId1"/>
    <sheet name="ICPMS XRF Comparison" sheetId="7" r:id="rId2"/>
    <sheet name="ICPMS" sheetId="4" r:id="rId3"/>
    <sheet name="XRF After Jan" sheetId="5" r:id="rId4"/>
    <sheet name="Gaussian" sheetId="8" r:id="rId5"/>
    <sheet name="Coordinate Conversions" sheetId="1" r:id="rId6"/>
    <sheet name="CSV Export" sheetId="11" r:id="rId7"/>
    <sheet name="XRF After Fire" sheetId="6" r:id="rId8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'ICPMS XRF Comparison'!$E$1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1" i="2" l="1"/>
  <c r="C3" i="8" l="1"/>
  <c r="Q22" i="2"/>
  <c r="R22" i="2" s="1"/>
  <c r="G43" i="6"/>
  <c r="G42" i="6"/>
  <c r="G41" i="6"/>
  <c r="G3" i="6"/>
  <c r="G4" i="6"/>
  <c r="G5" i="6"/>
  <c r="G6" i="6"/>
  <c r="G7" i="6"/>
  <c r="G8" i="6"/>
  <c r="G9" i="6"/>
  <c r="G10" i="6"/>
  <c r="G11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6" i="6"/>
  <c r="G37" i="6"/>
  <c r="G38" i="6"/>
  <c r="G39" i="6"/>
  <c r="G2" i="6"/>
  <c r="Q23" i="2" l="1"/>
  <c r="D2" i="8"/>
  <c r="R23" i="2" l="1"/>
  <c r="Q24" i="2"/>
  <c r="G2" i="11"/>
  <c r="R2" i="2"/>
  <c r="Q2" i="2"/>
  <c r="C29" i="11"/>
  <c r="B29" i="11"/>
  <c r="C28" i="11"/>
  <c r="B28" i="11"/>
  <c r="C27" i="11"/>
  <c r="B27" i="11"/>
  <c r="C26" i="11"/>
  <c r="B26" i="11"/>
  <c r="C25" i="11"/>
  <c r="B25" i="11"/>
  <c r="C24" i="11"/>
  <c r="B24" i="11"/>
  <c r="C23" i="11"/>
  <c r="B23" i="11"/>
  <c r="C22" i="11"/>
  <c r="B22" i="11"/>
  <c r="C21" i="11"/>
  <c r="B21" i="11"/>
  <c r="C20" i="11"/>
  <c r="B20" i="11"/>
  <c r="C19" i="11"/>
  <c r="B19" i="11"/>
  <c r="C18" i="11"/>
  <c r="B18" i="11"/>
  <c r="C17" i="11"/>
  <c r="B17" i="11"/>
  <c r="C16" i="11"/>
  <c r="B16" i="11"/>
  <c r="C15" i="11"/>
  <c r="B15" i="11"/>
  <c r="C14" i="11"/>
  <c r="B14" i="11"/>
  <c r="C13" i="11"/>
  <c r="B13" i="11"/>
  <c r="C12" i="11"/>
  <c r="B12" i="11"/>
  <c r="C11" i="11"/>
  <c r="B11" i="11"/>
  <c r="C10" i="11"/>
  <c r="B10" i="11"/>
  <c r="C9" i="11"/>
  <c r="B9" i="11"/>
  <c r="C8" i="11"/>
  <c r="B8" i="11"/>
  <c r="C7" i="11"/>
  <c r="B7" i="11"/>
  <c r="C6" i="11"/>
  <c r="B6" i="11"/>
  <c r="C5" i="11"/>
  <c r="B5" i="11"/>
  <c r="C4" i="11"/>
  <c r="B4" i="11"/>
  <c r="C3" i="11"/>
  <c r="B3" i="11"/>
  <c r="C2" i="11"/>
  <c r="F2" i="11" s="1"/>
  <c r="B2" i="11"/>
  <c r="B17" i="7"/>
  <c r="B16" i="7"/>
  <c r="B15" i="7"/>
  <c r="B14" i="7"/>
  <c r="B13" i="7"/>
  <c r="B12" i="7"/>
  <c r="G25" i="4"/>
  <c r="Q5" i="5"/>
  <c r="Q6" i="5"/>
  <c r="Q8" i="5"/>
  <c r="P42" i="5" s="1"/>
  <c r="Q9" i="5"/>
  <c r="Q10" i="5"/>
  <c r="Q11" i="5"/>
  <c r="Q12" i="5"/>
  <c r="Q13" i="5"/>
  <c r="Q14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4" i="5"/>
  <c r="G24" i="4"/>
  <c r="G23" i="4"/>
  <c r="G22" i="4"/>
  <c r="G21" i="4"/>
  <c r="G20" i="4"/>
  <c r="B11" i="7"/>
  <c r="B10" i="7"/>
  <c r="B9" i="7"/>
  <c r="B8" i="7"/>
  <c r="B7" i="7"/>
  <c r="B6" i="7"/>
  <c r="B5" i="7"/>
  <c r="B4" i="7"/>
  <c r="B3" i="7"/>
  <c r="B2" i="7"/>
  <c r="P5" i="5"/>
  <c r="P6" i="5"/>
  <c r="P4" i="5"/>
  <c r="P9" i="5"/>
  <c r="P10" i="5"/>
  <c r="G3" i="2" s="1"/>
  <c r="K3" i="2" s="1"/>
  <c r="P11" i="5"/>
  <c r="G5" i="2" s="1"/>
  <c r="K5" i="2" s="1"/>
  <c r="P12" i="5"/>
  <c r="C4" i="7" s="1"/>
  <c r="P13" i="5"/>
  <c r="P14" i="5"/>
  <c r="G8" i="2" s="1"/>
  <c r="K8" i="2" s="1"/>
  <c r="P16" i="5"/>
  <c r="G10" i="2" s="1"/>
  <c r="K10" i="2" s="1"/>
  <c r="P17" i="5"/>
  <c r="P18" i="5"/>
  <c r="P19" i="5"/>
  <c r="G13" i="2" s="1"/>
  <c r="K13" i="2" s="1"/>
  <c r="P20" i="5"/>
  <c r="G14" i="2" s="1"/>
  <c r="K14" i="2" s="1"/>
  <c r="P21" i="5"/>
  <c r="P22" i="5"/>
  <c r="P23" i="5"/>
  <c r="G17" i="2" s="1"/>
  <c r="K17" i="2" s="1"/>
  <c r="P24" i="5"/>
  <c r="G18" i="2" s="1"/>
  <c r="K18" i="2" s="1"/>
  <c r="P25" i="5"/>
  <c r="P26" i="5"/>
  <c r="P27" i="5"/>
  <c r="G21" i="2" s="1"/>
  <c r="K21" i="2" s="1"/>
  <c r="P28" i="5"/>
  <c r="G22" i="2" s="1"/>
  <c r="K22" i="2" s="1"/>
  <c r="P29" i="5"/>
  <c r="P30" i="5"/>
  <c r="P31" i="5"/>
  <c r="G25" i="2" s="1"/>
  <c r="K25" i="2" s="1"/>
  <c r="P32" i="5"/>
  <c r="G26" i="2" s="1"/>
  <c r="K26" i="2" s="1"/>
  <c r="P33" i="5"/>
  <c r="P34" i="5"/>
  <c r="C10" i="7" s="1"/>
  <c r="P35" i="5"/>
  <c r="P36" i="5"/>
  <c r="C11" i="7" s="1"/>
  <c r="D11" i="7" s="1"/>
  <c r="P8" i="5"/>
  <c r="P37" i="5" s="1"/>
  <c r="G7" i="2"/>
  <c r="K7" i="2" s="1"/>
  <c r="C6" i="7"/>
  <c r="D6" i="7" s="1"/>
  <c r="G19" i="2"/>
  <c r="K19" i="2" s="1"/>
  <c r="G23" i="2"/>
  <c r="K23" i="2" s="1"/>
  <c r="G29" i="2"/>
  <c r="K29" i="2" s="1"/>
  <c r="C2" i="7"/>
  <c r="H11" i="5"/>
  <c r="C7" i="7"/>
  <c r="D7" i="7" s="1"/>
  <c r="C3" i="7"/>
  <c r="D3" i="7" s="1"/>
  <c r="I3" i="2"/>
  <c r="I4" i="2"/>
  <c r="I5" i="2"/>
  <c r="I6" i="2"/>
  <c r="I7" i="2"/>
  <c r="I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O2" i="2"/>
  <c r="N2" i="2"/>
  <c r="D5" i="2"/>
  <c r="H5" i="2"/>
  <c r="D9" i="2"/>
  <c r="D13" i="2"/>
  <c r="H13" i="2"/>
  <c r="D17" i="2"/>
  <c r="H17" i="2"/>
  <c r="D21" i="2"/>
  <c r="H21" i="2"/>
  <c r="D25" i="2"/>
  <c r="H25" i="2"/>
  <c r="D29" i="2"/>
  <c r="H29" i="2"/>
  <c r="E3" i="2"/>
  <c r="E6" i="2"/>
  <c r="E7" i="2"/>
  <c r="E10" i="2"/>
  <c r="E11" i="2"/>
  <c r="E14" i="2"/>
  <c r="E15" i="2"/>
  <c r="E18" i="2"/>
  <c r="E19" i="2"/>
  <c r="E22" i="2"/>
  <c r="E23" i="2"/>
  <c r="E26" i="2"/>
  <c r="E27" i="2"/>
  <c r="E30" i="2"/>
  <c r="E31" i="2"/>
  <c r="G11" i="2"/>
  <c r="K11" i="2"/>
  <c r="G15" i="2"/>
  <c r="K15" i="2" s="1"/>
  <c r="G27" i="2"/>
  <c r="K27" i="2" s="1"/>
  <c r="B6" i="8"/>
  <c r="E2" i="8"/>
  <c r="G4" i="2"/>
  <c r="K4" i="2" s="1"/>
  <c r="G16" i="2"/>
  <c r="K16" i="2" s="1"/>
  <c r="G20" i="2"/>
  <c r="K20" i="2" s="1"/>
  <c r="C9" i="7"/>
  <c r="D9" i="7" s="1"/>
  <c r="G28" i="2"/>
  <c r="K28" i="2" s="1"/>
  <c r="F3" i="4"/>
  <c r="F4" i="4"/>
  <c r="F5" i="4"/>
  <c r="I2" i="4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" i="4"/>
  <c r="D43" i="6"/>
  <c r="F43" i="6"/>
  <c r="D42" i="6"/>
  <c r="F42" i="6"/>
  <c r="D41" i="6"/>
  <c r="F41" i="6"/>
  <c r="F39" i="6"/>
  <c r="F38" i="6"/>
  <c r="F37" i="6"/>
  <c r="F36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1" i="6"/>
  <c r="F10" i="6"/>
  <c r="F9" i="6"/>
  <c r="F8" i="6"/>
  <c r="F7" i="6"/>
  <c r="F6" i="6"/>
  <c r="F5" i="6"/>
  <c r="F4" i="6"/>
  <c r="F3" i="6"/>
  <c r="F2" i="6"/>
  <c r="C2" i="2"/>
  <c r="E2" i="2"/>
  <c r="C3" i="2"/>
  <c r="C4" i="2"/>
  <c r="E4" i="2"/>
  <c r="C5" i="2"/>
  <c r="E5" i="2"/>
  <c r="C6" i="2"/>
  <c r="C7" i="2"/>
  <c r="C8" i="2"/>
  <c r="E8" i="2"/>
  <c r="C9" i="2"/>
  <c r="E9" i="2"/>
  <c r="C10" i="2"/>
  <c r="C11" i="2"/>
  <c r="C12" i="2"/>
  <c r="E12" i="2"/>
  <c r="C13" i="2"/>
  <c r="E13" i="2"/>
  <c r="C14" i="2"/>
  <c r="C15" i="2"/>
  <c r="C16" i="2"/>
  <c r="E16" i="2"/>
  <c r="C17" i="2"/>
  <c r="E17" i="2"/>
  <c r="C18" i="2"/>
  <c r="C19" i="2"/>
  <c r="C20" i="2"/>
  <c r="E20" i="2"/>
  <c r="C21" i="2"/>
  <c r="E21" i="2"/>
  <c r="C22" i="2"/>
  <c r="C23" i="2"/>
  <c r="C24" i="2"/>
  <c r="E24" i="2"/>
  <c r="C25" i="2"/>
  <c r="E25" i="2"/>
  <c r="C26" i="2"/>
  <c r="C27" i="2"/>
  <c r="C28" i="2"/>
  <c r="E28" i="2"/>
  <c r="C29" i="2"/>
  <c r="E29" i="2"/>
  <c r="C30" i="2"/>
  <c r="C31" i="2"/>
  <c r="B3" i="2"/>
  <c r="D3" i="2"/>
  <c r="H3" i="2"/>
  <c r="B4" i="2"/>
  <c r="B5" i="2"/>
  <c r="B6" i="2"/>
  <c r="B7" i="2"/>
  <c r="B8" i="2"/>
  <c r="D8" i="2"/>
  <c r="H8" i="2"/>
  <c r="B9" i="2"/>
  <c r="B10" i="2"/>
  <c r="B11" i="2"/>
  <c r="D11" i="2"/>
  <c r="H11" i="2"/>
  <c r="B12" i="2"/>
  <c r="B13" i="2"/>
  <c r="B14" i="2"/>
  <c r="B15" i="2"/>
  <c r="D15" i="2"/>
  <c r="H15" i="2"/>
  <c r="B16" i="2"/>
  <c r="B17" i="2"/>
  <c r="B18" i="2"/>
  <c r="B19" i="2"/>
  <c r="D19" i="2"/>
  <c r="H19" i="2"/>
  <c r="B20" i="2"/>
  <c r="B21" i="2"/>
  <c r="B22" i="2"/>
  <c r="B23" i="2"/>
  <c r="D23" i="2"/>
  <c r="H23" i="2"/>
  <c r="B24" i="2"/>
  <c r="B25" i="2"/>
  <c r="B26" i="2"/>
  <c r="B27" i="2"/>
  <c r="B28" i="2"/>
  <c r="D28" i="2"/>
  <c r="H28" i="2"/>
  <c r="B29" i="2"/>
  <c r="B30" i="2"/>
  <c r="B31" i="2"/>
  <c r="D31" i="2"/>
  <c r="H31" i="2"/>
  <c r="B2" i="2"/>
  <c r="D2" i="2"/>
  <c r="Q20" i="1"/>
  <c r="Q21" i="1"/>
  <c r="Q22" i="1"/>
  <c r="Q23" i="1"/>
  <c r="P21" i="1"/>
  <c r="P22" i="1"/>
  <c r="P23" i="1"/>
  <c r="P20" i="1"/>
  <c r="Q13" i="1"/>
  <c r="P13" i="1"/>
  <c r="Q9" i="1"/>
  <c r="P9" i="1"/>
  <c r="Q6" i="1"/>
  <c r="Q7" i="1"/>
  <c r="P7" i="1"/>
  <c r="P6" i="1"/>
  <c r="N8" i="1"/>
  <c r="N10" i="1"/>
  <c r="N11" i="1"/>
  <c r="Q11" i="1"/>
  <c r="N12" i="1"/>
  <c r="N14" i="1"/>
  <c r="N15" i="1"/>
  <c r="Q15" i="1"/>
  <c r="N16" i="1"/>
  <c r="N17" i="1"/>
  <c r="N18" i="1"/>
  <c r="N19" i="1"/>
  <c r="Q19" i="1"/>
  <c r="N24" i="1"/>
  <c r="N25" i="1"/>
  <c r="N26" i="1"/>
  <c r="N27" i="1"/>
  <c r="Q27" i="1"/>
  <c r="N28" i="1"/>
  <c r="N29" i="1"/>
  <c r="N30" i="1"/>
  <c r="N31" i="1"/>
  <c r="Q31" i="1"/>
  <c r="N3" i="1"/>
  <c r="N4" i="1"/>
  <c r="N5" i="1"/>
  <c r="Q5" i="1"/>
  <c r="N2" i="1"/>
  <c r="Q2" i="1"/>
  <c r="Q3" i="1"/>
  <c r="Q4" i="1"/>
  <c r="Q8" i="1"/>
  <c r="Q10" i="1"/>
  <c r="Q12" i="1"/>
  <c r="Q14" i="1"/>
  <c r="Q16" i="1"/>
  <c r="Q17" i="1"/>
  <c r="Q18" i="1"/>
  <c r="Q24" i="1"/>
  <c r="Q25" i="1"/>
  <c r="Q26" i="1"/>
  <c r="Q28" i="1"/>
  <c r="Q29" i="1"/>
  <c r="Q30" i="1"/>
  <c r="Q1" i="1"/>
  <c r="P2" i="1"/>
  <c r="P3" i="1"/>
  <c r="P4" i="1"/>
  <c r="P5" i="1"/>
  <c r="P8" i="1"/>
  <c r="P10" i="1"/>
  <c r="P11" i="1"/>
  <c r="P12" i="1"/>
  <c r="P14" i="1"/>
  <c r="P15" i="1"/>
  <c r="P16" i="1"/>
  <c r="P17" i="1"/>
  <c r="P18" i="1"/>
  <c r="P19" i="1"/>
  <c r="P24" i="1"/>
  <c r="P25" i="1"/>
  <c r="P26" i="1"/>
  <c r="P27" i="1"/>
  <c r="P28" i="1"/>
  <c r="P29" i="1"/>
  <c r="P30" i="1"/>
  <c r="P31" i="1"/>
  <c r="P1" i="1"/>
  <c r="J3" i="1"/>
  <c r="J4" i="1"/>
  <c r="J5" i="1"/>
  <c r="J8" i="1"/>
  <c r="J10" i="1"/>
  <c r="J11" i="1"/>
  <c r="J12" i="1"/>
  <c r="J14" i="1"/>
  <c r="J15" i="1"/>
  <c r="J16" i="1"/>
  <c r="J17" i="1"/>
  <c r="J18" i="1"/>
  <c r="J19" i="1"/>
  <c r="J24" i="1"/>
  <c r="J25" i="1"/>
  <c r="J26" i="1"/>
  <c r="J27" i="1"/>
  <c r="J28" i="1"/>
  <c r="J29" i="1"/>
  <c r="J30" i="1"/>
  <c r="J31" i="1"/>
  <c r="J2" i="1"/>
  <c r="F2" i="8"/>
  <c r="G2" i="2"/>
  <c r="K2" i="2"/>
  <c r="G24" i="2"/>
  <c r="K24" i="2" s="1"/>
  <c r="I2" i="2"/>
  <c r="H2" i="2"/>
  <c r="J4" i="2"/>
  <c r="L4" i="2"/>
  <c r="J22" i="2"/>
  <c r="L22" i="2"/>
  <c r="D27" i="2"/>
  <c r="H27" i="2"/>
  <c r="D7" i="2"/>
  <c r="H7" i="2"/>
  <c r="J7" i="2"/>
  <c r="L7" i="2"/>
  <c r="J24" i="2"/>
  <c r="L24" i="2"/>
  <c r="J19" i="2"/>
  <c r="L19" i="2"/>
  <c r="J11" i="2"/>
  <c r="L11" i="2"/>
  <c r="D24" i="2"/>
  <c r="H24" i="2"/>
  <c r="D20" i="2"/>
  <c r="H20" i="2"/>
  <c r="J20" i="2"/>
  <c r="L20" i="2"/>
  <c r="D16" i="2"/>
  <c r="H16" i="2"/>
  <c r="J16" i="2"/>
  <c r="L16" i="2"/>
  <c r="D12" i="2"/>
  <c r="H12" i="2"/>
  <c r="D4" i="2"/>
  <c r="H4" i="2"/>
  <c r="D30" i="2"/>
  <c r="D26" i="2"/>
  <c r="H26" i="2"/>
  <c r="D22" i="2"/>
  <c r="H22" i="2"/>
  <c r="D18" i="2"/>
  <c r="H18" i="2"/>
  <c r="D14" i="2"/>
  <c r="H14" i="2"/>
  <c r="D10" i="2"/>
  <c r="H10" i="2"/>
  <c r="D6" i="2"/>
  <c r="H6" i="2"/>
  <c r="J6" i="2"/>
  <c r="L6" i="2"/>
  <c r="J23" i="2"/>
  <c r="L23" i="2"/>
  <c r="J14" i="2"/>
  <c r="L14" i="2"/>
  <c r="J31" i="2"/>
  <c r="L31" i="2"/>
  <c r="J15" i="2"/>
  <c r="L15" i="2"/>
  <c r="J27" i="2"/>
  <c r="L27" i="2"/>
  <c r="J3" i="2"/>
  <c r="L3" i="2"/>
  <c r="J29" i="2"/>
  <c r="L29" i="2"/>
  <c r="J13" i="2"/>
  <c r="L13" i="2"/>
  <c r="J26" i="2"/>
  <c r="L26" i="2"/>
  <c r="J18" i="2"/>
  <c r="L18" i="2"/>
  <c r="J10" i="2"/>
  <c r="L10" i="2"/>
  <c r="J28" i="2"/>
  <c r="L28" i="2"/>
  <c r="J12" i="2"/>
  <c r="L12" i="2"/>
  <c r="J8" i="2"/>
  <c r="L8" i="2"/>
  <c r="J25" i="2"/>
  <c r="L25" i="2"/>
  <c r="J17" i="2"/>
  <c r="L17" i="2"/>
  <c r="J5" i="2"/>
  <c r="L5" i="2"/>
  <c r="J21" i="2"/>
  <c r="L21" i="2"/>
  <c r="J2" i="2"/>
  <c r="L2" i="2"/>
  <c r="R24" i="2" l="1"/>
  <c r="Q25" i="2"/>
  <c r="P38" i="5"/>
  <c r="P41" i="5"/>
  <c r="P43" i="5" s="1"/>
  <c r="C8" i="7"/>
  <c r="D8" i="7" s="1"/>
  <c r="P40" i="5"/>
  <c r="P39" i="5"/>
  <c r="C16" i="7"/>
  <c r="C17" i="7" s="1"/>
  <c r="E3" i="8"/>
  <c r="D3" i="8"/>
  <c r="F3" i="8"/>
  <c r="C4" i="8"/>
  <c r="E4" i="8" s="1"/>
  <c r="G2" i="8"/>
  <c r="H2" i="8" s="1"/>
  <c r="D4" i="7"/>
  <c r="I4" i="4"/>
  <c r="I3" i="4"/>
  <c r="D10" i="7"/>
  <c r="D2" i="7"/>
  <c r="G6" i="2"/>
  <c r="K6" i="2" s="1"/>
  <c r="O21" i="2" s="1"/>
  <c r="C5" i="7"/>
  <c r="G31" i="2"/>
  <c r="K31" i="2" s="1"/>
  <c r="H8" i="5"/>
  <c r="H33" i="5"/>
  <c r="H29" i="5"/>
  <c r="H25" i="5"/>
  <c r="H21" i="5"/>
  <c r="H17" i="5"/>
  <c r="H13" i="5"/>
  <c r="H9" i="5"/>
  <c r="H36" i="5"/>
  <c r="H32" i="5"/>
  <c r="H28" i="5"/>
  <c r="H24" i="5"/>
  <c r="H20" i="5"/>
  <c r="H16" i="5"/>
  <c r="H12" i="5"/>
  <c r="H34" i="5"/>
  <c r="H30" i="5"/>
  <c r="H26" i="5"/>
  <c r="H22" i="5"/>
  <c r="H18" i="5"/>
  <c r="H14" i="5"/>
  <c r="H10" i="5"/>
  <c r="G12" i="2"/>
  <c r="K12" i="2" s="1"/>
  <c r="H35" i="5"/>
  <c r="H31" i="5"/>
  <c r="H27" i="5"/>
  <c r="H23" i="5"/>
  <c r="H19" i="5"/>
  <c r="H15" i="5"/>
  <c r="R25" i="2" l="1"/>
  <c r="Q26" i="2"/>
  <c r="O22" i="2"/>
  <c r="O23" i="2"/>
  <c r="D5" i="7"/>
  <c r="G2" i="7" s="1"/>
  <c r="G3" i="7" s="1"/>
  <c r="C15" i="7"/>
  <c r="C13" i="7"/>
  <c r="C14" i="7"/>
  <c r="C12" i="7"/>
  <c r="C5" i="8"/>
  <c r="F5" i="8" s="1"/>
  <c r="D4" i="8"/>
  <c r="F4" i="8"/>
  <c r="G4" i="8" s="1"/>
  <c r="H4" i="8" s="1"/>
  <c r="G3" i="8"/>
  <c r="H3" i="8" s="1"/>
  <c r="G4" i="7"/>
  <c r="G11" i="4"/>
  <c r="F22" i="2" s="1"/>
  <c r="G15" i="4"/>
  <c r="F2" i="2" s="1"/>
  <c r="G19" i="4"/>
  <c r="F19" i="2" s="1"/>
  <c r="G12" i="4"/>
  <c r="F10" i="2" s="1"/>
  <c r="G16" i="4"/>
  <c r="F6" i="2" s="1"/>
  <c r="G10" i="4"/>
  <c r="F4" i="2" s="1"/>
  <c r="G14" i="4"/>
  <c r="F12" i="2" s="1"/>
  <c r="G18" i="4"/>
  <c r="F24" i="2" s="1"/>
  <c r="G13" i="4"/>
  <c r="F31" i="2" s="1"/>
  <c r="G17" i="4"/>
  <c r="F28" i="2" s="1"/>
  <c r="Q27" i="2" l="1"/>
  <c r="R26" i="2"/>
  <c r="S26" i="2" s="1"/>
  <c r="T26" i="2" s="1"/>
  <c r="E5" i="8"/>
  <c r="S23" i="2"/>
  <c r="T23" i="2" s="1"/>
  <c r="S25" i="2"/>
  <c r="T25" i="2" s="1"/>
  <c r="S22" i="2"/>
  <c r="T22" i="2" s="1"/>
  <c r="S21" i="2"/>
  <c r="T21" i="2" s="1"/>
  <c r="S24" i="2"/>
  <c r="T24" i="2" s="1"/>
  <c r="C6" i="8"/>
  <c r="F6" i="8" s="1"/>
  <c r="D5" i="8"/>
  <c r="G5" i="8"/>
  <c r="H5" i="8" s="1"/>
  <c r="Q28" i="2" l="1"/>
  <c r="R27" i="2"/>
  <c r="S27" i="2" s="1"/>
  <c r="T27" i="2" s="1"/>
  <c r="E6" i="8"/>
  <c r="G6" i="8" s="1"/>
  <c r="H6" i="8" s="1"/>
  <c r="C7" i="8"/>
  <c r="D6" i="8"/>
  <c r="Q29" i="2" l="1"/>
  <c r="R28" i="2"/>
  <c r="S28" i="2" s="1"/>
  <c r="T28" i="2" s="1"/>
  <c r="C8" i="8"/>
  <c r="E8" i="8" s="1"/>
  <c r="D7" i="8"/>
  <c r="F7" i="8"/>
  <c r="E7" i="8"/>
  <c r="F8" i="8"/>
  <c r="Q30" i="2" l="1"/>
  <c r="R29" i="2"/>
  <c r="S29" i="2" s="1"/>
  <c r="T29" i="2" s="1"/>
  <c r="G7" i="8"/>
  <c r="H7" i="8" s="1"/>
  <c r="C9" i="8"/>
  <c r="F9" i="8" s="1"/>
  <c r="D8" i="8"/>
  <c r="G8" i="8"/>
  <c r="H8" i="8" s="1"/>
  <c r="Q31" i="2" l="1"/>
  <c r="R30" i="2"/>
  <c r="S30" i="2" s="1"/>
  <c r="T30" i="2" s="1"/>
  <c r="C10" i="8"/>
  <c r="D9" i="8"/>
  <c r="E9" i="8"/>
  <c r="G9" i="8" s="1"/>
  <c r="H9" i="8" s="1"/>
  <c r="E10" i="8"/>
  <c r="R31" i="2" l="1"/>
  <c r="S31" i="2" s="1"/>
  <c r="T31" i="2" s="1"/>
  <c r="Q32" i="2"/>
  <c r="C11" i="8"/>
  <c r="E11" i="8" s="1"/>
  <c r="D10" i="8"/>
  <c r="F10" i="8"/>
  <c r="G10" i="8" s="1"/>
  <c r="H10" i="8" s="1"/>
  <c r="Q33" i="2" l="1"/>
  <c r="R32" i="2"/>
  <c r="S32" i="2" s="1"/>
  <c r="T32" i="2" s="1"/>
  <c r="C12" i="8"/>
  <c r="F12" i="8" s="1"/>
  <c r="D11" i="8"/>
  <c r="F11" i="8"/>
  <c r="G11" i="8" s="1"/>
  <c r="H11" i="8" s="1"/>
  <c r="Q34" i="2" l="1"/>
  <c r="R33" i="2"/>
  <c r="S33" i="2" s="1"/>
  <c r="T33" i="2" s="1"/>
  <c r="E12" i="8"/>
  <c r="G12" i="8" s="1"/>
  <c r="H12" i="8" s="1"/>
  <c r="C13" i="8"/>
  <c r="E13" i="8" s="1"/>
  <c r="D12" i="8"/>
  <c r="Q35" i="2" l="1"/>
  <c r="R34" i="2"/>
  <c r="S34" i="2" s="1"/>
  <c r="T34" i="2" s="1"/>
  <c r="C14" i="8"/>
  <c r="D13" i="8"/>
  <c r="F13" i="8"/>
  <c r="G13" i="8"/>
  <c r="H13" i="8" s="1"/>
  <c r="E14" i="8"/>
  <c r="Q36" i="2" l="1"/>
  <c r="R35" i="2"/>
  <c r="S35" i="2" s="1"/>
  <c r="T35" i="2" s="1"/>
  <c r="C15" i="8"/>
  <c r="F15" i="8" s="1"/>
  <c r="D14" i="8"/>
  <c r="F14" i="8"/>
  <c r="G14" i="8" s="1"/>
  <c r="H14" i="8" s="1"/>
  <c r="Q37" i="2" l="1"/>
  <c r="R36" i="2"/>
  <c r="S36" i="2" s="1"/>
  <c r="T36" i="2" s="1"/>
  <c r="E15" i="8"/>
  <c r="G15" i="8" s="1"/>
  <c r="H15" i="8" s="1"/>
  <c r="C16" i="8"/>
  <c r="F16" i="8" s="1"/>
  <c r="D15" i="8"/>
  <c r="Q38" i="2" l="1"/>
  <c r="R37" i="2"/>
  <c r="S37" i="2" s="1"/>
  <c r="T37" i="2" s="1"/>
  <c r="E16" i="8"/>
  <c r="G16" i="8" s="1"/>
  <c r="H16" i="8" s="1"/>
  <c r="C17" i="8"/>
  <c r="E17" i="8" s="1"/>
  <c r="D16" i="8"/>
  <c r="Q39" i="2" l="1"/>
  <c r="R38" i="2"/>
  <c r="S38" i="2" s="1"/>
  <c r="T38" i="2" s="1"/>
  <c r="C18" i="8"/>
  <c r="E18" i="8" s="1"/>
  <c r="D17" i="8"/>
  <c r="F17" i="8"/>
  <c r="G17" i="8" s="1"/>
  <c r="H17" i="8" s="1"/>
  <c r="Q40" i="2" l="1"/>
  <c r="R39" i="2"/>
  <c r="S39" i="2" s="1"/>
  <c r="T39" i="2" s="1"/>
  <c r="F18" i="8"/>
  <c r="G18" i="8" s="1"/>
  <c r="H18" i="8" s="1"/>
  <c r="C19" i="8"/>
  <c r="D18" i="8"/>
  <c r="Q41" i="2" l="1"/>
  <c r="R40" i="2"/>
  <c r="S40" i="2" s="1"/>
  <c r="T40" i="2" s="1"/>
  <c r="C20" i="8"/>
  <c r="E20" i="8" s="1"/>
  <c r="D19" i="8"/>
  <c r="E19" i="8"/>
  <c r="F19" i="8"/>
  <c r="F20" i="8"/>
  <c r="R41" i="2" l="1"/>
  <c r="S41" i="2" s="1"/>
  <c r="T41" i="2" s="1"/>
  <c r="Q42" i="2"/>
  <c r="G19" i="8"/>
  <c r="H19" i="8" s="1"/>
  <c r="C21" i="8"/>
  <c r="F21" i="8" s="1"/>
  <c r="D20" i="8"/>
  <c r="G20" i="8"/>
  <c r="H20" i="8" s="1"/>
  <c r="Q43" i="2" l="1"/>
  <c r="R42" i="2"/>
  <c r="S42" i="2" s="1"/>
  <c r="T42" i="2" s="1"/>
  <c r="E21" i="8"/>
  <c r="G21" i="8" s="1"/>
  <c r="H21" i="8" s="1"/>
  <c r="C22" i="8"/>
  <c r="F22" i="8" s="1"/>
  <c r="D21" i="8"/>
  <c r="Q44" i="2" l="1"/>
  <c r="R43" i="2"/>
  <c r="S43" i="2" s="1"/>
  <c r="T43" i="2" s="1"/>
  <c r="C23" i="8"/>
  <c r="E23" i="8" s="1"/>
  <c r="D22" i="8"/>
  <c r="E22" i="8"/>
  <c r="G22" i="8" s="1"/>
  <c r="H22" i="8" s="1"/>
  <c r="Q45" i="2" l="1"/>
  <c r="R44" i="2"/>
  <c r="S44" i="2" s="1"/>
  <c r="T44" i="2" s="1"/>
  <c r="C24" i="8"/>
  <c r="F24" i="8" s="1"/>
  <c r="D23" i="8"/>
  <c r="F23" i="8"/>
  <c r="G23" i="8" s="1"/>
  <c r="H23" i="8" s="1"/>
  <c r="E24" i="8" l="1"/>
  <c r="G24" i="8" s="1"/>
  <c r="H24" i="8" s="1"/>
  <c r="Q46" i="2"/>
  <c r="R45" i="2"/>
  <c r="S45" i="2" s="1"/>
  <c r="T45" i="2" s="1"/>
  <c r="C25" i="8"/>
  <c r="F25" i="8" s="1"/>
  <c r="D24" i="8"/>
  <c r="Q47" i="2" l="1"/>
  <c r="R46" i="2"/>
  <c r="S46" i="2" s="1"/>
  <c r="T46" i="2" s="1"/>
  <c r="E25" i="8"/>
  <c r="G25" i="8" s="1"/>
  <c r="H25" i="8" s="1"/>
  <c r="C26" i="8"/>
  <c r="E26" i="8" s="1"/>
  <c r="D25" i="8"/>
  <c r="Q48" i="2" l="1"/>
  <c r="R47" i="2"/>
  <c r="S47" i="2" s="1"/>
  <c r="T47" i="2" s="1"/>
  <c r="F26" i="8"/>
  <c r="G26" i="8" s="1"/>
  <c r="H26" i="8" s="1"/>
  <c r="C27" i="8"/>
  <c r="E27" i="8" s="1"/>
  <c r="D26" i="8"/>
  <c r="Q49" i="2" l="1"/>
  <c r="R48" i="2"/>
  <c r="S48" i="2" s="1"/>
  <c r="T48" i="2" s="1"/>
  <c r="F27" i="8"/>
  <c r="G27" i="8" s="1"/>
  <c r="H27" i="8" s="1"/>
  <c r="C28" i="8"/>
  <c r="F28" i="8" s="1"/>
  <c r="D27" i="8"/>
  <c r="Q50" i="2" l="1"/>
  <c r="R49" i="2"/>
  <c r="S49" i="2" s="1"/>
  <c r="T49" i="2" s="1"/>
  <c r="E28" i="8"/>
  <c r="G28" i="8" s="1"/>
  <c r="H28" i="8" s="1"/>
  <c r="C29" i="8"/>
  <c r="E29" i="8" s="1"/>
  <c r="D28" i="8"/>
  <c r="Q51" i="2" l="1"/>
  <c r="R50" i="2"/>
  <c r="S50" i="2" s="1"/>
  <c r="T50" i="2" s="1"/>
  <c r="F29" i="8"/>
  <c r="G29" i="8" s="1"/>
  <c r="H29" i="8" s="1"/>
  <c r="C30" i="8"/>
  <c r="F30" i="8" s="1"/>
  <c r="D29" i="8"/>
  <c r="Q52" i="2" l="1"/>
  <c r="R51" i="2"/>
  <c r="S51" i="2" s="1"/>
  <c r="T51" i="2" s="1"/>
  <c r="E30" i="8"/>
  <c r="G30" i="8" s="1"/>
  <c r="H30" i="8" s="1"/>
  <c r="C31" i="8"/>
  <c r="D30" i="8"/>
  <c r="Q53" i="2" l="1"/>
  <c r="R52" i="2"/>
  <c r="S52" i="2" s="1"/>
  <c r="T52" i="2" s="1"/>
  <c r="C32" i="8"/>
  <c r="E32" i="8" s="1"/>
  <c r="D31" i="8"/>
  <c r="E31" i="8"/>
  <c r="F31" i="8"/>
  <c r="F32" i="8" l="1"/>
  <c r="G32" i="8" s="1"/>
  <c r="H32" i="8" s="1"/>
  <c r="R53" i="2"/>
  <c r="S53" i="2" s="1"/>
  <c r="T53" i="2" s="1"/>
  <c r="Q54" i="2"/>
  <c r="G31" i="8"/>
  <c r="H31" i="8" s="1"/>
  <c r="C33" i="8"/>
  <c r="D32" i="8"/>
  <c r="R54" i="2" l="1"/>
  <c r="S54" i="2" s="1"/>
  <c r="T54" i="2" s="1"/>
  <c r="D33" i="8"/>
  <c r="F33" i="8"/>
  <c r="E33" i="8"/>
  <c r="C34" i="8"/>
  <c r="D34" i="8" l="1"/>
  <c r="E34" i="8"/>
  <c r="F34" i="8"/>
  <c r="C35" i="8"/>
  <c r="G33" i="8"/>
  <c r="H33" i="8" s="1"/>
  <c r="D35" i="8" l="1"/>
  <c r="F35" i="8"/>
  <c r="E35" i="8"/>
  <c r="C36" i="8"/>
  <c r="G34" i="8"/>
  <c r="H34" i="8" s="1"/>
  <c r="D36" i="8" l="1"/>
  <c r="E36" i="8"/>
  <c r="F36" i="8"/>
  <c r="C37" i="8"/>
  <c r="G35" i="8"/>
  <c r="H35" i="8" s="1"/>
  <c r="G36" i="8" l="1"/>
  <c r="H36" i="8" s="1"/>
  <c r="D37" i="8"/>
  <c r="E37" i="8"/>
  <c r="C38" i="8"/>
  <c r="F37" i="8"/>
  <c r="D38" i="8" l="1"/>
  <c r="F38" i="8"/>
  <c r="C39" i="8"/>
  <c r="E38" i="8"/>
  <c r="G37" i="8"/>
  <c r="H37" i="8" s="1"/>
  <c r="G38" i="8" l="1"/>
  <c r="H38" i="8" s="1"/>
  <c r="D39" i="8"/>
  <c r="F39" i="8"/>
  <c r="E39" i="8"/>
  <c r="C40" i="8"/>
  <c r="G39" i="8" l="1"/>
  <c r="H39" i="8" s="1"/>
  <c r="D40" i="8"/>
  <c r="F40" i="8"/>
  <c r="C41" i="8"/>
  <c r="E40" i="8"/>
  <c r="G40" i="8" l="1"/>
  <c r="H40" i="8" s="1"/>
  <c r="D41" i="8"/>
  <c r="F41" i="8"/>
  <c r="C42" i="8"/>
  <c r="E41" i="8"/>
  <c r="G41" i="8" l="1"/>
  <c r="H41" i="8" s="1"/>
  <c r="D42" i="8"/>
  <c r="F42" i="8"/>
  <c r="C43" i="8"/>
  <c r="E42" i="8"/>
  <c r="G42" i="8" l="1"/>
  <c r="H42" i="8" s="1"/>
  <c r="D43" i="8"/>
  <c r="C44" i="8"/>
  <c r="E43" i="8"/>
  <c r="F43" i="8"/>
  <c r="G43" i="8" l="1"/>
  <c r="H43" i="8" s="1"/>
  <c r="D44" i="8"/>
  <c r="F44" i="8"/>
  <c r="C45" i="8"/>
  <c r="E44" i="8"/>
  <c r="D45" i="8" l="1"/>
  <c r="F45" i="8"/>
  <c r="E45" i="8"/>
  <c r="C46" i="8"/>
  <c r="G44" i="8"/>
  <c r="H44" i="8" s="1"/>
  <c r="G45" i="8" l="1"/>
  <c r="H45" i="8" s="1"/>
  <c r="D46" i="8"/>
  <c r="C47" i="8"/>
  <c r="F46" i="8"/>
  <c r="E46" i="8"/>
  <c r="G46" i="8" s="1"/>
  <c r="H46" i="8" s="1"/>
  <c r="D47" i="8" l="1"/>
  <c r="E47" i="8"/>
  <c r="F47" i="8"/>
  <c r="C48" i="8"/>
  <c r="O29" i="2" l="1"/>
  <c r="O27" i="2"/>
  <c r="O26" i="2"/>
  <c r="O28" i="2"/>
  <c r="D48" i="8"/>
  <c r="E48" i="8"/>
  <c r="C49" i="8"/>
  <c r="C50" i="8" s="1"/>
  <c r="F48" i="8"/>
  <c r="G47" i="8"/>
  <c r="H47" i="8" s="1"/>
  <c r="C51" i="8" l="1"/>
  <c r="D50" i="8"/>
  <c r="E50" i="8"/>
  <c r="F50" i="8"/>
  <c r="G48" i="8"/>
  <c r="H48" i="8" s="1"/>
  <c r="D49" i="8"/>
  <c r="E49" i="8"/>
  <c r="F49" i="8"/>
  <c r="C52" i="8" l="1"/>
  <c r="D51" i="8"/>
  <c r="E51" i="8"/>
  <c r="F51" i="8"/>
  <c r="G50" i="8"/>
  <c r="H50" i="8" s="1"/>
  <c r="G49" i="8"/>
  <c r="H49" i="8" s="1"/>
  <c r="B19" i="8" s="1"/>
  <c r="B18" i="8"/>
  <c r="G51" i="8" l="1"/>
  <c r="H51" i="8" s="1"/>
  <c r="B17" i="8"/>
  <c r="B20" i="8"/>
  <c r="C53" i="8"/>
  <c r="E52" i="8"/>
  <c r="F52" i="8"/>
  <c r="D52" i="8"/>
  <c r="G52" i="8" l="1"/>
  <c r="H52" i="8" s="1"/>
  <c r="C54" i="8"/>
  <c r="F53" i="8"/>
  <c r="D53" i="8"/>
  <c r="E53" i="8"/>
  <c r="G53" i="8" l="1"/>
  <c r="H53" i="8" s="1"/>
  <c r="C55" i="8"/>
  <c r="D54" i="8"/>
  <c r="E54" i="8"/>
  <c r="F54" i="8"/>
  <c r="C56" i="8" l="1"/>
  <c r="E55" i="8"/>
  <c r="F55" i="8"/>
  <c r="D55" i="8"/>
  <c r="G54" i="8"/>
  <c r="H54" i="8" s="1"/>
  <c r="C57" i="8" l="1"/>
  <c r="D56" i="8"/>
  <c r="E56" i="8"/>
  <c r="F56" i="8"/>
  <c r="G55" i="8"/>
  <c r="H55" i="8" s="1"/>
  <c r="C58" i="8" l="1"/>
  <c r="E57" i="8"/>
  <c r="F57" i="8"/>
  <c r="D57" i="8"/>
  <c r="G56" i="8"/>
  <c r="H56" i="8" s="1"/>
  <c r="G57" i="8" l="1"/>
  <c r="H57" i="8" s="1"/>
  <c r="C59" i="8"/>
  <c r="F58" i="8"/>
  <c r="D58" i="8"/>
  <c r="E58" i="8"/>
  <c r="G58" i="8" l="1"/>
  <c r="H58" i="8" s="1"/>
  <c r="C60" i="8"/>
  <c r="F59" i="8"/>
  <c r="D59" i="8"/>
  <c r="E59" i="8"/>
  <c r="G59" i="8" l="1"/>
  <c r="H59" i="8" s="1"/>
  <c r="C61" i="8"/>
  <c r="D60" i="8"/>
  <c r="E60" i="8"/>
  <c r="F60" i="8"/>
  <c r="G60" i="8" l="1"/>
  <c r="H60" i="8" s="1"/>
  <c r="C62" i="8"/>
  <c r="D61" i="8"/>
  <c r="E61" i="8"/>
  <c r="F61" i="8"/>
  <c r="G61" i="8" l="1"/>
  <c r="H61" i="8" s="1"/>
  <c r="C63" i="8"/>
  <c r="E62" i="8"/>
  <c r="D62" i="8"/>
  <c r="F62" i="8"/>
  <c r="G62" i="8" l="1"/>
  <c r="H62" i="8" s="1"/>
  <c r="C64" i="8"/>
  <c r="E63" i="8"/>
  <c r="F63" i="8"/>
  <c r="G63" i="8" s="1"/>
  <c r="H63" i="8" s="1"/>
  <c r="D63" i="8"/>
  <c r="C65" i="8" l="1"/>
  <c r="F64" i="8"/>
  <c r="D64" i="8"/>
  <c r="E64" i="8"/>
  <c r="G64" i="8" l="1"/>
  <c r="H64" i="8" s="1"/>
  <c r="C66" i="8"/>
  <c r="D65" i="8"/>
  <c r="E65" i="8"/>
  <c r="F65" i="8"/>
  <c r="G65" i="8" l="1"/>
  <c r="H65" i="8" s="1"/>
  <c r="C67" i="8"/>
  <c r="D66" i="8"/>
  <c r="F66" i="8"/>
  <c r="E66" i="8"/>
  <c r="G66" i="8" l="1"/>
  <c r="H66" i="8" s="1"/>
  <c r="C68" i="8"/>
  <c r="D67" i="8"/>
  <c r="E67" i="8"/>
  <c r="F67" i="8"/>
  <c r="G67" i="8" l="1"/>
  <c r="H67" i="8" s="1"/>
  <c r="E68" i="8"/>
  <c r="F68" i="8"/>
  <c r="D68" i="8"/>
  <c r="G68" i="8" l="1"/>
  <c r="H68" i="8" s="1"/>
</calcChain>
</file>

<file path=xl/sharedStrings.xml><?xml version="1.0" encoding="utf-8"?>
<sst xmlns="http://schemas.openxmlformats.org/spreadsheetml/2006/main" count="737" uniqueCount="388">
  <si>
    <t>Sample ID</t>
  </si>
  <si>
    <t>Latitude</t>
  </si>
  <si>
    <t>Longitude</t>
  </si>
  <si>
    <t>Notes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</si>
  <si>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</si>
  <si>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</si>
  <si>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</si>
  <si>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</si>
  <si>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</si>
  <si>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</si>
  <si>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</si>
  <si>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</si>
  <si>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</si>
  <si>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</si>
  <si>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</si>
  <si>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</si>
  <si>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</si>
  <si>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</si>
  <si>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</si>
  <si>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</si>
  <si>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</si>
  <si>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</si>
  <si>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</si>
  <si>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</si>
  <si>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</si>
  <si>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</si>
  <si>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</si>
  <si>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</si>
  <si>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</si>
  <si>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</si>
  <si>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</si>
  <si>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</si>
  <si>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</si>
  <si>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</si>
  <si>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86°30'56.0"W</t>
  </si>
  <si>
    <t>by the tree</t>
  </si>
  <si>
    <t>86°30'55.0"W</t>
  </si>
  <si>
    <t>roof drain</t>
  </si>
  <si>
    <t>86°30'51.0"W</t>
  </si>
  <si>
    <t>yard surrounded by trees</t>
  </si>
  <si>
    <t>86°30'46.0"W</t>
  </si>
  <si>
    <t>by tree</t>
  </si>
  <si>
    <t>86°30'49.0"W</t>
  </si>
  <si>
    <t>86°30'36.0"W</t>
  </si>
  <si>
    <t>front yard, by natural drain</t>
  </si>
  <si>
    <t>86°30'40.0"W</t>
  </si>
  <si>
    <t>86°30'43.0"W</t>
  </si>
  <si>
    <t>39°9'19"N</t>
  </si>
  <si>
    <t>86°31'22"W</t>
  </si>
  <si>
    <t>by tree root, high clay content</t>
  </si>
  <si>
    <t>39°9'25"N</t>
  </si>
  <si>
    <t>86°31'28"W</t>
  </si>
  <si>
    <t>high clay content</t>
  </si>
  <si>
    <t>39°9'26"N</t>
  </si>
  <si>
    <t>86°31'21"W</t>
  </si>
  <si>
    <t>roadside</t>
  </si>
  <si>
    <t>39°9'29"N</t>
  </si>
  <si>
    <t>86°31'12"W</t>
  </si>
  <si>
    <t>roadside, sparsely grassed, downhill</t>
  </si>
  <si>
    <t>39°9'16"N</t>
  </si>
  <si>
    <t>86°31'4"W</t>
  </si>
  <si>
    <t>wood chips mixed in</t>
  </si>
  <si>
    <t>39°9'17"N</t>
  </si>
  <si>
    <t>86°31'13"W</t>
  </si>
  <si>
    <t>by drainage line</t>
  </si>
  <si>
    <t>roadside, by drainage pipe</t>
  </si>
  <si>
    <t>39°9'15"N</t>
  </si>
  <si>
    <t>86°31'3"W</t>
  </si>
  <si>
    <t>by large, industrial gate next to power plant (?)</t>
  </si>
  <si>
    <t xml:space="preserve">downspout </t>
  </si>
  <si>
    <t>lawn, corner</t>
  </si>
  <si>
    <t>next to downspout</t>
  </si>
  <si>
    <t>86°30'31.0"W</t>
  </si>
  <si>
    <t>86°30'33.0"W</t>
  </si>
  <si>
    <t>86°30'35.0"W</t>
  </si>
  <si>
    <t>Backyard, this side was affected more according to the home owner</t>
  </si>
  <si>
    <t>gutter drainage</t>
  </si>
  <si>
    <t>side of driveway</t>
  </si>
  <si>
    <t>front yard</t>
  </si>
  <si>
    <t>by lamp, looks like potting soil</t>
  </si>
  <si>
    <t>39°9'16.0"N</t>
  </si>
  <si>
    <t>39°9'14.0"N</t>
  </si>
  <si>
    <t>39°9'17.0"N</t>
  </si>
  <si>
    <t>39°9'27.0"N</t>
  </si>
  <si>
    <t>39°9'19.0"N</t>
  </si>
  <si>
    <t>39°9'20.0"N</t>
  </si>
  <si>
    <t>39°9'22.0"N</t>
  </si>
  <si>
    <t>39°9'26.0"N</t>
  </si>
  <si>
    <t>86°31'13.0"W</t>
  </si>
  <si>
    <t>86°31'4.0"W</t>
  </si>
  <si>
    <t>39°9'29.0"N</t>
  </si>
  <si>
    <t>39°9'25.0"N</t>
  </si>
  <si>
    <t>39°9'15.0"N</t>
  </si>
  <si>
    <t>86°31'22.0"W</t>
  </si>
  <si>
    <t>86°31'3.0"W</t>
  </si>
  <si>
    <t>86°31'21.0"W</t>
  </si>
  <si>
    <t>86°31'28.0"W</t>
  </si>
  <si>
    <t>86°31'12.0"W</t>
  </si>
  <si>
    <t>Lat (deg)</t>
  </si>
  <si>
    <t>Lat (min)</t>
  </si>
  <si>
    <t>Lat (sec)</t>
  </si>
  <si>
    <t>Lon (deg)</t>
  </si>
  <si>
    <t>Lon (min)</t>
  </si>
  <si>
    <t>Lon (sec)</t>
  </si>
  <si>
    <t>Lead_XRF</t>
  </si>
  <si>
    <t>Lead_ICPMS</t>
  </si>
  <si>
    <t>Sample</t>
  </si>
  <si>
    <t>Est. conc.</t>
  </si>
  <si>
    <t>Response  TC</t>
  </si>
  <si>
    <t>Response IS</t>
  </si>
  <si>
    <t>Conc. ISTD</t>
  </si>
  <si>
    <t>blank</t>
  </si>
  <si>
    <t>5 ppb Pb</t>
  </si>
  <si>
    <t>10 ppb Pb</t>
  </si>
  <si>
    <t>50 ppb Pb</t>
  </si>
  <si>
    <t>100 ppb Pb</t>
  </si>
  <si>
    <t>1000 ppb Pb</t>
  </si>
  <si>
    <t>Blank_01</t>
  </si>
  <si>
    <t>Blank_02</t>
  </si>
  <si>
    <t>Field 1</t>
  </si>
  <si>
    <t>Date</t>
  </si>
  <si>
    <t>Time</t>
  </si>
  <si>
    <t>Reading</t>
  </si>
  <si>
    <t>Mode</t>
  </si>
  <si>
    <t>Pb</t>
  </si>
  <si>
    <t>Pb +/-</t>
  </si>
  <si>
    <t>Instrument SN</t>
  </si>
  <si>
    <t>Model</t>
  </si>
  <si>
    <t>Tube Anode</t>
  </si>
  <si>
    <t>Unit</t>
  </si>
  <si>
    <t>#1</t>
  </si>
  <si>
    <t>Cal Check</t>
  </si>
  <si>
    <t>Delta Professional</t>
  </si>
  <si>
    <t>Ag</t>
  </si>
  <si>
    <t>%</t>
  </si>
  <si>
    <t>cal check</t>
  </si>
  <si>
    <t>NIST2702</t>
  </si>
  <si>
    <t>#3</t>
  </si>
  <si>
    <t>Soil</t>
  </si>
  <si>
    <t>PPM</t>
  </si>
  <si>
    <t>cal std</t>
  </si>
  <si>
    <t>IU_001A</t>
  </si>
  <si>
    <t>#4</t>
  </si>
  <si>
    <t>Geochem</t>
  </si>
  <si>
    <t>compare with certified value</t>
  </si>
  <si>
    <t>IU_001B</t>
  </si>
  <si>
    <t>#5</t>
  </si>
  <si>
    <t>IU_001C</t>
  </si>
  <si>
    <t>#6</t>
  </si>
  <si>
    <t>#7</t>
  </si>
  <si>
    <t>Analysis Results</t>
  </si>
  <si>
    <t>IU_001D</t>
  </si>
  <si>
    <t>#13</t>
  </si>
  <si>
    <t>IU_003</t>
  </si>
  <si>
    <t>#14</t>
  </si>
  <si>
    <t>IU_004</t>
  </si>
  <si>
    <t>#15</t>
  </si>
  <si>
    <t>#16</t>
  </si>
  <si>
    <t>IU_005</t>
  </si>
  <si>
    <t>#17</t>
  </si>
  <si>
    <t>IU_006</t>
  </si>
  <si>
    <t>#18</t>
  </si>
  <si>
    <t>IU_007</t>
  </si>
  <si>
    <t>#19</t>
  </si>
  <si>
    <t>IU_008</t>
  </si>
  <si>
    <t>#20</t>
  </si>
  <si>
    <t>ND</t>
  </si>
  <si>
    <t>IU_009</t>
  </si>
  <si>
    <t>#21</t>
  </si>
  <si>
    <t>IU_010</t>
  </si>
  <si>
    <t>#22</t>
  </si>
  <si>
    <t>IU_011</t>
  </si>
  <si>
    <t>#23</t>
  </si>
  <si>
    <t>IU_012</t>
  </si>
  <si>
    <t>#24</t>
  </si>
  <si>
    <t>IU_013</t>
  </si>
  <si>
    <t>#25</t>
  </si>
  <si>
    <t>IU_014</t>
  </si>
  <si>
    <t>#26</t>
  </si>
  <si>
    <t>IU_015</t>
  </si>
  <si>
    <t>#27</t>
  </si>
  <si>
    <t>IU_016</t>
  </si>
  <si>
    <t>#28</t>
  </si>
  <si>
    <t>IU_017</t>
  </si>
  <si>
    <t>#29</t>
  </si>
  <si>
    <t>IU_018</t>
  </si>
  <si>
    <t>#30</t>
  </si>
  <si>
    <t>IU_019</t>
  </si>
  <si>
    <t>#31</t>
  </si>
  <si>
    <t>IU_020</t>
  </si>
  <si>
    <t>#32</t>
  </si>
  <si>
    <t>IU_021</t>
  </si>
  <si>
    <t>#33</t>
  </si>
  <si>
    <t>IU_022</t>
  </si>
  <si>
    <t>#34</t>
  </si>
  <si>
    <t>IU_023</t>
  </si>
  <si>
    <t>#35</t>
  </si>
  <si>
    <t>IU_024</t>
  </si>
  <si>
    <t>#36</t>
  </si>
  <si>
    <t>IU_025</t>
  </si>
  <si>
    <t>#37</t>
  </si>
  <si>
    <t>IU_026</t>
  </si>
  <si>
    <t>#38</t>
  </si>
  <si>
    <t>IU_027</t>
  </si>
  <si>
    <t>#39</t>
  </si>
  <si>
    <t>IU_028</t>
  </si>
  <si>
    <t>#40</t>
  </si>
  <si>
    <t>IU_030</t>
  </si>
  <si>
    <t>#41</t>
  </si>
  <si>
    <t>Internal_ID</t>
  </si>
  <si>
    <t>Pb (ppm)</t>
  </si>
  <si>
    <t>M0010</t>
  </si>
  <si>
    <t>2015 E. Marilyn Dr., Bloomington, IN</t>
  </si>
  <si>
    <t>Bloomington burn #1</t>
  </si>
  <si>
    <t>M0011</t>
  </si>
  <si>
    <t>1213 S High St., Bloomington, IN</t>
  </si>
  <si>
    <t>Bloomington burn #2</t>
  </si>
  <si>
    <t>M0012</t>
  </si>
  <si>
    <t>Bloomington burn #3</t>
  </si>
  <si>
    <t>M0013</t>
  </si>
  <si>
    <t>1900 E. Ruby Ln., Bloomington, IN</t>
  </si>
  <si>
    <t>Bloomington burn #4</t>
  </si>
  <si>
    <t>M0014</t>
  </si>
  <si>
    <t>Bloomington burn #5; tissue</t>
  </si>
  <si>
    <t>M0015</t>
  </si>
  <si>
    <t>1104 S Covenanter Dr., Bloomington, IN</t>
  </si>
  <si>
    <t>Bloomington burn #6, napkin</t>
  </si>
  <si>
    <t>M0016</t>
  </si>
  <si>
    <t>926 S. Highland</t>
  </si>
  <si>
    <t>Bloomington burn #7</t>
  </si>
  <si>
    <t>M0017</t>
  </si>
  <si>
    <t>1104 S. Covenanter Dr., Bloomington, IN</t>
  </si>
  <si>
    <t>Bloomington burn #8</t>
  </si>
  <si>
    <t>M0018</t>
  </si>
  <si>
    <t>Bloomington burn #9; napkin</t>
  </si>
  <si>
    <t>M0019</t>
  </si>
  <si>
    <t>1200 S. Nancy St., Bloomington, IN 47401</t>
  </si>
  <si>
    <t>Bloomington burn #10; napkin</t>
  </si>
  <si>
    <t>M0020</t>
  </si>
  <si>
    <t>Bloomington burn #11; control?</t>
  </si>
  <si>
    <t>M0021</t>
  </si>
  <si>
    <t>1000 S. Jordan</t>
  </si>
  <si>
    <t>Bloomington burn #12</t>
  </si>
  <si>
    <t>M0022</t>
  </si>
  <si>
    <t>1100 S. Nancy St., Bloomington, IN</t>
  </si>
  <si>
    <t>Bloomington burn #13</t>
  </si>
  <si>
    <t>M0023</t>
  </si>
  <si>
    <t>1213 S. High St., Bloomington, IN</t>
  </si>
  <si>
    <t>Bloomington burn #14</t>
  </si>
  <si>
    <t>M0024</t>
  </si>
  <si>
    <t>1717 E. Ruby Ln., Bloomington, IN</t>
  </si>
  <si>
    <t>Bloomington burn #15</t>
  </si>
  <si>
    <t>M0025</t>
  </si>
  <si>
    <t>1712 E. Ruby Ln., Bloomington, IN</t>
  </si>
  <si>
    <t>Bloomington burn #16</t>
  </si>
  <si>
    <t>M0026</t>
  </si>
  <si>
    <t>1925 E. Marilyn Dr., Bloomington, IN</t>
  </si>
  <si>
    <t>Bloomington burn #17</t>
  </si>
  <si>
    <t>M0027</t>
  </si>
  <si>
    <t>1804 E. Ruby Ln., Bloomington, IN</t>
  </si>
  <si>
    <t>Bloomington burn #18</t>
  </si>
  <si>
    <t>M0028</t>
  </si>
  <si>
    <t>1114 S. Nancy St., Bloomington, IN</t>
  </si>
  <si>
    <t>Bloomington burn #19</t>
  </si>
  <si>
    <t>M0029</t>
  </si>
  <si>
    <t>Bloomington burn #20</t>
  </si>
  <si>
    <t>M0030</t>
  </si>
  <si>
    <t>Bloomington burn #21; tissue</t>
  </si>
  <si>
    <t>M0031</t>
  </si>
  <si>
    <t>1108 S. Nancy St., Bloomington, IN</t>
  </si>
  <si>
    <t>Bloomington burn #22</t>
  </si>
  <si>
    <t>M0032</t>
  </si>
  <si>
    <t>2001 Marilyn Dr., Bloomington, IN</t>
  </si>
  <si>
    <t>Bloomington burn #23</t>
  </si>
  <si>
    <t>M0033</t>
  </si>
  <si>
    <t>1916 E. Ruby Ln., Bloomington, IN</t>
  </si>
  <si>
    <t>Bloomington burn #24</t>
  </si>
  <si>
    <t>M0034</t>
  </si>
  <si>
    <t>1901 E. Ruby Ln., Bloomington, IN</t>
  </si>
  <si>
    <t>Bloomington burn #25</t>
  </si>
  <si>
    <t>M0035</t>
  </si>
  <si>
    <t>1109 Longwood Dr., Bloomington, IN</t>
  </si>
  <si>
    <t>Bloomington burn #26</t>
  </si>
  <si>
    <t>M0036</t>
  </si>
  <si>
    <t>1008 S. Highland, Bloomington, IN</t>
  </si>
  <si>
    <t>Bloomington burn #27; tissue</t>
  </si>
  <si>
    <t>M0037</t>
  </si>
  <si>
    <t>1008 S. Highland Ave., Bloomington, IN</t>
  </si>
  <si>
    <t>Bloomington burn #28;</t>
  </si>
  <si>
    <t>M0038</t>
  </si>
  <si>
    <t>1212 S. High St., Bloomington, IN</t>
  </si>
  <si>
    <t>Bloomington burn #29</t>
  </si>
  <si>
    <t>M0039</t>
  </si>
  <si>
    <t>Bloomington burn #30</t>
  </si>
  <si>
    <t>M0040</t>
  </si>
  <si>
    <t>1200 S. Nancy St., Bloomington, IN</t>
  </si>
  <si>
    <t>Bloomington burn #31</t>
  </si>
  <si>
    <t>M0041</t>
  </si>
  <si>
    <t>Bryan Park, Bloomington, IN</t>
  </si>
  <si>
    <t>Bloomington burn #32</t>
  </si>
  <si>
    <t>M0042</t>
  </si>
  <si>
    <t>Bloomington burn #33</t>
  </si>
  <si>
    <t>M0043</t>
  </si>
  <si>
    <t>Bloomington burn #34</t>
  </si>
  <si>
    <t>M0044</t>
  </si>
  <si>
    <t>Bloomington burn #37; large piece of paint</t>
  </si>
  <si>
    <t>M0045</t>
  </si>
  <si>
    <t>Bloomington burn #36; large piece of wood</t>
  </si>
  <si>
    <t>M0046</t>
  </si>
  <si>
    <t>Bloomington burn #35; large piece of wood</t>
  </si>
  <si>
    <t>M0047</t>
  </si>
  <si>
    <t>Bloomington burn #35; back of paint layer</t>
  </si>
  <si>
    <t>Mean</t>
  </si>
  <si>
    <t>Median</t>
  </si>
  <si>
    <t>Max</t>
  </si>
  <si>
    <t>Area Pb * [IS] / area IS</t>
  </si>
  <si>
    <t>Linear Fit Parameters</t>
  </si>
  <si>
    <t>slope</t>
  </si>
  <si>
    <t>y int</t>
  </si>
  <si>
    <t>R^2</t>
  </si>
  <si>
    <t>ICPMS</t>
  </si>
  <si>
    <t>XRF</t>
  </si>
  <si>
    <t>Diff</t>
  </si>
  <si>
    <t>[Pb] (ppb)</t>
  </si>
  <si>
    <t>Constants</t>
  </si>
  <si>
    <t>x (m)</t>
  </si>
  <si>
    <t>sigma y (m)</t>
  </si>
  <si>
    <t>sigma z (m)</t>
  </si>
  <si>
    <t>C(x,0,0) (ug/m3)</t>
  </si>
  <si>
    <t>Qs (g/s)</t>
  </si>
  <si>
    <t>u (km/hr)</t>
  </si>
  <si>
    <t>stack height (m)</t>
  </si>
  <si>
    <t>plume rise (m)</t>
  </si>
  <si>
    <t>total height H (m)</t>
  </si>
  <si>
    <t>Rz</t>
  </si>
  <si>
    <t>rz</t>
  </si>
  <si>
    <t>Ry</t>
  </si>
  <si>
    <t>ry</t>
  </si>
  <si>
    <t>Class:</t>
  </si>
  <si>
    <t>B</t>
  </si>
  <si>
    <t>IU_002</t>
  </si>
  <si>
    <t>-2log(di)</t>
  </si>
  <si>
    <t>d i (km)</t>
  </si>
  <si>
    <t>2nd part</t>
  </si>
  <si>
    <t>1st part</t>
  </si>
  <si>
    <t>log(C soil, XRF)</t>
  </si>
  <si>
    <t>Latitude (radians)</t>
  </si>
  <si>
    <t>Longitude (radians)</t>
  </si>
  <si>
    <t>Lat source (rad)</t>
  </si>
  <si>
    <t>Long source (rad)</t>
  </si>
  <si>
    <t>H0</t>
  </si>
  <si>
    <t>std error</t>
  </si>
  <si>
    <t>t obs</t>
  </si>
  <si>
    <t>t crit</t>
  </si>
  <si>
    <t>t obs &gt; t crit</t>
  </si>
  <si>
    <t>reject null hypothesis</t>
  </si>
  <si>
    <t>any difference in lead concentration is due to change</t>
  </si>
  <si>
    <t>Difference in lead concentrations is not due to chance</t>
  </si>
  <si>
    <t>[Pb] (ppm)</t>
  </si>
  <si>
    <t>132.8  pm 1.1 mg/kg</t>
  </si>
  <si>
    <t>[Pb] corrected for blank</t>
  </si>
  <si>
    <t>ICPMS (ppb)</t>
  </si>
  <si>
    <t>XRF (ppb)</t>
  </si>
  <si>
    <t>Average -&gt;</t>
  </si>
  <si>
    <t>Median -&gt;</t>
  </si>
  <si>
    <t>Max -&gt;</t>
  </si>
  <si>
    <t>Min -&gt;</t>
  </si>
  <si>
    <t>stdev -&gt;</t>
  </si>
  <si>
    <t>[Pb] +/- (ppb)</t>
  </si>
  <si>
    <t>Avg error -&gt;</t>
  </si>
  <si>
    <t>std error -&gt;</t>
  </si>
  <si>
    <t>Std error -&gt;</t>
  </si>
  <si>
    <t>Lat_Burn</t>
  </si>
  <si>
    <t>Lon_Burn</t>
  </si>
  <si>
    <t>C(x,0,0) (ppb)</t>
  </si>
  <si>
    <t>Molecular weight Pb</t>
  </si>
  <si>
    <t>x (km)</t>
  </si>
  <si>
    <t>EPA Lead Emissions</t>
  </si>
  <si>
    <t>Average</t>
  </si>
  <si>
    <t>Min</t>
  </si>
  <si>
    <t>d i</t>
  </si>
  <si>
    <t>CSV OUTPUT FOR VISUALIZATION IN RSTUDIO USING MAPVIEW</t>
  </si>
  <si>
    <t>Simplified Model Output</t>
  </si>
  <si>
    <t>Gaussian dispersion model in Gaussian sheet</t>
  </si>
  <si>
    <t>addresses</t>
  </si>
  <si>
    <t>Gaussian Derivation &amp; Stability</t>
  </si>
  <si>
    <t>--&gt; I converted to km/hr</t>
  </si>
  <si>
    <t>K'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</si>
</sst>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4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1"/>
      <name val="Roboto"/>
    </font>
    <font>
      <sz val="12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3" fillId="0" borderId="0"/>
    <xf numFmtId="0" fontId="12" fillId="0" borderId="0" applyNumberFormat="0" applyFill="0" applyBorder="0" applyAlignment="0" applyProtection="0"/>
  </cellStyleXfs>
  <cellXfs count="42">
    <xf numFmtId="0" fontId="0" fillId="0" borderId="0" xfId="0"/>
    <xf numFmtId="49" fontId="0" fillId="0" borderId="0" xfId="0" applyNumberFormat="1"/>
    <xf numFmtId="0" fontId="4" fillId="0" borderId="0" xfId="0" applyFont="1"/>
    <xf numFmtId="49" fontId="4" fillId="0" borderId="0" xfId="1" applyNumberFormat="1" applyFont="1"/>
    <xf numFmtId="0" fontId="4" fillId="0" borderId="0" xfId="1" applyFont="1"/>
    <xf numFmtId="49" fontId="3" fillId="0" borderId="0" xfId="1" applyNumberFormat="1" applyAlignment="1">
      <alignment horizontal="right"/>
    </xf>
    <xf numFmtId="0" fontId="3" fillId="0" borderId="0" xfId="1"/>
    <xf numFmtId="0" fontId="4" fillId="2" borderId="0" xfId="0" applyFont="1" applyFill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" fontId="0" fillId="0" borderId="0" xfId="0" applyNumberFormat="1"/>
    <xf numFmtId="0" fontId="6" fillId="0" borderId="0" xfId="0" applyFont="1"/>
    <xf numFmtId="14" fontId="6" fillId="0" borderId="0" xfId="0" applyNumberFormat="1" applyFont="1"/>
    <xf numFmtId="21" fontId="6" fillId="0" borderId="0" xfId="0" applyNumberFormat="1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2" fillId="0" borderId="2" xfId="1" applyFont="1" applyBorder="1"/>
    <xf numFmtId="0" fontId="7" fillId="0" borderId="2" xfId="1" applyFont="1" applyBorder="1"/>
    <xf numFmtId="164" fontId="0" fillId="0" borderId="0" xfId="0" applyNumberFormat="1"/>
    <xf numFmtId="0" fontId="10" fillId="0" borderId="0" xfId="0" applyFont="1"/>
    <xf numFmtId="0" fontId="11" fillId="0" borderId="0" xfId="0" applyFont="1"/>
    <xf numFmtId="0" fontId="4" fillId="0" borderId="1" xfId="0" applyFont="1" applyFill="1" applyBorder="1"/>
    <xf numFmtId="0" fontId="4" fillId="0" borderId="0" xfId="0" applyFont="1" applyFill="1"/>
    <xf numFmtId="0" fontId="0" fillId="0" borderId="1" xfId="0" applyFill="1" applyBorder="1"/>
    <xf numFmtId="0" fontId="0" fillId="0" borderId="0" xfId="0" applyFill="1"/>
    <xf numFmtId="2" fontId="0" fillId="0" borderId="1" xfId="0" applyNumberFormat="1" applyFill="1" applyBorder="1"/>
    <xf numFmtId="0" fontId="0" fillId="0" borderId="1" xfId="0" applyFill="1" applyBorder="1" applyAlignment="1">
      <alignment horizontal="right"/>
    </xf>
    <xf numFmtId="0" fontId="4" fillId="0" borderId="0" xfId="0" quotePrefix="1" applyFont="1"/>
    <xf numFmtId="0" fontId="0" fillId="0" borderId="0" xfId="0" quotePrefix="1"/>
    <xf numFmtId="164" fontId="0" fillId="2" borderId="0" xfId="0" applyNumberFormat="1" applyFill="1"/>
    <xf numFmtId="1" fontId="0" fillId="2" borderId="0" xfId="0" applyNumberFormat="1" applyFill="1"/>
    <xf numFmtId="0" fontId="4" fillId="3" borderId="0" xfId="0" applyFont="1" applyFill="1"/>
    <xf numFmtId="0" fontId="0" fillId="3" borderId="0" xfId="0" applyFill="1"/>
    <xf numFmtId="0" fontId="12" fillId="0" borderId="0" xfId="2" applyFill="1"/>
    <xf numFmtId="0" fontId="13" fillId="0" borderId="0" xfId="0" applyFont="1"/>
    <xf numFmtId="0" fontId="0" fillId="0" borderId="0" xfId="0" quotePrefix="1" applyFont="1"/>
    <xf numFmtId="0" fontId="0" fillId="0" borderId="0" xfId="0" applyFont="1"/>
    <xf numFmtId="0" fontId="0" fillId="0" borderId="0" xfId="0" quotePrefix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Simplified Dispersion Model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and Simple Model'!$L$1:$L$2</c:f>
              <c:strCache>
                <c:ptCount val="2"/>
                <c:pt idx="0">
                  <c:v>-2log(di)</c:v>
                </c:pt>
                <c:pt idx="1">
                  <c:v>1.864755242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068678915135607E-3"/>
                  <c:y val="-0.1487547389909594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'Samples and Simple Model'!$L$2:$L$31</c:f>
              <c:numCache>
                <c:formatCode>General</c:formatCode>
                <c:ptCount val="30"/>
                <c:pt idx="0">
                  <c:v>1.8647552417630877</c:v>
                </c:pt>
                <c:pt idx="1">
                  <c:v>1.4649868650178752</c:v>
                </c:pt>
                <c:pt idx="2">
                  <c:v>1.1087406832902134</c:v>
                </c:pt>
                <c:pt idx="3">
                  <c:v>1.5789025898197875</c:v>
                </c:pt>
                <c:pt idx="4">
                  <c:v>0.24413754918832953</c:v>
                </c:pt>
                <c:pt idx="5">
                  <c:v>0.11520465042694125</c:v>
                </c:pt>
                <c:pt idx="6">
                  <c:v>1.9273633366376197</c:v>
                </c:pt>
                <c:pt idx="8">
                  <c:v>2.4189013398851138</c:v>
                </c:pt>
                <c:pt idx="9">
                  <c:v>-0.21856673570761856</c:v>
                </c:pt>
                <c:pt idx="10">
                  <c:v>0.16557994635981552</c:v>
                </c:pt>
                <c:pt idx="11">
                  <c:v>0.763668205532123</c:v>
                </c:pt>
                <c:pt idx="12">
                  <c:v>0.13957327646745996</c:v>
                </c:pt>
                <c:pt idx="13">
                  <c:v>-0.22713131173429105</c:v>
                </c:pt>
                <c:pt idx="14">
                  <c:v>-0.32590003986025778</c:v>
                </c:pt>
                <c:pt idx="15">
                  <c:v>-0.10039507641911069</c:v>
                </c:pt>
                <c:pt idx="16">
                  <c:v>0.43457993085744911</c:v>
                </c:pt>
                <c:pt idx="17">
                  <c:v>1.3564045949185668</c:v>
                </c:pt>
                <c:pt idx="18">
                  <c:v>0.38401960201837798</c:v>
                </c:pt>
                <c:pt idx="19">
                  <c:v>0.47844209391337306</c:v>
                </c:pt>
                <c:pt idx="20">
                  <c:v>0.69219364155770646</c:v>
                </c:pt>
                <c:pt idx="21">
                  <c:v>1.2881800819166034</c:v>
                </c:pt>
                <c:pt idx="22">
                  <c:v>1.0210853977573149</c:v>
                </c:pt>
                <c:pt idx="23">
                  <c:v>0.85389060056553201</c:v>
                </c:pt>
                <c:pt idx="24">
                  <c:v>0.50892272948230211</c:v>
                </c:pt>
                <c:pt idx="25">
                  <c:v>0.39468096054106783</c:v>
                </c:pt>
                <c:pt idx="26">
                  <c:v>0.3239368746472821</c:v>
                </c:pt>
                <c:pt idx="27">
                  <c:v>0.7501568017857011</c:v>
                </c:pt>
                <c:pt idx="29">
                  <c:v>-5.5526864358898378E-2</c:v>
                </c:pt>
              </c:numCache>
            </c:numRef>
          </c:xVal>
          <c:yVal>
            <c:numRef>
              <c:f>'Samples and Simple Model'!$K$2:$K$31</c:f>
              <c:numCache>
                <c:formatCode>General</c:formatCode>
                <c:ptCount val="30"/>
                <c:pt idx="0">
                  <c:v>2.2041199826559246</c:v>
                </c:pt>
                <c:pt idx="1">
                  <c:v>2.1760912590556813</c:v>
                </c:pt>
                <c:pt idx="2">
                  <c:v>2.2041199826559246</c:v>
                </c:pt>
                <c:pt idx="3">
                  <c:v>2.1760912590556813</c:v>
                </c:pt>
                <c:pt idx="4">
                  <c:v>2.6812412373755872</c:v>
                </c:pt>
                <c:pt idx="5">
                  <c:v>2.3802112417116059</c:v>
                </c:pt>
                <c:pt idx="6">
                  <c:v>2.255272505103306</c:v>
                </c:pt>
                <c:pt idx="8">
                  <c:v>2.2304489213782741</c:v>
                </c:pt>
                <c:pt idx="9">
                  <c:v>2.5563025007672873</c:v>
                </c:pt>
                <c:pt idx="10">
                  <c:v>2.1760912590556813</c:v>
                </c:pt>
                <c:pt idx="11">
                  <c:v>2.2304489213782741</c:v>
                </c:pt>
                <c:pt idx="12">
                  <c:v>2.5910646070264991</c:v>
                </c:pt>
                <c:pt idx="13">
                  <c:v>2.1760912590556813</c:v>
                </c:pt>
                <c:pt idx="14">
                  <c:v>2.255272505103306</c:v>
                </c:pt>
                <c:pt idx="15">
                  <c:v>2.568201724066995</c:v>
                </c:pt>
                <c:pt idx="16">
                  <c:v>2.8195439355418688</c:v>
                </c:pt>
                <c:pt idx="17">
                  <c:v>2.3222192947339191</c:v>
                </c:pt>
                <c:pt idx="18">
                  <c:v>3.0755469613925306</c:v>
                </c:pt>
                <c:pt idx="19">
                  <c:v>2.2041199826559246</c:v>
                </c:pt>
                <c:pt idx="20">
                  <c:v>2.2041199826559246</c:v>
                </c:pt>
                <c:pt idx="21">
                  <c:v>2.2304489213782741</c:v>
                </c:pt>
                <c:pt idx="22">
                  <c:v>1.9030899869919435</c:v>
                </c:pt>
                <c:pt idx="23">
                  <c:v>2.1461280356782382</c:v>
                </c:pt>
                <c:pt idx="24">
                  <c:v>2.4313637641589874</c:v>
                </c:pt>
                <c:pt idx="25">
                  <c:v>2.2304489213782741</c:v>
                </c:pt>
                <c:pt idx="26">
                  <c:v>2.5185139398778875</c:v>
                </c:pt>
                <c:pt idx="27">
                  <c:v>2.4623979978989561</c:v>
                </c:pt>
                <c:pt idx="29">
                  <c:v>2.4313637641589874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6-4862-94A1-AC9D7B694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07039"/>
        <c:axId val="1"/>
      </c:scatterChart>
      <c:valAx>
        <c:axId val="111300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-2log(di)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log(C soil)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00703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XRF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'Samples and Simple Model'!$J$2:$J$31</c:f>
              <c:numCache>
                <c:formatCode>General</c:formatCode>
                <c:ptCount val="30"/>
                <c:pt idx="0">
                  <c:v>0.11684829483373282</c:v>
                </c:pt>
                <c:pt idx="1">
                  <c:v>0.18514268916543153</c:v>
                </c:pt>
                <c:pt idx="2">
                  <c:v>0.27901635336416541</c:v>
                </c:pt>
                <c:pt idx="3">
                  <c:v>0.16238604523470057</c:v>
                </c:pt>
                <c:pt idx="4">
                  <c:v>0.75497266121455131</c:v>
                </c:pt>
                <c:pt idx="5">
                  <c:v>0.87578534733742375</c:v>
                </c:pt>
                <c:pt idx="6">
                  <c:v>0.10872222500765316</c:v>
                </c:pt>
                <c:pt idx="8">
                  <c:v>6.1737541351420955E-2</c:v>
                </c:pt>
                <c:pt idx="9">
                  <c:v>1.2861255556299502</c:v>
                </c:pt>
                <c:pt idx="10">
                  <c:v>0.82643752195981901</c:v>
                </c:pt>
                <c:pt idx="11">
                  <c:v>0.41511258224413883</c:v>
                </c:pt>
                <c:pt idx="12">
                  <c:v>0.85155629111296105</c:v>
                </c:pt>
                <c:pt idx="13">
                  <c:v>1.2988699098293928</c:v>
                </c:pt>
                <c:pt idx="14">
                  <c:v>1.4552915910928645</c:v>
                </c:pt>
                <c:pt idx="15">
                  <c:v>1.1225289188371848</c:v>
                </c:pt>
                <c:pt idx="16">
                  <c:v>0.60633136510501107</c:v>
                </c:pt>
                <c:pt idx="17">
                  <c:v>0.20979624101683902</c:v>
                </c:pt>
                <c:pt idx="18">
                  <c:v>0.64267321352429518</c:v>
                </c:pt>
                <c:pt idx="19">
                  <c:v>0.57647297582392021</c:v>
                </c:pt>
                <c:pt idx="20">
                  <c:v>0.45071621153225583</c:v>
                </c:pt>
                <c:pt idx="21">
                  <c:v>0.22693942964666292</c:v>
                </c:pt>
                <c:pt idx="22">
                  <c:v>0.30864361791464678</c:v>
                </c:pt>
                <c:pt idx="23">
                  <c:v>0.37415771075002979</c:v>
                </c:pt>
                <c:pt idx="24">
                  <c:v>0.55659414721170375</c:v>
                </c:pt>
                <c:pt idx="25">
                  <c:v>0.6348330372575286</c:v>
                </c:pt>
                <c:pt idx="26">
                  <c:v>0.68870234648377293</c:v>
                </c:pt>
                <c:pt idx="27">
                  <c:v>0.42162038365331611</c:v>
                </c:pt>
                <c:pt idx="29">
                  <c:v>1.0660152858280165</c:v>
                </c:pt>
              </c:numCache>
            </c:numRef>
          </c:xVal>
          <c:yVal>
            <c:numRef>
              <c:f>'Samples and Simple Model'!$G$2:$G$31</c:f>
              <c:numCache>
                <c:formatCode>General</c:formatCode>
                <c:ptCount val="30"/>
                <c:pt idx="0">
                  <c:v>160</c:v>
                </c:pt>
                <c:pt idx="1">
                  <c:v>150</c:v>
                </c:pt>
                <c:pt idx="2">
                  <c:v>160</c:v>
                </c:pt>
                <c:pt idx="3">
                  <c:v>150</c:v>
                </c:pt>
                <c:pt idx="4">
                  <c:v>480</c:v>
                </c:pt>
                <c:pt idx="5">
                  <c:v>240</c:v>
                </c:pt>
                <c:pt idx="6">
                  <c:v>180</c:v>
                </c:pt>
                <c:pt idx="8">
                  <c:v>170</c:v>
                </c:pt>
                <c:pt idx="9">
                  <c:v>360</c:v>
                </c:pt>
                <c:pt idx="10">
                  <c:v>150</c:v>
                </c:pt>
                <c:pt idx="11">
                  <c:v>170</c:v>
                </c:pt>
                <c:pt idx="12">
                  <c:v>390</c:v>
                </c:pt>
                <c:pt idx="13">
                  <c:v>150</c:v>
                </c:pt>
                <c:pt idx="14">
                  <c:v>180</c:v>
                </c:pt>
                <c:pt idx="15">
                  <c:v>370</c:v>
                </c:pt>
                <c:pt idx="16">
                  <c:v>660</c:v>
                </c:pt>
                <c:pt idx="17">
                  <c:v>210</c:v>
                </c:pt>
                <c:pt idx="18">
                  <c:v>1190</c:v>
                </c:pt>
                <c:pt idx="19">
                  <c:v>160</c:v>
                </c:pt>
                <c:pt idx="20">
                  <c:v>160</c:v>
                </c:pt>
                <c:pt idx="21">
                  <c:v>170</c:v>
                </c:pt>
                <c:pt idx="22">
                  <c:v>80</c:v>
                </c:pt>
                <c:pt idx="23">
                  <c:v>140</c:v>
                </c:pt>
                <c:pt idx="24">
                  <c:v>270</c:v>
                </c:pt>
                <c:pt idx="25">
                  <c:v>170</c:v>
                </c:pt>
                <c:pt idx="26">
                  <c:v>330</c:v>
                </c:pt>
                <c:pt idx="27">
                  <c:v>290</c:v>
                </c:pt>
                <c:pt idx="29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C4-4380-AB18-6C5D77E8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229727"/>
        <c:axId val="275231807"/>
      </c:scatterChart>
      <c:scatterChart>
        <c:scatterStyle val="lineMarker"/>
        <c:varyColors val="0"/>
        <c:ser>
          <c:idx val="1"/>
          <c:order val="1"/>
          <c:tx>
            <c:v>Gaussian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Gaussian!$D$2:$D$68</c:f>
              <c:numCache>
                <c:formatCode>General</c:formatCode>
                <c:ptCount val="6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</c:numCache>
            </c:numRef>
          </c:xVal>
          <c:yVal>
            <c:numRef>
              <c:f>Gaussian!$H$2:$H$65</c:f>
              <c:numCache>
                <c:formatCode>General</c:formatCode>
                <c:ptCount val="64"/>
                <c:pt idx="0">
                  <c:v>1.6239186203798018E-10</c:v>
                </c:pt>
                <c:pt idx="1">
                  <c:v>0.40822244053314272</c:v>
                </c:pt>
                <c:pt idx="2">
                  <c:v>11.921585459691949</c:v>
                </c:pt>
                <c:pt idx="3">
                  <c:v>28.781419022559</c:v>
                </c:pt>
                <c:pt idx="4">
                  <c:v>36.196185896428766</c:v>
                </c:pt>
                <c:pt idx="5">
                  <c:v>36.377240522675699</c:v>
                </c:pt>
                <c:pt idx="6">
                  <c:v>33.487242599187411</c:v>
                </c:pt>
                <c:pt idx="7">
                  <c:v>29.748871667123503</c:v>
                </c:pt>
                <c:pt idx="8">
                  <c:v>26.079205428282851</c:v>
                </c:pt>
                <c:pt idx="9">
                  <c:v>22.792199931790925</c:v>
                </c:pt>
                <c:pt idx="10">
                  <c:v>19.954512390525259</c:v>
                </c:pt>
                <c:pt idx="11">
                  <c:v>17.540431865870151</c:v>
                </c:pt>
                <c:pt idx="12">
                  <c:v>15.495674936488992</c:v>
                </c:pt>
                <c:pt idx="13">
                  <c:v>13.762420931368906</c:v>
                </c:pt>
                <c:pt idx="14">
                  <c:v>12.288251982939506</c:v>
                </c:pt>
                <c:pt idx="15">
                  <c:v>11.02856542494222</c:v>
                </c:pt>
                <c:pt idx="16">
                  <c:v>9.9464703579772067</c:v>
                </c:pt>
                <c:pt idx="17">
                  <c:v>9.0118350277550103</c:v>
                </c:pt>
                <c:pt idx="18">
                  <c:v>8.2001585662625427</c:v>
                </c:pt>
                <c:pt idx="19">
                  <c:v>7.4915203461528099</c:v>
                </c:pt>
                <c:pt idx="20">
                  <c:v>6.8696847449887777</c:v>
                </c:pt>
                <c:pt idx="21">
                  <c:v>6.3213688436145752</c:v>
                </c:pt>
                <c:pt idx="22">
                  <c:v>5.8356552665549764</c:v>
                </c:pt>
                <c:pt idx="23">
                  <c:v>5.4035258199861449</c:v>
                </c:pt>
                <c:pt idx="24">
                  <c:v>5.0174923966684428</c:v>
                </c:pt>
                <c:pt idx="25">
                  <c:v>4.6713049004790994</c:v>
                </c:pt>
                <c:pt idx="26">
                  <c:v>4.3597196683715085</c:v>
                </c:pt>
                <c:pt idx="27">
                  <c:v>4.0783152665520941</c:v>
                </c:pt>
                <c:pt idx="28">
                  <c:v>3.8233453826887742</c:v>
                </c:pt>
                <c:pt idx="29">
                  <c:v>3.5916208191272343</c:v>
                </c:pt>
                <c:pt idx="30">
                  <c:v>3.3804143840739354</c:v>
                </c:pt>
                <c:pt idx="31">
                  <c:v>3.1873838676837569</c:v>
                </c:pt>
                <c:pt idx="32">
                  <c:v>3.0105093619227232</c:v>
                </c:pt>
                <c:pt idx="33">
                  <c:v>2.8480420079829596</c:v>
                </c:pt>
                <c:pt idx="34">
                  <c:v>2.6984618899645332</c:v>
                </c:pt>
                <c:pt idx="35">
                  <c:v>2.5604432830967561</c:v>
                </c:pt>
                <c:pt idx="36">
                  <c:v>2.4328258432642147</c:v>
                </c:pt>
                <c:pt idx="37">
                  <c:v>2.3145906182150378</c:v>
                </c:pt>
                <c:pt idx="38">
                  <c:v>2.2048399894642707</c:v>
                </c:pt>
                <c:pt idx="39">
                  <c:v>2.1027808326671615</c:v>
                </c:pt>
                <c:pt idx="40">
                  <c:v>2.0077103245976327</c:v>
                </c:pt>
                <c:pt idx="41">
                  <c:v>1.9190039355495536</c:v>
                </c:pt>
                <c:pt idx="42">
                  <c:v>1.8361052336365817</c:v>
                </c:pt>
                <c:pt idx="43">
                  <c:v>1.7585171971890783</c:v>
                </c:pt>
                <c:pt idx="44">
                  <c:v>1.6857947871401198</c:v>
                </c:pt>
                <c:pt idx="45">
                  <c:v>1.6175385759670478</c:v>
                </c:pt>
                <c:pt idx="46">
                  <c:v>1.5533892657375394</c:v>
                </c:pt>
                <c:pt idx="47">
                  <c:v>1.4930229569082931</c:v>
                </c:pt>
                <c:pt idx="48">
                  <c:v>1.4361470531488767</c:v>
                </c:pt>
                <c:pt idx="49">
                  <c:v>1.3824967067168215</c:v>
                </c:pt>
                <c:pt idx="50">
                  <c:v>1.331831724659911</c:v>
                </c:pt>
                <c:pt idx="51">
                  <c:v>1.2839338690518063</c:v>
                </c:pt>
                <c:pt idx="52">
                  <c:v>1.2386044951201867</c:v>
                </c:pt>
                <c:pt idx="53">
                  <c:v>1.1956624799333009</c:v>
                </c:pt>
                <c:pt idx="54">
                  <c:v>1.1549424016154994</c:v>
                </c:pt>
                <c:pt idx="55">
                  <c:v>1.1162929351406192</c:v>
                </c:pt>
                <c:pt idx="56">
                  <c:v>1.0795754358258685</c:v>
                </c:pt>
                <c:pt idx="57">
                  <c:v>1.0446626858966892</c:v>
                </c:pt>
                <c:pt idx="58">
                  <c:v>1.0114377830603805</c:v>
                </c:pt>
                <c:pt idx="59">
                  <c:v>0.97979315303009018</c:v>
                </c:pt>
                <c:pt idx="60">
                  <c:v>0.94962967047766522</c:v>
                </c:pt>
                <c:pt idx="61">
                  <c:v>0.92085587504173472</c:v>
                </c:pt>
                <c:pt idx="62">
                  <c:v>0.89338727084107095</c:v>
                </c:pt>
                <c:pt idx="63">
                  <c:v>0.86714569949530851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C4-4380-AB18-6C5D77E82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53359"/>
        <c:axId val="287043791"/>
      </c:scatterChart>
      <c:valAx>
        <c:axId val="275229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distance from source (km)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31807"/>
        <c:crosses val="autoZero"/>
        <c:crossBetween val="midCat"/>
      </c:valAx>
      <c:valAx>
        <c:axId val="27523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XRF [Pb]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229727"/>
        <c:crosses val="autoZero"/>
        <c:crossBetween val="midCat"/>
      </c:valAx>
      <c:valAx>
        <c:axId val="2870437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Gaussian [Pb]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3359"/>
        <c:crosses val="max"/>
        <c:crossBetween val="midCat"/>
      </c:valAx>
      <c:valAx>
        <c:axId val="2870533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704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'Samples and Simple Model'!$T$20</c:f>
              <c:strCache>
                <c:ptCount val="1"/>
                <c:pt idx="0">
                  <c:v>[Pb] (ppb)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'Samples and Simple Model'!$Q$21:$Q$69</c:f>
              <c:numCache>
                <c:formatCode>General</c:formatCode>
                <c:ptCount val="49"/>
                <c:pt idx="0">
                  <c:v>2.5000000000000001E-2</c:v>
                </c:pt>
                <c:pt idx="1">
                  <c:v>7.5000000000000011E-2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0.22499999999999998</c:v>
                </c:pt>
                <c:pt idx="5">
                  <c:v>0.27499999999999997</c:v>
                </c:pt>
                <c:pt idx="6">
                  <c:v>0.32499999999999996</c:v>
                </c:pt>
                <c:pt idx="7">
                  <c:v>0.37499999999999994</c:v>
                </c:pt>
                <c:pt idx="8">
                  <c:v>0.42499999999999993</c:v>
                </c:pt>
                <c:pt idx="9">
                  <c:v>0.47499999999999992</c:v>
                </c:pt>
                <c:pt idx="10">
                  <c:v>0.52499999999999991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0.72500000000000009</c:v>
                </c:pt>
                <c:pt idx="15">
                  <c:v>0.77500000000000013</c:v>
                </c:pt>
                <c:pt idx="16">
                  <c:v>0.82500000000000018</c:v>
                </c:pt>
                <c:pt idx="17">
                  <c:v>0.87500000000000022</c:v>
                </c:pt>
                <c:pt idx="18">
                  <c:v>0.92500000000000027</c:v>
                </c:pt>
                <c:pt idx="19">
                  <c:v>0.97500000000000031</c:v>
                </c:pt>
                <c:pt idx="20">
                  <c:v>1.0250000000000004</c:v>
                </c:pt>
                <c:pt idx="21">
                  <c:v>1.0750000000000004</c:v>
                </c:pt>
                <c:pt idx="22">
                  <c:v>1.1250000000000004</c:v>
                </c:pt>
                <c:pt idx="23">
                  <c:v>1.1750000000000005</c:v>
                </c:pt>
                <c:pt idx="24">
                  <c:v>1.2250000000000005</c:v>
                </c:pt>
                <c:pt idx="25">
                  <c:v>1.2750000000000006</c:v>
                </c:pt>
                <c:pt idx="26">
                  <c:v>1.3250000000000006</c:v>
                </c:pt>
                <c:pt idx="27">
                  <c:v>1.3750000000000007</c:v>
                </c:pt>
                <c:pt idx="28">
                  <c:v>1.4250000000000007</c:v>
                </c:pt>
                <c:pt idx="29">
                  <c:v>1.4750000000000008</c:v>
                </c:pt>
                <c:pt idx="30">
                  <c:v>1.5250000000000008</c:v>
                </c:pt>
                <c:pt idx="31">
                  <c:v>1.5750000000000008</c:v>
                </c:pt>
                <c:pt idx="32">
                  <c:v>1.6250000000000009</c:v>
                </c:pt>
                <c:pt idx="33">
                  <c:v>1.6750000000000009</c:v>
                </c:pt>
              </c:numCache>
            </c:numRef>
          </c:xVal>
          <c:yVal>
            <c:numRef>
              <c:f>'Samples and Simple Model'!$T$21:$T$69</c:f>
              <c:numCache>
                <c:formatCode>General</c:formatCode>
                <c:ptCount val="49"/>
                <c:pt idx="0">
                  <c:v>740.47970477514605</c:v>
                </c:pt>
                <c:pt idx="1">
                  <c:v>552.83711029176106</c:v>
                </c:pt>
                <c:pt idx="2">
                  <c:v>482.59700472068926</c:v>
                </c:pt>
                <c:pt idx="3">
                  <c:v>441.27979068395211</c:v>
                </c:pt>
                <c:pt idx="4">
                  <c:v>412.74442573487107</c:v>
                </c:pt>
                <c:pt idx="5">
                  <c:v>391.29018664387615</c:v>
                </c:pt>
                <c:pt idx="6">
                  <c:v>374.28309967452748</c:v>
                </c:pt>
                <c:pt idx="7">
                  <c:v>360.30364074091796</c:v>
                </c:pt>
                <c:pt idx="8">
                  <c:v>348.50524342902941</c:v>
                </c:pt>
                <c:pt idx="9">
                  <c:v>338.34526101041644</c:v>
                </c:pt>
                <c:pt idx="10">
                  <c:v>329.45648981149139</c:v>
                </c:pt>
                <c:pt idx="11">
                  <c:v>321.57971998228447</c:v>
                </c:pt>
                <c:pt idx="12">
                  <c:v>314.52566149142967</c:v>
                </c:pt>
                <c:pt idx="13">
                  <c:v>308.15218045927071</c:v>
                </c:pt>
                <c:pt idx="14">
                  <c:v>302.35003777399282</c:v>
                </c:pt>
                <c:pt idx="15">
                  <c:v>297.03360065585457</c:v>
                </c:pt>
                <c:pt idx="16">
                  <c:v>292.13459150161577</c:v>
                </c:pt>
                <c:pt idx="17">
                  <c:v>287.59776109260889</c:v>
                </c:pt>
                <c:pt idx="18">
                  <c:v>283.37782008116579</c:v>
                </c:pt>
                <c:pt idx="19">
                  <c:v>279.43721606514703</c:v>
                </c:pt>
                <c:pt idx="20">
                  <c:v>275.74449273130352</c:v>
                </c:pt>
                <c:pt idx="21">
                  <c:v>272.27305827804253</c:v>
                </c:pt>
                <c:pt idx="22">
                  <c:v>269.00024712398505</c:v>
                </c:pt>
                <c:pt idx="23">
                  <c:v>265.90659538333983</c:v>
                </c:pt>
                <c:pt idx="24">
                  <c:v>262.97527455557105</c:v>
                </c:pt>
                <c:pt idx="25">
                  <c:v>260.1916439523975</c:v>
                </c:pt>
                <c:pt idx="26">
                  <c:v>257.54289337082855</c:v>
                </c:pt>
                <c:pt idx="27">
                  <c:v>255.01775515680856</c:v>
                </c:pt>
                <c:pt idx="28">
                  <c:v>252.60627019441378</c:v>
                </c:pt>
                <c:pt idx="29">
                  <c:v>250.29959621530412</c:v>
                </c:pt>
                <c:pt idx="30">
                  <c:v>248.08984962332192</c:v>
                </c:pt>
                <c:pt idx="31">
                  <c:v>245.96997408532476</c:v>
                </c:pt>
                <c:pt idx="32">
                  <c:v>243.93363066628757</c:v>
                </c:pt>
                <c:pt idx="33">
                  <c:v>241.97510543245508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A0-4A1C-B1D2-4E59DF85E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057519"/>
        <c:axId val="287057935"/>
      </c:scatterChart>
      <c:valAx>
        <c:axId val="28705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7935"/>
        <c:crosses val="autoZero"/>
        <c:crossBetween val="midCat"/>
      </c:valAx>
      <c:valAx>
        <c:axId val="2870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XRF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'Samples and Simple Model'!$J$2:$J$31</c:f>
              <c:numCache>
                <c:formatCode>General</c:formatCode>
                <c:ptCount val="30"/>
                <c:pt idx="0">
                  <c:v>0.11684829483373282</c:v>
                </c:pt>
                <c:pt idx="1">
                  <c:v>0.18514268916543153</c:v>
                </c:pt>
                <c:pt idx="2">
                  <c:v>0.27901635336416541</c:v>
                </c:pt>
                <c:pt idx="3">
                  <c:v>0.16238604523470057</c:v>
                </c:pt>
                <c:pt idx="4">
                  <c:v>0.75497266121455131</c:v>
                </c:pt>
                <c:pt idx="5">
                  <c:v>0.87578534733742375</c:v>
                </c:pt>
                <c:pt idx="6">
                  <c:v>0.10872222500765316</c:v>
                </c:pt>
                <c:pt idx="8">
                  <c:v>6.1737541351420955E-2</c:v>
                </c:pt>
                <c:pt idx="9">
                  <c:v>1.2861255556299502</c:v>
                </c:pt>
                <c:pt idx="10">
                  <c:v>0.82643752195981901</c:v>
                </c:pt>
                <c:pt idx="11">
                  <c:v>0.41511258224413883</c:v>
                </c:pt>
                <c:pt idx="12">
                  <c:v>0.85155629111296105</c:v>
                </c:pt>
                <c:pt idx="13">
                  <c:v>1.2988699098293928</c:v>
                </c:pt>
                <c:pt idx="14">
                  <c:v>1.4552915910928645</c:v>
                </c:pt>
                <c:pt idx="15">
                  <c:v>1.1225289188371848</c:v>
                </c:pt>
                <c:pt idx="16">
                  <c:v>0.60633136510501107</c:v>
                </c:pt>
                <c:pt idx="17">
                  <c:v>0.20979624101683902</c:v>
                </c:pt>
                <c:pt idx="18">
                  <c:v>0.64267321352429518</c:v>
                </c:pt>
                <c:pt idx="19">
                  <c:v>0.57647297582392021</c:v>
                </c:pt>
                <c:pt idx="20">
                  <c:v>0.45071621153225583</c:v>
                </c:pt>
                <c:pt idx="21">
                  <c:v>0.22693942964666292</c:v>
                </c:pt>
                <c:pt idx="22">
                  <c:v>0.30864361791464678</c:v>
                </c:pt>
                <c:pt idx="23">
                  <c:v>0.37415771075002979</c:v>
                </c:pt>
                <c:pt idx="24">
                  <c:v>0.55659414721170375</c:v>
                </c:pt>
                <c:pt idx="25">
                  <c:v>0.6348330372575286</c:v>
                </c:pt>
                <c:pt idx="26">
                  <c:v>0.68870234648377293</c:v>
                </c:pt>
                <c:pt idx="27">
                  <c:v>0.42162038365331611</c:v>
                </c:pt>
                <c:pt idx="29">
                  <c:v>1.0660152858280165</c:v>
                </c:pt>
              </c:numCache>
            </c:numRef>
          </c:xVal>
          <c:yVal>
            <c:numRef>
              <c:f>'Samples and Simple Model'!$G$2:$G$31</c:f>
              <c:numCache>
                <c:formatCode>General</c:formatCode>
                <c:ptCount val="30"/>
                <c:pt idx="0">
                  <c:v>160</c:v>
                </c:pt>
                <c:pt idx="1">
                  <c:v>150</c:v>
                </c:pt>
                <c:pt idx="2">
                  <c:v>160</c:v>
                </c:pt>
                <c:pt idx="3">
                  <c:v>150</c:v>
                </c:pt>
                <c:pt idx="4">
                  <c:v>480</c:v>
                </c:pt>
                <c:pt idx="5">
                  <c:v>240</c:v>
                </c:pt>
                <c:pt idx="6">
                  <c:v>180</c:v>
                </c:pt>
                <c:pt idx="8">
                  <c:v>170</c:v>
                </c:pt>
                <c:pt idx="9">
                  <c:v>360</c:v>
                </c:pt>
                <c:pt idx="10">
                  <c:v>150</c:v>
                </c:pt>
                <c:pt idx="11">
                  <c:v>170</c:v>
                </c:pt>
                <c:pt idx="12">
                  <c:v>390</c:v>
                </c:pt>
                <c:pt idx="13">
                  <c:v>150</c:v>
                </c:pt>
                <c:pt idx="14">
                  <c:v>180</c:v>
                </c:pt>
                <c:pt idx="15">
                  <c:v>370</c:v>
                </c:pt>
                <c:pt idx="16">
                  <c:v>660</c:v>
                </c:pt>
                <c:pt idx="17">
                  <c:v>210</c:v>
                </c:pt>
                <c:pt idx="18">
                  <c:v>1190</c:v>
                </c:pt>
                <c:pt idx="19">
                  <c:v>160</c:v>
                </c:pt>
                <c:pt idx="20">
                  <c:v>160</c:v>
                </c:pt>
                <c:pt idx="21">
                  <c:v>170</c:v>
                </c:pt>
                <c:pt idx="22">
                  <c:v>80</c:v>
                </c:pt>
                <c:pt idx="23">
                  <c:v>140</c:v>
                </c:pt>
                <c:pt idx="24">
                  <c:v>270</c:v>
                </c:pt>
                <c:pt idx="25">
                  <c:v>170</c:v>
                </c:pt>
                <c:pt idx="26">
                  <c:v>330</c:v>
                </c:pt>
                <c:pt idx="27">
                  <c:v>290</c:v>
                </c:pt>
                <c:pt idx="29">
                  <c:v>270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75-492C-BA22-CDAE9FBB6C1D}"/>
            </c:ext>
          </c:extLst>
        </c:ser>
        <c:ser>
          <c:idx val="1"/>
          <c:order val="1"/>
          <c:tx>
            <c:v>Simplified Model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'Samples and Simple Model'!$Q$21:$Q$54</c:f>
              <c:numCache>
                <c:formatCode>General</c:formatCode>
                <c:ptCount val="34"/>
                <c:pt idx="0">
                  <c:v>2.5000000000000001E-2</c:v>
                </c:pt>
                <c:pt idx="1">
                  <c:v>7.5000000000000011E-2</c:v>
                </c:pt>
                <c:pt idx="2">
                  <c:v>0.125</c:v>
                </c:pt>
                <c:pt idx="3">
                  <c:v>0.17499999999999999</c:v>
                </c:pt>
                <c:pt idx="4">
                  <c:v>0.22499999999999998</c:v>
                </c:pt>
                <c:pt idx="5">
                  <c:v>0.27499999999999997</c:v>
                </c:pt>
                <c:pt idx="6">
                  <c:v>0.32499999999999996</c:v>
                </c:pt>
                <c:pt idx="7">
                  <c:v>0.37499999999999994</c:v>
                </c:pt>
                <c:pt idx="8">
                  <c:v>0.42499999999999993</c:v>
                </c:pt>
                <c:pt idx="9">
                  <c:v>0.47499999999999992</c:v>
                </c:pt>
                <c:pt idx="10">
                  <c:v>0.52499999999999991</c:v>
                </c:pt>
                <c:pt idx="11">
                  <c:v>0.57499999999999996</c:v>
                </c:pt>
                <c:pt idx="12">
                  <c:v>0.625</c:v>
                </c:pt>
                <c:pt idx="13">
                  <c:v>0.67500000000000004</c:v>
                </c:pt>
                <c:pt idx="14">
                  <c:v>0.72500000000000009</c:v>
                </c:pt>
                <c:pt idx="15">
                  <c:v>0.77500000000000013</c:v>
                </c:pt>
                <c:pt idx="16">
                  <c:v>0.82500000000000018</c:v>
                </c:pt>
                <c:pt idx="17">
                  <c:v>0.87500000000000022</c:v>
                </c:pt>
                <c:pt idx="18">
                  <c:v>0.92500000000000027</c:v>
                </c:pt>
                <c:pt idx="19">
                  <c:v>0.97500000000000031</c:v>
                </c:pt>
                <c:pt idx="20">
                  <c:v>1.0250000000000004</c:v>
                </c:pt>
                <c:pt idx="21">
                  <c:v>1.0750000000000004</c:v>
                </c:pt>
                <c:pt idx="22">
                  <c:v>1.1250000000000004</c:v>
                </c:pt>
                <c:pt idx="23">
                  <c:v>1.1750000000000005</c:v>
                </c:pt>
                <c:pt idx="24">
                  <c:v>1.2250000000000005</c:v>
                </c:pt>
                <c:pt idx="25">
                  <c:v>1.2750000000000006</c:v>
                </c:pt>
                <c:pt idx="26">
                  <c:v>1.3250000000000006</c:v>
                </c:pt>
                <c:pt idx="27">
                  <c:v>1.3750000000000007</c:v>
                </c:pt>
                <c:pt idx="28">
                  <c:v>1.4250000000000007</c:v>
                </c:pt>
                <c:pt idx="29">
                  <c:v>1.4750000000000008</c:v>
                </c:pt>
                <c:pt idx="30">
                  <c:v>1.5250000000000008</c:v>
                </c:pt>
                <c:pt idx="31">
                  <c:v>1.5750000000000008</c:v>
                </c:pt>
                <c:pt idx="32">
                  <c:v>1.6250000000000009</c:v>
                </c:pt>
                <c:pt idx="33">
                  <c:v>1.6750000000000009</c:v>
                </c:pt>
              </c:numCache>
            </c:numRef>
          </c:xVal>
          <c:yVal>
            <c:numRef>
              <c:f>'Samples and Simple Model'!$T$21:$T$54</c:f>
              <c:numCache>
                <c:formatCode>General</c:formatCode>
                <c:ptCount val="34"/>
                <c:pt idx="0">
                  <c:v>740.47970477514605</c:v>
                </c:pt>
                <c:pt idx="1">
                  <c:v>552.83711029176106</c:v>
                </c:pt>
                <c:pt idx="2">
                  <c:v>482.59700472068926</c:v>
                </c:pt>
                <c:pt idx="3">
                  <c:v>441.27979068395211</c:v>
                </c:pt>
                <c:pt idx="4">
                  <c:v>412.74442573487107</c:v>
                </c:pt>
                <c:pt idx="5">
                  <c:v>391.29018664387615</c:v>
                </c:pt>
                <c:pt idx="6">
                  <c:v>374.28309967452748</c:v>
                </c:pt>
                <c:pt idx="7">
                  <c:v>360.30364074091796</c:v>
                </c:pt>
                <c:pt idx="8">
                  <c:v>348.50524342902941</c:v>
                </c:pt>
                <c:pt idx="9">
                  <c:v>338.34526101041644</c:v>
                </c:pt>
                <c:pt idx="10">
                  <c:v>329.45648981149139</c:v>
                </c:pt>
                <c:pt idx="11">
                  <c:v>321.57971998228447</c:v>
                </c:pt>
                <c:pt idx="12">
                  <c:v>314.52566149142967</c:v>
                </c:pt>
                <c:pt idx="13">
                  <c:v>308.15218045927071</c:v>
                </c:pt>
                <c:pt idx="14">
                  <c:v>302.35003777399282</c:v>
                </c:pt>
                <c:pt idx="15">
                  <c:v>297.03360065585457</c:v>
                </c:pt>
                <c:pt idx="16">
                  <c:v>292.13459150161577</c:v>
                </c:pt>
                <c:pt idx="17">
                  <c:v>287.59776109260889</c:v>
                </c:pt>
                <c:pt idx="18">
                  <c:v>283.37782008116579</c:v>
                </c:pt>
                <c:pt idx="19">
                  <c:v>279.43721606514703</c:v>
                </c:pt>
                <c:pt idx="20">
                  <c:v>275.74449273130352</c:v>
                </c:pt>
                <c:pt idx="21">
                  <c:v>272.27305827804253</c:v>
                </c:pt>
                <c:pt idx="22">
                  <c:v>269.00024712398505</c:v>
                </c:pt>
                <c:pt idx="23">
                  <c:v>265.90659538333983</c:v>
                </c:pt>
                <c:pt idx="24">
                  <c:v>262.97527455557105</c:v>
                </c:pt>
                <c:pt idx="25">
                  <c:v>260.1916439523975</c:v>
                </c:pt>
                <c:pt idx="26">
                  <c:v>257.54289337082855</c:v>
                </c:pt>
                <c:pt idx="27">
                  <c:v>255.01775515680856</c:v>
                </c:pt>
                <c:pt idx="28">
                  <c:v>252.60627019441378</c:v>
                </c:pt>
                <c:pt idx="29">
                  <c:v>250.29959621530412</c:v>
                </c:pt>
                <c:pt idx="30">
                  <c:v>248.08984962332192</c:v>
                </c:pt>
                <c:pt idx="31">
                  <c:v>245.96997408532476</c:v>
                </c:pt>
                <c:pt idx="32">
                  <c:v>243.93363066628757</c:v>
                </c:pt>
                <c:pt idx="33">
                  <c:v>241.97510543245508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75-492C-BA22-CDAE9FBB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797775"/>
        <c:axId val="553799023"/>
      </c:scatterChart>
      <c:scatterChart>
        <c:scatterStyle val="lineMarker"/>
        <c:varyColors val="0"/>
        <c:ser>
          <c:idx val="2"/>
          <c:order val="2"/>
          <c:tx>
            <c:v>Gaussian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Gaussian!$D$2:$D$68</c:f>
              <c:numCache>
                <c:formatCode>General</c:formatCode>
                <c:ptCount val="67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  <c:pt idx="61">
                  <c:v>1.55</c:v>
                </c:pt>
                <c:pt idx="62">
                  <c:v>1.575</c:v>
                </c:pt>
                <c:pt idx="63">
                  <c:v>1.6</c:v>
                </c:pt>
                <c:pt idx="64">
                  <c:v>1.625</c:v>
                </c:pt>
                <c:pt idx="65">
                  <c:v>1.65</c:v>
                </c:pt>
                <c:pt idx="66">
                  <c:v>1.675</c:v>
                </c:pt>
              </c:numCache>
            </c:numRef>
          </c:xVal>
          <c:yVal>
            <c:numRef>
              <c:f>Gaussian!$H$2:$H$68</c:f>
              <c:numCache>
                <c:formatCode>General</c:formatCode>
                <c:ptCount val="67"/>
                <c:pt idx="0">
                  <c:v>1.6239186203798018E-10</c:v>
                </c:pt>
                <c:pt idx="1">
                  <c:v>0.40822244053314272</c:v>
                </c:pt>
                <c:pt idx="2">
                  <c:v>11.921585459691949</c:v>
                </c:pt>
                <c:pt idx="3">
                  <c:v>28.781419022559</c:v>
                </c:pt>
                <c:pt idx="4">
                  <c:v>36.196185896428766</c:v>
                </c:pt>
                <c:pt idx="5">
                  <c:v>36.377240522675699</c:v>
                </c:pt>
                <c:pt idx="6">
                  <c:v>33.487242599187411</c:v>
                </c:pt>
                <c:pt idx="7">
                  <c:v>29.748871667123503</c:v>
                </c:pt>
                <c:pt idx="8">
                  <c:v>26.079205428282851</c:v>
                </c:pt>
                <c:pt idx="9">
                  <c:v>22.792199931790925</c:v>
                </c:pt>
                <c:pt idx="10">
                  <c:v>19.954512390525259</c:v>
                </c:pt>
                <c:pt idx="11">
                  <c:v>17.540431865870151</c:v>
                </c:pt>
                <c:pt idx="12">
                  <c:v>15.495674936488992</c:v>
                </c:pt>
                <c:pt idx="13">
                  <c:v>13.762420931368906</c:v>
                </c:pt>
                <c:pt idx="14">
                  <c:v>12.288251982939506</c:v>
                </c:pt>
                <c:pt idx="15">
                  <c:v>11.02856542494222</c:v>
                </c:pt>
                <c:pt idx="16">
                  <c:v>9.9464703579772067</c:v>
                </c:pt>
                <c:pt idx="17">
                  <c:v>9.0118350277550103</c:v>
                </c:pt>
                <c:pt idx="18">
                  <c:v>8.2001585662625427</c:v>
                </c:pt>
                <c:pt idx="19">
                  <c:v>7.4915203461528099</c:v>
                </c:pt>
                <c:pt idx="20">
                  <c:v>6.8696847449887777</c:v>
                </c:pt>
                <c:pt idx="21">
                  <c:v>6.3213688436145752</c:v>
                </c:pt>
                <c:pt idx="22">
                  <c:v>5.8356552665549764</c:v>
                </c:pt>
                <c:pt idx="23">
                  <c:v>5.4035258199861449</c:v>
                </c:pt>
                <c:pt idx="24">
                  <c:v>5.0174923966684428</c:v>
                </c:pt>
                <c:pt idx="25">
                  <c:v>4.6713049004790994</c:v>
                </c:pt>
                <c:pt idx="26">
                  <c:v>4.3597196683715085</c:v>
                </c:pt>
                <c:pt idx="27">
                  <c:v>4.0783152665520941</c:v>
                </c:pt>
                <c:pt idx="28">
                  <c:v>3.8233453826887742</c:v>
                </c:pt>
                <c:pt idx="29">
                  <c:v>3.5916208191272343</c:v>
                </c:pt>
                <c:pt idx="30">
                  <c:v>3.3804143840739354</c:v>
                </c:pt>
                <c:pt idx="31">
                  <c:v>3.1873838676837569</c:v>
                </c:pt>
                <c:pt idx="32">
                  <c:v>3.0105093619227232</c:v>
                </c:pt>
                <c:pt idx="33">
                  <c:v>2.8480420079829596</c:v>
                </c:pt>
                <c:pt idx="34">
                  <c:v>2.6984618899645332</c:v>
                </c:pt>
                <c:pt idx="35">
                  <c:v>2.5604432830967561</c:v>
                </c:pt>
                <c:pt idx="36">
                  <c:v>2.4328258432642147</c:v>
                </c:pt>
                <c:pt idx="37">
                  <c:v>2.3145906182150378</c:v>
                </c:pt>
                <c:pt idx="38">
                  <c:v>2.2048399894642707</c:v>
                </c:pt>
                <c:pt idx="39">
                  <c:v>2.1027808326671615</c:v>
                </c:pt>
                <c:pt idx="40">
                  <c:v>2.0077103245976327</c:v>
                </c:pt>
                <c:pt idx="41">
                  <c:v>1.9190039355495536</c:v>
                </c:pt>
                <c:pt idx="42">
                  <c:v>1.8361052336365817</c:v>
                </c:pt>
                <c:pt idx="43">
                  <c:v>1.7585171971890783</c:v>
                </c:pt>
                <c:pt idx="44">
                  <c:v>1.6857947871401198</c:v>
                </c:pt>
                <c:pt idx="45">
                  <c:v>1.6175385759670478</c:v>
                </c:pt>
                <c:pt idx="46">
                  <c:v>1.5533892657375394</c:v>
                </c:pt>
                <c:pt idx="47">
                  <c:v>1.4930229569082931</c:v>
                </c:pt>
                <c:pt idx="48">
                  <c:v>1.4361470531488767</c:v>
                </c:pt>
                <c:pt idx="49">
                  <c:v>1.3824967067168215</c:v>
                </c:pt>
                <c:pt idx="50">
                  <c:v>1.331831724659911</c:v>
                </c:pt>
                <c:pt idx="51">
                  <c:v>1.2839338690518063</c:v>
                </c:pt>
                <c:pt idx="52">
                  <c:v>1.2386044951201867</c:v>
                </c:pt>
                <c:pt idx="53">
                  <c:v>1.1956624799333009</c:v>
                </c:pt>
                <c:pt idx="54">
                  <c:v>1.1549424016154994</c:v>
                </c:pt>
                <c:pt idx="55">
                  <c:v>1.1162929351406192</c:v>
                </c:pt>
                <c:pt idx="56">
                  <c:v>1.0795754358258685</c:v>
                </c:pt>
                <c:pt idx="57">
                  <c:v>1.0446626858966892</c:v>
                </c:pt>
                <c:pt idx="58">
                  <c:v>1.0114377830603805</c:v>
                </c:pt>
                <c:pt idx="59">
                  <c:v>0.97979315303009018</c:v>
                </c:pt>
                <c:pt idx="60">
                  <c:v>0.94962967047766522</c:v>
                </c:pt>
                <c:pt idx="61">
                  <c:v>0.92085587504173472</c:v>
                </c:pt>
                <c:pt idx="62">
                  <c:v>0.89338727084107095</c:v>
                </c:pt>
                <c:pt idx="63">
                  <c:v>0.86714569949530851</c:v>
                </c:pt>
                <c:pt idx="64">
                  <c:v>0.84205877797939288</c:v>
                </c:pt>
                <c:pt idx="65">
                  <c:v>0.81805939377081005</c:v>
                </c:pt>
                <c:pt idx="66">
                  <c:v>0.79508525071959413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75-492C-BA22-CDAE9FBB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21135"/>
        <c:axId val="513111983"/>
      </c:scatterChart>
      <c:valAx>
        <c:axId val="55379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Radial distnce from source</a:t>
                </a:r>
                <a:r>
                  <a:rPr lang="en-US" baseline="0"/>
                  <a:t>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99023"/>
        <c:crosses val="autoZero"/>
        <c:crossBetween val="midCat"/>
      </c:valAx>
      <c:valAx>
        <c:axId val="55379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[Pb]</a:t>
                </a:r>
                <a:r>
                  <a:rPr lang="en-US" baseline="0"/>
                  <a:t> (ppb) </a:t>
                </a:r>
              </a:p>
              <a:p>
                <a:pPr>
                  <a:defRPr/>
                </a:pPr>
                <a:r>
                  <a:rPr lang="en-US" baseline="0"/>
                  <a:t>XRF and Simplified Model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797775"/>
        <c:crosses val="autoZero"/>
        <c:crossBetween val="midCat"/>
      </c:valAx>
      <c:valAx>
        <c:axId val="5131119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[Pb] (ppb)</a:t>
                </a:r>
              </a:p>
              <a:p>
                <a:pPr>
                  <a:defRPr/>
                </a:pPr>
                <a:r>
                  <a:rPr lang="en-US"/>
                  <a:t>Gaussian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21135"/>
        <c:crosses val="max"/>
        <c:crossBetween val="midCat"/>
      </c:valAx>
      <c:valAx>
        <c:axId val="51312113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13111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Calibration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ICPMS!$F$1</c:f>
              <c:strCache>
                <c:ptCount val="1"/>
                <c:pt idx="0">
                  <c:v>Area Pb * [IS] / area IS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0002780173124686E-2"/>
                  <c:y val="0.234922600619195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400" b="0" i="0" u="none" strike="noStrike" baseline="0">
                      <a:solidFill>
                        <a:srgbClr val="333333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ICPMS!$B$2:$B$9</c:f>
              <c:numCache>
                <c:formatCode>General</c:formatCode>
                <c:ptCount val="8"/>
                <c:pt idx="0">
                  <c:v>0</c:v>
                </c:pt>
                <c:pt idx="1">
                  <c:v>5.2560000000000002</c:v>
                </c:pt>
                <c:pt idx="2">
                  <c:v>10.741</c:v>
                </c:pt>
                <c:pt idx="3">
                  <c:v>51.582000000000001</c:v>
                </c:pt>
                <c:pt idx="4">
                  <c:v>104.946</c:v>
                </c:pt>
                <c:pt idx="5">
                  <c:v>999.41800000000001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ICPMS!$F$2:$F$9</c:f>
              <c:numCache>
                <c:formatCode>0.0000</c:formatCode>
                <c:ptCount val="8"/>
                <c:pt idx="0">
                  <c:v>0.11029306738695153</c:v>
                </c:pt>
                <c:pt idx="1">
                  <c:v>82.461850244886719</c:v>
                </c:pt>
                <c:pt idx="2">
                  <c:v>168.38887966176515</c:v>
                </c:pt>
                <c:pt idx="3">
                  <c:v>808.27974855922525</c:v>
                </c:pt>
                <c:pt idx="4">
                  <c:v>1644.3361338811094</c:v>
                </c:pt>
                <c:pt idx="5">
                  <c:v>15658.648719526131</c:v>
                </c:pt>
                <c:pt idx="6">
                  <c:v>23.831759878524458</c:v>
                </c:pt>
                <c:pt idx="7">
                  <c:v>39.417091232964083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3-47BD-9971-D5C41C78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019935"/>
        <c:axId val="1"/>
      </c:scatterChart>
      <c:valAx>
        <c:axId val="111301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estimated [Pb]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Area Pb * [IS] / area IS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1301993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Gaussian!$H$1</c:f>
              <c:strCache>
                <c:ptCount val="1"/>
                <c:pt idx="0">
                  <c:v>C(x,0,0) (ppb)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Gaussian!$D$2:$D$62</c:f>
              <c:numCache>
                <c:formatCode>General</c:formatCode>
                <c:ptCount val="61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</c:v>
                </c:pt>
                <c:pt idx="4">
                  <c:v>0.125</c:v>
                </c:pt>
                <c:pt idx="5">
                  <c:v>0.15</c:v>
                </c:pt>
                <c:pt idx="6">
                  <c:v>0.17499999999999999</c:v>
                </c:pt>
                <c:pt idx="7">
                  <c:v>0.2</c:v>
                </c:pt>
                <c:pt idx="8">
                  <c:v>0.22500000000000001</c:v>
                </c:pt>
                <c:pt idx="9">
                  <c:v>0.25</c:v>
                </c:pt>
                <c:pt idx="10">
                  <c:v>0.27500000000000002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0.35</c:v>
                </c:pt>
                <c:pt idx="14">
                  <c:v>0.375</c:v>
                </c:pt>
                <c:pt idx="15">
                  <c:v>0.4</c:v>
                </c:pt>
                <c:pt idx="16">
                  <c:v>0.42499999999999999</c:v>
                </c:pt>
                <c:pt idx="17">
                  <c:v>0.45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0.52500000000000002</c:v>
                </c:pt>
                <c:pt idx="21">
                  <c:v>0.55000000000000004</c:v>
                </c:pt>
                <c:pt idx="22">
                  <c:v>0.57499999999999996</c:v>
                </c:pt>
                <c:pt idx="23">
                  <c:v>0.6</c:v>
                </c:pt>
                <c:pt idx="24">
                  <c:v>0.625</c:v>
                </c:pt>
                <c:pt idx="25">
                  <c:v>0.65</c:v>
                </c:pt>
                <c:pt idx="26">
                  <c:v>0.67500000000000004</c:v>
                </c:pt>
                <c:pt idx="27">
                  <c:v>0.7</c:v>
                </c:pt>
                <c:pt idx="28">
                  <c:v>0.72499999999999998</c:v>
                </c:pt>
                <c:pt idx="29">
                  <c:v>0.75</c:v>
                </c:pt>
                <c:pt idx="30">
                  <c:v>0.77500000000000002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0.85</c:v>
                </c:pt>
                <c:pt idx="34">
                  <c:v>0.875</c:v>
                </c:pt>
                <c:pt idx="35">
                  <c:v>0.9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0.97499999999999998</c:v>
                </c:pt>
                <c:pt idx="39">
                  <c:v>1</c:v>
                </c:pt>
                <c:pt idx="40">
                  <c:v>1.0249999999999999</c:v>
                </c:pt>
                <c:pt idx="41">
                  <c:v>1.05</c:v>
                </c:pt>
                <c:pt idx="42">
                  <c:v>1.075</c:v>
                </c:pt>
                <c:pt idx="43">
                  <c:v>1.1000000000000001</c:v>
                </c:pt>
                <c:pt idx="44">
                  <c:v>1.125</c:v>
                </c:pt>
                <c:pt idx="45">
                  <c:v>1.1499999999999999</c:v>
                </c:pt>
                <c:pt idx="46">
                  <c:v>1.175</c:v>
                </c:pt>
                <c:pt idx="47">
                  <c:v>1.2</c:v>
                </c:pt>
                <c:pt idx="48">
                  <c:v>1.2250000000000001</c:v>
                </c:pt>
                <c:pt idx="49">
                  <c:v>1.25</c:v>
                </c:pt>
                <c:pt idx="50">
                  <c:v>1.2749999999999999</c:v>
                </c:pt>
                <c:pt idx="51">
                  <c:v>1.3</c:v>
                </c:pt>
                <c:pt idx="52">
                  <c:v>1.325</c:v>
                </c:pt>
                <c:pt idx="53">
                  <c:v>1.35</c:v>
                </c:pt>
                <c:pt idx="54">
                  <c:v>1.375</c:v>
                </c:pt>
                <c:pt idx="55">
                  <c:v>1.4</c:v>
                </c:pt>
                <c:pt idx="56">
                  <c:v>1.425</c:v>
                </c:pt>
                <c:pt idx="57">
                  <c:v>1.45</c:v>
                </c:pt>
                <c:pt idx="58">
                  <c:v>1.4750000000000001</c:v>
                </c:pt>
                <c:pt idx="59">
                  <c:v>1.5</c:v>
                </c:pt>
                <c:pt idx="60">
                  <c:v>1.5249999999999999</c:v>
                </c:pt>
              </c:numCache>
            </c:numRef>
          </c:xVal>
          <c:yVal>
            <c:numRef>
              <c:f>Gaussian!$H$2:$H$62</c:f>
              <c:numCache>
                <c:formatCode>General</c:formatCode>
                <c:ptCount val="61"/>
                <c:pt idx="0">
                  <c:v>1.6239186203798018E-10</c:v>
                </c:pt>
                <c:pt idx="1">
                  <c:v>0.40822244053314272</c:v>
                </c:pt>
                <c:pt idx="2">
                  <c:v>11.921585459691949</c:v>
                </c:pt>
                <c:pt idx="3">
                  <c:v>28.781419022559</c:v>
                </c:pt>
                <c:pt idx="4">
                  <c:v>36.196185896428766</c:v>
                </c:pt>
                <c:pt idx="5">
                  <c:v>36.377240522675699</c:v>
                </c:pt>
                <c:pt idx="6">
                  <c:v>33.487242599187411</c:v>
                </c:pt>
                <c:pt idx="7">
                  <c:v>29.748871667123503</c:v>
                </c:pt>
                <c:pt idx="8">
                  <c:v>26.079205428282851</c:v>
                </c:pt>
                <c:pt idx="9">
                  <c:v>22.792199931790925</c:v>
                </c:pt>
                <c:pt idx="10">
                  <c:v>19.954512390525259</c:v>
                </c:pt>
                <c:pt idx="11">
                  <c:v>17.540431865870151</c:v>
                </c:pt>
                <c:pt idx="12">
                  <c:v>15.495674936488992</c:v>
                </c:pt>
                <c:pt idx="13">
                  <c:v>13.762420931368906</c:v>
                </c:pt>
                <c:pt idx="14">
                  <c:v>12.288251982939506</c:v>
                </c:pt>
                <c:pt idx="15">
                  <c:v>11.02856542494222</c:v>
                </c:pt>
                <c:pt idx="16">
                  <c:v>9.9464703579772067</c:v>
                </c:pt>
                <c:pt idx="17">
                  <c:v>9.0118350277550103</c:v>
                </c:pt>
                <c:pt idx="18">
                  <c:v>8.2001585662625427</c:v>
                </c:pt>
                <c:pt idx="19">
                  <c:v>7.4915203461528099</c:v>
                </c:pt>
                <c:pt idx="20">
                  <c:v>6.8696847449887777</c:v>
                </c:pt>
                <c:pt idx="21">
                  <c:v>6.3213688436145752</c:v>
                </c:pt>
                <c:pt idx="22">
                  <c:v>5.8356552665549764</c:v>
                </c:pt>
                <c:pt idx="23">
                  <c:v>5.4035258199861449</c:v>
                </c:pt>
                <c:pt idx="24">
                  <c:v>5.0174923966684428</c:v>
                </c:pt>
                <c:pt idx="25">
                  <c:v>4.6713049004790994</c:v>
                </c:pt>
                <c:pt idx="26">
                  <c:v>4.3597196683715085</c:v>
                </c:pt>
                <c:pt idx="27">
                  <c:v>4.0783152665520941</c:v>
                </c:pt>
                <c:pt idx="28">
                  <c:v>3.8233453826887742</c:v>
                </c:pt>
                <c:pt idx="29">
                  <c:v>3.5916208191272343</c:v>
                </c:pt>
                <c:pt idx="30">
                  <c:v>3.3804143840739354</c:v>
                </c:pt>
                <c:pt idx="31">
                  <c:v>3.1873838676837569</c:v>
                </c:pt>
                <c:pt idx="32">
                  <c:v>3.0105093619227232</c:v>
                </c:pt>
                <c:pt idx="33">
                  <c:v>2.8480420079829596</c:v>
                </c:pt>
                <c:pt idx="34">
                  <c:v>2.6984618899645332</c:v>
                </c:pt>
                <c:pt idx="35">
                  <c:v>2.5604432830967561</c:v>
                </c:pt>
                <c:pt idx="36">
                  <c:v>2.4328258432642147</c:v>
                </c:pt>
                <c:pt idx="37">
                  <c:v>2.3145906182150378</c:v>
                </c:pt>
                <c:pt idx="38">
                  <c:v>2.2048399894642707</c:v>
                </c:pt>
                <c:pt idx="39">
                  <c:v>2.1027808326671615</c:v>
                </c:pt>
                <c:pt idx="40">
                  <c:v>2.0077103245976327</c:v>
                </c:pt>
                <c:pt idx="41">
                  <c:v>1.9190039355495536</c:v>
                </c:pt>
                <c:pt idx="42">
                  <c:v>1.8361052336365817</c:v>
                </c:pt>
                <c:pt idx="43">
                  <c:v>1.7585171971890783</c:v>
                </c:pt>
                <c:pt idx="44">
                  <c:v>1.6857947871401198</c:v>
                </c:pt>
                <c:pt idx="45">
                  <c:v>1.6175385759670478</c:v>
                </c:pt>
                <c:pt idx="46">
                  <c:v>1.5533892657375394</c:v>
                </c:pt>
                <c:pt idx="47">
                  <c:v>1.4930229569082931</c:v>
                </c:pt>
                <c:pt idx="48">
                  <c:v>1.4361470531488767</c:v>
                </c:pt>
                <c:pt idx="49">
                  <c:v>1.3824967067168215</c:v>
                </c:pt>
                <c:pt idx="50">
                  <c:v>1.331831724659911</c:v>
                </c:pt>
                <c:pt idx="51">
                  <c:v>1.2839338690518063</c:v>
                </c:pt>
                <c:pt idx="52">
                  <c:v>1.2386044951201867</c:v>
                </c:pt>
                <c:pt idx="53">
                  <c:v>1.1956624799333009</c:v>
                </c:pt>
                <c:pt idx="54">
                  <c:v>1.1549424016154994</c:v>
                </c:pt>
                <c:pt idx="55">
                  <c:v>1.1162929351406192</c:v>
                </c:pt>
                <c:pt idx="56">
                  <c:v>1.0795754358258685</c:v>
                </c:pt>
                <c:pt idx="57">
                  <c:v>1.0446626858966892</c:v>
                </c:pt>
                <c:pt idx="58">
                  <c:v>1.0114377830603805</c:v>
                </c:pt>
                <c:pt idx="59">
                  <c:v>0.97979315303009018</c:v>
                </c:pt>
                <c:pt idx="60">
                  <c:v>0.94962967047766522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BB-4862-A2DA-A9E5F17E7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469183"/>
        <c:axId val="1479463359"/>
      </c:scatterChart>
      <c:valAx>
        <c:axId val="14794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</a:t>
                </a:r>
                <a:r>
                  <a:rPr lang="en-US" baseline="0"/>
                  <a:t> source along plumeline (km)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63359"/>
        <c:crosses val="autoZero"/>
        <c:crossBetween val="midCat"/>
      </c:valAx>
      <c:valAx>
        <c:axId val="147946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[Pb] (ppb)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4691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hyperlink" Target="https://cfpub.epa.gov/ncer_abstracts/index.cfm/fuseaction/display.files/fileid/14285" TargetMode="External"/><Relationship Id="rId1" Type="http://schemas.openxmlformats.org/officeDocument/2006/relationships/chart" Target="../charts/chart6.xm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hyperlink" Target="https://ansn.iaea.org/Common/Topics/OpenTopic.aspx?ID=13012" TargetMode="External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85725</xdr:rowOff>
    </xdr:from>
    <xdr:to>
      <xdr:col>19</xdr:col>
      <xdr:colOff>361950</xdr:colOff>
      <xdr:row>16</xdr:row>
      <xdr:rowOff>28575</xdr:rowOff>
    </xdr:to>
    <xdr:graphicFrame macro="">
      <xdr:nvGraphicFramePr>
        <xdr:cNvPr id="2061" name="Chart 2">
          <a:extLst>
            <a:ext uri="{FF2B5EF4-FFF2-40B4-BE49-F238E27FC236}">
              <a16:creationId xmlns:a16="http://schemas.microsoft.com/office/drawing/2014/main" id="{7F361315-701B-4EF5-9369-1550AA898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19050</xdr:colOff>
      <xdr:row>18</xdr:row>
      <xdr:rowOff>38100</xdr:rowOff>
    </xdr:from>
    <xdr:to>
      <xdr:col>15</xdr:col>
      <xdr:colOff>371475</xdr:colOff>
      <xdr:row>19</xdr:row>
      <xdr:rowOff>114300</xdr:rowOff>
    </xdr:to>
    <xdr:pic>
      <xdr:nvPicPr>
        <xdr:cNvPr id="2062" name="Picture 3">
          <a:extLst>
            <a:ext uri="{FF2B5EF4-FFF2-40B4-BE49-F238E27FC236}">
              <a16:creationId xmlns:a16="http://schemas.microsoft.com/office/drawing/2014/main" id="{7E9CA178-E71C-4B2F-B47C-446DF86D5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01300" y="3638550"/>
          <a:ext cx="1857375" cy="276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657225</xdr:colOff>
      <xdr:row>16</xdr:row>
      <xdr:rowOff>76200</xdr:rowOff>
    </xdr:from>
    <xdr:to>
      <xdr:col>15</xdr:col>
      <xdr:colOff>648003</xdr:colOff>
      <xdr:row>17</xdr:row>
      <xdr:rowOff>161965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C80B413-732E-4EBC-8B2E-7DCE6CE90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363200" y="3276600"/>
          <a:ext cx="2172003" cy="285790"/>
        </a:xfrm>
        <a:prstGeom prst="rect">
          <a:avLst/>
        </a:prstGeom>
      </xdr:spPr>
    </xdr:pic>
    <xdr:clientData/>
  </xdr:twoCellAnchor>
  <xdr:twoCellAnchor>
    <xdr:from>
      <xdr:col>1</xdr:col>
      <xdr:colOff>647699</xdr:colOff>
      <xdr:row>27</xdr:row>
      <xdr:rowOff>104775</xdr:rowOff>
    </xdr:from>
    <xdr:to>
      <xdr:col>8</xdr:col>
      <xdr:colOff>66674</xdr:colOff>
      <xdr:row>44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58A6D2-2B07-48A5-B6D2-73CF2AAB6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323850</xdr:colOff>
      <xdr:row>29</xdr:row>
      <xdr:rowOff>104775</xdr:rowOff>
    </xdr:from>
    <xdr:to>
      <xdr:col>20</xdr:col>
      <xdr:colOff>247650</xdr:colOff>
      <xdr:row>43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40EFB3-A6FA-4775-9222-E5186CCBB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114299</xdr:colOff>
      <xdr:row>7</xdr:row>
      <xdr:rowOff>171450</xdr:rowOff>
    </xdr:from>
    <xdr:to>
      <xdr:col>11</xdr:col>
      <xdr:colOff>609599</xdr:colOff>
      <xdr:row>26</xdr:row>
      <xdr:rowOff>47624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502253-2820-4D5F-B1FF-749696CAD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114300</xdr:colOff>
      <xdr:row>1</xdr:row>
      <xdr:rowOff>9525</xdr:rowOff>
    </xdr:from>
    <xdr:to>
      <xdr:col>18</xdr:col>
      <xdr:colOff>9525</xdr:colOff>
      <xdr:row>16</xdr:row>
      <xdr:rowOff>85725</xdr:rowOff>
    </xdr:to>
    <xdr:graphicFrame macro="">
      <xdr:nvGraphicFramePr>
        <xdr:cNvPr id="4162" name="Chart 2">
          <a:extLst>
            <a:ext uri="{FF2B5EF4-FFF2-40B4-BE49-F238E27FC236}">
              <a16:creationId xmlns:a16="http://schemas.microsoft.com/office/drawing/2014/main" id="{2106D1DB-4F48-4226-BFA1-1526BF65F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190500</xdr:colOff>
      <xdr:row>16</xdr:row>
      <xdr:rowOff>143366</xdr:rowOff>
    </xdr:from>
    <xdr:to>
      <xdr:col>15</xdr:col>
      <xdr:colOff>657225</xdr:colOff>
      <xdr:row>19</xdr:row>
      <xdr:rowOff>28575</xdr:rowOff>
    </xdr:to>
    <xdr:pic>
      <xdr:nvPicPr>
        <xdr:cNvPr id="4163" name="Picture 1">
          <a:extLst>
            <a:ext uri="{FF2B5EF4-FFF2-40B4-BE49-F238E27FC236}">
              <a16:creationId xmlns:a16="http://schemas.microsoft.com/office/drawing/2014/main" id="{1650EB3F-3BE8-4DB3-826B-5660F5A51C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44025" y="3343766"/>
          <a:ext cx="3848100" cy="485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5</xdr:row>
      <xdr:rowOff>95250</xdr:rowOff>
    </xdr:from>
    <xdr:to>
      <xdr:col>9</xdr:col>
      <xdr:colOff>38100</xdr:colOff>
      <xdr:row>21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12FF1-C417-42ED-BE65-AAFCDA588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361950</xdr:colOff>
      <xdr:row>2</xdr:row>
      <xdr:rowOff>19050</xdr:rowOff>
    </xdr:from>
    <xdr:to>
      <xdr:col>13</xdr:col>
      <xdr:colOff>267155</xdr:colOff>
      <xdr:row>4</xdr:row>
      <xdr:rowOff>47685</xdr:rowOff>
    </xdr:to>
    <xdr:pic>
      <xdr:nvPicPr>
        <xdr:cNvPr id="6" name="Picture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631B97-DB43-4636-8003-631766D693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86850" y="419100"/>
          <a:ext cx="3258005" cy="428685"/>
        </a:xfrm>
        <a:prstGeom prst="rect">
          <a:avLst/>
        </a:prstGeom>
      </xdr:spPr>
    </xdr:pic>
    <xdr:clientData/>
  </xdr:twoCellAnchor>
  <xdr:twoCellAnchor editAs="oneCell">
    <xdr:from>
      <xdr:col>10</xdr:col>
      <xdr:colOff>380999</xdr:colOff>
      <xdr:row>18</xdr:row>
      <xdr:rowOff>42909</xdr:rowOff>
    </xdr:from>
    <xdr:to>
      <xdr:col>15</xdr:col>
      <xdr:colOff>486572</xdr:colOff>
      <xdr:row>31</xdr:row>
      <xdr:rowOff>48102</xdr:rowOff>
    </xdr:to>
    <xdr:pic>
      <xdr:nvPicPr>
        <xdr:cNvPr id="7" name="Pictur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092BBF-EEED-48AC-B17F-02BDF6D6C8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944099" y="3643359"/>
          <a:ext cx="4296573" cy="2605518"/>
        </a:xfrm>
        <a:prstGeom prst="rect">
          <a:avLst/>
        </a:prstGeom>
      </xdr:spPr>
    </xdr:pic>
    <xdr:clientData/>
  </xdr:twoCellAnchor>
  <xdr:twoCellAnchor editAs="oneCell">
    <xdr:from>
      <xdr:col>2</xdr:col>
      <xdr:colOff>656271</xdr:colOff>
      <xdr:row>22</xdr:row>
      <xdr:rowOff>57150</xdr:rowOff>
    </xdr:from>
    <xdr:to>
      <xdr:col>9</xdr:col>
      <xdr:colOff>219076</xdr:colOff>
      <xdr:row>42</xdr:row>
      <xdr:rowOff>62443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8814F85-5787-4575-8DAC-16DB14441B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4066221" y="4457700"/>
          <a:ext cx="5782630" cy="4005793"/>
        </a:xfrm>
        <a:prstGeom prst="rect">
          <a:avLst/>
        </a:prstGeom>
      </xdr:spPr>
    </xdr:pic>
    <xdr:clientData/>
  </xdr:twoCellAnchor>
  <xdr:twoCellAnchor editAs="oneCell">
    <xdr:from>
      <xdr:col>10</xdr:col>
      <xdr:colOff>304800</xdr:colOff>
      <xdr:row>31</xdr:row>
      <xdr:rowOff>114300</xdr:rowOff>
    </xdr:from>
    <xdr:to>
      <xdr:col>16</xdr:col>
      <xdr:colOff>136495</xdr:colOff>
      <xdr:row>46</xdr:row>
      <xdr:rowOff>133963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90BC1C-001C-44B4-AF05-B196A9290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867900" y="6315075"/>
          <a:ext cx="4860895" cy="3020038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23</xdr:row>
      <xdr:rowOff>77618</xdr:rowOff>
    </xdr:from>
    <xdr:to>
      <xdr:col>1</xdr:col>
      <xdr:colOff>572250</xdr:colOff>
      <xdr:row>31</xdr:row>
      <xdr:rowOff>38501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563F471-0FCE-48E2-9876-780066E6E2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1925" y="4678193"/>
          <a:ext cx="2915400" cy="1561083"/>
        </a:xfrm>
        <a:prstGeom prst="rect">
          <a:avLst/>
        </a:prstGeom>
      </xdr:spPr>
    </xdr:pic>
    <xdr:clientData/>
  </xdr:twoCellAnchor>
  <xdr:twoCellAnchor editAs="oneCell">
    <xdr:from>
      <xdr:col>0</xdr:col>
      <xdr:colOff>962026</xdr:colOff>
      <xdr:row>39</xdr:row>
      <xdr:rowOff>47624</xdr:rowOff>
    </xdr:from>
    <xdr:to>
      <xdr:col>4</xdr:col>
      <xdr:colOff>209550</xdr:colOff>
      <xdr:row>54</xdr:row>
      <xdr:rowOff>142397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DA2DD80-A3F1-4EDF-B2D6-A607FDF34B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62026" y="7848599"/>
          <a:ext cx="4467224" cy="3095148"/>
        </a:xfrm>
        <a:prstGeom prst="rect">
          <a:avLst/>
        </a:prstGeom>
      </xdr:spPr>
    </xdr:pic>
    <xdr:clientData/>
  </xdr:twoCellAnchor>
  <xdr:twoCellAnchor editAs="oneCell">
    <xdr:from>
      <xdr:col>9</xdr:col>
      <xdr:colOff>180975</xdr:colOff>
      <xdr:row>48</xdr:row>
      <xdr:rowOff>106840</xdr:rowOff>
    </xdr:from>
    <xdr:to>
      <xdr:col>15</xdr:col>
      <xdr:colOff>801259</xdr:colOff>
      <xdr:row>64</xdr:row>
      <xdr:rowOff>191174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7C5B0F7-0DC3-4153-BA67-FB0F93122B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810750" y="9708040"/>
          <a:ext cx="5649484" cy="328473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304800</xdr:colOff>
      <xdr:row>2</xdr:row>
      <xdr:rowOff>28575</xdr:rowOff>
    </xdr:from>
    <xdr:to>
      <xdr:col>20</xdr:col>
      <xdr:colOff>171450</xdr:colOff>
      <xdr:row>3</xdr:row>
      <xdr:rowOff>180975</xdr:rowOff>
    </xdr:to>
    <xdr:pic>
      <xdr:nvPicPr>
        <xdr:cNvPr id="1161" name="Picture 1">
          <a:extLst>
            <a:ext uri="{FF2B5EF4-FFF2-40B4-BE49-F238E27FC236}">
              <a16:creationId xmlns:a16="http://schemas.microsoft.com/office/drawing/2014/main" id="{65A205D0-1C45-4262-8876-45B177822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0125" y="428625"/>
          <a:ext cx="2381250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333375</xdr:colOff>
      <xdr:row>4</xdr:row>
      <xdr:rowOff>28575</xdr:rowOff>
    </xdr:from>
    <xdr:to>
      <xdr:col>19</xdr:col>
      <xdr:colOff>533400</xdr:colOff>
      <xdr:row>7</xdr:row>
      <xdr:rowOff>133350</xdr:rowOff>
    </xdr:to>
    <xdr:pic>
      <xdr:nvPicPr>
        <xdr:cNvPr id="1162" name="Picture 2">
          <a:extLst>
            <a:ext uri="{FF2B5EF4-FFF2-40B4-BE49-F238E27FC236}">
              <a16:creationId xmlns:a16="http://schemas.microsoft.com/office/drawing/2014/main" id="{67E38E37-C3CC-4824-87EA-F501A82911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78700" y="828675"/>
          <a:ext cx="1876425" cy="704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ansn.iaea.org/Common/Topics/OpenTopic.aspx?ID=13012" TargetMode="External"/><Relationship Id="rId1" Type="http://schemas.openxmlformats.org/officeDocument/2006/relationships/hyperlink" Target="https://www3.epa.gov/ttnchie1/le/lead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54"/>
  <sheetViews>
    <sheetView tabSelected="1" workbookViewId="0">
      <pane ySplit="1" topLeftCell="A2" activePane="bottomLeft" state="frozen"/>
      <selection pane="bottomLeft" activeCell="N22" sqref="N22"/>
    </sheetView>
  </sheetViews>
  <sheetFormatPr baseColWidth="10" defaultColWidth="8.83203125" defaultRowHeight="16" x14ac:dyDescent="0.2"/>
  <cols>
    <col min="1" max="1" width="10.83203125" style="1" customWidth="1"/>
    <col min="4" max="4" width="16.6640625" customWidth="1"/>
    <col min="5" max="5" width="19.83203125" customWidth="1"/>
    <col min="14" max="14" width="10.83203125" customWidth="1"/>
  </cols>
  <sheetData>
    <row r="1" spans="1:18" x14ac:dyDescent="0.2">
      <c r="A1" s="3" t="s">
        <v>0</v>
      </c>
      <c r="B1" s="2" t="s">
        <v>1</v>
      </c>
      <c r="C1" s="2" t="s">
        <v>2</v>
      </c>
      <c r="D1" s="2" t="s">
        <v>346</v>
      </c>
      <c r="E1" s="2" t="s">
        <v>347</v>
      </c>
      <c r="F1" s="2" t="s">
        <v>320</v>
      </c>
      <c r="G1" s="2" t="s">
        <v>321</v>
      </c>
      <c r="H1" s="2" t="s">
        <v>344</v>
      </c>
      <c r="I1" s="2" t="s">
        <v>343</v>
      </c>
      <c r="J1" s="2" t="s">
        <v>342</v>
      </c>
      <c r="K1" s="2" t="s">
        <v>345</v>
      </c>
      <c r="L1" s="29" t="s">
        <v>341</v>
      </c>
      <c r="N1" s="2" t="s">
        <v>348</v>
      </c>
      <c r="O1" s="2" t="s">
        <v>349</v>
      </c>
      <c r="P1" s="2"/>
    </row>
    <row r="2" spans="1:18" x14ac:dyDescent="0.2">
      <c r="A2" s="5" t="s">
        <v>4</v>
      </c>
      <c r="B2">
        <f>'Coordinate Conversions'!P2</f>
        <v>39.153888888888886</v>
      </c>
      <c r="C2">
        <f>'Coordinate Conversions'!Q2</f>
        <v>-86.509166666666673</v>
      </c>
      <c r="D2">
        <f>B2*PI()/180</f>
        <v>0.68336427607113537</v>
      </c>
      <c r="E2">
        <f>C2*PI()/180</f>
        <v>-1.5098697914898613</v>
      </c>
      <c r="F2">
        <f>ICPMS!G15</f>
        <v>110.20835091129982</v>
      </c>
      <c r="G2">
        <f>'XRF After Jan'!P8</f>
        <v>160</v>
      </c>
      <c r="H2">
        <f>SIN(D2)*SIN($N$2)</f>
        <v>0.39867633011093517</v>
      </c>
      <c r="I2">
        <f>COS(D2)*COS($N$2)*COS(ABS(E2-$O$2))</f>
        <v>0.60132366972098061</v>
      </c>
      <c r="J2">
        <f>6373*ACOS(H2+I2)</f>
        <v>0.11684829483373282</v>
      </c>
      <c r="K2">
        <f>LOG(G2)</f>
        <v>2.2041199826559246</v>
      </c>
      <c r="L2">
        <f>-2*LOG(J2)</f>
        <v>1.8647552417630877</v>
      </c>
      <c r="N2">
        <f>39.1543*PI()/180</f>
        <v>0.68337145131361576</v>
      </c>
      <c r="O2">
        <f>-86.50792*PI()/180</f>
        <v>-1.5098480330518529</v>
      </c>
      <c r="Q2">
        <f>N2*180/PI()</f>
        <v>39.154299999999999</v>
      </c>
      <c r="R2">
        <f>O2*180/PI()</f>
        <v>-86.507919999999999</v>
      </c>
    </row>
    <row r="3" spans="1:18" x14ac:dyDescent="0.2">
      <c r="A3" s="5" t="s">
        <v>5</v>
      </c>
      <c r="B3">
        <f>'Coordinate Conversions'!P3</f>
        <v>39.153888888888886</v>
      </c>
      <c r="C3">
        <f>'Coordinate Conversions'!Q3</f>
        <v>-86.51</v>
      </c>
      <c r="D3">
        <f t="shared" ref="D3:D31" si="0">B3*PI()/180</f>
        <v>0.68336427607113537</v>
      </c>
      <c r="E3">
        <f t="shared" ref="E3:E31" si="1">C3*PI()/180</f>
        <v>-1.5098843359002947</v>
      </c>
      <c r="G3">
        <f>'XRF After Jan'!P10</f>
        <v>150</v>
      </c>
      <c r="H3">
        <f t="shared" ref="H3:H31" si="2">SIN(D3)*SIN($N$2)</f>
        <v>0.39867633011093517</v>
      </c>
      <c r="I3">
        <f t="shared" ref="I3:I31" si="3">COS(D3)*COS($N$2)*COS(ABS(E3-$O$2))</f>
        <v>0.60132366946708149</v>
      </c>
      <c r="J3">
        <f t="shared" ref="J3:J31" si="4">6373*ACOS(H3+I3)</f>
        <v>0.18514268916543153</v>
      </c>
      <c r="K3">
        <f t="shared" ref="K3:K31" si="5">LOG(G3)</f>
        <v>2.1760912590556813</v>
      </c>
      <c r="L3">
        <f t="shared" ref="L3:L31" si="6">-2*LOG(J3)</f>
        <v>1.4649868650178752</v>
      </c>
    </row>
    <row r="4" spans="1:18" x14ac:dyDescent="0.2">
      <c r="A4" s="5" t="s">
        <v>6</v>
      </c>
      <c r="B4">
        <f>'Coordinate Conversions'!P4</f>
        <v>39.153888888888886</v>
      </c>
      <c r="C4">
        <f>'Coordinate Conversions'!Q4</f>
        <v>-86.511111111111106</v>
      </c>
      <c r="D4">
        <f t="shared" si="0"/>
        <v>0.68336427607113537</v>
      </c>
      <c r="E4">
        <f t="shared" si="1"/>
        <v>-1.5099037284475387</v>
      </c>
      <c r="F4">
        <f>ICPMS!G10</f>
        <v>128.10689464463553</v>
      </c>
      <c r="G4">
        <f>'XRF After Jan'!P9</f>
        <v>160</v>
      </c>
      <c r="H4">
        <f t="shared" si="2"/>
        <v>0.39867633011093517</v>
      </c>
      <c r="I4">
        <f t="shared" si="3"/>
        <v>0.60132366893067657</v>
      </c>
      <c r="J4">
        <f t="shared" si="4"/>
        <v>0.27901635336416541</v>
      </c>
      <c r="K4">
        <f t="shared" si="5"/>
        <v>2.2041199826559246</v>
      </c>
      <c r="L4">
        <f t="shared" si="6"/>
        <v>1.1087406832902134</v>
      </c>
    </row>
    <row r="5" spans="1:18" x14ac:dyDescent="0.2">
      <c r="A5" s="5" t="s">
        <v>7</v>
      </c>
      <c r="B5">
        <f>'Coordinate Conversions'!P5</f>
        <v>39.154722222222219</v>
      </c>
      <c r="C5">
        <f>'Coordinate Conversions'!Q5</f>
        <v>-86.509722222222223</v>
      </c>
      <c r="D5">
        <f t="shared" si="0"/>
        <v>0.68337882048156862</v>
      </c>
      <c r="E5">
        <f t="shared" si="1"/>
        <v>-1.5098794877634836</v>
      </c>
      <c r="G5">
        <f>'XRF After Jan'!P11</f>
        <v>150</v>
      </c>
      <c r="H5">
        <f t="shared" si="2"/>
        <v>0.39868345144087591</v>
      </c>
      <c r="I5">
        <f t="shared" si="3"/>
        <v>0.60131654823450087</v>
      </c>
      <c r="J5">
        <f t="shared" si="4"/>
        <v>0.16238604523470057</v>
      </c>
      <c r="K5">
        <f t="shared" si="5"/>
        <v>2.1760912590556813</v>
      </c>
      <c r="L5">
        <f t="shared" si="6"/>
        <v>1.5789025898197875</v>
      </c>
    </row>
    <row r="6" spans="1:18" x14ac:dyDescent="0.2">
      <c r="A6" s="5" t="s">
        <v>8</v>
      </c>
      <c r="B6">
        <f>'Coordinate Conversions'!P6</f>
        <v>39.154294999999998</v>
      </c>
      <c r="C6">
        <f>'Coordinate Conversions'!Q6</f>
        <v>-86.516672999999997</v>
      </c>
      <c r="D6">
        <f t="shared" si="0"/>
        <v>0.68337136404715315</v>
      </c>
      <c r="E6">
        <f t="shared" si="1"/>
        <v>-1.5100008017212798</v>
      </c>
      <c r="F6">
        <f>ICPMS!G16</f>
        <v>206.34881920847053</v>
      </c>
      <c r="G6">
        <f>'XRF After Jan'!P12</f>
        <v>480</v>
      </c>
      <c r="H6">
        <f t="shared" si="2"/>
        <v>0.39867980058292829</v>
      </c>
      <c r="I6">
        <f t="shared" si="3"/>
        <v>0.60132019240018253</v>
      </c>
      <c r="J6">
        <f t="shared" si="4"/>
        <v>0.75497266121455131</v>
      </c>
      <c r="K6">
        <f t="shared" si="5"/>
        <v>2.6812412373755872</v>
      </c>
      <c r="L6">
        <f t="shared" si="6"/>
        <v>0.24413754918832953</v>
      </c>
    </row>
    <row r="7" spans="1:18" x14ac:dyDescent="0.2">
      <c r="A7" s="5" t="s">
        <v>9</v>
      </c>
      <c r="B7">
        <f>'Coordinate Conversions'!P7</f>
        <v>39.155987000000003</v>
      </c>
      <c r="C7">
        <f>'Coordinate Conversions'!Q7</f>
        <v>-86.517837999999998</v>
      </c>
      <c r="D7">
        <f t="shared" si="0"/>
        <v>0.68340089501809698</v>
      </c>
      <c r="E7">
        <f t="shared" si="1"/>
        <v>-1.5100211348070656</v>
      </c>
      <c r="G7">
        <f>'XRF After Jan'!P13</f>
        <v>240</v>
      </c>
      <c r="H7">
        <f t="shared" si="2"/>
        <v>0.39869425955956705</v>
      </c>
      <c r="I7">
        <f t="shared" si="3"/>
        <v>0.601305730998139</v>
      </c>
      <c r="J7">
        <f t="shared" si="4"/>
        <v>0.87578534733742375</v>
      </c>
      <c r="K7">
        <f t="shared" si="5"/>
        <v>2.3802112417116059</v>
      </c>
      <c r="L7">
        <f t="shared" si="6"/>
        <v>0.11520465042694125</v>
      </c>
    </row>
    <row r="8" spans="1:18" x14ac:dyDescent="0.2">
      <c r="A8" s="5" t="s">
        <v>10</v>
      </c>
      <c r="B8">
        <f>'Coordinate Conversions'!P8</f>
        <v>39.154444444444444</v>
      </c>
      <c r="C8">
        <f>'Coordinate Conversions'!Q8</f>
        <v>-86.509166666666673</v>
      </c>
      <c r="D8">
        <f t="shared" si="0"/>
        <v>0.6833739723447575</v>
      </c>
      <c r="E8">
        <f t="shared" si="1"/>
        <v>-1.5098697914898613</v>
      </c>
      <c r="G8">
        <f>'XRF After Jan'!P14</f>
        <v>180</v>
      </c>
      <c r="H8">
        <f t="shared" si="2"/>
        <v>0.39868107767359978</v>
      </c>
      <c r="I8">
        <f t="shared" si="3"/>
        <v>0.60131892218088145</v>
      </c>
      <c r="J8">
        <f t="shared" si="4"/>
        <v>0.10872222500765316</v>
      </c>
      <c r="K8">
        <f t="shared" si="5"/>
        <v>2.255272505103306</v>
      </c>
      <c r="L8">
        <f t="shared" si="6"/>
        <v>1.9273633366376197</v>
      </c>
    </row>
    <row r="9" spans="1:18" x14ac:dyDescent="0.2">
      <c r="A9" s="5" t="s">
        <v>11</v>
      </c>
      <c r="B9">
        <f>'Coordinate Conversions'!P9</f>
        <v>39.154860599999999</v>
      </c>
      <c r="C9">
        <f>'Coordinate Conversions'!Q9</f>
        <v>-86.511965200000006</v>
      </c>
      <c r="D9">
        <f t="shared" si="0"/>
        <v>0.68338123562940245</v>
      </c>
      <c r="E9">
        <f t="shared" si="1"/>
        <v>-1.5099186351107545</v>
      </c>
    </row>
    <row r="10" spans="1:18" x14ac:dyDescent="0.2">
      <c r="A10" s="5" t="s">
        <v>12</v>
      </c>
      <c r="B10">
        <f>'Coordinate Conversions'!P10</f>
        <v>39.154444444444444</v>
      </c>
      <c r="C10">
        <f>'Coordinate Conversions'!Q10</f>
        <v>-86.508611111111108</v>
      </c>
      <c r="D10">
        <f t="shared" si="0"/>
        <v>0.6833739723447575</v>
      </c>
      <c r="E10">
        <f t="shared" si="1"/>
        <v>-1.5098600952162391</v>
      </c>
      <c r="F10">
        <f>ICPMS!G12</f>
        <v>157.27299357904923</v>
      </c>
      <c r="G10">
        <f>'XRF After Jan'!P16</f>
        <v>170</v>
      </c>
      <c r="H10">
        <f t="shared" si="2"/>
        <v>0.39868107767359978</v>
      </c>
      <c r="I10">
        <f t="shared" si="3"/>
        <v>0.60131892227947781</v>
      </c>
      <c r="J10">
        <f t="shared" si="4"/>
        <v>6.1737541351420955E-2</v>
      </c>
      <c r="K10">
        <f t="shared" si="5"/>
        <v>2.2304489213782741</v>
      </c>
      <c r="L10">
        <f t="shared" si="6"/>
        <v>2.4189013398851138</v>
      </c>
    </row>
    <row r="11" spans="1:18" x14ac:dyDescent="0.2">
      <c r="A11" s="5" t="s">
        <v>13</v>
      </c>
      <c r="B11">
        <f>'Coordinate Conversions'!P11</f>
        <v>39.155277777777776</v>
      </c>
      <c r="C11">
        <f>'Coordinate Conversions'!Q11</f>
        <v>-86.522777777777776</v>
      </c>
      <c r="D11">
        <f t="shared" si="0"/>
        <v>0.68338851675519074</v>
      </c>
      <c r="E11">
        <f t="shared" si="1"/>
        <v>-1.5101073501936049</v>
      </c>
      <c r="G11">
        <f>'XRF After Jan'!P17</f>
        <v>360</v>
      </c>
      <c r="H11">
        <f t="shared" si="2"/>
        <v>0.39868819894731566</v>
      </c>
      <c r="I11">
        <f t="shared" si="3"/>
        <v>0.60131178068934954</v>
      </c>
      <c r="J11">
        <f t="shared" si="4"/>
        <v>1.2861255556299502</v>
      </c>
      <c r="K11">
        <f t="shared" si="5"/>
        <v>2.5563025007672873</v>
      </c>
      <c r="L11">
        <f t="shared" si="6"/>
        <v>-0.21856673570761856</v>
      </c>
    </row>
    <row r="12" spans="1:18" x14ac:dyDescent="0.2">
      <c r="A12" s="5" t="s">
        <v>14</v>
      </c>
      <c r="B12">
        <f>'Coordinate Conversions'!P12</f>
        <v>39.154166666666669</v>
      </c>
      <c r="C12">
        <f>'Coordinate Conversions'!Q12</f>
        <v>-86.517499999999998</v>
      </c>
      <c r="D12">
        <f t="shared" si="0"/>
        <v>0.68336912420794649</v>
      </c>
      <c r="E12">
        <f t="shared" si="1"/>
        <v>-1.5100152355941938</v>
      </c>
      <c r="F12">
        <f>ICPMS!G14</f>
        <v>52.932173393424321</v>
      </c>
      <c r="G12">
        <f>'XRF After Jan'!P18</f>
        <v>150</v>
      </c>
      <c r="H12">
        <f t="shared" si="2"/>
        <v>0.39867870389695281</v>
      </c>
      <c r="I12">
        <f t="shared" si="3"/>
        <v>0.60132128769486293</v>
      </c>
      <c r="J12">
        <f t="shared" si="4"/>
        <v>0.82643752195981901</v>
      </c>
      <c r="K12">
        <f t="shared" si="5"/>
        <v>2.1760912590556813</v>
      </c>
      <c r="L12">
        <f t="shared" si="6"/>
        <v>0.16557994635981552</v>
      </c>
    </row>
    <row r="13" spans="1:18" x14ac:dyDescent="0.2">
      <c r="A13" s="5" t="s">
        <v>15</v>
      </c>
      <c r="B13">
        <f>'Coordinate Conversions'!P13</f>
        <v>39.154852599999998</v>
      </c>
      <c r="C13">
        <f>'Coordinate Conversions'!Q13</f>
        <v>-86.512679700000007</v>
      </c>
      <c r="D13">
        <f t="shared" si="0"/>
        <v>0.68338109600306218</v>
      </c>
      <c r="E13">
        <f t="shared" si="1"/>
        <v>-1.5099311054882603</v>
      </c>
      <c r="G13">
        <f>'XRF After Jan'!P19</f>
        <v>170</v>
      </c>
      <c r="H13">
        <f t="shared" si="2"/>
        <v>0.39868456558905324</v>
      </c>
      <c r="I13">
        <f t="shared" si="3"/>
        <v>0.60131543228958884</v>
      </c>
      <c r="J13">
        <f t="shared" si="4"/>
        <v>0.41511258224413883</v>
      </c>
      <c r="K13">
        <f t="shared" si="5"/>
        <v>2.2304489213782741</v>
      </c>
      <c r="L13">
        <f t="shared" si="6"/>
        <v>0.763668205532123</v>
      </c>
    </row>
    <row r="14" spans="1:18" x14ac:dyDescent="0.2">
      <c r="A14" s="5" t="s">
        <v>16</v>
      </c>
      <c r="B14">
        <f>'Coordinate Conversions'!P14</f>
        <v>39.154722222222219</v>
      </c>
      <c r="C14">
        <f>'Coordinate Conversions'!Q14</f>
        <v>-86.517777777777781</v>
      </c>
      <c r="D14">
        <f t="shared" si="0"/>
        <v>0.68337882048156862</v>
      </c>
      <c r="E14">
        <f t="shared" si="1"/>
        <v>-1.5100200837310049</v>
      </c>
      <c r="G14">
        <f>'XRF After Jan'!P20</f>
        <v>390</v>
      </c>
      <c r="H14">
        <f t="shared" si="2"/>
        <v>0.39868345144087591</v>
      </c>
      <c r="I14">
        <f t="shared" si="3"/>
        <v>0.60131653963205511</v>
      </c>
      <c r="J14">
        <f t="shared" si="4"/>
        <v>0.85155629111296105</v>
      </c>
      <c r="K14">
        <f t="shared" si="5"/>
        <v>2.5910646070264991</v>
      </c>
      <c r="L14">
        <f t="shared" si="6"/>
        <v>0.13957327646745996</v>
      </c>
    </row>
    <row r="15" spans="1:18" x14ac:dyDescent="0.2">
      <c r="A15" s="5" t="s">
        <v>17</v>
      </c>
      <c r="B15">
        <f>'Coordinate Conversions'!P15</f>
        <v>39.157222222222224</v>
      </c>
      <c r="C15">
        <f>'Coordinate Conversions'!Q15</f>
        <v>-86.522499999999994</v>
      </c>
      <c r="D15">
        <f t="shared" si="0"/>
        <v>0.68342245371286847</v>
      </c>
      <c r="E15">
        <f t="shared" si="1"/>
        <v>-1.5101025020567937</v>
      </c>
      <c r="G15">
        <f>'XRF After Jan'!P21</f>
        <v>150</v>
      </c>
      <c r="H15">
        <f t="shared" si="2"/>
        <v>0.39870481492466747</v>
      </c>
      <c r="I15">
        <f t="shared" si="3"/>
        <v>0.60129516430643337</v>
      </c>
      <c r="J15">
        <f t="shared" si="4"/>
        <v>1.2988699098293928</v>
      </c>
      <c r="K15">
        <f t="shared" si="5"/>
        <v>2.1760912590556813</v>
      </c>
      <c r="L15">
        <f t="shared" si="6"/>
        <v>-0.22713131173429105</v>
      </c>
    </row>
    <row r="16" spans="1:18" x14ac:dyDescent="0.2">
      <c r="A16" s="5" t="s">
        <v>18</v>
      </c>
      <c r="B16">
        <f>'Coordinate Conversions'!P16</f>
        <v>39.156944444444441</v>
      </c>
      <c r="C16">
        <f>'Coordinate Conversions'!Q16</f>
        <v>-86.524444444444441</v>
      </c>
      <c r="D16">
        <f t="shared" si="0"/>
        <v>0.68341760557605735</v>
      </c>
      <c r="E16">
        <f t="shared" si="1"/>
        <v>-1.5101364390144714</v>
      </c>
      <c r="G16">
        <f>'XRF After Jan'!P22</f>
        <v>180</v>
      </c>
      <c r="H16">
        <f t="shared" si="2"/>
        <v>0.39870244124173071</v>
      </c>
      <c r="I16">
        <f t="shared" si="3"/>
        <v>0.60129753268579755</v>
      </c>
      <c r="J16">
        <f t="shared" si="4"/>
        <v>1.4552915910928645</v>
      </c>
      <c r="K16">
        <f t="shared" si="5"/>
        <v>2.255272505103306</v>
      </c>
      <c r="L16">
        <f t="shared" si="6"/>
        <v>-0.32590003986025778</v>
      </c>
    </row>
    <row r="17" spans="1:20" x14ac:dyDescent="0.2">
      <c r="A17" s="5" t="s">
        <v>19</v>
      </c>
      <c r="B17">
        <f>'Coordinate Conversions'!P17</f>
        <v>39.158055555555556</v>
      </c>
      <c r="C17">
        <f>'Coordinate Conversions'!Q17</f>
        <v>-86.52</v>
      </c>
      <c r="D17">
        <f t="shared" si="0"/>
        <v>0.68343699812330183</v>
      </c>
      <c r="E17">
        <f t="shared" si="1"/>
        <v>-1.5100588688254937</v>
      </c>
      <c r="G17">
        <f>'XRF After Jan'!P23</f>
        <v>370</v>
      </c>
      <c r="H17">
        <f t="shared" si="2"/>
        <v>0.3987119359172494</v>
      </c>
      <c r="I17">
        <f t="shared" si="3"/>
        <v>0.60128804857041318</v>
      </c>
      <c r="J17">
        <f t="shared" si="4"/>
        <v>1.1225289188371848</v>
      </c>
      <c r="K17">
        <f t="shared" si="5"/>
        <v>2.568201724066995</v>
      </c>
      <c r="L17">
        <f t="shared" si="6"/>
        <v>-0.10039507641911069</v>
      </c>
      <c r="Q17" s="36" t="s">
        <v>383</v>
      </c>
    </row>
    <row r="18" spans="1:20" x14ac:dyDescent="0.2">
      <c r="A18" s="5" t="s">
        <v>20</v>
      </c>
      <c r="B18">
        <f>'Coordinate Conversions'!P18</f>
        <v>39.157499999999999</v>
      </c>
      <c r="C18">
        <f>'Coordinate Conversions'!Q18</f>
        <v>-86.513611111111118</v>
      </c>
      <c r="D18">
        <f t="shared" si="0"/>
        <v>0.68342730184967959</v>
      </c>
      <c r="E18">
        <f t="shared" si="1"/>
        <v>-1.5099473616788388</v>
      </c>
      <c r="G18">
        <f>'XRF After Jan'!P24</f>
        <v>660</v>
      </c>
      <c r="H18">
        <f t="shared" si="2"/>
        <v>0.39870718859823279</v>
      </c>
      <c r="I18">
        <f t="shared" si="3"/>
        <v>0.60129280687589559</v>
      </c>
      <c r="J18">
        <f t="shared" si="4"/>
        <v>0.60633136510501107</v>
      </c>
      <c r="K18">
        <f t="shared" si="5"/>
        <v>2.8195439355418688</v>
      </c>
      <c r="L18">
        <f t="shared" si="6"/>
        <v>0.43457993085744911</v>
      </c>
    </row>
    <row r="19" spans="1:20" x14ac:dyDescent="0.2">
      <c r="A19" s="5" t="s">
        <v>21</v>
      </c>
      <c r="B19">
        <f>'Coordinate Conversions'!P19</f>
        <v>39.155277777777776</v>
      </c>
      <c r="C19">
        <f>'Coordinate Conversions'!Q19</f>
        <v>-86.51</v>
      </c>
      <c r="D19">
        <f t="shared" si="0"/>
        <v>0.68338851675519074</v>
      </c>
      <c r="E19">
        <f t="shared" si="1"/>
        <v>-1.5098843359002947</v>
      </c>
      <c r="F19">
        <f>ICPMS!G19</f>
        <v>280.70347629188325</v>
      </c>
      <c r="G19">
        <f>'XRF After Jan'!P25</f>
        <v>210</v>
      </c>
      <c r="H19">
        <f t="shared" si="2"/>
        <v>0.39868819894731566</v>
      </c>
      <c r="I19">
        <f t="shared" si="3"/>
        <v>0.60131180051083621</v>
      </c>
      <c r="J19">
        <f t="shared" si="4"/>
        <v>0.20979624101683902</v>
      </c>
      <c r="K19">
        <f t="shared" si="5"/>
        <v>2.3222192947339191</v>
      </c>
      <c r="L19">
        <f t="shared" si="6"/>
        <v>1.3564045949185668</v>
      </c>
      <c r="Q19" s="40" t="s">
        <v>382</v>
      </c>
      <c r="R19" s="40"/>
      <c r="S19" s="40"/>
      <c r="T19" s="40"/>
    </row>
    <row r="20" spans="1:20" x14ac:dyDescent="0.2">
      <c r="A20" s="5" t="s">
        <v>22</v>
      </c>
      <c r="B20">
        <f>'Coordinate Conversions'!P20</f>
        <v>39.156629000000002</v>
      </c>
      <c r="C20">
        <f>'Coordinate Conversions'!Q20</f>
        <v>-86.514739000000006</v>
      </c>
      <c r="D20">
        <f t="shared" si="0"/>
        <v>0.68341210003189479</v>
      </c>
      <c r="E20">
        <f t="shared" si="1"/>
        <v>-1.5099670470535465</v>
      </c>
      <c r="G20">
        <f>'XRF After Jan'!P26</f>
        <v>1190</v>
      </c>
      <c r="H20">
        <f t="shared" si="2"/>
        <v>0.39869974567602434</v>
      </c>
      <c r="I20">
        <f t="shared" si="3"/>
        <v>0.60130024923930814</v>
      </c>
      <c r="J20">
        <f t="shared" si="4"/>
        <v>0.64267321352429518</v>
      </c>
      <c r="K20">
        <f t="shared" si="5"/>
        <v>3.0755469613925306</v>
      </c>
      <c r="L20">
        <f t="shared" si="6"/>
        <v>0.38401960201837798</v>
      </c>
      <c r="Q20" t="s">
        <v>380</v>
      </c>
      <c r="R20" s="37" t="s">
        <v>341</v>
      </c>
      <c r="S20" s="38" t="s">
        <v>345</v>
      </c>
      <c r="T20" s="38" t="s">
        <v>323</v>
      </c>
    </row>
    <row r="21" spans="1:20" x14ac:dyDescent="0.2">
      <c r="A21" s="5" t="s">
        <v>23</v>
      </c>
      <c r="B21">
        <f>'Coordinate Conversions'!P21</f>
        <v>39.156491000000003</v>
      </c>
      <c r="C21">
        <f>'Coordinate Conversions'!Q21</f>
        <v>-86.513976999999997</v>
      </c>
      <c r="D21">
        <f t="shared" si="0"/>
        <v>0.68340969147752695</v>
      </c>
      <c r="E21">
        <f t="shared" si="1"/>
        <v>-1.5099537476446463</v>
      </c>
      <c r="G21">
        <f>'XRF After Jan'!P27</f>
        <v>160</v>
      </c>
      <c r="H21">
        <f t="shared" si="2"/>
        <v>0.39869856642157009</v>
      </c>
      <c r="I21">
        <f t="shared" si="3"/>
        <v>0.60130142948733012</v>
      </c>
      <c r="J21">
        <f t="shared" si="4"/>
        <v>0.57647297582392021</v>
      </c>
      <c r="K21">
        <f t="shared" si="5"/>
        <v>2.2041199826559246</v>
      </c>
      <c r="L21">
        <f t="shared" si="6"/>
        <v>0.47844209391337306</v>
      </c>
      <c r="N21" s="30" t="s">
        <v>387</v>
      </c>
      <c r="O21">
        <f>10^INTERCEPT(K2:K31,L2:L31)</f>
        <v>277.56163310990524</v>
      </c>
      <c r="Q21">
        <v>2.5000000000000001E-2</v>
      </c>
      <c r="R21">
        <f>2*LOG(Q21)</f>
        <v>-3.2041199826559246</v>
      </c>
      <c r="S21">
        <f>$O$22*R21+$O$23</f>
        <v>2.8695131597850443</v>
      </c>
      <c r="T21">
        <f>10^S21</f>
        <v>740.47970477514605</v>
      </c>
    </row>
    <row r="22" spans="1:20" x14ac:dyDescent="0.2">
      <c r="A22" s="5" t="s">
        <v>24</v>
      </c>
      <c r="B22">
        <f>'Coordinate Conversions'!P22</f>
        <v>39.155779899999999</v>
      </c>
      <c r="C22">
        <f>'Coordinate Conversions'!Q22</f>
        <v>-86.512784600000003</v>
      </c>
      <c r="D22">
        <f t="shared" si="0"/>
        <v>0.68339728044121595</v>
      </c>
      <c r="E22">
        <f t="shared" si="1"/>
        <v>-1.5099329363386456</v>
      </c>
      <c r="F22">
        <f>ICPMS!G11</f>
        <v>112.95762888316852</v>
      </c>
      <c r="G22">
        <f>'XRF After Jan'!P28</f>
        <v>160</v>
      </c>
      <c r="H22">
        <f t="shared" si="2"/>
        <v>0.3986924898063367</v>
      </c>
      <c r="I22">
        <f t="shared" si="3"/>
        <v>0.60130750769280827</v>
      </c>
      <c r="J22">
        <f t="shared" si="4"/>
        <v>0.45071621153225583</v>
      </c>
      <c r="K22">
        <f t="shared" si="5"/>
        <v>2.2041199826559246</v>
      </c>
      <c r="L22">
        <f t="shared" si="6"/>
        <v>0.69219364155770646</v>
      </c>
      <c r="N22" t="s">
        <v>317</v>
      </c>
      <c r="O22">
        <f>SLOPE(K2:K31,L2:L31)</f>
        <v>-0.13300180017462468</v>
      </c>
      <c r="Q22">
        <f>Q21+0.05</f>
        <v>7.5000000000000011E-2</v>
      </c>
      <c r="R22">
        <f t="shared" ref="R22:R54" si="7">2*LOG(Q22)</f>
        <v>-2.2498774732165998</v>
      </c>
      <c r="S22">
        <f t="shared" ref="S22:S54" si="8">$O$22*R22+$O$23</f>
        <v>2.7425971882264628</v>
      </c>
      <c r="T22">
        <f t="shared" ref="T22:T54" si="9">10^S22</f>
        <v>552.83711029176106</v>
      </c>
    </row>
    <row r="23" spans="1:20" x14ac:dyDescent="0.2">
      <c r="A23" s="5" t="s">
        <v>25</v>
      </c>
      <c r="B23">
        <f>'Coordinate Conversions'!P23</f>
        <v>39.1548874</v>
      </c>
      <c r="C23">
        <f>'Coordinate Conversions'!Q23</f>
        <v>-86.510439700000006</v>
      </c>
      <c r="D23">
        <f t="shared" si="0"/>
        <v>0.68338170337764192</v>
      </c>
      <c r="E23">
        <f t="shared" si="1"/>
        <v>-1.5098920101130158</v>
      </c>
      <c r="G23">
        <f>'XRF After Jan'!P29</f>
        <v>170</v>
      </c>
      <c r="H23">
        <f t="shared" si="2"/>
        <v>0.39868486297340611</v>
      </c>
      <c r="I23">
        <f t="shared" si="3"/>
        <v>0.60131513639257517</v>
      </c>
      <c r="J23">
        <f t="shared" si="4"/>
        <v>0.22693942964666292</v>
      </c>
      <c r="K23">
        <f t="shared" si="5"/>
        <v>2.2304489213782741</v>
      </c>
      <c r="L23">
        <f t="shared" si="6"/>
        <v>1.2881800819166034</v>
      </c>
      <c r="N23" t="s">
        <v>318</v>
      </c>
      <c r="O23">
        <f>INTERCEPT(K2:K31,L2:L31)</f>
        <v>2.443359434116319</v>
      </c>
      <c r="Q23">
        <f t="shared" ref="Q23:Q53" si="10">Q22+0.05</f>
        <v>0.125</v>
      </c>
      <c r="R23">
        <f t="shared" si="7"/>
        <v>-1.8061799739838871</v>
      </c>
      <c r="S23">
        <f t="shared" si="8"/>
        <v>2.6835846220955326</v>
      </c>
      <c r="T23">
        <f t="shared" si="9"/>
        <v>482.59700472068926</v>
      </c>
    </row>
    <row r="24" spans="1:20" x14ac:dyDescent="0.2">
      <c r="A24" s="5" t="s">
        <v>26</v>
      </c>
      <c r="B24">
        <f>'Coordinate Conversions'!P24</f>
        <v>39.155555555555551</v>
      </c>
      <c r="C24">
        <f>'Coordinate Conversions'!Q24</f>
        <v>-86.511111111111106</v>
      </c>
      <c r="D24">
        <f t="shared" si="0"/>
        <v>0.68339336489200175</v>
      </c>
      <c r="E24">
        <f t="shared" si="1"/>
        <v>-1.5099037284475387</v>
      </c>
      <c r="F24">
        <f>ICPMS!G18</f>
        <v>116.02406383065333</v>
      </c>
      <c r="G24">
        <f>'XRF After Jan'!P30</f>
        <v>80</v>
      </c>
      <c r="H24">
        <f t="shared" si="2"/>
        <v>0.39869057268647912</v>
      </c>
      <c r="I24">
        <f t="shared" si="3"/>
        <v>0.6013094261407943</v>
      </c>
      <c r="J24">
        <f t="shared" si="4"/>
        <v>0.30864361791464678</v>
      </c>
      <c r="K24">
        <f t="shared" si="5"/>
        <v>1.9030899869919435</v>
      </c>
      <c r="L24">
        <f t="shared" si="6"/>
        <v>1.0210853977573149</v>
      </c>
      <c r="Q24">
        <f t="shared" si="10"/>
        <v>0.17499999999999999</v>
      </c>
      <c r="R24">
        <f t="shared" si="7"/>
        <v>-1.5139239026274112</v>
      </c>
      <c r="S24">
        <f t="shared" si="8"/>
        <v>2.644714038493158</v>
      </c>
      <c r="T24">
        <f t="shared" si="9"/>
        <v>441.27979068395211</v>
      </c>
    </row>
    <row r="25" spans="1:20" x14ac:dyDescent="0.2">
      <c r="A25" s="5" t="s">
        <v>27</v>
      </c>
      <c r="B25">
        <f>'Coordinate Conversions'!P25</f>
        <v>39.155555555555551</v>
      </c>
      <c r="C25">
        <f>'Coordinate Conversions'!Q25</f>
        <v>-86.511944444444438</v>
      </c>
      <c r="D25">
        <f t="shared" si="0"/>
        <v>0.68339336489200175</v>
      </c>
      <c r="E25">
        <f t="shared" si="1"/>
        <v>-1.5099182728579721</v>
      </c>
      <c r="G25">
        <f>'XRF After Jan'!P31</f>
        <v>140</v>
      </c>
      <c r="H25">
        <f t="shared" si="2"/>
        <v>0.39869057268647912</v>
      </c>
      <c r="I25">
        <f t="shared" si="3"/>
        <v>0.60130942559009914</v>
      </c>
      <c r="J25">
        <f t="shared" si="4"/>
        <v>0.37415771075002979</v>
      </c>
      <c r="K25">
        <f t="shared" si="5"/>
        <v>2.1461280356782382</v>
      </c>
      <c r="L25">
        <f t="shared" si="6"/>
        <v>0.85389060056553201</v>
      </c>
      <c r="N25" s="41" t="s">
        <v>382</v>
      </c>
      <c r="O25" s="41"/>
      <c r="Q25">
        <f t="shared" si="10"/>
        <v>0.22499999999999998</v>
      </c>
      <c r="R25">
        <f t="shared" si="7"/>
        <v>-1.2956349637772751</v>
      </c>
      <c r="S25">
        <f t="shared" si="8"/>
        <v>2.6156812166678813</v>
      </c>
      <c r="T25">
        <f t="shared" si="9"/>
        <v>412.74442573487107</v>
      </c>
    </row>
    <row r="26" spans="1:20" x14ac:dyDescent="0.2">
      <c r="A26" s="5" t="s">
        <v>28</v>
      </c>
      <c r="B26">
        <f>'Coordinate Conversions'!P26</f>
        <v>39.155555555555551</v>
      </c>
      <c r="C26">
        <f>'Coordinate Conversions'!Q26</f>
        <v>-86.514166666666668</v>
      </c>
      <c r="D26">
        <f t="shared" si="0"/>
        <v>0.68339336489200175</v>
      </c>
      <c r="E26">
        <f t="shared" si="1"/>
        <v>-1.5099570579524608</v>
      </c>
      <c r="G26">
        <f>'XRF After Jan'!P32</f>
        <v>270</v>
      </c>
      <c r="H26">
        <f t="shared" si="2"/>
        <v>0.39869057268647912</v>
      </c>
      <c r="I26">
        <f t="shared" si="3"/>
        <v>0.60130942349970751</v>
      </c>
      <c r="J26">
        <f t="shared" si="4"/>
        <v>0.55659414721170375</v>
      </c>
      <c r="K26">
        <f t="shared" si="5"/>
        <v>2.4313637641589874</v>
      </c>
      <c r="L26">
        <f t="shared" si="6"/>
        <v>0.50892272948230211</v>
      </c>
      <c r="N26" s="9" t="s">
        <v>378</v>
      </c>
      <c r="O26" s="9">
        <f>AVERAGE(T21:T69)</f>
        <v>325.28932157027742</v>
      </c>
      <c r="Q26">
        <f t="shared" si="10"/>
        <v>0.27499999999999997</v>
      </c>
      <c r="R26">
        <f t="shared" si="7"/>
        <v>-1.1213346123394747</v>
      </c>
      <c r="S26">
        <f t="shared" si="8"/>
        <v>2.592498956155584</v>
      </c>
      <c r="T26">
        <f t="shared" si="9"/>
        <v>391.29018664387615</v>
      </c>
    </row>
    <row r="27" spans="1:20" x14ac:dyDescent="0.2">
      <c r="A27" s="5" t="s">
        <v>29</v>
      </c>
      <c r="B27">
        <f>'Coordinate Conversions'!P27</f>
        <v>39.154444444444444</v>
      </c>
      <c r="C27">
        <f>'Coordinate Conversions'!Q27</f>
        <v>-86.515277777777783</v>
      </c>
      <c r="D27">
        <f t="shared" si="0"/>
        <v>0.6833739723447575</v>
      </c>
      <c r="E27">
        <f t="shared" si="1"/>
        <v>-1.5099764504997053</v>
      </c>
      <c r="G27">
        <f>'XRF After Jan'!P33</f>
        <v>170</v>
      </c>
      <c r="H27">
        <f t="shared" si="2"/>
        <v>0.39868107767359978</v>
      </c>
      <c r="I27">
        <f t="shared" si="3"/>
        <v>0.60131891736503496</v>
      </c>
      <c r="J27">
        <f t="shared" si="4"/>
        <v>0.6348330372575286</v>
      </c>
      <c r="K27">
        <f t="shared" si="5"/>
        <v>2.2304489213782741</v>
      </c>
      <c r="L27">
        <f t="shared" si="6"/>
        <v>0.39468096054106783</v>
      </c>
      <c r="N27" s="9" t="s">
        <v>313</v>
      </c>
      <c r="O27" s="9">
        <f>MEDIAN(T21:T69)</f>
        <v>289.86617629711236</v>
      </c>
      <c r="Q27">
        <f t="shared" si="10"/>
        <v>0.32499999999999996</v>
      </c>
      <c r="R27">
        <f t="shared" si="7"/>
        <v>-0.97623327804225135</v>
      </c>
      <c r="S27">
        <f t="shared" si="8"/>
        <v>2.5732002174863133</v>
      </c>
      <c r="T27">
        <f t="shared" si="9"/>
        <v>374.28309967452748</v>
      </c>
    </row>
    <row r="28" spans="1:20" x14ac:dyDescent="0.2">
      <c r="A28" s="5" t="s">
        <v>30</v>
      </c>
      <c r="B28">
        <f>'Coordinate Conversions'!P28</f>
        <v>39.156111111111109</v>
      </c>
      <c r="C28">
        <f>'Coordinate Conversions'!Q28</f>
        <v>-86.515555555555551</v>
      </c>
      <c r="D28">
        <f t="shared" si="0"/>
        <v>0.68340306116562399</v>
      </c>
      <c r="E28">
        <f t="shared" si="1"/>
        <v>-1.5099812986365164</v>
      </c>
      <c r="F28">
        <f>ICPMS!G17</f>
        <v>82.226082955246468</v>
      </c>
      <c r="G28">
        <f>'XRF After Jan'!P34</f>
        <v>330</v>
      </c>
      <c r="H28">
        <f t="shared" si="2"/>
        <v>0.39869532013669312</v>
      </c>
      <c r="I28">
        <f t="shared" si="3"/>
        <v>0.60130467402421528</v>
      </c>
      <c r="J28">
        <f t="shared" si="4"/>
        <v>0.68870234648377293</v>
      </c>
      <c r="K28">
        <f t="shared" si="5"/>
        <v>2.5185139398778875</v>
      </c>
      <c r="L28">
        <f t="shared" si="6"/>
        <v>0.3239368746472821</v>
      </c>
      <c r="N28" s="9" t="s">
        <v>379</v>
      </c>
      <c r="O28" s="9">
        <f>MIN(T21:T69)</f>
        <v>241.97510543245508</v>
      </c>
      <c r="Q28">
        <f t="shared" si="10"/>
        <v>0.37499999999999994</v>
      </c>
      <c r="R28">
        <f t="shared" si="7"/>
        <v>-0.85193746454456243</v>
      </c>
      <c r="S28">
        <f t="shared" si="8"/>
        <v>2.5566686505369511</v>
      </c>
      <c r="T28">
        <f t="shared" si="9"/>
        <v>360.30364074091796</v>
      </c>
    </row>
    <row r="29" spans="1:20" x14ac:dyDescent="0.2">
      <c r="A29" s="5" t="s">
        <v>31</v>
      </c>
      <c r="B29">
        <f>'Coordinate Conversions'!P29</f>
        <v>39.154722222222219</v>
      </c>
      <c r="C29">
        <f>'Coordinate Conversions'!Q29</f>
        <v>-86.512777777777771</v>
      </c>
      <c r="D29">
        <f t="shared" si="0"/>
        <v>0.68337882048156862</v>
      </c>
      <c r="E29">
        <f t="shared" si="1"/>
        <v>-1.5099328172684052</v>
      </c>
      <c r="G29">
        <f>'XRF After Jan'!P35</f>
        <v>290</v>
      </c>
      <c r="H29">
        <f t="shared" si="2"/>
        <v>0.39868345144087591</v>
      </c>
      <c r="I29">
        <f t="shared" si="3"/>
        <v>0.60131654637073084</v>
      </c>
      <c r="J29">
        <f t="shared" si="4"/>
        <v>0.42162038365331611</v>
      </c>
      <c r="K29">
        <f t="shared" si="5"/>
        <v>2.4623979978989561</v>
      </c>
      <c r="L29">
        <f t="shared" si="6"/>
        <v>0.7501568017857011</v>
      </c>
      <c r="N29" s="9" t="s">
        <v>314</v>
      </c>
      <c r="O29" s="9">
        <f>MAX(T21:T69)</f>
        <v>740.47970477514605</v>
      </c>
      <c r="Q29">
        <f t="shared" si="10"/>
        <v>0.42499999999999993</v>
      </c>
      <c r="R29">
        <f t="shared" si="7"/>
        <v>-0.74322213989937702</v>
      </c>
      <c r="S29">
        <f t="shared" si="8"/>
        <v>2.5422093166525728</v>
      </c>
      <c r="T29">
        <f t="shared" si="9"/>
        <v>348.50524342902941</v>
      </c>
    </row>
    <row r="30" spans="1:20" x14ac:dyDescent="0.2">
      <c r="A30" s="5" t="s">
        <v>32</v>
      </c>
      <c r="B30">
        <f>'Coordinate Conversions'!P30</f>
        <v>39.157222222222224</v>
      </c>
      <c r="C30">
        <f>'Coordinate Conversions'!Q30</f>
        <v>-86.517777777777781</v>
      </c>
      <c r="D30">
        <f t="shared" si="0"/>
        <v>0.68342245371286847</v>
      </c>
      <c r="E30">
        <f t="shared" si="1"/>
        <v>-1.5100200837310049</v>
      </c>
      <c r="Q30">
        <f t="shared" si="10"/>
        <v>0.47499999999999992</v>
      </c>
      <c r="R30">
        <f t="shared" si="7"/>
        <v>-0.64661278075026696</v>
      </c>
      <c r="S30">
        <f>$O$22*R30+$O$23</f>
        <v>2.5293600979720243</v>
      </c>
      <c r="T30">
        <f t="shared" si="9"/>
        <v>338.34526101041644</v>
      </c>
    </row>
    <row r="31" spans="1:20" x14ac:dyDescent="0.2">
      <c r="A31" s="5" t="s">
        <v>33</v>
      </c>
      <c r="B31">
        <f>'Coordinate Conversions'!P31</f>
        <v>39.154444444444444</v>
      </c>
      <c r="C31">
        <f>'Coordinate Conversions'!Q31</f>
        <v>-86.520277777777778</v>
      </c>
      <c r="D31">
        <f t="shared" si="0"/>
        <v>0.6833739723447575</v>
      </c>
      <c r="E31">
        <f t="shared" si="1"/>
        <v>-1.510063716962305</v>
      </c>
      <c r="F31">
        <f>ICPMS!G13</f>
        <v>204.01149195630677</v>
      </c>
      <c r="G31">
        <f>'XRF After Jan'!P36</f>
        <v>270</v>
      </c>
      <c r="H31">
        <f t="shared" si="2"/>
        <v>0.39868107767359978</v>
      </c>
      <c r="I31">
        <f t="shared" si="3"/>
        <v>0.60131890833667989</v>
      </c>
      <c r="J31">
        <f t="shared" si="4"/>
        <v>1.0660152858280165</v>
      </c>
      <c r="K31">
        <f t="shared" si="5"/>
        <v>2.4313637641589874</v>
      </c>
      <c r="L31">
        <f t="shared" si="6"/>
        <v>-5.5526864358898378E-2</v>
      </c>
      <c r="Q31">
        <f t="shared" si="10"/>
        <v>0.52499999999999991</v>
      </c>
      <c r="R31">
        <f t="shared" si="7"/>
        <v>-0.55968139318808641</v>
      </c>
      <c r="S31">
        <f t="shared" si="8"/>
        <v>2.5177980669345765</v>
      </c>
      <c r="T31">
        <f t="shared" si="9"/>
        <v>329.45648981149139</v>
      </c>
    </row>
    <row r="32" spans="1:20" x14ac:dyDescent="0.2">
      <c r="Q32">
        <f>Q31+0.05</f>
        <v>0.57499999999999996</v>
      </c>
      <c r="R32">
        <f t="shared" si="7"/>
        <v>-0.48066431062073911</v>
      </c>
      <c r="S32">
        <f t="shared" si="8"/>
        <v>2.507288652708572</v>
      </c>
      <c r="T32">
        <f t="shared" si="9"/>
        <v>321.57971998228447</v>
      </c>
    </row>
    <row r="33" spans="17:20" x14ac:dyDescent="0.2">
      <c r="Q33">
        <f t="shared" si="10"/>
        <v>0.625</v>
      </c>
      <c r="R33">
        <f t="shared" si="7"/>
        <v>-0.40823996531184958</v>
      </c>
      <c r="S33">
        <f t="shared" si="8"/>
        <v>2.4976560844060214</v>
      </c>
      <c r="T33">
        <f t="shared" si="9"/>
        <v>314.52566149142967</v>
      </c>
    </row>
    <row r="34" spans="17:20" x14ac:dyDescent="0.2">
      <c r="Q34">
        <f t="shared" si="10"/>
        <v>0.67500000000000004</v>
      </c>
      <c r="R34">
        <f t="shared" si="7"/>
        <v>-0.34139245433795012</v>
      </c>
      <c r="S34">
        <f t="shared" si="8"/>
        <v>2.4887652451092999</v>
      </c>
      <c r="T34">
        <f t="shared" si="9"/>
        <v>308.15218045927071</v>
      </c>
    </row>
    <row r="35" spans="17:20" x14ac:dyDescent="0.2">
      <c r="Q35">
        <f t="shared" si="10"/>
        <v>0.72500000000000009</v>
      </c>
      <c r="R35">
        <f t="shared" si="7"/>
        <v>-0.27932398685801252</v>
      </c>
      <c r="S35">
        <f t="shared" si="8"/>
        <v>2.4805100272003879</v>
      </c>
      <c r="T35">
        <f t="shared" si="9"/>
        <v>302.35003777399282</v>
      </c>
    </row>
    <row r="36" spans="17:20" x14ac:dyDescent="0.2">
      <c r="Q36">
        <f t="shared" si="10"/>
        <v>0.77500000000000013</v>
      </c>
      <c r="R36">
        <f t="shared" si="7"/>
        <v>-0.22139659498737926</v>
      </c>
      <c r="S36">
        <f t="shared" si="8"/>
        <v>2.4728055798021726</v>
      </c>
      <c r="T36">
        <f t="shared" si="9"/>
        <v>297.03360065585457</v>
      </c>
    </row>
    <row r="37" spans="17:20" x14ac:dyDescent="0.2">
      <c r="Q37">
        <f t="shared" si="10"/>
        <v>0.82500000000000018</v>
      </c>
      <c r="R37">
        <f t="shared" si="7"/>
        <v>-0.16709210290014964</v>
      </c>
      <c r="S37">
        <f t="shared" si="8"/>
        <v>2.4655829845970025</v>
      </c>
      <c r="T37">
        <f t="shared" si="9"/>
        <v>292.13459150161577</v>
      </c>
    </row>
    <row r="38" spans="17:20" x14ac:dyDescent="0.2">
      <c r="Q38">
        <f t="shared" si="10"/>
        <v>0.87500000000000022</v>
      </c>
      <c r="R38">
        <f t="shared" si="7"/>
        <v>-0.11598389395537329</v>
      </c>
      <c r="S38">
        <f t="shared" si="8"/>
        <v>2.4587855008036463</v>
      </c>
      <c r="T38">
        <f t="shared" si="9"/>
        <v>287.59776109260889</v>
      </c>
    </row>
    <row r="39" spans="17:20" x14ac:dyDescent="0.2">
      <c r="Q39">
        <f t="shared" si="10"/>
        <v>0.92500000000000027</v>
      </c>
      <c r="R39">
        <f t="shared" si="7"/>
        <v>-6.7716534521934532E-2</v>
      </c>
      <c r="S39">
        <f t="shared" si="8"/>
        <v>2.4523658551093233</v>
      </c>
      <c r="T39">
        <f t="shared" si="9"/>
        <v>283.37782008116579</v>
      </c>
    </row>
    <row r="40" spans="17:20" x14ac:dyDescent="0.2">
      <c r="Q40">
        <f t="shared" si="10"/>
        <v>0.97500000000000031</v>
      </c>
      <c r="R40">
        <f t="shared" si="7"/>
        <v>-2.1990768602926092E-2</v>
      </c>
      <c r="S40">
        <f t="shared" si="8"/>
        <v>2.4462842459277319</v>
      </c>
      <c r="T40">
        <f t="shared" si="9"/>
        <v>279.43721606514703</v>
      </c>
    </row>
    <row r="41" spans="17:20" x14ac:dyDescent="0.2">
      <c r="Q41">
        <f t="shared" si="10"/>
        <v>1.0250000000000004</v>
      </c>
      <c r="R41">
        <f t="shared" si="7"/>
        <v>2.1447730783546511E-2</v>
      </c>
      <c r="S41">
        <f t="shared" si="8"/>
        <v>2.4405068473124465</v>
      </c>
      <c r="T41">
        <f t="shared" si="9"/>
        <v>275.74449273130352</v>
      </c>
    </row>
    <row r="42" spans="17:20" x14ac:dyDescent="0.2">
      <c r="Q42">
        <f>Q41+0.05</f>
        <v>1.0750000000000004</v>
      </c>
      <c r="R42">
        <f t="shared" si="7"/>
        <v>6.281692850324859E-2</v>
      </c>
      <c r="S42">
        <f t="shared" si="8"/>
        <v>2.4350046695439462</v>
      </c>
      <c r="T42">
        <f t="shared" si="9"/>
        <v>272.27305827804253</v>
      </c>
    </row>
    <row r="43" spans="17:20" x14ac:dyDescent="0.2">
      <c r="Q43">
        <f t="shared" si="10"/>
        <v>1.1250000000000004</v>
      </c>
      <c r="R43">
        <f t="shared" si="7"/>
        <v>0.10230504489476291</v>
      </c>
      <c r="S43">
        <f t="shared" si="8"/>
        <v>2.4297526789783697</v>
      </c>
      <c r="T43">
        <f t="shared" si="9"/>
        <v>269.00024712398505</v>
      </c>
    </row>
    <row r="44" spans="17:20" x14ac:dyDescent="0.2">
      <c r="Q44">
        <f t="shared" si="10"/>
        <v>1.1750000000000005</v>
      </c>
      <c r="R44">
        <f t="shared" si="7"/>
        <v>0.14007573321551051</v>
      </c>
      <c r="S44">
        <f t="shared" si="8"/>
        <v>2.4247291094378758</v>
      </c>
      <c r="T44">
        <f t="shared" si="9"/>
        <v>265.90659538333983</v>
      </c>
    </row>
    <row r="45" spans="17:20" x14ac:dyDescent="0.2">
      <c r="Q45">
        <f t="shared" si="10"/>
        <v>1.2250000000000005</v>
      </c>
      <c r="R45">
        <f t="shared" si="7"/>
        <v>0.17627217740110293</v>
      </c>
      <c r="S45">
        <f t="shared" si="8"/>
        <v>2.4199149172012713</v>
      </c>
      <c r="T45">
        <f t="shared" si="9"/>
        <v>262.97527455557105</v>
      </c>
    </row>
    <row r="46" spans="17:20" x14ac:dyDescent="0.2">
      <c r="Q46">
        <f t="shared" si="10"/>
        <v>1.2750000000000006</v>
      </c>
      <c r="R46">
        <f t="shared" si="7"/>
        <v>0.21102036953994835</v>
      </c>
      <c r="S46">
        <f t="shared" si="8"/>
        <v>2.4152933450939913</v>
      </c>
      <c r="T46">
        <f t="shared" si="9"/>
        <v>260.1916439523975</v>
      </c>
    </row>
    <row r="47" spans="17:20" x14ac:dyDescent="0.2">
      <c r="Q47">
        <f t="shared" si="10"/>
        <v>1.3250000000000006</v>
      </c>
      <c r="R47">
        <f t="shared" si="7"/>
        <v>0.24443175654565372</v>
      </c>
      <c r="S47">
        <f t="shared" si="8"/>
        <v>2.4108495704759014</v>
      </c>
      <c r="T47">
        <f t="shared" si="9"/>
        <v>257.54289337082855</v>
      </c>
    </row>
    <row r="48" spans="17:20" x14ac:dyDescent="0.2">
      <c r="Q48">
        <f t="shared" si="10"/>
        <v>1.3750000000000007</v>
      </c>
      <c r="R48">
        <f t="shared" si="7"/>
        <v>0.27660539633256331</v>
      </c>
      <c r="S48">
        <f t="shared" si="8"/>
        <v>2.4065704184660723</v>
      </c>
      <c r="T48">
        <f t="shared" si="9"/>
        <v>255.01775515680856</v>
      </c>
    </row>
    <row r="49" spans="17:20" x14ac:dyDescent="0.2">
      <c r="Q49">
        <f t="shared" si="10"/>
        <v>1.4250000000000007</v>
      </c>
      <c r="R49">
        <f t="shared" si="7"/>
        <v>0.30762972868905847</v>
      </c>
      <c r="S49">
        <f t="shared" si="8"/>
        <v>2.4024441264134428</v>
      </c>
      <c r="T49">
        <f t="shared" si="9"/>
        <v>252.60627019441378</v>
      </c>
    </row>
    <row r="50" spans="17:20" x14ac:dyDescent="0.2">
      <c r="Q50">
        <f t="shared" si="10"/>
        <v>1.4750000000000008</v>
      </c>
      <c r="R50">
        <f t="shared" si="7"/>
        <v>0.33758404062836406</v>
      </c>
      <c r="S50">
        <f t="shared" si="8"/>
        <v>2.3984601490025228</v>
      </c>
      <c r="T50">
        <f t="shared" si="9"/>
        <v>250.29959621530412</v>
      </c>
    </row>
    <row r="51" spans="17:20" x14ac:dyDescent="0.2">
      <c r="Q51">
        <f t="shared" si="10"/>
        <v>1.5250000000000008</v>
      </c>
      <c r="R51">
        <f t="shared" si="7"/>
        <v>0.36653968736560977</v>
      </c>
      <c r="S51">
        <f t="shared" si="8"/>
        <v>2.3946089958612489</v>
      </c>
      <c r="T51">
        <f t="shared" si="9"/>
        <v>248.08984962332192</v>
      </c>
    </row>
    <row r="52" spans="17:20" x14ac:dyDescent="0.2">
      <c r="Q52">
        <f>Q51+0.05</f>
        <v>1.5750000000000008</v>
      </c>
      <c r="R52">
        <f t="shared" si="7"/>
        <v>0.39456111625123907</v>
      </c>
      <c r="S52">
        <f t="shared" si="8"/>
        <v>2.3908820953759946</v>
      </c>
      <c r="T52">
        <f t="shared" si="9"/>
        <v>245.96997408532476</v>
      </c>
    </row>
    <row r="53" spans="17:20" x14ac:dyDescent="0.2">
      <c r="Q53">
        <f t="shared" si="10"/>
        <v>1.6250000000000009</v>
      </c>
      <c r="R53">
        <f t="shared" si="7"/>
        <v>0.42170673062978686</v>
      </c>
      <c r="S53">
        <f t="shared" si="8"/>
        <v>2.3872716797968017</v>
      </c>
      <c r="T53">
        <f t="shared" si="9"/>
        <v>243.93363066628757</v>
      </c>
    </row>
    <row r="54" spans="17:20" x14ac:dyDescent="0.2">
      <c r="Q54">
        <f>Q53+0.05</f>
        <v>1.6750000000000009</v>
      </c>
      <c r="R54">
        <f t="shared" si="7"/>
        <v>0.44802962274572855</v>
      </c>
      <c r="S54">
        <f t="shared" si="8"/>
        <v>2.3837706877595792</v>
      </c>
      <c r="T54">
        <f t="shared" si="9"/>
        <v>241.97510543245508</v>
      </c>
    </row>
  </sheetData>
  <mergeCells count="2">
    <mergeCell ref="Q19:T19"/>
    <mergeCell ref="N25:O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7"/>
  <sheetViews>
    <sheetView workbookViewId="0">
      <selection activeCell="F15" sqref="F15"/>
    </sheetView>
  </sheetViews>
  <sheetFormatPr baseColWidth="10" defaultColWidth="11" defaultRowHeight="16" x14ac:dyDescent="0.2"/>
  <sheetData>
    <row r="1" spans="1:9" x14ac:dyDescent="0.2">
      <c r="A1" t="s">
        <v>0</v>
      </c>
      <c r="B1" t="s">
        <v>361</v>
      </c>
      <c r="C1" t="s">
        <v>362</v>
      </c>
      <c r="D1" t="s">
        <v>322</v>
      </c>
      <c r="F1" t="s">
        <v>350</v>
      </c>
      <c r="G1">
        <v>0</v>
      </c>
      <c r="H1" t="s">
        <v>356</v>
      </c>
    </row>
    <row r="2" spans="1:9" x14ac:dyDescent="0.2">
      <c r="A2" s="5" t="s">
        <v>4</v>
      </c>
      <c r="B2">
        <f>ICPMS!G15</f>
        <v>110.20835091129982</v>
      </c>
      <c r="C2">
        <f>'XRF After Jan'!P8</f>
        <v>160</v>
      </c>
      <c r="D2">
        <f>ABS(B2-C2)</f>
        <v>49.791649088700183</v>
      </c>
      <c r="F2" t="s">
        <v>351</v>
      </c>
      <c r="G2">
        <f>_xlfn.STDEV.P(D2:D11)/SQRT(COUNT(D2:D11))</f>
        <v>27.42909710531509</v>
      </c>
    </row>
    <row r="3" spans="1:9" x14ac:dyDescent="0.2">
      <c r="A3" s="5" t="s">
        <v>6</v>
      </c>
      <c r="B3">
        <f>ICPMS!G10</f>
        <v>128.10689464463553</v>
      </c>
      <c r="C3">
        <f>'XRF After Jan'!P9</f>
        <v>160</v>
      </c>
      <c r="D3">
        <f t="shared" ref="D3:D11" si="0">ABS(B3-C3)</f>
        <v>31.893105355364469</v>
      </c>
      <c r="F3" t="s">
        <v>352</v>
      </c>
      <c r="G3">
        <f>AVERAGE(D2:D11)/G2</f>
        <v>3.4002690683179941</v>
      </c>
    </row>
    <row r="4" spans="1:9" x14ac:dyDescent="0.2">
      <c r="A4" s="5" t="s">
        <v>8</v>
      </c>
      <c r="B4">
        <f>ICPMS!G16</f>
        <v>206.34881920847053</v>
      </c>
      <c r="C4">
        <f>'XRF After Jan'!P12</f>
        <v>480</v>
      </c>
      <c r="D4">
        <f t="shared" si="0"/>
        <v>273.65118079152944</v>
      </c>
      <c r="F4" t="s">
        <v>353</v>
      </c>
      <c r="G4">
        <f>_xlfn.T.INV.2T(0.05,COUNT(D2:D11)-1)</f>
        <v>2.2621571627982053</v>
      </c>
    </row>
    <row r="5" spans="1:9" x14ac:dyDescent="0.2">
      <c r="A5" s="5" t="s">
        <v>12</v>
      </c>
      <c r="B5">
        <f>ICPMS!G12</f>
        <v>157.27299357904923</v>
      </c>
      <c r="C5">
        <f>'XRF After Jan'!P16</f>
        <v>170</v>
      </c>
      <c r="D5">
        <f t="shared" si="0"/>
        <v>12.727006420950772</v>
      </c>
      <c r="F5" t="s">
        <v>354</v>
      </c>
      <c r="G5" t="s">
        <v>355</v>
      </c>
    </row>
    <row r="6" spans="1:9" x14ac:dyDescent="0.2">
      <c r="A6" s="5" t="s">
        <v>14</v>
      </c>
      <c r="B6">
        <f>ICPMS!G14</f>
        <v>52.932173393424321</v>
      </c>
      <c r="C6">
        <f>'XRF After Jan'!P18</f>
        <v>150</v>
      </c>
      <c r="D6">
        <f t="shared" si="0"/>
        <v>97.067826606575679</v>
      </c>
      <c r="F6" s="41" t="s">
        <v>357</v>
      </c>
      <c r="G6" s="41"/>
      <c r="H6" s="41"/>
      <c r="I6" s="41"/>
    </row>
    <row r="7" spans="1:9" x14ac:dyDescent="0.2">
      <c r="A7" s="5" t="s">
        <v>21</v>
      </c>
      <c r="B7">
        <f>ICPMS!G19</f>
        <v>280.70347629188325</v>
      </c>
      <c r="C7">
        <f>'XRF After Jan'!P25</f>
        <v>210</v>
      </c>
      <c r="D7">
        <f t="shared" si="0"/>
        <v>70.703476291883248</v>
      </c>
    </row>
    <row r="8" spans="1:9" x14ac:dyDescent="0.2">
      <c r="A8" s="5" t="s">
        <v>24</v>
      </c>
      <c r="B8">
        <f>ICPMS!G11</f>
        <v>112.95762888316852</v>
      </c>
      <c r="C8">
        <f>'XRF After Jan'!P28</f>
        <v>160</v>
      </c>
      <c r="D8">
        <f t="shared" si="0"/>
        <v>47.042371116831475</v>
      </c>
    </row>
    <row r="9" spans="1:9" x14ac:dyDescent="0.2">
      <c r="A9" s="5" t="s">
        <v>26</v>
      </c>
      <c r="B9">
        <f>ICPMS!G18</f>
        <v>116.02406383065333</v>
      </c>
      <c r="C9">
        <f>'XRF After Jan'!P30</f>
        <v>80</v>
      </c>
      <c r="D9">
        <f t="shared" si="0"/>
        <v>36.024063830653333</v>
      </c>
    </row>
    <row r="10" spans="1:9" x14ac:dyDescent="0.2">
      <c r="A10" s="5" t="s">
        <v>30</v>
      </c>
      <c r="B10">
        <f>ICPMS!G17</f>
        <v>82.226082955246468</v>
      </c>
      <c r="C10">
        <f>'XRF After Jan'!P34</f>
        <v>330</v>
      </c>
      <c r="D10">
        <f t="shared" si="0"/>
        <v>247.77391704475355</v>
      </c>
    </row>
    <row r="11" spans="1:9" x14ac:dyDescent="0.2">
      <c r="A11" s="5" t="s">
        <v>33</v>
      </c>
      <c r="B11">
        <f>ICPMS!G13</f>
        <v>204.01149195630677</v>
      </c>
      <c r="C11">
        <f>'XRF After Jan'!P36</f>
        <v>270</v>
      </c>
      <c r="D11">
        <f t="shared" si="0"/>
        <v>65.98850804369323</v>
      </c>
    </row>
    <row r="12" spans="1:9" x14ac:dyDescent="0.2">
      <c r="A12" s="9" t="s">
        <v>363</v>
      </c>
      <c r="B12" s="9">
        <f>AVERAGE(B2:B11)</f>
        <v>145.07919756541381</v>
      </c>
      <c r="C12" s="9">
        <f>AVERAGE(C2:C11)</f>
        <v>217</v>
      </c>
    </row>
    <row r="13" spans="1:9" x14ac:dyDescent="0.2">
      <c r="A13" s="9" t="s">
        <v>364</v>
      </c>
      <c r="B13" s="9">
        <f>MEDIAN(B2:B11)</f>
        <v>122.06547923764444</v>
      </c>
      <c r="C13" s="9">
        <f>MEDIAN(C2:C11)</f>
        <v>165</v>
      </c>
    </row>
    <row r="14" spans="1:9" x14ac:dyDescent="0.2">
      <c r="A14" s="9" t="s">
        <v>365</v>
      </c>
      <c r="B14" s="9">
        <f>MAX(B2:B11)</f>
        <v>280.70347629188325</v>
      </c>
      <c r="C14" s="9">
        <f>MAX(C2:C11)</f>
        <v>480</v>
      </c>
    </row>
    <row r="15" spans="1:9" x14ac:dyDescent="0.2">
      <c r="A15" s="9" t="s">
        <v>366</v>
      </c>
      <c r="B15" s="9">
        <f>MIN(B2:B11)</f>
        <v>52.932173393424321</v>
      </c>
      <c r="C15" s="9">
        <f>MIN(C2:C11)</f>
        <v>80</v>
      </c>
    </row>
    <row r="16" spans="1:9" x14ac:dyDescent="0.2">
      <c r="A16" s="9" t="s">
        <v>367</v>
      </c>
      <c r="B16" s="9">
        <f>_xlfn.STDEV.P(B2:B11)</f>
        <v>64.491266512195125</v>
      </c>
      <c r="C16" s="9">
        <f>_xlfn.STDEV.P(C2:C11)</f>
        <v>109.54907576059234</v>
      </c>
    </row>
    <row r="17" spans="1:3" x14ac:dyDescent="0.2">
      <c r="A17" s="9" t="s">
        <v>370</v>
      </c>
      <c r="B17" s="9">
        <f>B16/SQRT(COUNT(B2:B11))</f>
        <v>20.393929136747975</v>
      </c>
      <c r="C17" s="9">
        <f>C16/SQRT(COUNT(C2:C11))</f>
        <v>34.642459496981445</v>
      </c>
    </row>
  </sheetData>
  <mergeCells count="1">
    <mergeCell ref="F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25"/>
  <sheetViews>
    <sheetView workbookViewId="0">
      <selection activeCell="H19" sqref="H19"/>
    </sheetView>
  </sheetViews>
  <sheetFormatPr baseColWidth="10" defaultColWidth="8.83203125" defaultRowHeight="16" x14ac:dyDescent="0.2"/>
  <cols>
    <col min="1" max="1" width="11.33203125" customWidth="1"/>
    <col min="3" max="3" width="16.33203125" customWidth="1"/>
    <col min="4" max="4" width="17" customWidth="1"/>
    <col min="6" max="6" width="18.33203125" customWidth="1"/>
    <col min="7" max="7" width="12.6640625" customWidth="1"/>
  </cols>
  <sheetData>
    <row r="1" spans="1:9" x14ac:dyDescent="0.2">
      <c r="A1" s="10" t="s">
        <v>106</v>
      </c>
      <c r="B1" s="10" t="s">
        <v>107</v>
      </c>
      <c r="C1" s="10" t="s">
        <v>108</v>
      </c>
      <c r="D1" s="10" t="s">
        <v>109</v>
      </c>
      <c r="E1" s="10" t="s">
        <v>110</v>
      </c>
      <c r="F1" s="10" t="s">
        <v>315</v>
      </c>
      <c r="G1" s="10" t="s">
        <v>323</v>
      </c>
      <c r="H1" s="10" t="s">
        <v>316</v>
      </c>
    </row>
    <row r="2" spans="1:9" x14ac:dyDescent="0.2">
      <c r="A2" t="s">
        <v>111</v>
      </c>
      <c r="B2">
        <v>0</v>
      </c>
      <c r="C2">
        <v>3652.36</v>
      </c>
      <c r="D2" s="11">
        <v>827876.15</v>
      </c>
      <c r="E2">
        <v>25</v>
      </c>
      <c r="F2" s="20">
        <f>(C2*E2)/D2</f>
        <v>0.11029306738695153</v>
      </c>
      <c r="G2" s="20"/>
      <c r="H2" t="s">
        <v>317</v>
      </c>
      <c r="I2">
        <f>SLOPE(F2:F9,B2:B9)</f>
        <v>15.656680211775369</v>
      </c>
    </row>
    <row r="3" spans="1:9" x14ac:dyDescent="0.2">
      <c r="A3" t="s">
        <v>112</v>
      </c>
      <c r="B3">
        <v>5.2560000000000002</v>
      </c>
      <c r="C3">
        <v>2742508.53</v>
      </c>
      <c r="D3" s="11">
        <v>831447.67</v>
      </c>
      <c r="E3">
        <v>25</v>
      </c>
      <c r="F3" s="20">
        <f t="shared" ref="F3:F19" si="0">(C3*E3)/D3</f>
        <v>82.461850244886719</v>
      </c>
      <c r="G3" s="20"/>
      <c r="H3" t="s">
        <v>318</v>
      </c>
      <c r="I3">
        <f>INTERCEPT(F2:F9,B2:B9)</f>
        <v>9.5922123279165135</v>
      </c>
    </row>
    <row r="4" spans="1:9" x14ac:dyDescent="0.2">
      <c r="A4" t="s">
        <v>113</v>
      </c>
      <c r="B4">
        <v>10.741</v>
      </c>
      <c r="C4">
        <v>5672704.6500000004</v>
      </c>
      <c r="D4" s="11">
        <v>842202.98</v>
      </c>
      <c r="E4">
        <v>25</v>
      </c>
      <c r="F4" s="20">
        <f t="shared" si="0"/>
        <v>168.38887966176515</v>
      </c>
      <c r="G4" s="20"/>
      <c r="H4" t="s">
        <v>319</v>
      </c>
      <c r="I4">
        <f>CORREL(F2:F9,B2:B9)</f>
        <v>0.99999633660413678</v>
      </c>
    </row>
    <row r="5" spans="1:9" x14ac:dyDescent="0.2">
      <c r="A5" t="s">
        <v>114</v>
      </c>
      <c r="B5">
        <v>51.582000000000001</v>
      </c>
      <c r="C5">
        <v>27313187.84</v>
      </c>
      <c r="D5" s="11">
        <v>844793.77</v>
      </c>
      <c r="E5">
        <v>25</v>
      </c>
      <c r="F5" s="20">
        <f t="shared" si="0"/>
        <v>808.27974855922525</v>
      </c>
      <c r="G5" s="20"/>
    </row>
    <row r="6" spans="1:9" x14ac:dyDescent="0.2">
      <c r="A6" t="s">
        <v>115</v>
      </c>
      <c r="B6">
        <v>104.946</v>
      </c>
      <c r="C6">
        <v>54743647.68</v>
      </c>
      <c r="D6" s="11">
        <v>832306.22</v>
      </c>
      <c r="E6">
        <v>25</v>
      </c>
      <c r="F6" s="20">
        <f t="shared" si="0"/>
        <v>1644.3361338811094</v>
      </c>
      <c r="G6" s="20"/>
    </row>
    <row r="7" spans="1:9" x14ac:dyDescent="0.2">
      <c r="A7" t="s">
        <v>116</v>
      </c>
      <c r="B7">
        <v>999.41800000000001</v>
      </c>
      <c r="C7">
        <v>513657938.35000002</v>
      </c>
      <c r="D7" s="11">
        <v>820086.63</v>
      </c>
      <c r="E7">
        <v>25</v>
      </c>
      <c r="F7" s="20">
        <f t="shared" si="0"/>
        <v>15658.648719526131</v>
      </c>
      <c r="G7" s="20"/>
    </row>
    <row r="8" spans="1:9" x14ac:dyDescent="0.2">
      <c r="A8" t="s">
        <v>117</v>
      </c>
      <c r="B8" s="21">
        <v>0</v>
      </c>
      <c r="C8">
        <v>715798.29</v>
      </c>
      <c r="D8" s="11">
        <v>750886.94</v>
      </c>
      <c r="E8">
        <v>25</v>
      </c>
      <c r="F8" s="20">
        <f t="shared" si="0"/>
        <v>23.831759878524458</v>
      </c>
      <c r="G8" s="20"/>
    </row>
    <row r="9" spans="1:9" x14ac:dyDescent="0.2">
      <c r="A9" t="s">
        <v>118</v>
      </c>
      <c r="B9" s="21">
        <v>0</v>
      </c>
      <c r="C9">
        <v>1295971.46</v>
      </c>
      <c r="D9" s="11">
        <v>821960.36</v>
      </c>
      <c r="E9">
        <v>25</v>
      </c>
      <c r="F9" s="20">
        <f t="shared" si="0"/>
        <v>39.417091232964083</v>
      </c>
      <c r="G9" s="20"/>
    </row>
    <row r="10" spans="1:9" x14ac:dyDescent="0.2">
      <c r="A10">
        <v>3</v>
      </c>
      <c r="C10">
        <v>75416009.370000005</v>
      </c>
      <c r="D10" s="11">
        <v>839622.22</v>
      </c>
      <c r="E10">
        <v>25</v>
      </c>
      <c r="F10" s="20">
        <f t="shared" si="0"/>
        <v>2245.5339905725696</v>
      </c>
      <c r="G10" s="20">
        <f>(C10/D10-$I$3)*E10/$I$2</f>
        <v>128.10689464463553</v>
      </c>
    </row>
    <row r="11" spans="1:9" x14ac:dyDescent="0.2">
      <c r="A11">
        <v>21</v>
      </c>
      <c r="C11">
        <v>76070976.859999999</v>
      </c>
      <c r="D11" s="11">
        <v>946935.28</v>
      </c>
      <c r="E11">
        <v>25</v>
      </c>
      <c r="F11" s="20">
        <f t="shared" si="0"/>
        <v>2008.3467811020832</v>
      </c>
      <c r="G11" s="20">
        <f t="shared" ref="G11:G19" si="1">(C11/D11-$I$3)*E11/$I$2</f>
        <v>112.95762888316852</v>
      </c>
    </row>
    <row r="12" spans="1:9" x14ac:dyDescent="0.2">
      <c r="A12">
        <v>9</v>
      </c>
      <c r="C12">
        <v>89679051.659999996</v>
      </c>
      <c r="D12" s="11">
        <v>829692.22</v>
      </c>
      <c r="E12">
        <v>25</v>
      </c>
      <c r="F12" s="20">
        <f t="shared" si="0"/>
        <v>2702.1782746136873</v>
      </c>
      <c r="G12" s="20">
        <f t="shared" si="1"/>
        <v>157.27299357904923</v>
      </c>
    </row>
    <row r="13" spans="1:9" x14ac:dyDescent="0.2">
      <c r="A13">
        <v>30</v>
      </c>
      <c r="C13">
        <v>113504307.81</v>
      </c>
      <c r="D13" s="11">
        <v>826339.74</v>
      </c>
      <c r="E13">
        <v>25</v>
      </c>
      <c r="F13" s="20">
        <f t="shared" si="0"/>
        <v>3433.9479972849908</v>
      </c>
      <c r="G13" s="20">
        <f t="shared" si="1"/>
        <v>204.01149195630677</v>
      </c>
    </row>
    <row r="14" spans="1:9" x14ac:dyDescent="0.2">
      <c r="A14">
        <v>11</v>
      </c>
      <c r="C14">
        <v>32194978.149999999</v>
      </c>
      <c r="D14" s="11">
        <v>753241.68</v>
      </c>
      <c r="E14">
        <v>25</v>
      </c>
      <c r="F14" s="20">
        <f t="shared" si="0"/>
        <v>1068.5474199330019</v>
      </c>
      <c r="G14" s="20">
        <f t="shared" si="1"/>
        <v>52.932173393424321</v>
      </c>
    </row>
    <row r="15" spans="1:9" x14ac:dyDescent="0.2">
      <c r="A15">
        <v>1</v>
      </c>
      <c r="C15">
        <v>64435037.539999999</v>
      </c>
      <c r="D15" s="11">
        <v>819658.13</v>
      </c>
      <c r="E15">
        <v>25</v>
      </c>
      <c r="F15" s="20">
        <f t="shared" si="0"/>
        <v>1965.3022150832567</v>
      </c>
      <c r="G15" s="20">
        <f t="shared" si="1"/>
        <v>110.20835091129982</v>
      </c>
    </row>
    <row r="16" spans="1:9" x14ac:dyDescent="0.2">
      <c r="A16">
        <v>5</v>
      </c>
      <c r="C16">
        <v>118082336.23999999</v>
      </c>
      <c r="D16" s="11">
        <v>850604.24</v>
      </c>
      <c r="E16">
        <v>25</v>
      </c>
      <c r="F16" s="20">
        <f t="shared" si="0"/>
        <v>3470.5427826223863</v>
      </c>
      <c r="G16" s="20">
        <f t="shared" si="1"/>
        <v>206.34881920847053</v>
      </c>
    </row>
    <row r="17" spans="1:7" x14ac:dyDescent="0.2">
      <c r="A17">
        <v>27</v>
      </c>
      <c r="C17">
        <v>48732123.399999999</v>
      </c>
      <c r="D17" s="11">
        <v>797740.2</v>
      </c>
      <c r="E17">
        <v>25</v>
      </c>
      <c r="F17" s="20">
        <f t="shared" si="0"/>
        <v>1527.1927940951202</v>
      </c>
      <c r="G17" s="20">
        <f t="shared" si="1"/>
        <v>82.226082955246468</v>
      </c>
    </row>
    <row r="18" spans="1:7" x14ac:dyDescent="0.2">
      <c r="A18">
        <v>23</v>
      </c>
      <c r="C18">
        <v>69254592.219999999</v>
      </c>
      <c r="D18" s="11">
        <v>841957.32</v>
      </c>
      <c r="E18">
        <v>25</v>
      </c>
      <c r="F18" s="20">
        <f t="shared" si="0"/>
        <v>2056.3569724650652</v>
      </c>
      <c r="G18" s="20">
        <f t="shared" si="1"/>
        <v>116.02406383065333</v>
      </c>
    </row>
    <row r="19" spans="1:7" x14ac:dyDescent="0.2">
      <c r="A19">
        <v>18</v>
      </c>
      <c r="C19">
        <v>152435991.72999999</v>
      </c>
      <c r="D19" s="11">
        <v>822255.62</v>
      </c>
      <c r="E19">
        <v>25</v>
      </c>
      <c r="F19" s="20">
        <f t="shared" si="0"/>
        <v>4634.6898708335975</v>
      </c>
      <c r="G19" s="20">
        <f t="shared" si="1"/>
        <v>280.70347629188325</v>
      </c>
    </row>
    <row r="20" spans="1:7" x14ac:dyDescent="0.2">
      <c r="F20" s="9" t="s">
        <v>363</v>
      </c>
      <c r="G20" s="31">
        <f>AVERAGE(G10:G19)</f>
        <v>145.07919756541378</v>
      </c>
    </row>
    <row r="21" spans="1:7" x14ac:dyDescent="0.2">
      <c r="F21" s="9" t="s">
        <v>364</v>
      </c>
      <c r="G21" s="31">
        <f>MEDIAN(G10:G19)</f>
        <v>122.06547923764444</v>
      </c>
    </row>
    <row r="22" spans="1:7" x14ac:dyDescent="0.2">
      <c r="F22" s="9" t="s">
        <v>365</v>
      </c>
      <c r="G22" s="31">
        <f>MAX(G10:G19)</f>
        <v>280.70347629188325</v>
      </c>
    </row>
    <row r="23" spans="1:7" x14ac:dyDescent="0.2">
      <c r="F23" s="9" t="s">
        <v>366</v>
      </c>
      <c r="G23" s="31">
        <f>MIN(G10:G19)</f>
        <v>52.932173393424321</v>
      </c>
    </row>
    <row r="24" spans="1:7" x14ac:dyDescent="0.2">
      <c r="F24" s="9" t="s">
        <v>367</v>
      </c>
      <c r="G24" s="9">
        <f>_xlfn.STDEV.P(G10:G19)</f>
        <v>64.491266512195153</v>
      </c>
    </row>
    <row r="25" spans="1:7" x14ac:dyDescent="0.2">
      <c r="F25" s="9" t="s">
        <v>370</v>
      </c>
      <c r="G25" s="9">
        <f>G24/SQRT(COUNT(G10:G19))</f>
        <v>20.393929136747982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Q43"/>
  <sheetViews>
    <sheetView topLeftCell="B1" workbookViewId="0">
      <pane ySplit="1" topLeftCell="A2" activePane="bottomLeft" state="frozen"/>
      <selection activeCell="B1" sqref="B1"/>
      <selection pane="bottomLeft" activeCell="O7" sqref="O7"/>
    </sheetView>
  </sheetViews>
  <sheetFormatPr baseColWidth="10" defaultColWidth="11" defaultRowHeight="16" x14ac:dyDescent="0.2"/>
  <cols>
    <col min="14" max="14" width="12.6640625" customWidth="1"/>
  </cols>
  <sheetData>
    <row r="1" spans="1:17" x14ac:dyDescent="0.2">
      <c r="A1" s="12" t="s">
        <v>119</v>
      </c>
      <c r="B1" s="12" t="s">
        <v>120</v>
      </c>
      <c r="C1" s="12" t="s">
        <v>121</v>
      </c>
      <c r="D1" s="12" t="s">
        <v>122</v>
      </c>
      <c r="E1" s="12" t="s">
        <v>123</v>
      </c>
      <c r="F1" s="12" t="s">
        <v>124</v>
      </c>
      <c r="G1" s="12" t="s">
        <v>125</v>
      </c>
      <c r="H1" s="12" t="s">
        <v>360</v>
      </c>
      <c r="I1" s="12" t="s">
        <v>358</v>
      </c>
      <c r="J1" s="12" t="s">
        <v>126</v>
      </c>
      <c r="K1" s="12" t="s">
        <v>127</v>
      </c>
      <c r="L1" s="12" t="s">
        <v>128</v>
      </c>
      <c r="M1" s="12" t="s">
        <v>129</v>
      </c>
      <c r="N1" s="12" t="s">
        <v>3</v>
      </c>
      <c r="P1" s="22" t="s">
        <v>323</v>
      </c>
      <c r="Q1" s="22" t="s">
        <v>368</v>
      </c>
    </row>
    <row r="2" spans="1:17" x14ac:dyDescent="0.2">
      <c r="A2" s="12"/>
      <c r="B2" s="13">
        <v>44652</v>
      </c>
      <c r="C2" s="14">
        <v>0.75262731481481471</v>
      </c>
      <c r="D2" s="12" t="s">
        <v>130</v>
      </c>
      <c r="E2" s="22" t="s">
        <v>131</v>
      </c>
      <c r="F2" s="12"/>
      <c r="G2" s="12"/>
      <c r="H2" s="12"/>
      <c r="I2" s="12"/>
      <c r="J2" s="12">
        <v>542881</v>
      </c>
      <c r="K2" s="12" t="s">
        <v>132</v>
      </c>
      <c r="L2" s="12" t="s">
        <v>133</v>
      </c>
      <c r="M2" s="12" t="s">
        <v>134</v>
      </c>
      <c r="N2" s="12" t="s">
        <v>135</v>
      </c>
    </row>
    <row r="3" spans="1:17" x14ac:dyDescent="0.2">
      <c r="A3" s="12" t="s">
        <v>136</v>
      </c>
      <c r="B3" s="13">
        <v>44652</v>
      </c>
      <c r="C3" s="14">
        <v>0.76365740740740751</v>
      </c>
      <c r="D3" s="12" t="s">
        <v>137</v>
      </c>
      <c r="E3" s="12" t="s">
        <v>138</v>
      </c>
      <c r="F3" s="12">
        <v>130</v>
      </c>
      <c r="G3" s="12">
        <v>4</v>
      </c>
      <c r="H3" s="12"/>
      <c r="I3" s="12"/>
      <c r="J3" s="12">
        <v>542881</v>
      </c>
      <c r="K3" s="12" t="s">
        <v>132</v>
      </c>
      <c r="L3" s="12" t="s">
        <v>133</v>
      </c>
      <c r="M3" s="12" t="s">
        <v>139</v>
      </c>
      <c r="N3" s="12" t="s">
        <v>140</v>
      </c>
    </row>
    <row r="4" spans="1:17" x14ac:dyDescent="0.2">
      <c r="A4" s="12" t="s">
        <v>141</v>
      </c>
      <c r="B4" s="13">
        <v>44652</v>
      </c>
      <c r="C4" s="14">
        <v>0.76839120370370362</v>
      </c>
      <c r="D4" s="12" t="s">
        <v>142</v>
      </c>
      <c r="E4" s="12" t="s">
        <v>143</v>
      </c>
      <c r="F4" s="12">
        <v>1.1000000000000001E-3</v>
      </c>
      <c r="G4" s="12">
        <v>2.0000000000000001E-4</v>
      </c>
      <c r="H4" s="12"/>
      <c r="I4" s="12">
        <v>11</v>
      </c>
      <c r="J4" s="12">
        <v>542881</v>
      </c>
      <c r="K4" s="12" t="s">
        <v>132</v>
      </c>
      <c r="L4" s="12" t="s">
        <v>133</v>
      </c>
      <c r="M4" s="12" t="s">
        <v>134</v>
      </c>
      <c r="N4" s="12" t="s">
        <v>144</v>
      </c>
      <c r="O4" s="12" t="s">
        <v>359</v>
      </c>
      <c r="P4">
        <f>I4*10</f>
        <v>110</v>
      </c>
      <c r="Q4">
        <f>G4*10^5</f>
        <v>20</v>
      </c>
    </row>
    <row r="5" spans="1:17" x14ac:dyDescent="0.2">
      <c r="A5" s="12" t="s">
        <v>145</v>
      </c>
      <c r="B5" s="13">
        <v>44652</v>
      </c>
      <c r="C5" s="14">
        <v>0.77274305555555556</v>
      </c>
      <c r="D5" s="12" t="s">
        <v>146</v>
      </c>
      <c r="E5" s="12" t="s">
        <v>143</v>
      </c>
      <c r="F5" s="12">
        <v>1.4E-3</v>
      </c>
      <c r="G5" s="12">
        <v>2.0000000000000001E-4</v>
      </c>
      <c r="H5" s="12"/>
      <c r="I5" s="12">
        <v>14</v>
      </c>
      <c r="J5" s="12">
        <v>542881</v>
      </c>
      <c r="K5" s="12" t="s">
        <v>132</v>
      </c>
      <c r="L5" s="12" t="s">
        <v>133</v>
      </c>
      <c r="M5" s="12" t="s">
        <v>134</v>
      </c>
      <c r="N5" s="12"/>
      <c r="P5">
        <f t="shared" ref="P5:P6" si="0">I5*10</f>
        <v>140</v>
      </c>
      <c r="Q5">
        <f t="shared" ref="Q5:Q36" si="1">G5*10^5</f>
        <v>20</v>
      </c>
    </row>
    <row r="6" spans="1:17" x14ac:dyDescent="0.2">
      <c r="A6" s="12" t="s">
        <v>147</v>
      </c>
      <c r="B6" s="13">
        <v>44652</v>
      </c>
      <c r="C6" s="14">
        <v>0.7745023148148148</v>
      </c>
      <c r="D6" s="12" t="s">
        <v>148</v>
      </c>
      <c r="E6" s="12" t="s">
        <v>143</v>
      </c>
      <c r="F6" s="12">
        <v>1.6999999999999999E-3</v>
      </c>
      <c r="G6" s="12">
        <v>2.0000000000000001E-4</v>
      </c>
      <c r="H6" s="12"/>
      <c r="I6" s="12">
        <v>17</v>
      </c>
      <c r="J6" s="12">
        <v>542881</v>
      </c>
      <c r="K6" s="12" t="s">
        <v>132</v>
      </c>
      <c r="L6" s="12" t="s">
        <v>133</v>
      </c>
      <c r="M6" s="12" t="s">
        <v>134</v>
      </c>
      <c r="N6" s="12"/>
      <c r="P6">
        <f t="shared" si="0"/>
        <v>170</v>
      </c>
      <c r="Q6">
        <f t="shared" si="1"/>
        <v>20</v>
      </c>
    </row>
    <row r="7" spans="1:17" x14ac:dyDescent="0.2">
      <c r="A7" s="12"/>
      <c r="B7" s="13">
        <v>44652</v>
      </c>
      <c r="C7" s="14">
        <v>0.77818287037037026</v>
      </c>
      <c r="D7" s="12" t="s">
        <v>149</v>
      </c>
      <c r="E7" s="22" t="s">
        <v>150</v>
      </c>
      <c r="F7" s="12"/>
      <c r="G7" s="12"/>
      <c r="H7" s="12"/>
      <c r="I7" s="12">
        <v>0</v>
      </c>
      <c r="J7" s="12">
        <v>542881</v>
      </c>
      <c r="K7" s="12" t="s">
        <v>132</v>
      </c>
      <c r="L7" s="12" t="s">
        <v>133</v>
      </c>
      <c r="M7" s="12" t="s">
        <v>134</v>
      </c>
      <c r="N7" s="12"/>
    </row>
    <row r="8" spans="1:17" x14ac:dyDescent="0.2">
      <c r="A8" s="12" t="s">
        <v>151</v>
      </c>
      <c r="B8" s="13">
        <v>44652</v>
      </c>
      <c r="C8" s="14">
        <v>0.79408564814814808</v>
      </c>
      <c r="D8" s="12" t="s">
        <v>152</v>
      </c>
      <c r="E8" s="12" t="s">
        <v>143</v>
      </c>
      <c r="F8" s="12">
        <v>1.6000000000000001E-3</v>
      </c>
      <c r="G8" s="12">
        <v>2.9999999999999997E-4</v>
      </c>
      <c r="H8" s="12">
        <f>F8-$R$2</f>
        <v>1.6000000000000001E-3</v>
      </c>
      <c r="I8" s="12">
        <v>16</v>
      </c>
      <c r="J8" s="12">
        <v>542881</v>
      </c>
      <c r="K8" s="12" t="s">
        <v>132</v>
      </c>
      <c r="L8" s="12" t="s">
        <v>133</v>
      </c>
      <c r="M8" s="12" t="s">
        <v>134</v>
      </c>
      <c r="N8" s="12"/>
      <c r="P8">
        <f>I8*10</f>
        <v>160</v>
      </c>
      <c r="Q8">
        <f t="shared" si="1"/>
        <v>29.999999999999996</v>
      </c>
    </row>
    <row r="9" spans="1:17" x14ac:dyDescent="0.2">
      <c r="A9" s="12" t="s">
        <v>153</v>
      </c>
      <c r="B9" s="13">
        <v>44652</v>
      </c>
      <c r="C9" s="14">
        <v>0.79497685185185185</v>
      </c>
      <c r="D9" s="12" t="s">
        <v>154</v>
      </c>
      <c r="E9" s="12" t="s">
        <v>143</v>
      </c>
      <c r="F9" s="12">
        <v>1.6000000000000001E-3</v>
      </c>
      <c r="G9" s="12">
        <v>2.0000000000000001E-4</v>
      </c>
      <c r="H9" s="12">
        <f t="shared" ref="H9:H36" si="2">F9-$R$2</f>
        <v>1.6000000000000001E-3</v>
      </c>
      <c r="I9" s="12">
        <v>16</v>
      </c>
      <c r="J9" s="12">
        <v>542881</v>
      </c>
      <c r="K9" s="12" t="s">
        <v>132</v>
      </c>
      <c r="L9" s="12" t="s">
        <v>133</v>
      </c>
      <c r="M9" s="12" t="s">
        <v>134</v>
      </c>
      <c r="N9" s="12"/>
      <c r="P9">
        <f t="shared" ref="P9:P36" si="3">I9*10</f>
        <v>160</v>
      </c>
      <c r="Q9">
        <f t="shared" si="1"/>
        <v>20</v>
      </c>
    </row>
    <row r="10" spans="1:17" x14ac:dyDescent="0.2">
      <c r="A10" s="12" t="s">
        <v>340</v>
      </c>
      <c r="B10" s="13">
        <v>44652</v>
      </c>
      <c r="C10" s="14">
        <v>0.79604166666666665</v>
      </c>
      <c r="D10" s="12" t="s">
        <v>156</v>
      </c>
      <c r="E10" s="12" t="s">
        <v>143</v>
      </c>
      <c r="F10" s="12">
        <v>1.5E-3</v>
      </c>
      <c r="G10" s="12">
        <v>2.0000000000000001E-4</v>
      </c>
      <c r="H10" s="12">
        <f t="shared" si="2"/>
        <v>1.5E-3</v>
      </c>
      <c r="I10" s="12">
        <v>15</v>
      </c>
      <c r="J10" s="12">
        <v>542881</v>
      </c>
      <c r="K10" s="12" t="s">
        <v>132</v>
      </c>
      <c r="L10" s="12" t="s">
        <v>133</v>
      </c>
      <c r="M10" s="12" t="s">
        <v>134</v>
      </c>
      <c r="N10" s="12"/>
      <c r="P10">
        <f t="shared" si="3"/>
        <v>150</v>
      </c>
      <c r="Q10">
        <f t="shared" si="1"/>
        <v>20</v>
      </c>
    </row>
    <row r="11" spans="1:17" x14ac:dyDescent="0.2">
      <c r="A11" s="12" t="s">
        <v>155</v>
      </c>
      <c r="B11" s="13">
        <v>44652</v>
      </c>
      <c r="C11" s="14">
        <v>0.79690972222222223</v>
      </c>
      <c r="D11" s="12" t="s">
        <v>157</v>
      </c>
      <c r="E11" s="12" t="s">
        <v>143</v>
      </c>
      <c r="F11" s="12">
        <v>1.5E-3</v>
      </c>
      <c r="G11" s="12">
        <v>2.0000000000000001E-4</v>
      </c>
      <c r="H11" s="12">
        <f t="shared" si="2"/>
        <v>1.5E-3</v>
      </c>
      <c r="I11" s="12">
        <v>15</v>
      </c>
      <c r="J11" s="12">
        <v>542881</v>
      </c>
      <c r="K11" s="12" t="s">
        <v>132</v>
      </c>
      <c r="L11" s="12" t="s">
        <v>133</v>
      </c>
      <c r="M11" s="12" t="s">
        <v>134</v>
      </c>
      <c r="N11" s="12"/>
      <c r="P11">
        <f t="shared" si="3"/>
        <v>150</v>
      </c>
      <c r="Q11">
        <f t="shared" si="1"/>
        <v>20</v>
      </c>
    </row>
    <row r="12" spans="1:17" x14ac:dyDescent="0.2">
      <c r="A12" s="12" t="s">
        <v>158</v>
      </c>
      <c r="B12" s="13">
        <v>44652</v>
      </c>
      <c r="C12" s="14">
        <v>0.79805555555555552</v>
      </c>
      <c r="D12" s="12" t="s">
        <v>159</v>
      </c>
      <c r="E12" s="12" t="s">
        <v>143</v>
      </c>
      <c r="F12" s="12">
        <v>4.7999999999999996E-3</v>
      </c>
      <c r="G12" s="12">
        <v>2.0000000000000001E-4</v>
      </c>
      <c r="H12" s="12">
        <f t="shared" si="2"/>
        <v>4.7999999999999996E-3</v>
      </c>
      <c r="I12" s="12">
        <v>48</v>
      </c>
      <c r="J12" s="12">
        <v>542881</v>
      </c>
      <c r="K12" s="12" t="s">
        <v>132</v>
      </c>
      <c r="L12" s="12" t="s">
        <v>133</v>
      </c>
      <c r="M12" s="12" t="s">
        <v>134</v>
      </c>
      <c r="N12" s="12"/>
      <c r="P12">
        <f t="shared" si="3"/>
        <v>480</v>
      </c>
      <c r="Q12">
        <f t="shared" si="1"/>
        <v>20</v>
      </c>
    </row>
    <row r="13" spans="1:17" x14ac:dyDescent="0.2">
      <c r="A13" s="12" t="s">
        <v>160</v>
      </c>
      <c r="B13" s="13">
        <v>44652</v>
      </c>
      <c r="C13" s="14">
        <v>0.79945601851851855</v>
      </c>
      <c r="D13" s="12" t="s">
        <v>161</v>
      </c>
      <c r="E13" s="12" t="s">
        <v>143</v>
      </c>
      <c r="F13" s="12">
        <v>2.3999999999999998E-3</v>
      </c>
      <c r="G13" s="12">
        <v>2.0000000000000001E-4</v>
      </c>
      <c r="H13" s="12">
        <f t="shared" si="2"/>
        <v>2.3999999999999998E-3</v>
      </c>
      <c r="I13" s="12">
        <v>24</v>
      </c>
      <c r="J13" s="12">
        <v>542881</v>
      </c>
      <c r="K13" s="12" t="s">
        <v>132</v>
      </c>
      <c r="L13" s="12" t="s">
        <v>133</v>
      </c>
      <c r="M13" s="12" t="s">
        <v>134</v>
      </c>
      <c r="N13" s="12"/>
      <c r="P13">
        <f t="shared" si="3"/>
        <v>240</v>
      </c>
      <c r="Q13">
        <f t="shared" si="1"/>
        <v>20</v>
      </c>
    </row>
    <row r="14" spans="1:17" x14ac:dyDescent="0.2">
      <c r="A14" s="12" t="s">
        <v>162</v>
      </c>
      <c r="B14" s="13">
        <v>44652</v>
      </c>
      <c r="C14" s="14">
        <v>0.8005902777777778</v>
      </c>
      <c r="D14" s="12" t="s">
        <v>163</v>
      </c>
      <c r="E14" s="12" t="s">
        <v>143</v>
      </c>
      <c r="F14" s="12">
        <v>1.8E-3</v>
      </c>
      <c r="G14" s="12">
        <v>2.0000000000000001E-4</v>
      </c>
      <c r="H14" s="12">
        <f t="shared" si="2"/>
        <v>1.8E-3</v>
      </c>
      <c r="I14" s="12">
        <v>18</v>
      </c>
      <c r="J14" s="12">
        <v>542881</v>
      </c>
      <c r="K14" s="12" t="s">
        <v>132</v>
      </c>
      <c r="L14" s="12" t="s">
        <v>133</v>
      </c>
      <c r="M14" s="12" t="s">
        <v>134</v>
      </c>
      <c r="N14" s="12"/>
      <c r="P14">
        <f t="shared" si="3"/>
        <v>180</v>
      </c>
      <c r="Q14">
        <f t="shared" si="1"/>
        <v>20</v>
      </c>
    </row>
    <row r="15" spans="1:17" x14ac:dyDescent="0.2">
      <c r="A15" s="12" t="s">
        <v>164</v>
      </c>
      <c r="B15" s="13">
        <v>44652</v>
      </c>
      <c r="C15" s="14">
        <v>0.8016550925925926</v>
      </c>
      <c r="D15" s="12" t="s">
        <v>165</v>
      </c>
      <c r="E15" s="12" t="s">
        <v>143</v>
      </c>
      <c r="F15" s="12" t="s">
        <v>166</v>
      </c>
      <c r="G15" s="12"/>
      <c r="H15" s="12" t="e">
        <f t="shared" si="2"/>
        <v>#VALUE!</v>
      </c>
      <c r="I15" s="12"/>
      <c r="J15" s="12">
        <v>542881</v>
      </c>
      <c r="K15" s="12" t="s">
        <v>132</v>
      </c>
      <c r="L15" s="12" t="s">
        <v>133</v>
      </c>
      <c r="M15" s="12" t="s">
        <v>134</v>
      </c>
      <c r="N15" s="12"/>
    </row>
    <row r="16" spans="1:17" x14ac:dyDescent="0.2">
      <c r="A16" s="12" t="s">
        <v>167</v>
      </c>
      <c r="B16" s="13">
        <v>44652</v>
      </c>
      <c r="C16" s="14">
        <v>0.80268518518518517</v>
      </c>
      <c r="D16" s="12" t="s">
        <v>168</v>
      </c>
      <c r="E16" s="12" t="s">
        <v>143</v>
      </c>
      <c r="F16" s="12">
        <v>1.6999999999999999E-3</v>
      </c>
      <c r="G16" s="12">
        <v>2.0000000000000001E-4</v>
      </c>
      <c r="H16" s="12">
        <f t="shared" si="2"/>
        <v>1.6999999999999999E-3</v>
      </c>
      <c r="I16" s="12">
        <v>17</v>
      </c>
      <c r="J16" s="12">
        <v>542881</v>
      </c>
      <c r="K16" s="12" t="s">
        <v>132</v>
      </c>
      <c r="L16" s="12" t="s">
        <v>133</v>
      </c>
      <c r="M16" s="12" t="s">
        <v>134</v>
      </c>
      <c r="N16" s="12"/>
      <c r="P16">
        <f t="shared" si="3"/>
        <v>170</v>
      </c>
      <c r="Q16">
        <f t="shared" si="1"/>
        <v>20</v>
      </c>
    </row>
    <row r="17" spans="1:17" x14ac:dyDescent="0.2">
      <c r="A17" s="12" t="s">
        <v>169</v>
      </c>
      <c r="B17" s="13">
        <v>44652</v>
      </c>
      <c r="C17" s="14">
        <v>0.80372685185185189</v>
      </c>
      <c r="D17" s="12" t="s">
        <v>170</v>
      </c>
      <c r="E17" s="12" t="s">
        <v>143</v>
      </c>
      <c r="F17" s="12">
        <v>3.5999999999999999E-3</v>
      </c>
      <c r="G17" s="12">
        <v>2.0000000000000001E-4</v>
      </c>
      <c r="H17" s="12">
        <f t="shared" si="2"/>
        <v>3.5999999999999999E-3</v>
      </c>
      <c r="I17" s="12">
        <v>36</v>
      </c>
      <c r="J17" s="12">
        <v>542881</v>
      </c>
      <c r="K17" s="12" t="s">
        <v>132</v>
      </c>
      <c r="L17" s="12" t="s">
        <v>133</v>
      </c>
      <c r="M17" s="12" t="s">
        <v>134</v>
      </c>
      <c r="N17" s="12"/>
      <c r="P17">
        <f t="shared" si="3"/>
        <v>360</v>
      </c>
      <c r="Q17">
        <f t="shared" si="1"/>
        <v>20</v>
      </c>
    </row>
    <row r="18" spans="1:17" x14ac:dyDescent="0.2">
      <c r="A18" s="12" t="s">
        <v>171</v>
      </c>
      <c r="B18" s="13">
        <v>44652</v>
      </c>
      <c r="C18" s="14">
        <v>0.80480324074074072</v>
      </c>
      <c r="D18" s="12" t="s">
        <v>172</v>
      </c>
      <c r="E18" s="12" t="s">
        <v>143</v>
      </c>
      <c r="F18" s="12">
        <v>1.5E-3</v>
      </c>
      <c r="G18" s="12">
        <v>2.0000000000000001E-4</v>
      </c>
      <c r="H18" s="12">
        <f t="shared" si="2"/>
        <v>1.5E-3</v>
      </c>
      <c r="I18" s="12">
        <v>15</v>
      </c>
      <c r="J18" s="12">
        <v>542881</v>
      </c>
      <c r="K18" s="12" t="s">
        <v>132</v>
      </c>
      <c r="L18" s="12" t="s">
        <v>133</v>
      </c>
      <c r="M18" s="12" t="s">
        <v>134</v>
      </c>
      <c r="N18" s="12"/>
      <c r="P18">
        <f t="shared" si="3"/>
        <v>150</v>
      </c>
      <c r="Q18">
        <f t="shared" si="1"/>
        <v>20</v>
      </c>
    </row>
    <row r="19" spans="1:17" x14ac:dyDescent="0.2">
      <c r="A19" s="12" t="s">
        <v>173</v>
      </c>
      <c r="B19" s="13">
        <v>44652</v>
      </c>
      <c r="C19" s="14">
        <v>0.80576388888888895</v>
      </c>
      <c r="D19" s="12" t="s">
        <v>174</v>
      </c>
      <c r="E19" s="12" t="s">
        <v>143</v>
      </c>
      <c r="F19" s="12">
        <v>1.6999999999999999E-3</v>
      </c>
      <c r="G19" s="12">
        <v>2.0000000000000001E-4</v>
      </c>
      <c r="H19" s="12">
        <f t="shared" si="2"/>
        <v>1.6999999999999999E-3</v>
      </c>
      <c r="I19" s="12">
        <v>17</v>
      </c>
      <c r="J19" s="12">
        <v>542881</v>
      </c>
      <c r="K19" s="12" t="s">
        <v>132</v>
      </c>
      <c r="L19" s="12" t="s">
        <v>133</v>
      </c>
      <c r="M19" s="12" t="s">
        <v>134</v>
      </c>
      <c r="N19" s="12"/>
      <c r="P19">
        <f t="shared" si="3"/>
        <v>170</v>
      </c>
      <c r="Q19">
        <f t="shared" si="1"/>
        <v>20</v>
      </c>
    </row>
    <row r="20" spans="1:17" x14ac:dyDescent="0.2">
      <c r="A20" s="12" t="s">
        <v>175</v>
      </c>
      <c r="B20" s="13">
        <v>44652</v>
      </c>
      <c r="C20" s="14">
        <v>0.80674768518518514</v>
      </c>
      <c r="D20" s="12" t="s">
        <v>176</v>
      </c>
      <c r="E20" s="12" t="s">
        <v>143</v>
      </c>
      <c r="F20" s="12">
        <v>3.8999999999999998E-3</v>
      </c>
      <c r="G20" s="12">
        <v>2.0000000000000001E-4</v>
      </c>
      <c r="H20" s="12">
        <f t="shared" si="2"/>
        <v>3.8999999999999998E-3</v>
      </c>
      <c r="I20" s="12">
        <v>39</v>
      </c>
      <c r="J20" s="12">
        <v>542881</v>
      </c>
      <c r="K20" s="12" t="s">
        <v>132</v>
      </c>
      <c r="L20" s="12" t="s">
        <v>133</v>
      </c>
      <c r="M20" s="12" t="s">
        <v>134</v>
      </c>
      <c r="N20" s="12"/>
      <c r="P20">
        <f t="shared" si="3"/>
        <v>390</v>
      </c>
      <c r="Q20">
        <f t="shared" si="1"/>
        <v>20</v>
      </c>
    </row>
    <row r="21" spans="1:17" x14ac:dyDescent="0.2">
      <c r="A21" s="12" t="s">
        <v>177</v>
      </c>
      <c r="B21" s="13">
        <v>44652</v>
      </c>
      <c r="C21" s="14">
        <v>0.80775462962962974</v>
      </c>
      <c r="D21" s="12" t="s">
        <v>178</v>
      </c>
      <c r="E21" s="12" t="s">
        <v>143</v>
      </c>
      <c r="F21" s="12">
        <v>1.5E-3</v>
      </c>
      <c r="G21" s="12">
        <v>2.0000000000000001E-4</v>
      </c>
      <c r="H21" s="12">
        <f t="shared" si="2"/>
        <v>1.5E-3</v>
      </c>
      <c r="I21" s="12">
        <v>15</v>
      </c>
      <c r="J21" s="12">
        <v>542881</v>
      </c>
      <c r="K21" s="12" t="s">
        <v>132</v>
      </c>
      <c r="L21" s="12" t="s">
        <v>133</v>
      </c>
      <c r="M21" s="12" t="s">
        <v>134</v>
      </c>
      <c r="N21" s="12"/>
      <c r="P21">
        <f t="shared" si="3"/>
        <v>150</v>
      </c>
      <c r="Q21">
        <f t="shared" si="1"/>
        <v>20</v>
      </c>
    </row>
    <row r="22" spans="1:17" x14ac:dyDescent="0.2">
      <c r="A22" s="12" t="s">
        <v>179</v>
      </c>
      <c r="B22" s="13">
        <v>44652</v>
      </c>
      <c r="C22" s="14">
        <v>0.80871527777777785</v>
      </c>
      <c r="D22" s="12" t="s">
        <v>180</v>
      </c>
      <c r="E22" s="12" t="s">
        <v>143</v>
      </c>
      <c r="F22" s="12">
        <v>1.8E-3</v>
      </c>
      <c r="G22" s="12">
        <v>2.0000000000000001E-4</v>
      </c>
      <c r="H22" s="12">
        <f t="shared" si="2"/>
        <v>1.8E-3</v>
      </c>
      <c r="I22" s="12">
        <v>18</v>
      </c>
      <c r="J22" s="12">
        <v>542881</v>
      </c>
      <c r="K22" s="12" t="s">
        <v>132</v>
      </c>
      <c r="L22" s="12" t="s">
        <v>133</v>
      </c>
      <c r="M22" s="12" t="s">
        <v>134</v>
      </c>
      <c r="N22" s="12"/>
      <c r="P22">
        <f t="shared" si="3"/>
        <v>180</v>
      </c>
      <c r="Q22">
        <f t="shared" si="1"/>
        <v>20</v>
      </c>
    </row>
    <row r="23" spans="1:17" x14ac:dyDescent="0.2">
      <c r="A23" s="12" t="s">
        <v>181</v>
      </c>
      <c r="B23" s="13">
        <v>44652</v>
      </c>
      <c r="C23" s="14">
        <v>0.80971064814814808</v>
      </c>
      <c r="D23" s="12" t="s">
        <v>182</v>
      </c>
      <c r="E23" s="12" t="s">
        <v>143</v>
      </c>
      <c r="F23" s="12">
        <v>3.7000000000000002E-3</v>
      </c>
      <c r="G23" s="12">
        <v>2.0000000000000001E-4</v>
      </c>
      <c r="H23" s="12">
        <f t="shared" si="2"/>
        <v>3.7000000000000002E-3</v>
      </c>
      <c r="I23" s="12">
        <v>37</v>
      </c>
      <c r="J23" s="12">
        <v>542881</v>
      </c>
      <c r="K23" s="12" t="s">
        <v>132</v>
      </c>
      <c r="L23" s="12" t="s">
        <v>133</v>
      </c>
      <c r="M23" s="12" t="s">
        <v>134</v>
      </c>
      <c r="N23" s="12"/>
      <c r="P23">
        <f t="shared" si="3"/>
        <v>370</v>
      </c>
      <c r="Q23">
        <f t="shared" si="1"/>
        <v>20</v>
      </c>
    </row>
    <row r="24" spans="1:17" x14ac:dyDescent="0.2">
      <c r="A24" s="12" t="s">
        <v>183</v>
      </c>
      <c r="B24" s="13">
        <v>44652</v>
      </c>
      <c r="C24" s="14">
        <v>0.81071759259259257</v>
      </c>
      <c r="D24" s="12" t="s">
        <v>184</v>
      </c>
      <c r="E24" s="12" t="s">
        <v>143</v>
      </c>
      <c r="F24" s="12">
        <v>6.6E-3</v>
      </c>
      <c r="G24" s="12">
        <v>2.9999999999999997E-4</v>
      </c>
      <c r="H24" s="12">
        <f t="shared" si="2"/>
        <v>6.6E-3</v>
      </c>
      <c r="I24" s="12">
        <v>66</v>
      </c>
      <c r="J24" s="12">
        <v>542881</v>
      </c>
      <c r="K24" s="12" t="s">
        <v>132</v>
      </c>
      <c r="L24" s="12" t="s">
        <v>133</v>
      </c>
      <c r="M24" s="12" t="s">
        <v>134</v>
      </c>
      <c r="N24" s="12"/>
      <c r="P24">
        <f t="shared" si="3"/>
        <v>660</v>
      </c>
      <c r="Q24">
        <f t="shared" si="1"/>
        <v>29.999999999999996</v>
      </c>
    </row>
    <row r="25" spans="1:17" x14ac:dyDescent="0.2">
      <c r="A25" s="12" t="s">
        <v>185</v>
      </c>
      <c r="B25" s="13">
        <v>44652</v>
      </c>
      <c r="C25" s="14">
        <v>0.81177083333333344</v>
      </c>
      <c r="D25" s="12" t="s">
        <v>186</v>
      </c>
      <c r="E25" s="12" t="s">
        <v>143</v>
      </c>
      <c r="F25" s="12">
        <v>2.0999999999999999E-3</v>
      </c>
      <c r="G25" s="12">
        <v>2.0000000000000001E-4</v>
      </c>
      <c r="H25" s="12">
        <f t="shared" si="2"/>
        <v>2.0999999999999999E-3</v>
      </c>
      <c r="I25" s="12">
        <v>21</v>
      </c>
      <c r="J25" s="12">
        <v>542881</v>
      </c>
      <c r="K25" s="12" t="s">
        <v>132</v>
      </c>
      <c r="L25" s="12" t="s">
        <v>133</v>
      </c>
      <c r="M25" s="12" t="s">
        <v>134</v>
      </c>
      <c r="N25" s="12"/>
      <c r="P25">
        <f t="shared" si="3"/>
        <v>210</v>
      </c>
      <c r="Q25">
        <f t="shared" si="1"/>
        <v>20</v>
      </c>
    </row>
    <row r="26" spans="1:17" x14ac:dyDescent="0.2">
      <c r="A26" s="12" t="s">
        <v>187</v>
      </c>
      <c r="B26" s="13">
        <v>44652</v>
      </c>
      <c r="C26" s="14">
        <v>0.81267361111111114</v>
      </c>
      <c r="D26" s="12" t="s">
        <v>188</v>
      </c>
      <c r="E26" s="12" t="s">
        <v>143</v>
      </c>
      <c r="F26" s="12">
        <v>1.1900000000000001E-2</v>
      </c>
      <c r="G26" s="12">
        <v>2.9999999999999997E-4</v>
      </c>
      <c r="H26" s="12">
        <f t="shared" si="2"/>
        <v>1.1900000000000001E-2</v>
      </c>
      <c r="I26" s="12">
        <v>119</v>
      </c>
      <c r="J26" s="12">
        <v>542881</v>
      </c>
      <c r="K26" s="12" t="s">
        <v>132</v>
      </c>
      <c r="L26" s="12" t="s">
        <v>133</v>
      </c>
      <c r="M26" s="12" t="s">
        <v>134</v>
      </c>
      <c r="N26" s="12"/>
      <c r="P26">
        <f t="shared" si="3"/>
        <v>1190</v>
      </c>
      <c r="Q26">
        <f t="shared" si="1"/>
        <v>29.999999999999996</v>
      </c>
    </row>
    <row r="27" spans="1:17" x14ac:dyDescent="0.2">
      <c r="A27" s="12" t="s">
        <v>189</v>
      </c>
      <c r="B27" s="13">
        <v>44652</v>
      </c>
      <c r="C27" s="14">
        <v>0.81368055555555552</v>
      </c>
      <c r="D27" s="12" t="s">
        <v>190</v>
      </c>
      <c r="E27" s="12" t="s">
        <v>143</v>
      </c>
      <c r="F27" s="12">
        <v>1.6000000000000001E-3</v>
      </c>
      <c r="G27" s="12">
        <v>2.0000000000000001E-4</v>
      </c>
      <c r="H27" s="12">
        <f t="shared" si="2"/>
        <v>1.6000000000000001E-3</v>
      </c>
      <c r="I27" s="12">
        <v>16</v>
      </c>
      <c r="J27" s="12">
        <v>542881</v>
      </c>
      <c r="K27" s="12" t="s">
        <v>132</v>
      </c>
      <c r="L27" s="12" t="s">
        <v>133</v>
      </c>
      <c r="M27" s="12" t="s">
        <v>134</v>
      </c>
      <c r="N27" s="12"/>
      <c r="P27">
        <f t="shared" si="3"/>
        <v>160</v>
      </c>
      <c r="Q27">
        <f t="shared" si="1"/>
        <v>20</v>
      </c>
    </row>
    <row r="28" spans="1:17" x14ac:dyDescent="0.2">
      <c r="A28" s="12" t="s">
        <v>191</v>
      </c>
      <c r="B28" s="13">
        <v>44652</v>
      </c>
      <c r="C28" s="14">
        <v>0.81481481481481488</v>
      </c>
      <c r="D28" s="12" t="s">
        <v>192</v>
      </c>
      <c r="E28" s="12" t="s">
        <v>143</v>
      </c>
      <c r="F28" s="12">
        <v>1.6000000000000001E-3</v>
      </c>
      <c r="G28" s="12">
        <v>2.0000000000000001E-4</v>
      </c>
      <c r="H28" s="12">
        <f t="shared" si="2"/>
        <v>1.6000000000000001E-3</v>
      </c>
      <c r="I28" s="12">
        <v>16</v>
      </c>
      <c r="J28" s="12">
        <v>542881</v>
      </c>
      <c r="K28" s="12" t="s">
        <v>132</v>
      </c>
      <c r="L28" s="12" t="s">
        <v>133</v>
      </c>
      <c r="M28" s="12" t="s">
        <v>134</v>
      </c>
      <c r="N28" s="12"/>
      <c r="P28">
        <f t="shared" si="3"/>
        <v>160</v>
      </c>
      <c r="Q28">
        <f t="shared" si="1"/>
        <v>20</v>
      </c>
    </row>
    <row r="29" spans="1:17" x14ac:dyDescent="0.2">
      <c r="A29" s="12" t="s">
        <v>193</v>
      </c>
      <c r="B29" s="13">
        <v>44652</v>
      </c>
      <c r="C29" s="14">
        <v>0.81582175925925926</v>
      </c>
      <c r="D29" s="12" t="s">
        <v>194</v>
      </c>
      <c r="E29" s="12" t="s">
        <v>143</v>
      </c>
      <c r="F29" s="12">
        <v>1.6999999999999999E-3</v>
      </c>
      <c r="G29" s="12">
        <v>2.0000000000000001E-4</v>
      </c>
      <c r="H29" s="12">
        <f t="shared" si="2"/>
        <v>1.6999999999999999E-3</v>
      </c>
      <c r="I29" s="12">
        <v>17</v>
      </c>
      <c r="J29" s="12">
        <v>542881</v>
      </c>
      <c r="K29" s="12" t="s">
        <v>132</v>
      </c>
      <c r="L29" s="12" t="s">
        <v>133</v>
      </c>
      <c r="M29" s="12" t="s">
        <v>134</v>
      </c>
      <c r="N29" s="12"/>
      <c r="P29">
        <f t="shared" si="3"/>
        <v>170</v>
      </c>
      <c r="Q29">
        <f t="shared" si="1"/>
        <v>20</v>
      </c>
    </row>
    <row r="30" spans="1:17" x14ac:dyDescent="0.2">
      <c r="A30" s="12" t="s">
        <v>195</v>
      </c>
      <c r="B30" s="13">
        <v>44652</v>
      </c>
      <c r="C30" s="14">
        <v>0.81672453703703696</v>
      </c>
      <c r="D30" s="12" t="s">
        <v>196</v>
      </c>
      <c r="E30" s="12" t="s">
        <v>143</v>
      </c>
      <c r="F30" s="12">
        <v>8.0000000000000004E-4</v>
      </c>
      <c r="G30" s="12">
        <v>2.0000000000000001E-4</v>
      </c>
      <c r="H30" s="12">
        <f t="shared" si="2"/>
        <v>8.0000000000000004E-4</v>
      </c>
      <c r="I30" s="12">
        <v>8</v>
      </c>
      <c r="J30" s="12">
        <v>542881</v>
      </c>
      <c r="K30" s="12" t="s">
        <v>132</v>
      </c>
      <c r="L30" s="12" t="s">
        <v>133</v>
      </c>
      <c r="M30" s="12" t="s">
        <v>134</v>
      </c>
      <c r="N30" s="12"/>
      <c r="P30">
        <f t="shared" si="3"/>
        <v>80</v>
      </c>
      <c r="Q30">
        <f t="shared" si="1"/>
        <v>20</v>
      </c>
    </row>
    <row r="31" spans="1:17" x14ac:dyDescent="0.2">
      <c r="A31" s="12" t="s">
        <v>197</v>
      </c>
      <c r="B31" s="13">
        <v>44652</v>
      </c>
      <c r="C31" s="14">
        <v>0.81763888888888892</v>
      </c>
      <c r="D31" s="12" t="s">
        <v>198</v>
      </c>
      <c r="E31" s="12" t="s">
        <v>143</v>
      </c>
      <c r="F31" s="12">
        <v>1.4E-3</v>
      </c>
      <c r="G31" s="12">
        <v>1E-4</v>
      </c>
      <c r="H31" s="12">
        <f t="shared" si="2"/>
        <v>1.4E-3</v>
      </c>
      <c r="I31" s="12">
        <v>14</v>
      </c>
      <c r="J31" s="12">
        <v>542881</v>
      </c>
      <c r="K31" s="12" t="s">
        <v>132</v>
      </c>
      <c r="L31" s="12" t="s">
        <v>133</v>
      </c>
      <c r="M31" s="12" t="s">
        <v>134</v>
      </c>
      <c r="N31" s="12"/>
      <c r="P31">
        <f t="shared" si="3"/>
        <v>140</v>
      </c>
      <c r="Q31">
        <f t="shared" si="1"/>
        <v>10</v>
      </c>
    </row>
    <row r="32" spans="1:17" x14ac:dyDescent="0.2">
      <c r="A32" s="12" t="s">
        <v>199</v>
      </c>
      <c r="B32" s="13">
        <v>44652</v>
      </c>
      <c r="C32" s="14">
        <v>0.81857638888888884</v>
      </c>
      <c r="D32" s="12" t="s">
        <v>200</v>
      </c>
      <c r="E32" s="12" t="s">
        <v>143</v>
      </c>
      <c r="F32" s="12">
        <v>2.7000000000000001E-3</v>
      </c>
      <c r="G32" s="12">
        <v>2.0000000000000001E-4</v>
      </c>
      <c r="H32" s="12">
        <f t="shared" si="2"/>
        <v>2.7000000000000001E-3</v>
      </c>
      <c r="I32" s="12">
        <v>27</v>
      </c>
      <c r="J32" s="12">
        <v>542881</v>
      </c>
      <c r="K32" s="12" t="s">
        <v>132</v>
      </c>
      <c r="L32" s="12" t="s">
        <v>133</v>
      </c>
      <c r="M32" s="12" t="s">
        <v>134</v>
      </c>
      <c r="N32" s="12"/>
      <c r="P32">
        <f t="shared" si="3"/>
        <v>270</v>
      </c>
      <c r="Q32">
        <f t="shared" si="1"/>
        <v>20</v>
      </c>
    </row>
    <row r="33" spans="1:17" x14ac:dyDescent="0.2">
      <c r="A33" s="12" t="s">
        <v>201</v>
      </c>
      <c r="B33" s="13">
        <v>44652</v>
      </c>
      <c r="C33" s="14">
        <v>0.8195486111111111</v>
      </c>
      <c r="D33" s="12" t="s">
        <v>202</v>
      </c>
      <c r="E33" s="12" t="s">
        <v>143</v>
      </c>
      <c r="F33" s="12">
        <v>1.6999999999999999E-3</v>
      </c>
      <c r="G33" s="12">
        <v>2.0000000000000001E-4</v>
      </c>
      <c r="H33" s="12">
        <f t="shared" si="2"/>
        <v>1.6999999999999999E-3</v>
      </c>
      <c r="I33" s="12">
        <v>17</v>
      </c>
      <c r="J33" s="12">
        <v>542881</v>
      </c>
      <c r="K33" s="12" t="s">
        <v>132</v>
      </c>
      <c r="L33" s="12" t="s">
        <v>133</v>
      </c>
      <c r="M33" s="12" t="s">
        <v>134</v>
      </c>
      <c r="N33" s="12"/>
      <c r="P33">
        <f t="shared" si="3"/>
        <v>170</v>
      </c>
      <c r="Q33">
        <f t="shared" si="1"/>
        <v>20</v>
      </c>
    </row>
    <row r="34" spans="1:17" x14ac:dyDescent="0.2">
      <c r="A34" s="12" t="s">
        <v>203</v>
      </c>
      <c r="B34" s="13">
        <v>44652</v>
      </c>
      <c r="C34" s="14">
        <v>0.82075231481481481</v>
      </c>
      <c r="D34" s="12" t="s">
        <v>204</v>
      </c>
      <c r="E34" s="12" t="s">
        <v>143</v>
      </c>
      <c r="F34" s="12">
        <v>3.3E-3</v>
      </c>
      <c r="G34" s="12">
        <v>2.0000000000000001E-4</v>
      </c>
      <c r="H34" s="12">
        <f t="shared" si="2"/>
        <v>3.3E-3</v>
      </c>
      <c r="I34" s="12">
        <v>33</v>
      </c>
      <c r="J34" s="12">
        <v>542881</v>
      </c>
      <c r="K34" s="12" t="s">
        <v>132</v>
      </c>
      <c r="L34" s="12" t="s">
        <v>133</v>
      </c>
      <c r="M34" s="12" t="s">
        <v>134</v>
      </c>
      <c r="N34" s="12"/>
      <c r="P34">
        <f t="shared" si="3"/>
        <v>330</v>
      </c>
      <c r="Q34">
        <f t="shared" si="1"/>
        <v>20</v>
      </c>
    </row>
    <row r="35" spans="1:17" x14ac:dyDescent="0.2">
      <c r="A35" s="12" t="s">
        <v>205</v>
      </c>
      <c r="B35" s="13">
        <v>44652</v>
      </c>
      <c r="C35" s="14">
        <v>0.82182870370370376</v>
      </c>
      <c r="D35" s="12" t="s">
        <v>206</v>
      </c>
      <c r="E35" s="12" t="s">
        <v>143</v>
      </c>
      <c r="F35" s="12">
        <v>2.8999999999999998E-3</v>
      </c>
      <c r="G35" s="12">
        <v>2.0000000000000001E-4</v>
      </c>
      <c r="H35" s="12">
        <f t="shared" si="2"/>
        <v>2.8999999999999998E-3</v>
      </c>
      <c r="I35" s="12">
        <v>29</v>
      </c>
      <c r="J35" s="12">
        <v>542881</v>
      </c>
      <c r="K35" s="12" t="s">
        <v>132</v>
      </c>
      <c r="L35" s="12" t="s">
        <v>133</v>
      </c>
      <c r="M35" s="12" t="s">
        <v>134</v>
      </c>
      <c r="N35" s="12"/>
      <c r="P35">
        <f t="shared" si="3"/>
        <v>290</v>
      </c>
      <c r="Q35">
        <f t="shared" si="1"/>
        <v>20</v>
      </c>
    </row>
    <row r="36" spans="1:17" x14ac:dyDescent="0.2">
      <c r="A36" s="12" t="s">
        <v>207</v>
      </c>
      <c r="B36" s="13">
        <v>44652</v>
      </c>
      <c r="C36" s="14">
        <v>0.8227199074074073</v>
      </c>
      <c r="D36" s="12" t="s">
        <v>208</v>
      </c>
      <c r="E36" s="12" t="s">
        <v>143</v>
      </c>
      <c r="F36" s="12">
        <v>2.7000000000000001E-3</v>
      </c>
      <c r="G36" s="12">
        <v>2.0000000000000001E-4</v>
      </c>
      <c r="H36" s="12">
        <f t="shared" si="2"/>
        <v>2.7000000000000001E-3</v>
      </c>
      <c r="I36" s="12">
        <v>27</v>
      </c>
      <c r="J36" s="12">
        <v>542881</v>
      </c>
      <c r="K36" s="12" t="s">
        <v>132</v>
      </c>
      <c r="L36" s="12" t="s">
        <v>133</v>
      </c>
      <c r="M36" s="12" t="s">
        <v>134</v>
      </c>
      <c r="N36" s="12"/>
      <c r="P36">
        <f t="shared" si="3"/>
        <v>270</v>
      </c>
      <c r="Q36">
        <f t="shared" si="1"/>
        <v>20</v>
      </c>
    </row>
    <row r="37" spans="1:17" x14ac:dyDescent="0.2">
      <c r="O37" s="9" t="s">
        <v>363</v>
      </c>
      <c r="P37" s="9">
        <f>AVERAGE(P8:P36)</f>
        <v>270</v>
      </c>
    </row>
    <row r="38" spans="1:17" x14ac:dyDescent="0.2">
      <c r="O38" s="9" t="s">
        <v>364</v>
      </c>
      <c r="P38" s="9">
        <f>MEDIAN(P8:P36)</f>
        <v>175</v>
      </c>
    </row>
    <row r="39" spans="1:17" x14ac:dyDescent="0.2">
      <c r="O39" s="9" t="s">
        <v>365</v>
      </c>
      <c r="P39" s="9">
        <f>MAX(P8:P36)</f>
        <v>1190</v>
      </c>
    </row>
    <row r="40" spans="1:17" x14ac:dyDescent="0.2">
      <c r="O40" s="9" t="s">
        <v>366</v>
      </c>
      <c r="P40" s="9">
        <f>MIN(P8:P36)</f>
        <v>80</v>
      </c>
    </row>
    <row r="41" spans="1:17" x14ac:dyDescent="0.2">
      <c r="O41" s="9" t="s">
        <v>367</v>
      </c>
      <c r="P41" s="9">
        <f>_xlfn.STDEV.P(P8:P36)</f>
        <v>215.37342985083905</v>
      </c>
    </row>
    <row r="42" spans="1:17" x14ac:dyDescent="0.2">
      <c r="O42" s="9" t="s">
        <v>369</v>
      </c>
      <c r="P42" s="32">
        <f>AVERAGE(Q8:Q36)</f>
        <v>20.714285714285715</v>
      </c>
    </row>
    <row r="43" spans="1:17" x14ac:dyDescent="0.2">
      <c r="O43" s="9" t="s">
        <v>371</v>
      </c>
      <c r="P43" s="9">
        <f>P41/SQRT(COUNT(P8:P36))</f>
        <v>40.701752456881074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Q68"/>
  <sheetViews>
    <sheetView workbookViewId="0">
      <pane ySplit="1" topLeftCell="A2" activePane="bottomLeft" state="frozen"/>
      <selection pane="bottomLeft" activeCell="K14" sqref="K14"/>
    </sheetView>
  </sheetViews>
  <sheetFormatPr baseColWidth="10" defaultColWidth="11" defaultRowHeight="16" x14ac:dyDescent="0.2"/>
  <cols>
    <col min="1" max="1" width="32.83203125" style="26" customWidth="1"/>
    <col min="2" max="2" width="11.83203125" style="26" bestFit="1" customWidth="1"/>
    <col min="3" max="3" width="11.83203125" style="34" bestFit="1" customWidth="1"/>
    <col min="4" max="4" width="11.83203125" style="34" customWidth="1"/>
    <col min="5" max="6" width="11" style="34"/>
    <col min="7" max="7" width="12.1640625" style="34" bestFit="1" customWidth="1"/>
    <col min="8" max="8" width="11.83203125" style="34" bestFit="1" customWidth="1"/>
    <col min="9" max="9" width="11.83203125" style="34" customWidth="1"/>
    <col min="10" max="16384" width="11" style="26"/>
  </cols>
  <sheetData>
    <row r="1" spans="1:9" s="24" customFormat="1" x14ac:dyDescent="0.2">
      <c r="A1" s="23" t="s">
        <v>324</v>
      </c>
      <c r="B1" s="23"/>
      <c r="C1" s="33" t="s">
        <v>325</v>
      </c>
      <c r="D1" s="33" t="s">
        <v>376</v>
      </c>
      <c r="E1" s="33" t="s">
        <v>326</v>
      </c>
      <c r="F1" s="33" t="s">
        <v>327</v>
      </c>
      <c r="G1" s="33" t="s">
        <v>328</v>
      </c>
      <c r="H1" s="33" t="s">
        <v>374</v>
      </c>
      <c r="I1" s="33"/>
    </row>
    <row r="2" spans="1:9" x14ac:dyDescent="0.2">
      <c r="A2" s="25" t="s">
        <v>329</v>
      </c>
      <c r="B2" s="25">
        <v>2</v>
      </c>
      <c r="C2" s="34">
        <v>25</v>
      </c>
      <c r="D2" s="34">
        <f>C2/1000</f>
        <v>2.5000000000000001E-2</v>
      </c>
      <c r="E2" s="34">
        <f t="shared" ref="E2:E32" si="0">$B$9*C2^$B$10</f>
        <v>5.2832156025538177</v>
      </c>
      <c r="F2" s="34">
        <f t="shared" ref="F2:F32" si="1">$B$7*C2^$B$8</f>
        <v>1.9258800983843964</v>
      </c>
      <c r="G2" s="34">
        <f>($B$2/(3.14*$B$3*E2*F2))*(EXP(-($B$6^2)/(2*F2^2)))*3600*10^3</f>
        <v>1.3761797061050917E-9</v>
      </c>
      <c r="H2" s="34">
        <f>G2*24.45/$B$12</f>
        <v>1.6239186203798018E-10</v>
      </c>
    </row>
    <row r="3" spans="1:9" x14ac:dyDescent="0.2">
      <c r="A3" s="25" t="s">
        <v>330</v>
      </c>
      <c r="B3" s="27">
        <v>11</v>
      </c>
      <c r="C3" s="34">
        <f>C2+25</f>
        <v>50</v>
      </c>
      <c r="D3" s="34">
        <f t="shared" ref="D3:D49" si="2">C3/1000</f>
        <v>0.05</v>
      </c>
      <c r="E3" s="34">
        <f t="shared" si="0"/>
        <v>9.7568556623354734</v>
      </c>
      <c r="F3" s="34">
        <f t="shared" si="1"/>
        <v>3.908236810072296</v>
      </c>
      <c r="G3" s="34">
        <f t="shared" ref="G3:G32" si="3">($B$2/(3.14*$B$3*E3*F3))*(EXP(-($B$6^2)/(2*F3^2)))*3600*10^3</f>
        <v>3.4594556105712546</v>
      </c>
      <c r="H3" s="34">
        <f t="shared" ref="H3:H49" si="4">G3*24.45/$B$12</f>
        <v>0.40822244053314272</v>
      </c>
    </row>
    <row r="4" spans="1:9" x14ac:dyDescent="0.2">
      <c r="A4" s="25" t="s">
        <v>331</v>
      </c>
      <c r="B4" s="25">
        <v>10</v>
      </c>
      <c r="C4" s="34">
        <f t="shared" ref="C4:C32" si="5">C3+25</f>
        <v>75</v>
      </c>
      <c r="D4" s="34">
        <f t="shared" si="2"/>
        <v>7.4999999999999997E-2</v>
      </c>
      <c r="E4" s="34">
        <f t="shared" si="0"/>
        <v>13.968528061179001</v>
      </c>
      <c r="F4" s="34">
        <f t="shared" si="1"/>
        <v>5.9124849239509194</v>
      </c>
      <c r="G4" s="34">
        <f t="shared" si="3"/>
        <v>101.02873240278821</v>
      </c>
      <c r="H4" s="34">
        <f t="shared" si="4"/>
        <v>11.921585459691949</v>
      </c>
    </row>
    <row r="5" spans="1:9" x14ac:dyDescent="0.2">
      <c r="A5" s="25" t="s">
        <v>332</v>
      </c>
      <c r="B5" s="25">
        <v>5</v>
      </c>
      <c r="C5" s="34">
        <f t="shared" si="5"/>
        <v>100</v>
      </c>
      <c r="D5" s="34">
        <f t="shared" si="2"/>
        <v>0.1</v>
      </c>
      <c r="E5" s="34">
        <f t="shared" si="0"/>
        <v>18.018615853881037</v>
      </c>
      <c r="F5" s="34">
        <f t="shared" si="1"/>
        <v>7.9310830286981844</v>
      </c>
      <c r="G5" s="34">
        <f t="shared" si="3"/>
        <v>243.90634034659405</v>
      </c>
      <c r="H5" s="34">
        <f t="shared" si="4"/>
        <v>28.781419022559</v>
      </c>
    </row>
    <row r="6" spans="1:9" x14ac:dyDescent="0.2">
      <c r="A6" s="25" t="s">
        <v>333</v>
      </c>
      <c r="B6" s="25">
        <f>B4+B5</f>
        <v>15</v>
      </c>
      <c r="C6" s="34">
        <f t="shared" si="5"/>
        <v>125</v>
      </c>
      <c r="D6" s="34">
        <f t="shared" si="2"/>
        <v>0.125</v>
      </c>
      <c r="E6" s="34">
        <f t="shared" si="0"/>
        <v>21.952641643052861</v>
      </c>
      <c r="F6" s="34">
        <f t="shared" si="1"/>
        <v>9.9604192672859924</v>
      </c>
      <c r="G6" s="34">
        <f t="shared" si="3"/>
        <v>306.74231974396895</v>
      </c>
      <c r="H6" s="34">
        <f t="shared" si="4"/>
        <v>36.196185896428766</v>
      </c>
    </row>
    <row r="7" spans="1:9" x14ac:dyDescent="0.2">
      <c r="A7" s="25" t="s">
        <v>334</v>
      </c>
      <c r="B7" s="25">
        <v>7.1999999999999995E-2</v>
      </c>
      <c r="C7" s="34">
        <f t="shared" si="5"/>
        <v>150</v>
      </c>
      <c r="D7" s="34">
        <f t="shared" si="2"/>
        <v>0.15</v>
      </c>
      <c r="E7" s="34">
        <f t="shared" si="0"/>
        <v>25.796583437239722</v>
      </c>
      <c r="F7" s="34">
        <f t="shared" si="1"/>
        <v>11.998354019114204</v>
      </c>
      <c r="G7" s="34">
        <f t="shared" si="3"/>
        <v>308.27665588132533</v>
      </c>
      <c r="H7" s="34">
        <f t="shared" si="4"/>
        <v>36.377240522675699</v>
      </c>
    </row>
    <row r="8" spans="1:9" x14ac:dyDescent="0.2">
      <c r="A8" s="25" t="s">
        <v>335</v>
      </c>
      <c r="B8" s="25">
        <v>1.0209999999999999</v>
      </c>
      <c r="C8" s="34">
        <f t="shared" si="5"/>
        <v>175</v>
      </c>
      <c r="D8" s="34">
        <f t="shared" si="2"/>
        <v>0.17499999999999999</v>
      </c>
      <c r="E8" s="34">
        <f t="shared" si="0"/>
        <v>29.56719323136986</v>
      </c>
      <c r="F8" s="34">
        <f t="shared" si="1"/>
        <v>14.043467196246585</v>
      </c>
      <c r="G8" s="34">
        <f t="shared" si="3"/>
        <v>283.78554873421803</v>
      </c>
      <c r="H8" s="34">
        <f t="shared" si="4"/>
        <v>33.487242599187411</v>
      </c>
    </row>
    <row r="9" spans="1:9" x14ac:dyDescent="0.2">
      <c r="A9" s="25" t="s">
        <v>336</v>
      </c>
      <c r="B9" s="25">
        <v>0.30599999999999999</v>
      </c>
      <c r="C9" s="34">
        <f t="shared" si="5"/>
        <v>200</v>
      </c>
      <c r="D9" s="34">
        <f t="shared" si="2"/>
        <v>0.2</v>
      </c>
      <c r="E9" s="34">
        <f t="shared" si="0"/>
        <v>33.276142286603935</v>
      </c>
      <c r="F9" s="34">
        <f t="shared" si="1"/>
        <v>16.094745806086589</v>
      </c>
      <c r="G9" s="34">
        <f t="shared" si="3"/>
        <v>252.10495744081757</v>
      </c>
      <c r="H9" s="34">
        <f t="shared" si="4"/>
        <v>29.748871667123503</v>
      </c>
    </row>
    <row r="10" spans="1:9" x14ac:dyDescent="0.2">
      <c r="A10" s="25" t="s">
        <v>337</v>
      </c>
      <c r="B10" s="25">
        <v>0.88500000000000001</v>
      </c>
      <c r="C10" s="34">
        <f t="shared" si="5"/>
        <v>225</v>
      </c>
      <c r="D10" s="34">
        <f t="shared" si="2"/>
        <v>0.22500000000000001</v>
      </c>
      <c r="E10" s="34">
        <f t="shared" si="0"/>
        <v>36.932010895339523</v>
      </c>
      <c r="F10" s="34">
        <f t="shared" si="1"/>
        <v>18.151430094361753</v>
      </c>
      <c r="G10" s="34">
        <f t="shared" si="3"/>
        <v>221.0065997848755</v>
      </c>
      <c r="H10" s="34">
        <f t="shared" si="4"/>
        <v>26.079205428282851</v>
      </c>
    </row>
    <row r="11" spans="1:9" x14ac:dyDescent="0.2">
      <c r="A11" s="25" t="s">
        <v>338</v>
      </c>
      <c r="B11" s="28" t="s">
        <v>339</v>
      </c>
      <c r="C11" s="34">
        <f t="shared" si="5"/>
        <v>250</v>
      </c>
      <c r="D11" s="34">
        <f t="shared" si="2"/>
        <v>0.25</v>
      </c>
      <c r="E11" s="34">
        <f t="shared" si="0"/>
        <v>40.541361933952956</v>
      </c>
      <c r="F11" s="34">
        <f t="shared" si="1"/>
        <v>20.212928757515325</v>
      </c>
      <c r="G11" s="34">
        <f t="shared" si="3"/>
        <v>193.15107672257992</v>
      </c>
      <c r="H11" s="34">
        <f t="shared" si="4"/>
        <v>22.792199931790925</v>
      </c>
    </row>
    <row r="12" spans="1:9" x14ac:dyDescent="0.2">
      <c r="A12" s="25" t="s">
        <v>375</v>
      </c>
      <c r="B12" s="25">
        <v>207.2</v>
      </c>
      <c r="C12" s="34">
        <f t="shared" si="5"/>
        <v>275</v>
      </c>
      <c r="D12" s="34">
        <f t="shared" si="2"/>
        <v>0.27500000000000002</v>
      </c>
      <c r="E12" s="34">
        <f t="shared" si="0"/>
        <v>44.109370567508314</v>
      </c>
      <c r="F12" s="34">
        <f t="shared" si="1"/>
        <v>22.278768299673921</v>
      </c>
      <c r="G12" s="34">
        <f t="shared" si="3"/>
        <v>169.10327064690529</v>
      </c>
      <c r="H12" s="34">
        <f t="shared" si="4"/>
        <v>19.954512390525259</v>
      </c>
    </row>
    <row r="13" spans="1:9" x14ac:dyDescent="0.2">
      <c r="C13" s="34">
        <f t="shared" si="5"/>
        <v>300</v>
      </c>
      <c r="D13" s="34">
        <f t="shared" si="2"/>
        <v>0.3</v>
      </c>
      <c r="E13" s="34">
        <f t="shared" si="0"/>
        <v>47.64021764640411</v>
      </c>
      <c r="F13" s="34">
        <f t="shared" si="1"/>
        <v>24.348560887626721</v>
      </c>
      <c r="G13" s="34">
        <f t="shared" si="3"/>
        <v>148.6452958122002</v>
      </c>
      <c r="H13" s="34">
        <f t="shared" si="4"/>
        <v>17.540431865870151</v>
      </c>
    </row>
    <row r="14" spans="1:9" x14ac:dyDescent="0.2">
      <c r="C14" s="34">
        <f t="shared" si="5"/>
        <v>325</v>
      </c>
      <c r="D14" s="34">
        <f t="shared" si="2"/>
        <v>0.32500000000000001</v>
      </c>
      <c r="E14" s="34">
        <f t="shared" si="0"/>
        <v>51.137347921215444</v>
      </c>
      <c r="F14" s="34">
        <f t="shared" si="1"/>
        <v>26.421982950851113</v>
      </c>
      <c r="G14" s="34">
        <f t="shared" si="3"/>
        <v>131.31713075012348</v>
      </c>
      <c r="H14" s="34">
        <f t="shared" si="4"/>
        <v>15.495674936488992</v>
      </c>
    </row>
    <row r="15" spans="1:9" x14ac:dyDescent="0.2">
      <c r="A15" s="35" t="s">
        <v>377</v>
      </c>
      <c r="C15" s="34">
        <f t="shared" si="5"/>
        <v>350</v>
      </c>
      <c r="D15" s="34">
        <f t="shared" si="2"/>
        <v>0.35</v>
      </c>
      <c r="E15" s="34">
        <f t="shared" si="0"/>
        <v>54.60364641552961</v>
      </c>
      <c r="F15" s="34">
        <f t="shared" si="1"/>
        <v>28.498760376337206</v>
      </c>
      <c r="G15" s="34">
        <f t="shared" si="3"/>
        <v>116.62877779057821</v>
      </c>
      <c r="H15" s="34">
        <f t="shared" si="4"/>
        <v>13.762420931368906</v>
      </c>
    </row>
    <row r="16" spans="1:9" x14ac:dyDescent="0.2">
      <c r="A16" s="35" t="s">
        <v>385</v>
      </c>
      <c r="C16" s="34">
        <f t="shared" si="5"/>
        <v>375</v>
      </c>
      <c r="D16" s="34">
        <f t="shared" si="2"/>
        <v>0.375</v>
      </c>
      <c r="E16" s="34">
        <f t="shared" si="0"/>
        <v>58.04156291856858</v>
      </c>
      <c r="F16" s="34">
        <f t="shared" si="1"/>
        <v>30.578657935902463</v>
      </c>
      <c r="G16" s="34">
        <f t="shared" si="3"/>
        <v>104.13602498425627</v>
      </c>
      <c r="H16" s="34">
        <f t="shared" si="4"/>
        <v>12.288251982939506</v>
      </c>
    </row>
    <row r="17" spans="1:8" x14ac:dyDescent="0.2">
      <c r="A17" s="9" t="s">
        <v>378</v>
      </c>
      <c r="B17" s="9">
        <f>AVERAGE(H2:H49)</f>
        <v>9.1894879638085616</v>
      </c>
      <c r="C17" s="34">
        <f t="shared" si="5"/>
        <v>400</v>
      </c>
      <c r="D17" s="34">
        <f t="shared" si="2"/>
        <v>0.4</v>
      </c>
      <c r="E17" s="34">
        <f t="shared" si="0"/>
        <v>61.453202313528955</v>
      </c>
      <c r="F17" s="34">
        <f t="shared" si="1"/>
        <v>32.661471532351527</v>
      </c>
      <c r="G17" s="34">
        <f t="shared" si="3"/>
        <v>93.460889817915259</v>
      </c>
      <c r="H17" s="34">
        <f t="shared" si="4"/>
        <v>11.02856542494222</v>
      </c>
    </row>
    <row r="18" spans="1:8" x14ac:dyDescent="0.2">
      <c r="A18" s="9" t="s">
        <v>313</v>
      </c>
      <c r="B18" s="9">
        <f>MEDIAN(H2:H49)</f>
        <v>4.5155122844253039</v>
      </c>
      <c r="C18" s="34">
        <f t="shared" si="5"/>
        <v>425</v>
      </c>
      <c r="D18" s="34">
        <f t="shared" si="2"/>
        <v>0.42499999999999999</v>
      </c>
      <c r="E18" s="34">
        <f t="shared" si="0"/>
        <v>64.840391673743895</v>
      </c>
      <c r="F18" s="34">
        <f t="shared" si="1"/>
        <v>34.747022382527987</v>
      </c>
      <c r="G18" s="34">
        <f t="shared" si="3"/>
        <v>84.290742665557346</v>
      </c>
      <c r="H18" s="34">
        <f t="shared" si="4"/>
        <v>9.9464703579772067</v>
      </c>
    </row>
    <row r="19" spans="1:8" x14ac:dyDescent="0.2">
      <c r="A19" s="9" t="s">
        <v>379</v>
      </c>
      <c r="B19" s="9">
        <f>MIN(H2:H49)</f>
        <v>1.6239186203798018E-10</v>
      </c>
      <c r="C19" s="34">
        <f t="shared" si="5"/>
        <v>450</v>
      </c>
      <c r="D19" s="34">
        <f t="shared" si="2"/>
        <v>0.45</v>
      </c>
      <c r="E19" s="34">
        <f t="shared" si="0"/>
        <v>68.204731120843604</v>
      </c>
      <c r="F19" s="34">
        <f t="shared" si="1"/>
        <v>36.835152567259854</v>
      </c>
      <c r="G19" s="34">
        <f t="shared" si="3"/>
        <v>76.370233854839995</v>
      </c>
      <c r="H19" s="34">
        <f t="shared" si="4"/>
        <v>9.0118350277550103</v>
      </c>
    </row>
    <row r="20" spans="1:8" x14ac:dyDescent="0.2">
      <c r="A20" s="9" t="s">
        <v>314</v>
      </c>
      <c r="B20" s="9">
        <f>MAX(H2:H49)</f>
        <v>36.377240522675699</v>
      </c>
      <c r="C20" s="34">
        <f t="shared" si="5"/>
        <v>475</v>
      </c>
      <c r="D20" s="34">
        <f t="shared" si="2"/>
        <v>0.47499999999999998</v>
      </c>
      <c r="E20" s="34">
        <f t="shared" si="0"/>
        <v>71.547633060576615</v>
      </c>
      <c r="F20" s="34">
        <f t="shared" si="1"/>
        <v>38.92572156849117</v>
      </c>
      <c r="G20" s="34">
        <f t="shared" si="3"/>
        <v>69.491732307959055</v>
      </c>
      <c r="H20" s="34">
        <f t="shared" si="4"/>
        <v>8.2001585662625427</v>
      </c>
    </row>
    <row r="21" spans="1:8" x14ac:dyDescent="0.2">
      <c r="C21" s="34">
        <f t="shared" si="5"/>
        <v>500</v>
      </c>
      <c r="D21" s="34">
        <f t="shared" si="2"/>
        <v>0.5</v>
      </c>
      <c r="E21" s="34">
        <f t="shared" si="0"/>
        <v>74.870352925380416</v>
      </c>
      <c r="F21" s="34">
        <f t="shared" si="1"/>
        <v>41.018603533916817</v>
      </c>
      <c r="G21" s="34">
        <f t="shared" si="3"/>
        <v>63.486421910955507</v>
      </c>
      <c r="H21" s="34">
        <f t="shared" si="4"/>
        <v>7.4915203461528099</v>
      </c>
    </row>
    <row r="22" spans="1:8" x14ac:dyDescent="0.2">
      <c r="C22" s="34">
        <f t="shared" si="5"/>
        <v>525</v>
      </c>
      <c r="D22" s="34">
        <f t="shared" si="2"/>
        <v>0.52500000000000002</v>
      </c>
      <c r="E22" s="34">
        <f t="shared" si="0"/>
        <v>78.174013595630882</v>
      </c>
      <c r="F22" s="34">
        <f t="shared" si="1"/>
        <v>43.113685087385129</v>
      </c>
      <c r="G22" s="34">
        <f t="shared" si="3"/>
        <v>58.216714894138022</v>
      </c>
      <c r="H22" s="34">
        <f t="shared" si="4"/>
        <v>6.8696847449887777</v>
      </c>
    </row>
    <row r="23" spans="1:8" x14ac:dyDescent="0.2">
      <c r="C23" s="34">
        <f t="shared" si="5"/>
        <v>550</v>
      </c>
      <c r="D23" s="34">
        <f t="shared" si="2"/>
        <v>0.55000000000000004</v>
      </c>
      <c r="E23" s="34">
        <f t="shared" si="0"/>
        <v>81.459625038889925</v>
      </c>
      <c r="F23" s="34">
        <f t="shared" si="1"/>
        <v>45.210863555265021</v>
      </c>
      <c r="G23" s="34">
        <f t="shared" si="3"/>
        <v>53.570045987604907</v>
      </c>
      <c r="H23" s="34">
        <f t="shared" si="4"/>
        <v>6.3213688436145752</v>
      </c>
    </row>
    <row r="24" spans="1:8" x14ac:dyDescent="0.2">
      <c r="C24" s="34">
        <f t="shared" si="5"/>
        <v>575</v>
      </c>
      <c r="D24" s="34">
        <f t="shared" si="2"/>
        <v>0.57499999999999996</v>
      </c>
      <c r="E24" s="34">
        <f t="shared" si="0"/>
        <v>84.728100278573109</v>
      </c>
      <c r="F24" s="34">
        <f t="shared" si="1"/>
        <v>47.310045514368774</v>
      </c>
      <c r="G24" s="34">
        <f t="shared" si="3"/>
        <v>49.45389657383194</v>
      </c>
      <c r="H24" s="34">
        <f t="shared" si="4"/>
        <v>5.8356552665549764</v>
      </c>
    </row>
    <row r="25" spans="1:8" x14ac:dyDescent="0.2">
      <c r="C25" s="34">
        <f t="shared" si="5"/>
        <v>600</v>
      </c>
      <c r="D25" s="34">
        <f t="shared" si="2"/>
        <v>0.6</v>
      </c>
      <c r="E25" s="34">
        <f t="shared" si="0"/>
        <v>87.980268507975836</v>
      </c>
      <c r="F25" s="34">
        <f t="shared" si="1"/>
        <v>49.41114559163789</v>
      </c>
      <c r="G25" s="34">
        <f t="shared" si="3"/>
        <v>45.791842531743526</v>
      </c>
      <c r="H25" s="34">
        <f t="shared" si="4"/>
        <v>5.4035258199861449</v>
      </c>
    </row>
    <row r="26" spans="1:8" x14ac:dyDescent="0.2">
      <c r="C26" s="34">
        <f t="shared" si="5"/>
        <v>625</v>
      </c>
      <c r="D26" s="34">
        <f t="shared" si="2"/>
        <v>0.625</v>
      </c>
      <c r="E26" s="34">
        <f t="shared" si="0"/>
        <v>91.216885957738867</v>
      </c>
      <c r="F26" s="34">
        <f t="shared" si="1"/>
        <v>51.514085463237393</v>
      </c>
      <c r="G26" s="34">
        <f t="shared" si="3"/>
        <v>42.520426363586964</v>
      </c>
      <c r="H26" s="34">
        <f t="shared" si="4"/>
        <v>5.0174923966684428</v>
      </c>
    </row>
    <row r="27" spans="1:8" x14ac:dyDescent="0.2">
      <c r="C27" s="34">
        <f t="shared" si="5"/>
        <v>650</v>
      </c>
      <c r="D27" s="34">
        <f t="shared" si="2"/>
        <v>0.65</v>
      </c>
      <c r="E27" s="34">
        <f t="shared" si="0"/>
        <v>94.438644976129879</v>
      </c>
      <c r="F27" s="34">
        <f t="shared" si="1"/>
        <v>53.61879301325439</v>
      </c>
      <c r="G27" s="34">
        <f t="shared" si="3"/>
        <v>39.586682019602016</v>
      </c>
      <c r="H27" s="34">
        <f t="shared" si="4"/>
        <v>4.6713049004790994</v>
      </c>
    </row>
    <row r="28" spans="1:8" x14ac:dyDescent="0.2">
      <c r="C28" s="34">
        <f t="shared" si="5"/>
        <v>675</v>
      </c>
      <c r="D28" s="34">
        <f t="shared" si="2"/>
        <v>0.67500000000000004</v>
      </c>
      <c r="E28" s="34">
        <f t="shared" si="0"/>
        <v>97.646181673514945</v>
      </c>
      <c r="F28" s="34">
        <f t="shared" si="1"/>
        <v>55.725201621374417</v>
      </c>
      <c r="G28" s="34">
        <f t="shared" si="3"/>
        <v>36.946172404358961</v>
      </c>
      <c r="H28" s="34">
        <f t="shared" si="4"/>
        <v>4.3597196683715085</v>
      </c>
    </row>
    <row r="29" spans="1:8" x14ac:dyDescent="0.2">
      <c r="C29" s="34">
        <f t="shared" si="5"/>
        <v>700</v>
      </c>
      <c r="D29" s="34">
        <f t="shared" si="2"/>
        <v>0.7</v>
      </c>
      <c r="E29" s="34">
        <f t="shared" si="0"/>
        <v>100.84008240284514</v>
      </c>
      <c r="F29" s="34">
        <f t="shared" si="1"/>
        <v>57.833249555705194</v>
      </c>
      <c r="G29" s="34">
        <f t="shared" si="3"/>
        <v>34.561428352948624</v>
      </c>
      <c r="H29" s="34">
        <f t="shared" si="4"/>
        <v>4.0783152665520941</v>
      </c>
    </row>
    <row r="30" spans="1:8" x14ac:dyDescent="0.2">
      <c r="C30" s="34">
        <f t="shared" si="5"/>
        <v>725</v>
      </c>
      <c r="D30" s="34">
        <f t="shared" si="2"/>
        <v>0.72499999999999998</v>
      </c>
      <c r="E30" s="34">
        <f t="shared" si="0"/>
        <v>104.02088928864202</v>
      </c>
      <c r="F30" s="34">
        <f t="shared" si="1"/>
        <v>59.942879452016932</v>
      </c>
      <c r="G30" s="34">
        <f t="shared" si="3"/>
        <v>32.400701975178485</v>
      </c>
      <c r="H30" s="34">
        <f t="shared" si="4"/>
        <v>3.8233453826887742</v>
      </c>
    </row>
    <row r="31" spans="1:8" x14ac:dyDescent="0.2">
      <c r="C31" s="34">
        <f t="shared" si="5"/>
        <v>750</v>
      </c>
      <c r="D31" s="34">
        <f t="shared" si="2"/>
        <v>0.75</v>
      </c>
      <c r="E31" s="34">
        <f t="shared" si="0"/>
        <v>107.18910497218684</v>
      </c>
      <c r="F31" s="34">
        <f t="shared" si="1"/>
        <v>62.05403786453688</v>
      </c>
      <c r="G31" s="34">
        <f t="shared" si="3"/>
        <v>30.436966614444291</v>
      </c>
      <c r="H31" s="34">
        <f t="shared" si="4"/>
        <v>3.5916208191272343</v>
      </c>
    </row>
    <row r="32" spans="1:8" x14ac:dyDescent="0.2">
      <c r="C32" s="34">
        <f t="shared" si="5"/>
        <v>775</v>
      </c>
      <c r="D32" s="34">
        <f t="shared" si="2"/>
        <v>0.77500000000000002</v>
      </c>
      <c r="E32" s="34">
        <f t="shared" si="0"/>
        <v>110.34519670645045</v>
      </c>
      <c r="F32" s="34">
        <f t="shared" si="1"/>
        <v>64.166674876404343</v>
      </c>
      <c r="G32" s="34">
        <f t="shared" si="3"/>
        <v>28.647110853992615</v>
      </c>
      <c r="H32" s="34">
        <f t="shared" si="4"/>
        <v>3.3804143840739354</v>
      </c>
    </row>
    <row r="33" spans="3:8" x14ac:dyDescent="0.2">
      <c r="C33" s="34">
        <f t="shared" ref="C33:C40" si="6">C32+25</f>
        <v>800</v>
      </c>
      <c r="D33" s="34">
        <f t="shared" si="2"/>
        <v>0.8</v>
      </c>
      <c r="E33" s="34">
        <f t="shared" ref="E33:E40" si="7">$B$9*C33^$B$10</f>
        <v>113.48959990797474</v>
      </c>
      <c r="F33" s="34">
        <f t="shared" ref="F33:F40" si="8">$B$7*C33^$B$8</f>
        <v>66.280743760189452</v>
      </c>
      <c r="G33" s="34">
        <f t="shared" ref="G33:G40" si="9">($B$2/(3.14*$B$3*E33*F33))*(EXP(-($B$6^2)/(2*F33^2)))*3600*10^3</f>
        <v>27.01128578257973</v>
      </c>
      <c r="H33" s="34">
        <f t="shared" si="4"/>
        <v>3.1873838676837569</v>
      </c>
    </row>
    <row r="34" spans="3:8" x14ac:dyDescent="0.2">
      <c r="C34" s="34">
        <f t="shared" si="6"/>
        <v>825</v>
      </c>
      <c r="D34" s="34">
        <f t="shared" si="2"/>
        <v>0.82499999999999996</v>
      </c>
      <c r="E34" s="34">
        <f t="shared" si="7"/>
        <v>116.62272125244139</v>
      </c>
      <c r="F34" s="34">
        <f t="shared" si="8"/>
        <v>68.396200680675165</v>
      </c>
      <c r="G34" s="34">
        <f t="shared" si="9"/>
        <v>25.512373815557801</v>
      </c>
      <c r="H34" s="34">
        <f t="shared" si="4"/>
        <v>3.0105093619227232</v>
      </c>
    </row>
    <row r="35" spans="3:8" x14ac:dyDescent="0.2">
      <c r="C35" s="34">
        <f t="shared" si="6"/>
        <v>850</v>
      </c>
      <c r="D35" s="34">
        <f t="shared" si="2"/>
        <v>0.85</v>
      </c>
      <c r="E35" s="34">
        <f t="shared" si="7"/>
        <v>119.7449413846013</v>
      </c>
      <c r="F35" s="34">
        <f t="shared" si="8"/>
        <v>70.513004433517395</v>
      </c>
      <c r="G35" s="34">
        <f t="shared" si="9"/>
        <v>24.135554358039638</v>
      </c>
      <c r="H35" s="34">
        <f t="shared" si="4"/>
        <v>2.8480420079829596</v>
      </c>
    </row>
    <row r="36" spans="3:8" x14ac:dyDescent="0.2">
      <c r="C36" s="34">
        <f t="shared" si="6"/>
        <v>875</v>
      </c>
      <c r="D36" s="34">
        <f t="shared" si="2"/>
        <v>0.875</v>
      </c>
      <c r="E36" s="34">
        <f t="shared" si="7"/>
        <v>122.85661730053317</v>
      </c>
      <c r="F36" s="34">
        <f t="shared" si="8"/>
        <v>72.63111621452245</v>
      </c>
      <c r="G36" s="34">
        <f t="shared" si="9"/>
        <v>22.867946977531748</v>
      </c>
      <c r="H36" s="34">
        <f t="shared" si="4"/>
        <v>2.6984618899645332</v>
      </c>
    </row>
    <row r="37" spans="3:8" x14ac:dyDescent="0.2">
      <c r="C37" s="34">
        <f t="shared" si="6"/>
        <v>900</v>
      </c>
      <c r="D37" s="34">
        <f t="shared" si="2"/>
        <v>0.9</v>
      </c>
      <c r="E37" s="34">
        <f t="shared" si="7"/>
        <v>125.95808445008329</v>
      </c>
      <c r="F37" s="34">
        <f t="shared" si="8"/>
        <v>74.750499415182261</v>
      </c>
      <c r="G37" s="34">
        <f t="shared" si="9"/>
        <v>21.698316902153287</v>
      </c>
      <c r="H37" s="34">
        <f t="shared" si="4"/>
        <v>2.5604432830967561</v>
      </c>
    </row>
    <row r="38" spans="3:8" x14ac:dyDescent="0.2">
      <c r="C38" s="34">
        <f t="shared" si="6"/>
        <v>925</v>
      </c>
      <c r="D38" s="34">
        <f t="shared" si="2"/>
        <v>0.92500000000000004</v>
      </c>
      <c r="E38" s="34">
        <f t="shared" si="7"/>
        <v>129.0496585992079</v>
      </c>
      <c r="F38" s="34">
        <f t="shared" si="8"/>
        <v>76.871119440829318</v>
      </c>
      <c r="G38" s="34">
        <f t="shared" si="9"/>
        <v>20.616830868071382</v>
      </c>
      <c r="H38" s="34">
        <f t="shared" si="4"/>
        <v>2.4328258432642147</v>
      </c>
    </row>
    <row r="39" spans="3:8" x14ac:dyDescent="0.2">
      <c r="C39" s="34">
        <f t="shared" si="6"/>
        <v>950</v>
      </c>
      <c r="D39" s="34">
        <f t="shared" si="2"/>
        <v>0.95</v>
      </c>
      <c r="E39" s="34">
        <f t="shared" si="7"/>
        <v>132.13163748538818</v>
      </c>
      <c r="F39" s="34">
        <f t="shared" si="8"/>
        <v>78.992943548367109</v>
      </c>
      <c r="G39" s="34">
        <f t="shared" si="9"/>
        <v>19.614853827981833</v>
      </c>
      <c r="H39" s="34">
        <f t="shared" si="4"/>
        <v>2.3145906182150378</v>
      </c>
    </row>
    <row r="40" spans="3:8" x14ac:dyDescent="0.2">
      <c r="C40" s="34">
        <f t="shared" si="6"/>
        <v>975</v>
      </c>
      <c r="D40" s="34">
        <f t="shared" si="2"/>
        <v>0.97499999999999998</v>
      </c>
      <c r="E40" s="34">
        <f t="shared" si="7"/>
        <v>135.20430229394469</v>
      </c>
      <c r="F40" s="34">
        <f t="shared" si="8"/>
        <v>81.115940701005556</v>
      </c>
      <c r="G40" s="34">
        <f t="shared" si="9"/>
        <v>18.684778970020322</v>
      </c>
      <c r="H40" s="34">
        <f t="shared" si="4"/>
        <v>2.2048399894642707</v>
      </c>
    </row>
    <row r="41" spans="3:8" x14ac:dyDescent="0.2">
      <c r="C41" s="34">
        <f t="shared" ref="C41:C68" si="10">C40+25</f>
        <v>1000</v>
      </c>
      <c r="D41" s="34">
        <f t="shared" si="2"/>
        <v>1</v>
      </c>
      <c r="E41" s="34">
        <f t="shared" ref="E41:E49" si="11">$B$9*C41^$B$10</f>
        <v>138.26791897872619</v>
      </c>
      <c r="F41" s="34">
        <f t="shared" ref="F41:F49" si="12">$B$7*C41^$B$8</f>
        <v>83.24008143783108</v>
      </c>
      <c r="G41" s="34">
        <f t="shared" ref="G41:G49" si="13">($B$2/(3.14*$B$3*E41*F41))*(EXP(-($B$6^2)/(2*F41^2)))*3600*10^3</f>
        <v>17.819885011396149</v>
      </c>
      <c r="H41" s="34">
        <f t="shared" si="4"/>
        <v>2.1027808326671615</v>
      </c>
    </row>
    <row r="42" spans="3:8" x14ac:dyDescent="0.2">
      <c r="C42" s="34">
        <f t="shared" si="10"/>
        <v>1025</v>
      </c>
      <c r="D42" s="34">
        <f t="shared" si="2"/>
        <v>1.0249999999999999</v>
      </c>
      <c r="E42" s="34">
        <f t="shared" si="11"/>
        <v>141.32273944705474</v>
      </c>
      <c r="F42" s="34">
        <f t="shared" si="12"/>
        <v>85.36533775636093</v>
      </c>
      <c r="G42" s="34">
        <f t="shared" si="13"/>
        <v>17.014215920516541</v>
      </c>
      <c r="H42" s="34">
        <f t="shared" si="4"/>
        <v>2.0077103245976327</v>
      </c>
    </row>
    <row r="43" spans="3:8" x14ac:dyDescent="0.2">
      <c r="C43" s="34">
        <f t="shared" si="10"/>
        <v>1050</v>
      </c>
      <c r="D43" s="34">
        <f t="shared" si="2"/>
        <v>1.05</v>
      </c>
      <c r="E43" s="34">
        <f t="shared" si="11"/>
        <v>144.36900262584956</v>
      </c>
      <c r="F43" s="34">
        <f t="shared" si="12"/>
        <v>87.49168300650463</v>
      </c>
      <c r="G43" s="34">
        <f t="shared" si="13"/>
        <v>16.262479159340185</v>
      </c>
      <c r="H43" s="34">
        <f t="shared" si="4"/>
        <v>1.9190039355495536</v>
      </c>
    </row>
    <row r="44" spans="3:8" x14ac:dyDescent="0.2">
      <c r="C44" s="34">
        <f t="shared" si="10"/>
        <v>1075</v>
      </c>
      <c r="D44" s="34">
        <f t="shared" si="2"/>
        <v>1.075</v>
      </c>
      <c r="E44" s="34">
        <f t="shared" si="11"/>
        <v>147.40693542339019</v>
      </c>
      <c r="F44" s="34">
        <f t="shared" si="12"/>
        <v>89.619091794579148</v>
      </c>
      <c r="G44" s="34">
        <f t="shared" si="13"/>
        <v>15.559959280552135</v>
      </c>
      <c r="H44" s="34">
        <f t="shared" si="4"/>
        <v>1.8361052336365817</v>
      </c>
    </row>
    <row r="45" spans="3:8" x14ac:dyDescent="0.2">
      <c r="C45" s="34">
        <f t="shared" si="10"/>
        <v>1100</v>
      </c>
      <c r="D45" s="34">
        <f t="shared" si="2"/>
        <v>1.1000000000000001</v>
      </c>
      <c r="E45" s="34">
        <f t="shared" si="11"/>
        <v>150.43675359912049</v>
      </c>
      <c r="F45" s="34">
        <f t="shared" si="12"/>
        <v>91.747539896211848</v>
      </c>
      <c r="G45" s="34">
        <f t="shared" si="13"/>
        <v>14.902444305013375</v>
      </c>
      <c r="H45" s="34">
        <f t="shared" si="4"/>
        <v>1.7585171971890783</v>
      </c>
    </row>
    <row r="46" spans="3:8" x14ac:dyDescent="0.2">
      <c r="C46" s="34">
        <f t="shared" si="10"/>
        <v>1125</v>
      </c>
      <c r="D46" s="34">
        <f t="shared" si="2"/>
        <v>1.125</v>
      </c>
      <c r="E46" s="34">
        <f t="shared" si="11"/>
        <v>153.45866255217885</v>
      </c>
      <c r="F46" s="34">
        <f t="shared" si="12"/>
        <v>93.877004177125812</v>
      </c>
      <c r="G46" s="34">
        <f t="shared" si="13"/>
        <v>14.286162776909318</v>
      </c>
      <c r="H46" s="34">
        <f t="shared" si="4"/>
        <v>1.6857947871401198</v>
      </c>
    </row>
    <row r="47" spans="3:8" x14ac:dyDescent="0.2">
      <c r="C47" s="34">
        <f t="shared" si="10"/>
        <v>1150</v>
      </c>
      <c r="D47" s="34">
        <f t="shared" si="2"/>
        <v>1.1499999999999999</v>
      </c>
      <c r="E47" s="34">
        <f t="shared" si="11"/>
        <v>156.47285803788145</v>
      </c>
      <c r="F47" s="34">
        <f t="shared" si="12"/>
        <v>96.007462520933558</v>
      </c>
      <c r="G47" s="34">
        <f t="shared" si="13"/>
        <v>13.707729772612364</v>
      </c>
      <c r="H47" s="34">
        <f t="shared" si="4"/>
        <v>1.6175385759670478</v>
      </c>
    </row>
    <row r="48" spans="3:8" x14ac:dyDescent="0.2">
      <c r="C48" s="34">
        <f t="shared" si="10"/>
        <v>1175</v>
      </c>
      <c r="D48" s="34">
        <f t="shared" si="2"/>
        <v>1.175</v>
      </c>
      <c r="E48" s="34">
        <f t="shared" si="11"/>
        <v>159.47952682016879</v>
      </c>
      <c r="F48" s="34">
        <f t="shared" si="12"/>
        <v>98.138893763181215</v>
      </c>
      <c r="G48" s="34">
        <f t="shared" si="13"/>
        <v>13.164100444205241</v>
      </c>
      <c r="H48" s="34">
        <f t="shared" si="4"/>
        <v>1.5533892657375394</v>
      </c>
    </row>
    <row r="49" spans="3:17" x14ac:dyDescent="0.2">
      <c r="C49" s="34">
        <f t="shared" si="10"/>
        <v>1200</v>
      </c>
      <c r="D49" s="34">
        <f t="shared" si="2"/>
        <v>1.2</v>
      </c>
      <c r="E49" s="34">
        <f t="shared" si="11"/>
        <v>162.47884726697473</v>
      </c>
      <c r="F49" s="34">
        <f t="shared" si="12"/>
        <v>100.2712776309799</v>
      </c>
      <c r="G49" s="34">
        <f t="shared" si="13"/>
        <v>12.652529925210565</v>
      </c>
      <c r="H49" s="34">
        <f t="shared" si="4"/>
        <v>1.4930229569082931</v>
      </c>
    </row>
    <row r="50" spans="3:17" x14ac:dyDescent="0.2">
      <c r="C50" s="34">
        <f t="shared" si="10"/>
        <v>1225</v>
      </c>
      <c r="D50" s="34">
        <f t="shared" ref="D50:D68" si="14">C50/1000</f>
        <v>1.2250000000000001</v>
      </c>
      <c r="E50" s="34">
        <f t="shared" ref="E50:E68" si="15">$B$9*C50^$B$10</f>
        <v>165.47098989459741</v>
      </c>
      <c r="F50" s="34">
        <f t="shared" ref="F50:F68" si="16">$B$7*C50^$B$8</f>
        <v>102.40459468764374</v>
      </c>
      <c r="G50" s="34">
        <f t="shared" ref="G50:G68" si="17">($B$2/(3.14*$B$3*E50*F50))*(EXP(-($B$6^2)/(2*F50^2)))*3600*10^3</f>
        <v>12.170538626275961</v>
      </c>
      <c r="H50" s="34">
        <f t="shared" ref="H50:H68" si="18">G50*24.45/$B$12</f>
        <v>1.4361470531488767</v>
      </c>
    </row>
    <row r="51" spans="3:17" x14ac:dyDescent="0.2">
      <c r="C51" s="34">
        <f t="shared" si="10"/>
        <v>1250</v>
      </c>
      <c r="D51" s="34">
        <f t="shared" si="14"/>
        <v>1.25</v>
      </c>
      <c r="E51" s="34">
        <f t="shared" si="15"/>
        <v>168.45611786639324</v>
      </c>
      <c r="F51" s="34">
        <f t="shared" si="16"/>
        <v>104.53882628182713</v>
      </c>
      <c r="G51" s="34">
        <f t="shared" si="17"/>
        <v>11.71588211172701</v>
      </c>
      <c r="H51" s="34">
        <f t="shared" si="18"/>
        <v>1.3824967067168215</v>
      </c>
    </row>
    <row r="52" spans="3:17" x14ac:dyDescent="0.2">
      <c r="C52" s="34">
        <f t="shared" si="10"/>
        <v>1275</v>
      </c>
      <c r="D52" s="34">
        <f t="shared" si="14"/>
        <v>1.2749999999999999</v>
      </c>
      <c r="E52" s="34">
        <f t="shared" si="15"/>
        <v>171.43438745046026</v>
      </c>
      <c r="F52" s="34">
        <f t="shared" si="16"/>
        <v>106.67395450071089</v>
      </c>
      <c r="G52" s="34">
        <f t="shared" si="17"/>
        <v>11.286524881371516</v>
      </c>
      <c r="H52" s="34">
        <f t="shared" si="18"/>
        <v>1.331831724659911</v>
      </c>
    </row>
    <row r="53" spans="3:17" x14ac:dyDescent="0.2">
      <c r="C53" s="34">
        <f t="shared" si="10"/>
        <v>1300</v>
      </c>
      <c r="D53" s="34">
        <f t="shared" si="14"/>
        <v>1.3</v>
      </c>
      <c r="E53" s="34">
        <f t="shared" si="15"/>
        <v>174.4059484404234</v>
      </c>
      <c r="F53" s="34">
        <f t="shared" si="16"/>
        <v>108.80996212684363</v>
      </c>
      <c r="G53" s="34">
        <f t="shared" si="17"/>
        <v>10.880617491514695</v>
      </c>
      <c r="H53" s="34">
        <f t="shared" si="18"/>
        <v>1.2839338690518063</v>
      </c>
    </row>
    <row r="54" spans="3:17" x14ac:dyDescent="0.2">
      <c r="C54" s="34">
        <f t="shared" si="10"/>
        <v>1325</v>
      </c>
      <c r="D54" s="34">
        <f t="shared" si="14"/>
        <v>1.325</v>
      </c>
      <c r="E54" s="34">
        <f t="shared" si="15"/>
        <v>177.37094454294723</v>
      </c>
      <c r="F54" s="34">
        <f t="shared" si="16"/>
        <v>110.94683259828669</v>
      </c>
      <c r="G54" s="34">
        <f t="shared" si="17"/>
        <v>10.496476539423423</v>
      </c>
      <c r="H54" s="34">
        <f t="shared" si="18"/>
        <v>1.2386044951201867</v>
      </c>
    </row>
    <row r="55" spans="3:17" x14ac:dyDescent="0.2">
      <c r="C55" s="34">
        <f t="shared" si="10"/>
        <v>1350</v>
      </c>
      <c r="D55" s="34">
        <f t="shared" si="14"/>
        <v>1.35</v>
      </c>
      <c r="E55" s="34">
        <f t="shared" si="15"/>
        <v>180.32951373518503</v>
      </c>
      <c r="F55" s="34">
        <f t="shared" si="16"/>
        <v>113.08454997175352</v>
      </c>
      <c r="G55" s="34">
        <f t="shared" si="17"/>
        <v>10.132567110109608</v>
      </c>
      <c r="H55" s="34">
        <f t="shared" si="18"/>
        <v>1.1956624799333009</v>
      </c>
    </row>
    <row r="56" spans="3:17" x14ac:dyDescent="0.2">
      <c r="C56" s="34">
        <f t="shared" si="10"/>
        <v>1375</v>
      </c>
      <c r="D56" s="34">
        <f t="shared" si="14"/>
        <v>1.375</v>
      </c>
      <c r="E56" s="34">
        <f t="shared" si="15"/>
        <v>183.28178859501099</v>
      </c>
      <c r="F56" s="34">
        <f t="shared" si="16"/>
        <v>115.22309888846505</v>
      </c>
      <c r="G56" s="34">
        <f t="shared" si="17"/>
        <v>9.7874873462057863</v>
      </c>
      <c r="H56" s="34">
        <f t="shared" si="18"/>
        <v>1.1549424016154994</v>
      </c>
    </row>
    <row r="57" spans="3:17" x14ac:dyDescent="0.2">
      <c r="C57" s="34">
        <f t="shared" si="10"/>
        <v>1400</v>
      </c>
      <c r="D57" s="34">
        <f t="shared" si="14"/>
        <v>1.4</v>
      </c>
      <c r="E57" s="34">
        <f t="shared" si="15"/>
        <v>186.22789660656349</v>
      </c>
      <c r="F57" s="34">
        <f t="shared" si="16"/>
        <v>117.3624645424788</v>
      </c>
      <c r="G57" s="34">
        <f t="shared" si="17"/>
        <v>9.4599548532162085</v>
      </c>
      <c r="H57" s="34">
        <f t="shared" si="18"/>
        <v>1.1162929351406192</v>
      </c>
    </row>
    <row r="58" spans="3:17" x14ac:dyDescent="0.2">
      <c r="C58" s="34">
        <f t="shared" si="10"/>
        <v>1425</v>
      </c>
      <c r="D58" s="34">
        <f t="shared" si="14"/>
        <v>1.425</v>
      </c>
      <c r="E58" s="34">
        <f t="shared" si="15"/>
        <v>189.16796044335243</v>
      </c>
      <c r="F58" s="34">
        <f t="shared" si="16"/>
        <v>119.50263265126634</v>
      </c>
      <c r="G58" s="34">
        <f t="shared" si="17"/>
        <v>9.1487946954241277</v>
      </c>
      <c r="H58" s="34">
        <f t="shared" si="18"/>
        <v>1.0795754358258685</v>
      </c>
    </row>
    <row r="59" spans="3:17" x14ac:dyDescent="0.2">
      <c r="C59" s="34">
        <f t="shared" si="10"/>
        <v>1450</v>
      </c>
      <c r="D59" s="34">
        <f t="shared" si="14"/>
        <v>1.45</v>
      </c>
      <c r="E59" s="34">
        <f t="shared" si="15"/>
        <v>192.1020982309457</v>
      </c>
      <c r="F59" s="34">
        <f t="shared" si="16"/>
        <v>121.64358942834843</v>
      </c>
      <c r="G59" s="34">
        <f t="shared" si="17"/>
        <v>8.8529287737339057</v>
      </c>
      <c r="H59" s="34">
        <f t="shared" si="18"/>
        <v>1.0446626858966892</v>
      </c>
    </row>
    <row r="60" spans="3:17" x14ac:dyDescent="0.2">
      <c r="C60" s="34">
        <f t="shared" si="10"/>
        <v>1475</v>
      </c>
      <c r="D60" s="34">
        <f t="shared" si="14"/>
        <v>1.4750000000000001</v>
      </c>
      <c r="E60" s="34">
        <f t="shared" si="15"/>
        <v>195.03042379103067</v>
      </c>
      <c r="F60" s="34">
        <f t="shared" si="16"/>
        <v>123.78532155780651</v>
      </c>
      <c r="G60" s="34">
        <f t="shared" si="17"/>
        <v>8.5713664069574982</v>
      </c>
      <c r="H60" s="34">
        <f t="shared" si="18"/>
        <v>1.0114377830603805</v>
      </c>
    </row>
    <row r="61" spans="3:17" x14ac:dyDescent="0.2">
      <c r="C61" s="34">
        <f t="shared" si="10"/>
        <v>1500</v>
      </c>
      <c r="D61" s="34">
        <f t="shared" si="14"/>
        <v>1.5</v>
      </c>
      <c r="E61" s="34">
        <f t="shared" si="15"/>
        <v>197.95304686846714</v>
      </c>
      <c r="F61" s="34">
        <f t="shared" si="16"/>
        <v>125.92781617051472</v>
      </c>
      <c r="G61" s="34">
        <f t="shared" si="17"/>
        <v>8.3031959635106212</v>
      </c>
      <c r="H61" s="34">
        <f t="shared" si="18"/>
        <v>0.97979315303009018</v>
      </c>
    </row>
    <row r="62" spans="3:17" x14ac:dyDescent="0.2">
      <c r="C62" s="34">
        <f t="shared" si="10"/>
        <v>1525</v>
      </c>
      <c r="D62" s="34">
        <f t="shared" si="14"/>
        <v>1.5249999999999999</v>
      </c>
      <c r="E62" s="34">
        <f t="shared" si="15"/>
        <v>200.87007334277766</v>
      </c>
      <c r="F62" s="34">
        <f t="shared" si="16"/>
        <v>128.07106082194809</v>
      </c>
      <c r="G62" s="34">
        <f t="shared" si="17"/>
        <v>8.0475774119825036</v>
      </c>
      <c r="H62" s="34">
        <f t="shared" si="18"/>
        <v>0.94962967047766522</v>
      </c>
      <c r="Q62" s="39" t="s">
        <v>386</v>
      </c>
    </row>
    <row r="63" spans="3:17" x14ac:dyDescent="0.2">
      <c r="C63" s="34">
        <f t="shared" si="10"/>
        <v>1550</v>
      </c>
      <c r="D63" s="34">
        <f t="shared" si="14"/>
        <v>1.55</v>
      </c>
      <c r="E63" s="34">
        <f t="shared" si="15"/>
        <v>203.78160542538367</v>
      </c>
      <c r="F63" s="34">
        <f t="shared" si="16"/>
        <v>130.21504347143966</v>
      </c>
      <c r="G63" s="34">
        <f t="shared" si="17"/>
        <v>7.8037356772452933</v>
      </c>
      <c r="H63" s="34">
        <f t="shared" si="18"/>
        <v>0.92085587504173472</v>
      </c>
    </row>
    <row r="64" spans="3:17" x14ac:dyDescent="0.2">
      <c r="C64" s="34">
        <f t="shared" si="10"/>
        <v>1575</v>
      </c>
      <c r="D64" s="34">
        <f t="shared" si="14"/>
        <v>1.575</v>
      </c>
      <c r="E64" s="34">
        <f t="shared" si="15"/>
        <v>206.68774184375837</v>
      </c>
      <c r="F64" s="34">
        <f t="shared" si="16"/>
        <v>132.35975246276911</v>
      </c>
      <c r="G64" s="34">
        <f t="shared" si="17"/>
        <v>7.570954704223718</v>
      </c>
      <c r="H64" s="34">
        <f t="shared" si="18"/>
        <v>0.89338727084107095</v>
      </c>
    </row>
    <row r="65" spans="3:8" x14ac:dyDescent="0.2">
      <c r="C65" s="34">
        <f t="shared" si="10"/>
        <v>1600</v>
      </c>
      <c r="D65" s="34">
        <f t="shared" si="14"/>
        <v>1.6</v>
      </c>
      <c r="E65" s="34">
        <f t="shared" si="15"/>
        <v>209.58857801356027</v>
      </c>
      <c r="F65" s="34">
        <f t="shared" si="16"/>
        <v>134.50517650597726</v>
      </c>
      <c r="G65" s="34">
        <f t="shared" si="17"/>
        <v>7.348572144598279</v>
      </c>
      <c r="H65" s="34">
        <f t="shared" si="18"/>
        <v>0.86714569949530851</v>
      </c>
    </row>
    <row r="66" spans="3:8" x14ac:dyDescent="0.2">
      <c r="C66" s="34">
        <f t="shared" si="10"/>
        <v>1625</v>
      </c>
      <c r="D66" s="34">
        <f t="shared" si="14"/>
        <v>1.625</v>
      </c>
      <c r="E66" s="34">
        <f t="shared" si="15"/>
        <v>212.48420619970724</v>
      </c>
      <c r="F66" s="34">
        <f t="shared" si="16"/>
        <v>136.65130466031272</v>
      </c>
      <c r="G66" s="34">
        <f t="shared" si="17"/>
        <v>7.1359745929378402</v>
      </c>
      <c r="H66" s="34">
        <f t="shared" si="18"/>
        <v>0.84205877797939288</v>
      </c>
    </row>
    <row r="67" spans="3:8" x14ac:dyDescent="0.2">
      <c r="C67" s="34">
        <f t="shared" si="10"/>
        <v>1650</v>
      </c>
      <c r="D67" s="34">
        <f t="shared" si="14"/>
        <v>1.65</v>
      </c>
      <c r="E67" s="34">
        <f t="shared" si="15"/>
        <v>215.37471566725893</v>
      </c>
      <c r="F67" s="34">
        <f t="shared" si="16"/>
        <v>138.79812631822159</v>
      </c>
      <c r="G67" s="34">
        <f t="shared" si="17"/>
        <v>6.9325933083563127</v>
      </c>
      <c r="H67" s="34">
        <f t="shared" si="18"/>
        <v>0.81805939377081005</v>
      </c>
    </row>
    <row r="68" spans="3:8" x14ac:dyDescent="0.2">
      <c r="C68" s="34">
        <f t="shared" si="10"/>
        <v>1675</v>
      </c>
      <c r="D68" s="34">
        <f t="shared" si="14"/>
        <v>1.675</v>
      </c>
      <c r="E68" s="34">
        <f t="shared" si="15"/>
        <v>218.26019282289991</v>
      </c>
      <c r="F68" s="34">
        <f t="shared" si="16"/>
        <v>140.945631190304</v>
      </c>
      <c r="G68" s="34">
        <f t="shared" si="17"/>
        <v>6.7379003660163557</v>
      </c>
      <c r="H68" s="34">
        <f t="shared" si="18"/>
        <v>0.79508525071959413</v>
      </c>
    </row>
  </sheetData>
  <hyperlinks>
    <hyperlink ref="A15" r:id="rId1" xr:uid="{F87C7829-C300-45C8-B713-86FDD19A94C8}"/>
    <hyperlink ref="A16" r:id="rId2" xr:uid="{8EFF63B2-BE65-4BB3-8B92-1CE95ED68F0F}"/>
  </hyperlinks>
  <pageMargins left="0.7" right="0.7" top="0.75" bottom="0.75" header="0.3" footer="0.3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Q31"/>
  <sheetViews>
    <sheetView topLeftCell="E1" workbookViewId="0">
      <pane ySplit="1" topLeftCell="A2" activePane="bottomLeft" state="frozen"/>
      <selection pane="bottomLeft" activeCell="P4" sqref="P4"/>
    </sheetView>
  </sheetViews>
  <sheetFormatPr baseColWidth="10" defaultColWidth="11" defaultRowHeight="16" x14ac:dyDescent="0.2"/>
  <cols>
    <col min="1" max="1" width="10.83203125" style="1" customWidth="1"/>
    <col min="2" max="2" width="17.1640625" customWidth="1"/>
    <col min="3" max="3" width="17.5" customWidth="1"/>
    <col min="4" max="4" width="58" customWidth="1"/>
    <col min="5" max="5" width="17.1640625" customWidth="1"/>
    <col min="6" max="6" width="17.5" customWidth="1"/>
    <col min="16" max="17" width="11" style="9"/>
  </cols>
  <sheetData>
    <row r="1" spans="1:17" s="2" customFormat="1" x14ac:dyDescent="0.2">
      <c r="A1" s="3" t="s">
        <v>0</v>
      </c>
      <c r="B1" s="4" t="s">
        <v>1</v>
      </c>
      <c r="C1" s="4" t="s">
        <v>2</v>
      </c>
      <c r="D1" s="4" t="s">
        <v>3</v>
      </c>
      <c r="E1" s="4" t="s">
        <v>1</v>
      </c>
      <c r="F1" s="4" t="s">
        <v>2</v>
      </c>
      <c r="G1" s="2" t="s">
        <v>98</v>
      </c>
      <c r="H1" s="2" t="s">
        <v>99</v>
      </c>
      <c r="I1" s="2" t="s">
        <v>100</v>
      </c>
      <c r="J1" s="2" t="s">
        <v>1</v>
      </c>
      <c r="K1" s="2" t="s">
        <v>101</v>
      </c>
      <c r="L1" s="2" t="s">
        <v>102</v>
      </c>
      <c r="M1" s="2" t="s">
        <v>103</v>
      </c>
      <c r="N1" s="2" t="s">
        <v>2</v>
      </c>
      <c r="P1" s="7" t="str">
        <f>J1</f>
        <v>Latitude</v>
      </c>
      <c r="Q1" s="7" t="str">
        <f>N1</f>
        <v>Longitude</v>
      </c>
    </row>
    <row r="2" spans="1:17" x14ac:dyDescent="0.2">
      <c r="A2" s="5" t="s">
        <v>4</v>
      </c>
      <c r="B2" s="6" t="s">
        <v>81</v>
      </c>
      <c r="C2" s="6" t="s">
        <v>73</v>
      </c>
      <c r="D2" s="6" t="s">
        <v>75</v>
      </c>
      <c r="E2" s="6" t="s">
        <v>81</v>
      </c>
      <c r="F2" s="6" t="s">
        <v>73</v>
      </c>
      <c r="G2">
        <v>39</v>
      </c>
      <c r="H2">
        <v>9</v>
      </c>
      <c r="I2">
        <v>14</v>
      </c>
      <c r="J2">
        <f>G2+(H2/60)+(I2/3600)</f>
        <v>39.153888888888886</v>
      </c>
      <c r="K2">
        <v>86</v>
      </c>
      <c r="L2">
        <v>30</v>
      </c>
      <c r="M2">
        <v>33</v>
      </c>
      <c r="N2">
        <f>-(K2+(L2/60)+(M2/3600))</f>
        <v>-86.509166666666673</v>
      </c>
      <c r="P2" s="8">
        <f t="shared" ref="P2:P31" si="0">J2</f>
        <v>39.153888888888886</v>
      </c>
      <c r="Q2" s="8">
        <f t="shared" ref="Q2:Q31" si="1">N2</f>
        <v>-86.509166666666673</v>
      </c>
    </row>
    <row r="3" spans="1:17" x14ac:dyDescent="0.2">
      <c r="A3" s="5" t="s">
        <v>5</v>
      </c>
      <c r="B3" s="6" t="s">
        <v>81</v>
      </c>
      <c r="C3" s="6" t="s">
        <v>43</v>
      </c>
      <c r="D3" s="6" t="s">
        <v>76</v>
      </c>
      <c r="E3" s="6" t="s">
        <v>81</v>
      </c>
      <c r="F3" s="6" t="s">
        <v>43</v>
      </c>
      <c r="G3">
        <v>39</v>
      </c>
      <c r="H3">
        <v>9</v>
      </c>
      <c r="I3">
        <v>14</v>
      </c>
      <c r="J3">
        <f t="shared" ref="J3:J31" si="2">G3+(H3/60)+(I3/3600)</f>
        <v>39.153888888888886</v>
      </c>
      <c r="K3">
        <v>86</v>
      </c>
      <c r="L3">
        <v>30</v>
      </c>
      <c r="M3">
        <v>36</v>
      </c>
      <c r="N3">
        <f t="shared" ref="N3:N31" si="3">-(K3+(L3/60)+(M3/3600))</f>
        <v>-86.51</v>
      </c>
      <c r="P3" s="8">
        <f t="shared" si="0"/>
        <v>39.153888888888886</v>
      </c>
      <c r="Q3" s="8">
        <f t="shared" si="1"/>
        <v>-86.51</v>
      </c>
    </row>
    <row r="4" spans="1:17" x14ac:dyDescent="0.2">
      <c r="A4" s="5" t="s">
        <v>6</v>
      </c>
      <c r="B4" s="6" t="s">
        <v>81</v>
      </c>
      <c r="C4" s="6" t="s">
        <v>45</v>
      </c>
      <c r="D4" s="6" t="s">
        <v>76</v>
      </c>
      <c r="E4" s="6" t="s">
        <v>81</v>
      </c>
      <c r="F4" s="6" t="s">
        <v>45</v>
      </c>
      <c r="G4">
        <v>39</v>
      </c>
      <c r="H4">
        <v>9</v>
      </c>
      <c r="I4">
        <v>14</v>
      </c>
      <c r="J4">
        <f t="shared" si="2"/>
        <v>39.153888888888886</v>
      </c>
      <c r="K4">
        <v>86</v>
      </c>
      <c r="L4">
        <v>30</v>
      </c>
      <c r="M4">
        <v>40</v>
      </c>
      <c r="N4">
        <f t="shared" si="3"/>
        <v>-86.511111111111106</v>
      </c>
      <c r="P4" s="8">
        <f t="shared" si="0"/>
        <v>39.153888888888886</v>
      </c>
      <c r="Q4" s="8">
        <f t="shared" si="1"/>
        <v>-86.511111111111106</v>
      </c>
    </row>
    <row r="5" spans="1:17" x14ac:dyDescent="0.2">
      <c r="A5" s="5" t="s">
        <v>7</v>
      </c>
      <c r="B5" s="6" t="s">
        <v>82</v>
      </c>
      <c r="C5" s="6" t="s">
        <v>74</v>
      </c>
      <c r="D5" s="6" t="s">
        <v>77</v>
      </c>
      <c r="E5" s="6" t="s">
        <v>82</v>
      </c>
      <c r="F5" s="6" t="s">
        <v>74</v>
      </c>
      <c r="G5">
        <v>39</v>
      </c>
      <c r="H5">
        <v>9</v>
      </c>
      <c r="I5">
        <v>17</v>
      </c>
      <c r="J5">
        <f t="shared" si="2"/>
        <v>39.154722222222219</v>
      </c>
      <c r="K5">
        <v>86</v>
      </c>
      <c r="L5">
        <v>30</v>
      </c>
      <c r="M5">
        <v>35</v>
      </c>
      <c r="N5">
        <f t="shared" si="3"/>
        <v>-86.509722222222223</v>
      </c>
      <c r="P5" s="8">
        <f t="shared" si="0"/>
        <v>39.154722222222219</v>
      </c>
      <c r="Q5" s="8">
        <f t="shared" si="1"/>
        <v>-86.509722222222223</v>
      </c>
    </row>
    <row r="6" spans="1:17" x14ac:dyDescent="0.2">
      <c r="A6" s="5" t="s">
        <v>8</v>
      </c>
      <c r="B6" s="6">
        <v>39.154294999999998</v>
      </c>
      <c r="C6" s="6">
        <v>-86.516672999999997</v>
      </c>
      <c r="D6" s="6" t="s">
        <v>69</v>
      </c>
      <c r="E6" s="6"/>
      <c r="F6" s="6"/>
      <c r="P6" s="8">
        <f>B6</f>
        <v>39.154294999999998</v>
      </c>
      <c r="Q6" s="8">
        <f>C6</f>
        <v>-86.516672999999997</v>
      </c>
    </row>
    <row r="7" spans="1:17" x14ac:dyDescent="0.2">
      <c r="A7" s="5" t="s">
        <v>9</v>
      </c>
      <c r="B7" s="6">
        <v>39.155987000000003</v>
      </c>
      <c r="C7" s="6">
        <v>-86.517837999999998</v>
      </c>
      <c r="D7" s="6" t="s">
        <v>70</v>
      </c>
      <c r="E7" s="6"/>
      <c r="F7" s="6"/>
      <c r="P7" s="8">
        <f>B7</f>
        <v>39.155987000000003</v>
      </c>
      <c r="Q7" s="8">
        <f>C7</f>
        <v>-86.517837999999998</v>
      </c>
    </row>
    <row r="8" spans="1:17" x14ac:dyDescent="0.2">
      <c r="A8" s="5" t="s">
        <v>10</v>
      </c>
      <c r="B8" s="6" t="s">
        <v>80</v>
      </c>
      <c r="C8" s="6" t="s">
        <v>73</v>
      </c>
      <c r="D8" s="6" t="s">
        <v>78</v>
      </c>
      <c r="E8" s="6" t="s">
        <v>80</v>
      </c>
      <c r="F8" s="6" t="s">
        <v>73</v>
      </c>
      <c r="G8">
        <v>39</v>
      </c>
      <c r="H8">
        <v>9</v>
      </c>
      <c r="I8">
        <v>16</v>
      </c>
      <c r="J8">
        <f t="shared" si="2"/>
        <v>39.154444444444444</v>
      </c>
      <c r="K8">
        <v>86</v>
      </c>
      <c r="L8">
        <v>30</v>
      </c>
      <c r="M8">
        <v>33</v>
      </c>
      <c r="N8">
        <f t="shared" si="3"/>
        <v>-86.509166666666673</v>
      </c>
      <c r="P8" s="8">
        <f t="shared" si="0"/>
        <v>39.154444444444444</v>
      </c>
      <c r="Q8" s="8">
        <f t="shared" si="1"/>
        <v>-86.509166666666673</v>
      </c>
    </row>
    <row r="9" spans="1:17" x14ac:dyDescent="0.2">
      <c r="A9" s="5" t="s">
        <v>11</v>
      </c>
      <c r="B9" s="6">
        <v>39.154860599999999</v>
      </c>
      <c r="C9" s="6">
        <v>-86.511965200000006</v>
      </c>
      <c r="D9" s="6" t="s">
        <v>71</v>
      </c>
      <c r="E9" s="6"/>
      <c r="F9" s="6"/>
      <c r="P9" s="8">
        <f>B9</f>
        <v>39.154860599999999</v>
      </c>
      <c r="Q9" s="8">
        <f>C9</f>
        <v>-86.511965200000006</v>
      </c>
    </row>
    <row r="10" spans="1:17" x14ac:dyDescent="0.2">
      <c r="A10" s="5" t="s">
        <v>12</v>
      </c>
      <c r="B10" s="6" t="s">
        <v>80</v>
      </c>
      <c r="C10" s="6" t="s">
        <v>72</v>
      </c>
      <c r="D10" s="6" t="s">
        <v>79</v>
      </c>
      <c r="E10" s="6" t="s">
        <v>80</v>
      </c>
      <c r="F10" s="6" t="s">
        <v>72</v>
      </c>
      <c r="G10">
        <v>39</v>
      </c>
      <c r="H10">
        <v>9</v>
      </c>
      <c r="I10">
        <v>16</v>
      </c>
      <c r="J10">
        <f t="shared" si="2"/>
        <v>39.154444444444444</v>
      </c>
      <c r="K10">
        <v>86</v>
      </c>
      <c r="L10">
        <v>30</v>
      </c>
      <c r="M10">
        <v>31</v>
      </c>
      <c r="N10">
        <f t="shared" si="3"/>
        <v>-86.508611111111108</v>
      </c>
      <c r="P10" s="8">
        <f t="shared" si="0"/>
        <v>39.154444444444444</v>
      </c>
      <c r="Q10" s="8">
        <f t="shared" si="1"/>
        <v>-86.508611111111108</v>
      </c>
    </row>
    <row r="11" spans="1:17" x14ac:dyDescent="0.2">
      <c r="A11" s="5" t="s">
        <v>13</v>
      </c>
      <c r="B11" s="6" t="s">
        <v>47</v>
      </c>
      <c r="C11" s="6" t="s">
        <v>48</v>
      </c>
      <c r="D11" s="6" t="s">
        <v>49</v>
      </c>
      <c r="E11" s="6" t="s">
        <v>84</v>
      </c>
      <c r="F11" s="6" t="s">
        <v>93</v>
      </c>
      <c r="G11">
        <v>39</v>
      </c>
      <c r="H11">
        <v>9</v>
      </c>
      <c r="I11">
        <v>19</v>
      </c>
      <c r="J11">
        <f t="shared" si="2"/>
        <v>39.155277777777776</v>
      </c>
      <c r="K11">
        <v>86</v>
      </c>
      <c r="L11">
        <v>31</v>
      </c>
      <c r="M11">
        <v>22</v>
      </c>
      <c r="N11">
        <f t="shared" si="3"/>
        <v>-86.522777777777776</v>
      </c>
      <c r="P11" s="8">
        <f t="shared" si="0"/>
        <v>39.155277777777776</v>
      </c>
      <c r="Q11" s="8">
        <f t="shared" si="1"/>
        <v>-86.522777777777776</v>
      </c>
    </row>
    <row r="12" spans="1:17" x14ac:dyDescent="0.2">
      <c r="A12" s="5" t="s">
        <v>14</v>
      </c>
      <c r="B12" s="6" t="s">
        <v>66</v>
      </c>
      <c r="C12" s="6" t="s">
        <v>67</v>
      </c>
      <c r="D12" s="6" t="s">
        <v>68</v>
      </c>
      <c r="E12" s="6" t="s">
        <v>92</v>
      </c>
      <c r="F12" s="6" t="s">
        <v>94</v>
      </c>
      <c r="G12">
        <v>39</v>
      </c>
      <c r="H12">
        <v>9</v>
      </c>
      <c r="I12">
        <v>15</v>
      </c>
      <c r="J12">
        <f t="shared" si="2"/>
        <v>39.154166666666669</v>
      </c>
      <c r="K12">
        <v>86</v>
      </c>
      <c r="L12">
        <v>31</v>
      </c>
      <c r="M12">
        <v>3</v>
      </c>
      <c r="N12">
        <f t="shared" si="3"/>
        <v>-86.517499999999998</v>
      </c>
      <c r="P12" s="8">
        <f t="shared" si="0"/>
        <v>39.154166666666669</v>
      </c>
      <c r="Q12" s="8">
        <f t="shared" si="1"/>
        <v>-86.517499999999998</v>
      </c>
    </row>
    <row r="13" spans="1:17" x14ac:dyDescent="0.2">
      <c r="A13" s="5" t="s">
        <v>15</v>
      </c>
      <c r="B13" s="6">
        <v>39.154852599999998</v>
      </c>
      <c r="C13" s="6">
        <v>-86.512679700000007</v>
      </c>
      <c r="D13" s="6" t="s">
        <v>69</v>
      </c>
      <c r="E13" s="6"/>
      <c r="F13" s="6"/>
      <c r="P13" s="8">
        <f>B13</f>
        <v>39.154852599999998</v>
      </c>
      <c r="Q13" s="8">
        <f>C13</f>
        <v>-86.512679700000007</v>
      </c>
    </row>
    <row r="14" spans="1:17" x14ac:dyDescent="0.2">
      <c r="A14" s="5" t="s">
        <v>16</v>
      </c>
      <c r="B14" s="6" t="s">
        <v>62</v>
      </c>
      <c r="C14" s="6" t="s">
        <v>60</v>
      </c>
      <c r="D14" s="6" t="s">
        <v>65</v>
      </c>
      <c r="E14" s="6" t="s">
        <v>82</v>
      </c>
      <c r="F14" s="6" t="s">
        <v>89</v>
      </c>
      <c r="G14">
        <v>39</v>
      </c>
      <c r="H14">
        <v>9</v>
      </c>
      <c r="I14">
        <v>17</v>
      </c>
      <c r="J14">
        <f t="shared" si="2"/>
        <v>39.154722222222219</v>
      </c>
      <c r="K14">
        <v>86</v>
      </c>
      <c r="L14">
        <v>31</v>
      </c>
      <c r="M14">
        <v>4</v>
      </c>
      <c r="N14">
        <f t="shared" si="3"/>
        <v>-86.517777777777781</v>
      </c>
      <c r="P14" s="8">
        <f t="shared" si="0"/>
        <v>39.154722222222219</v>
      </c>
      <c r="Q14" s="8">
        <f t="shared" si="1"/>
        <v>-86.517777777777781</v>
      </c>
    </row>
    <row r="15" spans="1:17" x14ac:dyDescent="0.2">
      <c r="A15" s="5" t="s">
        <v>17</v>
      </c>
      <c r="B15" s="6" t="s">
        <v>53</v>
      </c>
      <c r="C15" s="6" t="s">
        <v>54</v>
      </c>
      <c r="D15" s="6" t="s">
        <v>55</v>
      </c>
      <c r="E15" s="6" t="s">
        <v>87</v>
      </c>
      <c r="F15" s="6" t="s">
        <v>95</v>
      </c>
      <c r="G15">
        <v>39</v>
      </c>
      <c r="H15">
        <v>9</v>
      </c>
      <c r="I15">
        <v>26</v>
      </c>
      <c r="J15">
        <f t="shared" si="2"/>
        <v>39.157222222222224</v>
      </c>
      <c r="K15">
        <v>86</v>
      </c>
      <c r="L15">
        <v>31</v>
      </c>
      <c r="M15">
        <v>21</v>
      </c>
      <c r="N15">
        <f t="shared" si="3"/>
        <v>-86.522499999999994</v>
      </c>
      <c r="P15" s="8">
        <f t="shared" si="0"/>
        <v>39.157222222222224</v>
      </c>
      <c r="Q15" s="8">
        <f t="shared" si="1"/>
        <v>-86.522499999999994</v>
      </c>
    </row>
    <row r="16" spans="1:17" x14ac:dyDescent="0.2">
      <c r="A16" s="5" t="s">
        <v>18</v>
      </c>
      <c r="B16" s="6" t="s">
        <v>50</v>
      </c>
      <c r="C16" s="6" t="s">
        <v>51</v>
      </c>
      <c r="D16" s="6" t="s">
        <v>52</v>
      </c>
      <c r="E16" s="6" t="s">
        <v>91</v>
      </c>
      <c r="F16" s="6" t="s">
        <v>96</v>
      </c>
      <c r="G16">
        <v>39</v>
      </c>
      <c r="H16">
        <v>9</v>
      </c>
      <c r="I16">
        <v>25</v>
      </c>
      <c r="J16">
        <f t="shared" si="2"/>
        <v>39.156944444444441</v>
      </c>
      <c r="K16">
        <v>86</v>
      </c>
      <c r="L16">
        <v>31</v>
      </c>
      <c r="M16">
        <v>28</v>
      </c>
      <c r="N16">
        <f t="shared" si="3"/>
        <v>-86.524444444444441</v>
      </c>
      <c r="P16" s="8">
        <f t="shared" si="0"/>
        <v>39.156944444444441</v>
      </c>
      <c r="Q16" s="8">
        <f t="shared" si="1"/>
        <v>-86.524444444444441</v>
      </c>
    </row>
    <row r="17" spans="1:17" x14ac:dyDescent="0.2">
      <c r="A17" s="5" t="s">
        <v>19</v>
      </c>
      <c r="B17" s="6" t="s">
        <v>56</v>
      </c>
      <c r="C17" s="6" t="s">
        <v>57</v>
      </c>
      <c r="D17" s="6" t="s">
        <v>58</v>
      </c>
      <c r="E17" s="6" t="s">
        <v>90</v>
      </c>
      <c r="F17" s="6" t="s">
        <v>97</v>
      </c>
      <c r="G17">
        <v>39</v>
      </c>
      <c r="H17">
        <v>9</v>
      </c>
      <c r="I17">
        <v>29</v>
      </c>
      <c r="J17">
        <f t="shared" si="2"/>
        <v>39.158055555555556</v>
      </c>
      <c r="K17">
        <v>86</v>
      </c>
      <c r="L17">
        <v>31</v>
      </c>
      <c r="M17">
        <v>12</v>
      </c>
      <c r="N17">
        <f t="shared" si="3"/>
        <v>-86.52</v>
      </c>
      <c r="P17" s="8">
        <f t="shared" si="0"/>
        <v>39.158055555555556</v>
      </c>
      <c r="Q17" s="8">
        <f t="shared" si="1"/>
        <v>-86.52</v>
      </c>
    </row>
    <row r="18" spans="1:17" x14ac:dyDescent="0.2">
      <c r="A18" s="5" t="s">
        <v>20</v>
      </c>
      <c r="B18" s="6" t="s">
        <v>83</v>
      </c>
      <c r="C18" s="6" t="s">
        <v>42</v>
      </c>
      <c r="D18" s="6" t="s">
        <v>37</v>
      </c>
      <c r="E18" s="6" t="s">
        <v>83</v>
      </c>
      <c r="F18" s="6" t="s">
        <v>42</v>
      </c>
      <c r="G18">
        <v>39</v>
      </c>
      <c r="H18">
        <v>9</v>
      </c>
      <c r="I18">
        <v>27</v>
      </c>
      <c r="J18">
        <f t="shared" si="2"/>
        <v>39.157499999999999</v>
      </c>
      <c r="K18">
        <v>86</v>
      </c>
      <c r="L18">
        <v>30</v>
      </c>
      <c r="M18">
        <v>49</v>
      </c>
      <c r="N18">
        <f t="shared" si="3"/>
        <v>-86.513611111111118</v>
      </c>
      <c r="P18" s="8">
        <f t="shared" si="0"/>
        <v>39.157499999999999</v>
      </c>
      <c r="Q18" s="8">
        <f t="shared" si="1"/>
        <v>-86.513611111111118</v>
      </c>
    </row>
    <row r="19" spans="1:17" x14ac:dyDescent="0.2">
      <c r="A19" s="5" t="s">
        <v>21</v>
      </c>
      <c r="B19" s="6" t="s">
        <v>84</v>
      </c>
      <c r="C19" s="6" t="s">
        <v>43</v>
      </c>
      <c r="D19" s="6" t="s">
        <v>44</v>
      </c>
      <c r="E19" s="6" t="s">
        <v>84</v>
      </c>
      <c r="F19" s="6" t="s">
        <v>43</v>
      </c>
      <c r="G19">
        <v>39</v>
      </c>
      <c r="H19">
        <v>9</v>
      </c>
      <c r="I19">
        <v>19</v>
      </c>
      <c r="J19">
        <f t="shared" si="2"/>
        <v>39.155277777777776</v>
      </c>
      <c r="K19">
        <v>86</v>
      </c>
      <c r="L19">
        <v>30</v>
      </c>
      <c r="M19">
        <v>36</v>
      </c>
      <c r="N19">
        <f t="shared" si="3"/>
        <v>-86.51</v>
      </c>
      <c r="P19" s="8">
        <f t="shared" si="0"/>
        <v>39.155277777777776</v>
      </c>
      <c r="Q19" s="8">
        <f t="shared" si="1"/>
        <v>-86.51</v>
      </c>
    </row>
    <row r="20" spans="1:17" x14ac:dyDescent="0.2">
      <c r="A20" s="5" t="s">
        <v>22</v>
      </c>
      <c r="B20" s="6">
        <v>39.156629000000002</v>
      </c>
      <c r="C20" s="6">
        <v>-86.514739000000006</v>
      </c>
      <c r="D20" s="6"/>
      <c r="E20" s="6"/>
      <c r="F20" s="6"/>
      <c r="P20" s="8">
        <f>B20</f>
        <v>39.156629000000002</v>
      </c>
      <c r="Q20" s="8">
        <f>C20</f>
        <v>-86.514739000000006</v>
      </c>
    </row>
    <row r="21" spans="1:17" x14ac:dyDescent="0.2">
      <c r="A21" s="5" t="s">
        <v>23</v>
      </c>
      <c r="B21" s="6">
        <v>39.156491000000003</v>
      </c>
      <c r="C21" s="6">
        <v>-86.513976999999997</v>
      </c>
      <c r="D21" s="6" t="s">
        <v>69</v>
      </c>
      <c r="E21" s="6"/>
      <c r="F21" s="6"/>
      <c r="P21" s="8">
        <f t="shared" ref="P21:Q23" si="4">B21</f>
        <v>39.156491000000003</v>
      </c>
      <c r="Q21" s="8">
        <f t="shared" si="4"/>
        <v>-86.513976999999997</v>
      </c>
    </row>
    <row r="22" spans="1:17" x14ac:dyDescent="0.2">
      <c r="A22" s="5" t="s">
        <v>24</v>
      </c>
      <c r="B22" s="6">
        <v>39.155779899999999</v>
      </c>
      <c r="C22" s="6">
        <v>-86.512784600000003</v>
      </c>
      <c r="D22" s="6"/>
      <c r="E22" s="6"/>
      <c r="F22" s="6"/>
      <c r="P22" s="8">
        <f t="shared" si="4"/>
        <v>39.155779899999999</v>
      </c>
      <c r="Q22" s="8">
        <f t="shared" si="4"/>
        <v>-86.512784600000003</v>
      </c>
    </row>
    <row r="23" spans="1:17" x14ac:dyDescent="0.2">
      <c r="A23" s="5" t="s">
        <v>25</v>
      </c>
      <c r="B23" s="6">
        <v>39.1548874</v>
      </c>
      <c r="C23" s="6">
        <v>-86.510439700000006</v>
      </c>
      <c r="D23" s="6" t="s">
        <v>69</v>
      </c>
      <c r="E23" s="6"/>
      <c r="F23" s="6"/>
      <c r="P23" s="8">
        <f t="shared" si="4"/>
        <v>39.1548874</v>
      </c>
      <c r="Q23" s="8">
        <f t="shared" si="4"/>
        <v>-86.510439700000006</v>
      </c>
    </row>
    <row r="24" spans="1:17" x14ac:dyDescent="0.2">
      <c r="A24" s="5" t="s">
        <v>26</v>
      </c>
      <c r="B24" s="6" t="s">
        <v>85</v>
      </c>
      <c r="C24" s="6" t="s">
        <v>45</v>
      </c>
      <c r="D24" s="6" t="s">
        <v>37</v>
      </c>
      <c r="E24" s="6" t="s">
        <v>85</v>
      </c>
      <c r="F24" s="6" t="s">
        <v>45</v>
      </c>
      <c r="G24">
        <v>39</v>
      </c>
      <c r="H24">
        <v>9</v>
      </c>
      <c r="I24">
        <v>20</v>
      </c>
      <c r="J24">
        <f t="shared" si="2"/>
        <v>39.155555555555551</v>
      </c>
      <c r="K24">
        <v>86</v>
      </c>
      <c r="L24">
        <v>30</v>
      </c>
      <c r="M24">
        <v>40</v>
      </c>
      <c r="N24">
        <f t="shared" si="3"/>
        <v>-86.511111111111106</v>
      </c>
      <c r="P24" s="8">
        <f t="shared" si="0"/>
        <v>39.155555555555551</v>
      </c>
      <c r="Q24" s="8">
        <f t="shared" si="1"/>
        <v>-86.511111111111106</v>
      </c>
    </row>
    <row r="25" spans="1:17" x14ac:dyDescent="0.2">
      <c r="A25" s="5" t="s">
        <v>27</v>
      </c>
      <c r="B25" s="6" t="s">
        <v>85</v>
      </c>
      <c r="C25" s="6" t="s">
        <v>46</v>
      </c>
      <c r="D25" s="6" t="s">
        <v>37</v>
      </c>
      <c r="E25" s="6" t="s">
        <v>85</v>
      </c>
      <c r="F25" s="6" t="s">
        <v>46</v>
      </c>
      <c r="G25">
        <v>39</v>
      </c>
      <c r="H25">
        <v>9</v>
      </c>
      <c r="I25">
        <v>20</v>
      </c>
      <c r="J25">
        <f t="shared" si="2"/>
        <v>39.155555555555551</v>
      </c>
      <c r="K25">
        <v>86</v>
      </c>
      <c r="L25">
        <v>30</v>
      </c>
      <c r="M25">
        <v>43</v>
      </c>
      <c r="N25">
        <f t="shared" si="3"/>
        <v>-86.511944444444438</v>
      </c>
      <c r="P25" s="8">
        <f t="shared" si="0"/>
        <v>39.155555555555551</v>
      </c>
      <c r="Q25" s="8">
        <f t="shared" si="1"/>
        <v>-86.511944444444438</v>
      </c>
    </row>
    <row r="26" spans="1:17" x14ac:dyDescent="0.2">
      <c r="A26" s="5" t="s">
        <v>28</v>
      </c>
      <c r="B26" s="6" t="s">
        <v>85</v>
      </c>
      <c r="C26" s="6" t="s">
        <v>38</v>
      </c>
      <c r="D26" s="6" t="s">
        <v>39</v>
      </c>
      <c r="E26" s="6" t="s">
        <v>85</v>
      </c>
      <c r="F26" s="6" t="s">
        <v>38</v>
      </c>
      <c r="G26">
        <v>39</v>
      </c>
      <c r="H26">
        <v>9</v>
      </c>
      <c r="I26">
        <v>20</v>
      </c>
      <c r="J26">
        <f t="shared" si="2"/>
        <v>39.155555555555551</v>
      </c>
      <c r="K26">
        <v>86</v>
      </c>
      <c r="L26">
        <v>30</v>
      </c>
      <c r="M26">
        <v>51</v>
      </c>
      <c r="N26">
        <f t="shared" si="3"/>
        <v>-86.514166666666668</v>
      </c>
      <c r="P26" s="8">
        <f t="shared" si="0"/>
        <v>39.155555555555551</v>
      </c>
      <c r="Q26" s="8">
        <f t="shared" si="1"/>
        <v>-86.514166666666668</v>
      </c>
    </row>
    <row r="27" spans="1:17" x14ac:dyDescent="0.2">
      <c r="A27" s="5" t="s">
        <v>29</v>
      </c>
      <c r="B27" s="6" t="s">
        <v>80</v>
      </c>
      <c r="C27" s="6" t="s">
        <v>36</v>
      </c>
      <c r="D27" s="6" t="s">
        <v>37</v>
      </c>
      <c r="E27" s="6" t="s">
        <v>80</v>
      </c>
      <c r="F27" s="6" t="s">
        <v>36</v>
      </c>
      <c r="G27">
        <v>39</v>
      </c>
      <c r="H27">
        <v>9</v>
      </c>
      <c r="I27">
        <v>16</v>
      </c>
      <c r="J27">
        <f t="shared" si="2"/>
        <v>39.154444444444444</v>
      </c>
      <c r="K27">
        <v>86</v>
      </c>
      <c r="L27">
        <v>30</v>
      </c>
      <c r="M27">
        <v>55</v>
      </c>
      <c r="N27">
        <f t="shared" si="3"/>
        <v>-86.515277777777783</v>
      </c>
      <c r="P27" s="8">
        <f t="shared" si="0"/>
        <v>39.154444444444444</v>
      </c>
      <c r="Q27" s="8">
        <f t="shared" si="1"/>
        <v>-86.515277777777783</v>
      </c>
    </row>
    <row r="28" spans="1:17" x14ac:dyDescent="0.2">
      <c r="A28" s="5" t="s">
        <v>30</v>
      </c>
      <c r="B28" s="6" t="s">
        <v>86</v>
      </c>
      <c r="C28" s="6" t="s">
        <v>34</v>
      </c>
      <c r="D28" s="6" t="s">
        <v>35</v>
      </c>
      <c r="E28" s="6" t="s">
        <v>86</v>
      </c>
      <c r="F28" s="6" t="s">
        <v>34</v>
      </c>
      <c r="G28">
        <v>39</v>
      </c>
      <c r="H28">
        <v>9</v>
      </c>
      <c r="I28">
        <v>22</v>
      </c>
      <c r="J28">
        <f t="shared" si="2"/>
        <v>39.156111111111109</v>
      </c>
      <c r="K28">
        <v>86</v>
      </c>
      <c r="L28">
        <v>30</v>
      </c>
      <c r="M28">
        <v>56</v>
      </c>
      <c r="N28">
        <f t="shared" si="3"/>
        <v>-86.515555555555551</v>
      </c>
      <c r="P28" s="8">
        <f t="shared" si="0"/>
        <v>39.156111111111109</v>
      </c>
      <c r="Q28" s="8">
        <f t="shared" si="1"/>
        <v>-86.515555555555551</v>
      </c>
    </row>
    <row r="29" spans="1:17" x14ac:dyDescent="0.2">
      <c r="A29" s="5" t="s">
        <v>31</v>
      </c>
      <c r="B29" s="6" t="s">
        <v>82</v>
      </c>
      <c r="C29" s="6" t="s">
        <v>40</v>
      </c>
      <c r="D29" s="6" t="s">
        <v>41</v>
      </c>
      <c r="E29" s="6" t="s">
        <v>82</v>
      </c>
      <c r="F29" s="6" t="s">
        <v>40</v>
      </c>
      <c r="G29">
        <v>39</v>
      </c>
      <c r="H29">
        <v>9</v>
      </c>
      <c r="I29">
        <v>17</v>
      </c>
      <c r="J29">
        <f t="shared" si="2"/>
        <v>39.154722222222219</v>
      </c>
      <c r="K29">
        <v>86</v>
      </c>
      <c r="L29">
        <v>30</v>
      </c>
      <c r="M29">
        <v>46</v>
      </c>
      <c r="N29">
        <f t="shared" si="3"/>
        <v>-86.512777777777771</v>
      </c>
      <c r="P29" s="8">
        <f t="shared" si="0"/>
        <v>39.154722222222219</v>
      </c>
      <c r="Q29" s="8">
        <f t="shared" si="1"/>
        <v>-86.512777777777771</v>
      </c>
    </row>
    <row r="30" spans="1:17" x14ac:dyDescent="0.2">
      <c r="A30" s="5" t="s">
        <v>32</v>
      </c>
      <c r="B30" s="6" t="s">
        <v>53</v>
      </c>
      <c r="C30" s="6" t="s">
        <v>60</v>
      </c>
      <c r="D30" s="6" t="s">
        <v>61</v>
      </c>
      <c r="E30" s="6" t="s">
        <v>87</v>
      </c>
      <c r="F30" s="6" t="s">
        <v>89</v>
      </c>
      <c r="G30">
        <v>39</v>
      </c>
      <c r="H30">
        <v>9</v>
      </c>
      <c r="I30">
        <v>26</v>
      </c>
      <c r="J30">
        <f t="shared" si="2"/>
        <v>39.157222222222224</v>
      </c>
      <c r="K30">
        <v>86</v>
      </c>
      <c r="L30">
        <v>31</v>
      </c>
      <c r="M30">
        <v>4</v>
      </c>
      <c r="N30">
        <f t="shared" si="3"/>
        <v>-86.517777777777781</v>
      </c>
      <c r="P30" s="8">
        <f t="shared" si="0"/>
        <v>39.157222222222224</v>
      </c>
      <c r="Q30" s="8">
        <f t="shared" si="1"/>
        <v>-86.517777777777781</v>
      </c>
    </row>
    <row r="31" spans="1:17" x14ac:dyDescent="0.2">
      <c r="A31" s="5" t="s">
        <v>33</v>
      </c>
      <c r="B31" s="6" t="s">
        <v>59</v>
      </c>
      <c r="C31" s="6" t="s">
        <v>63</v>
      </c>
      <c r="D31" s="6" t="s">
        <v>64</v>
      </c>
      <c r="E31" s="6" t="s">
        <v>80</v>
      </c>
      <c r="F31" s="6" t="s">
        <v>88</v>
      </c>
      <c r="G31">
        <v>39</v>
      </c>
      <c r="H31">
        <v>9</v>
      </c>
      <c r="I31">
        <v>16</v>
      </c>
      <c r="J31">
        <f t="shared" si="2"/>
        <v>39.154444444444444</v>
      </c>
      <c r="K31">
        <v>86</v>
      </c>
      <c r="L31">
        <v>31</v>
      </c>
      <c r="M31">
        <v>13</v>
      </c>
      <c r="N31">
        <f t="shared" si="3"/>
        <v>-86.520277777777778</v>
      </c>
      <c r="P31" s="8">
        <f t="shared" si="0"/>
        <v>39.154444444444444</v>
      </c>
      <c r="Q31" s="8">
        <f t="shared" si="1"/>
        <v>-86.520277777777778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29"/>
  <sheetViews>
    <sheetView workbookViewId="0">
      <selection activeCell="I5" sqref="I5"/>
    </sheetView>
  </sheetViews>
  <sheetFormatPr baseColWidth="10" defaultColWidth="8.83203125" defaultRowHeight="16" x14ac:dyDescent="0.2"/>
  <cols>
    <col min="1" max="1" width="10.83203125" style="1" customWidth="1"/>
  </cols>
  <sheetData>
    <row r="1" spans="1:9" x14ac:dyDescent="0.2">
      <c r="A1" s="3" t="s">
        <v>0</v>
      </c>
      <c r="B1" s="2" t="s">
        <v>1</v>
      </c>
      <c r="C1" s="2" t="s">
        <v>2</v>
      </c>
      <c r="D1" s="2" t="s">
        <v>105</v>
      </c>
      <c r="E1" s="2" t="s">
        <v>104</v>
      </c>
      <c r="F1" s="2" t="s">
        <v>372</v>
      </c>
      <c r="G1" s="2" t="s">
        <v>373</v>
      </c>
      <c r="I1" s="36" t="s">
        <v>381</v>
      </c>
    </row>
    <row r="2" spans="1:9" x14ac:dyDescent="0.2">
      <c r="A2" s="5" t="s">
        <v>4</v>
      </c>
      <c r="B2">
        <f>'Coordinate Conversions'!P2</f>
        <v>39.153888888888886</v>
      </c>
      <c r="C2">
        <f>'Coordinate Conversions'!Q2</f>
        <v>-86.509166666666673</v>
      </c>
      <c r="D2">
        <v>110.20835091129982</v>
      </c>
      <c r="E2">
        <v>160</v>
      </c>
      <c r="F2">
        <f>C2*180/PI()</f>
        <v>-4956.6101391938246</v>
      </c>
      <c r="G2">
        <f>D2*180/PI()</f>
        <v>6314.4733743142388</v>
      </c>
    </row>
    <row r="3" spans="1:9" x14ac:dyDescent="0.2">
      <c r="A3" s="5" t="s">
        <v>5</v>
      </c>
      <c r="B3">
        <f>'Coordinate Conversions'!P3</f>
        <v>39.153888888888886</v>
      </c>
      <c r="C3">
        <f>'Coordinate Conversions'!Q3</f>
        <v>-86.51</v>
      </c>
      <c r="E3">
        <v>150</v>
      </c>
      <c r="F3">
        <v>-4956.6101391938246</v>
      </c>
      <c r="G3">
        <v>6314.4733743142388</v>
      </c>
    </row>
    <row r="4" spans="1:9" x14ac:dyDescent="0.2">
      <c r="A4" s="5" t="s">
        <v>6</v>
      </c>
      <c r="B4">
        <f>'Coordinate Conversions'!P4</f>
        <v>39.153888888888886</v>
      </c>
      <c r="C4">
        <f>'Coordinate Conversions'!Q4</f>
        <v>-86.511111111111106</v>
      </c>
      <c r="D4">
        <v>128.10689464463553</v>
      </c>
      <c r="E4">
        <v>160</v>
      </c>
      <c r="F4">
        <v>-4956.6101391938246</v>
      </c>
      <c r="G4">
        <v>6314.4733743142388</v>
      </c>
    </row>
    <row r="5" spans="1:9" x14ac:dyDescent="0.2">
      <c r="A5" s="5" t="s">
        <v>7</v>
      </c>
      <c r="B5">
        <f>'Coordinate Conversions'!P5</f>
        <v>39.154722222222219</v>
      </c>
      <c r="C5">
        <f>'Coordinate Conversions'!Q5</f>
        <v>-86.509722222222223</v>
      </c>
      <c r="E5">
        <v>150</v>
      </c>
      <c r="F5">
        <v>-4956.6101391938246</v>
      </c>
      <c r="G5">
        <v>6314.4733743142388</v>
      </c>
    </row>
    <row r="6" spans="1:9" x14ac:dyDescent="0.2">
      <c r="A6" s="5" t="s">
        <v>8</v>
      </c>
      <c r="B6">
        <f>'Coordinate Conversions'!P6</f>
        <v>39.154294999999998</v>
      </c>
      <c r="C6">
        <f>'Coordinate Conversions'!Q6</f>
        <v>-86.516672999999997</v>
      </c>
      <c r="D6">
        <v>206.34881920847053</v>
      </c>
      <c r="E6">
        <v>480</v>
      </c>
      <c r="F6">
        <v>-4956.6101391938246</v>
      </c>
      <c r="G6">
        <v>6314.4733743142388</v>
      </c>
    </row>
    <row r="7" spans="1:9" x14ac:dyDescent="0.2">
      <c r="A7" s="5" t="s">
        <v>9</v>
      </c>
      <c r="B7">
        <f>'Coordinate Conversions'!P7</f>
        <v>39.155987000000003</v>
      </c>
      <c r="C7">
        <f>'Coordinate Conversions'!Q7</f>
        <v>-86.517837999999998</v>
      </c>
      <c r="E7">
        <v>240</v>
      </c>
      <c r="F7">
        <v>-4956.6101391938246</v>
      </c>
      <c r="G7">
        <v>6314.4733743142388</v>
      </c>
    </row>
    <row r="8" spans="1:9" x14ac:dyDescent="0.2">
      <c r="A8" s="5" t="s">
        <v>10</v>
      </c>
      <c r="B8">
        <f>'Coordinate Conversions'!P8</f>
        <v>39.154444444444444</v>
      </c>
      <c r="C8">
        <f>'Coordinate Conversions'!Q8</f>
        <v>-86.509166666666673</v>
      </c>
      <c r="E8">
        <v>180</v>
      </c>
      <c r="F8">
        <v>-4956.6101391938246</v>
      </c>
      <c r="G8">
        <v>6314.4733743142388</v>
      </c>
    </row>
    <row r="9" spans="1:9" x14ac:dyDescent="0.2">
      <c r="A9" s="5" t="s">
        <v>12</v>
      </c>
      <c r="B9">
        <f>'Coordinate Conversions'!P10</f>
        <v>39.154444444444444</v>
      </c>
      <c r="C9">
        <f>'Coordinate Conversions'!Q10</f>
        <v>-86.508611111111108</v>
      </c>
      <c r="D9">
        <v>157.27299357904923</v>
      </c>
      <c r="E9">
        <v>170</v>
      </c>
      <c r="F9">
        <v>-4956.6101391938246</v>
      </c>
      <c r="G9">
        <v>6314.4733743142388</v>
      </c>
    </row>
    <row r="10" spans="1:9" x14ac:dyDescent="0.2">
      <c r="A10" s="5" t="s">
        <v>13</v>
      </c>
      <c r="B10">
        <f>'Coordinate Conversions'!P11</f>
        <v>39.155277777777776</v>
      </c>
      <c r="C10">
        <f>'Coordinate Conversions'!Q11</f>
        <v>-86.522777777777776</v>
      </c>
      <c r="E10">
        <v>360</v>
      </c>
      <c r="F10">
        <v>-4956.6101391938246</v>
      </c>
      <c r="G10">
        <v>6314.4733743142388</v>
      </c>
    </row>
    <row r="11" spans="1:9" x14ac:dyDescent="0.2">
      <c r="A11" s="5" t="s">
        <v>14</v>
      </c>
      <c r="B11">
        <f>'Coordinate Conversions'!P12</f>
        <v>39.154166666666669</v>
      </c>
      <c r="C11">
        <f>'Coordinate Conversions'!Q12</f>
        <v>-86.517499999999998</v>
      </c>
      <c r="D11">
        <v>52.932173393424321</v>
      </c>
      <c r="E11">
        <v>150</v>
      </c>
      <c r="F11">
        <v>-4956.6101391938246</v>
      </c>
      <c r="G11">
        <v>6314.4733743142388</v>
      </c>
    </row>
    <row r="12" spans="1:9" x14ac:dyDescent="0.2">
      <c r="A12" s="5" t="s">
        <v>15</v>
      </c>
      <c r="B12">
        <f>'Coordinate Conversions'!P13</f>
        <v>39.154852599999998</v>
      </c>
      <c r="C12">
        <f>'Coordinate Conversions'!Q13</f>
        <v>-86.512679700000007</v>
      </c>
      <c r="E12">
        <v>170</v>
      </c>
      <c r="F12">
        <v>-4956.6101391938246</v>
      </c>
      <c r="G12">
        <v>6314.4733743142388</v>
      </c>
    </row>
    <row r="13" spans="1:9" x14ac:dyDescent="0.2">
      <c r="A13" s="5" t="s">
        <v>16</v>
      </c>
      <c r="B13">
        <f>'Coordinate Conversions'!P14</f>
        <v>39.154722222222219</v>
      </c>
      <c r="C13">
        <f>'Coordinate Conversions'!Q14</f>
        <v>-86.517777777777781</v>
      </c>
      <c r="E13">
        <v>390</v>
      </c>
      <c r="F13">
        <v>-4956.6101391938246</v>
      </c>
      <c r="G13">
        <v>6314.4733743142388</v>
      </c>
    </row>
    <row r="14" spans="1:9" x14ac:dyDescent="0.2">
      <c r="A14" s="5" t="s">
        <v>17</v>
      </c>
      <c r="B14">
        <f>'Coordinate Conversions'!P15</f>
        <v>39.157222222222224</v>
      </c>
      <c r="C14">
        <f>'Coordinate Conversions'!Q15</f>
        <v>-86.522499999999994</v>
      </c>
      <c r="E14">
        <v>150</v>
      </c>
      <c r="F14">
        <v>-4956.6101391938246</v>
      </c>
      <c r="G14">
        <v>6314.4733743142388</v>
      </c>
    </row>
    <row r="15" spans="1:9" x14ac:dyDescent="0.2">
      <c r="A15" s="5" t="s">
        <v>18</v>
      </c>
      <c r="B15">
        <f>'Coordinate Conversions'!P16</f>
        <v>39.156944444444441</v>
      </c>
      <c r="C15">
        <f>'Coordinate Conversions'!Q16</f>
        <v>-86.524444444444441</v>
      </c>
      <c r="E15">
        <v>180</v>
      </c>
      <c r="F15">
        <v>-4956.6101391938246</v>
      </c>
      <c r="G15">
        <v>6314.4733743142388</v>
      </c>
    </row>
    <row r="16" spans="1:9" x14ac:dyDescent="0.2">
      <c r="A16" s="5" t="s">
        <v>19</v>
      </c>
      <c r="B16">
        <f>'Coordinate Conversions'!P17</f>
        <v>39.158055555555556</v>
      </c>
      <c r="C16">
        <f>'Coordinate Conversions'!Q17</f>
        <v>-86.52</v>
      </c>
      <c r="E16">
        <v>370</v>
      </c>
      <c r="F16">
        <v>-4956.6101391938246</v>
      </c>
      <c r="G16">
        <v>6314.4733743142388</v>
      </c>
    </row>
    <row r="17" spans="1:7" x14ac:dyDescent="0.2">
      <c r="A17" s="5" t="s">
        <v>20</v>
      </c>
      <c r="B17">
        <f>'Coordinate Conversions'!P18</f>
        <v>39.157499999999999</v>
      </c>
      <c r="C17">
        <f>'Coordinate Conversions'!Q18</f>
        <v>-86.513611111111118</v>
      </c>
      <c r="E17">
        <v>660</v>
      </c>
      <c r="F17">
        <v>-4956.6101391938246</v>
      </c>
      <c r="G17">
        <v>6314.4733743142388</v>
      </c>
    </row>
    <row r="18" spans="1:7" x14ac:dyDescent="0.2">
      <c r="A18" s="5" t="s">
        <v>21</v>
      </c>
      <c r="B18">
        <f>'Coordinate Conversions'!P19</f>
        <v>39.155277777777776</v>
      </c>
      <c r="C18">
        <f>'Coordinate Conversions'!Q19</f>
        <v>-86.51</v>
      </c>
      <c r="D18">
        <v>280.70347629188325</v>
      </c>
      <c r="E18">
        <v>210</v>
      </c>
      <c r="F18">
        <v>-4956.6101391938246</v>
      </c>
      <c r="G18">
        <v>6314.4733743142388</v>
      </c>
    </row>
    <row r="19" spans="1:7" x14ac:dyDescent="0.2">
      <c r="A19" s="5" t="s">
        <v>22</v>
      </c>
      <c r="B19">
        <f>'Coordinate Conversions'!P20</f>
        <v>39.156629000000002</v>
      </c>
      <c r="C19">
        <f>'Coordinate Conversions'!Q20</f>
        <v>-86.514739000000006</v>
      </c>
      <c r="E19">
        <v>1190</v>
      </c>
      <c r="F19">
        <v>-4956.6101391938246</v>
      </c>
      <c r="G19">
        <v>6314.4733743142388</v>
      </c>
    </row>
    <row r="20" spans="1:7" x14ac:dyDescent="0.2">
      <c r="A20" s="5" t="s">
        <v>23</v>
      </c>
      <c r="B20">
        <f>'Coordinate Conversions'!P21</f>
        <v>39.156491000000003</v>
      </c>
      <c r="C20">
        <f>'Coordinate Conversions'!Q21</f>
        <v>-86.513976999999997</v>
      </c>
      <c r="E20">
        <v>160</v>
      </c>
      <c r="F20">
        <v>-4956.6101391938246</v>
      </c>
      <c r="G20">
        <v>6314.4733743142388</v>
      </c>
    </row>
    <row r="21" spans="1:7" x14ac:dyDescent="0.2">
      <c r="A21" s="5" t="s">
        <v>24</v>
      </c>
      <c r="B21">
        <f>'Coordinate Conversions'!P22</f>
        <v>39.155779899999999</v>
      </c>
      <c r="C21">
        <f>'Coordinate Conversions'!Q22</f>
        <v>-86.512784600000003</v>
      </c>
      <c r="D21">
        <v>112.95762888316852</v>
      </c>
      <c r="E21">
        <v>160</v>
      </c>
      <c r="F21">
        <v>-4956.6101391938246</v>
      </c>
      <c r="G21">
        <v>6314.4733743142388</v>
      </c>
    </row>
    <row r="22" spans="1:7" x14ac:dyDescent="0.2">
      <c r="A22" s="5" t="s">
        <v>25</v>
      </c>
      <c r="B22">
        <f>'Coordinate Conversions'!P23</f>
        <v>39.1548874</v>
      </c>
      <c r="C22">
        <f>'Coordinate Conversions'!Q23</f>
        <v>-86.510439700000006</v>
      </c>
      <c r="E22">
        <v>170</v>
      </c>
      <c r="F22">
        <v>-4956.6101391938246</v>
      </c>
      <c r="G22">
        <v>6314.4733743142388</v>
      </c>
    </row>
    <row r="23" spans="1:7" x14ac:dyDescent="0.2">
      <c r="A23" s="5" t="s">
        <v>26</v>
      </c>
      <c r="B23">
        <f>'Coordinate Conversions'!P24</f>
        <v>39.155555555555551</v>
      </c>
      <c r="C23">
        <f>'Coordinate Conversions'!Q24</f>
        <v>-86.511111111111106</v>
      </c>
      <c r="D23">
        <v>116.02406383065333</v>
      </c>
      <c r="E23">
        <v>80</v>
      </c>
      <c r="F23">
        <v>-4956.6101391938246</v>
      </c>
      <c r="G23">
        <v>6314.4733743142388</v>
      </c>
    </row>
    <row r="24" spans="1:7" x14ac:dyDescent="0.2">
      <c r="A24" s="5" t="s">
        <v>27</v>
      </c>
      <c r="B24">
        <f>'Coordinate Conversions'!P25</f>
        <v>39.155555555555551</v>
      </c>
      <c r="C24">
        <f>'Coordinate Conversions'!Q25</f>
        <v>-86.511944444444438</v>
      </c>
      <c r="E24">
        <v>140</v>
      </c>
      <c r="F24">
        <v>-4956.6101391938246</v>
      </c>
      <c r="G24">
        <v>6314.4733743142388</v>
      </c>
    </row>
    <row r="25" spans="1:7" x14ac:dyDescent="0.2">
      <c r="A25" s="5" t="s">
        <v>28</v>
      </c>
      <c r="B25">
        <f>'Coordinate Conversions'!P26</f>
        <v>39.155555555555551</v>
      </c>
      <c r="C25">
        <f>'Coordinate Conversions'!Q26</f>
        <v>-86.514166666666668</v>
      </c>
      <c r="E25">
        <v>270</v>
      </c>
      <c r="F25">
        <v>-4956.6101391938246</v>
      </c>
      <c r="G25">
        <v>6314.4733743142388</v>
      </c>
    </row>
    <row r="26" spans="1:7" x14ac:dyDescent="0.2">
      <c r="A26" s="5" t="s">
        <v>29</v>
      </c>
      <c r="B26">
        <f>'Coordinate Conversions'!P27</f>
        <v>39.154444444444444</v>
      </c>
      <c r="C26">
        <f>'Coordinate Conversions'!Q27</f>
        <v>-86.515277777777783</v>
      </c>
      <c r="E26">
        <v>170</v>
      </c>
      <c r="F26">
        <v>-4956.6101391938246</v>
      </c>
      <c r="G26">
        <v>6314.4733743142388</v>
      </c>
    </row>
    <row r="27" spans="1:7" x14ac:dyDescent="0.2">
      <c r="A27" s="5" t="s">
        <v>30</v>
      </c>
      <c r="B27">
        <f>'Coordinate Conversions'!P28</f>
        <v>39.156111111111109</v>
      </c>
      <c r="C27">
        <f>'Coordinate Conversions'!Q28</f>
        <v>-86.515555555555551</v>
      </c>
      <c r="D27">
        <v>82.226082955246468</v>
      </c>
      <c r="E27">
        <v>330</v>
      </c>
      <c r="F27">
        <v>-4956.6101391938246</v>
      </c>
      <c r="G27">
        <v>6314.4733743142388</v>
      </c>
    </row>
    <row r="28" spans="1:7" x14ac:dyDescent="0.2">
      <c r="A28" s="5" t="s">
        <v>31</v>
      </c>
      <c r="B28">
        <f>'Coordinate Conversions'!P29</f>
        <v>39.154722222222219</v>
      </c>
      <c r="C28">
        <f>'Coordinate Conversions'!Q29</f>
        <v>-86.512777777777771</v>
      </c>
      <c r="E28">
        <v>290</v>
      </c>
      <c r="F28">
        <v>-4956.6101391938246</v>
      </c>
      <c r="G28">
        <v>6314.4733743142388</v>
      </c>
    </row>
    <row r="29" spans="1:7" x14ac:dyDescent="0.2">
      <c r="A29" s="5" t="s">
        <v>33</v>
      </c>
      <c r="B29">
        <f>'Coordinate Conversions'!P31</f>
        <v>39.154444444444444</v>
      </c>
      <c r="C29">
        <f>'Coordinate Conversions'!Q31</f>
        <v>-86.520277777777778</v>
      </c>
      <c r="D29">
        <v>204.01149195630677</v>
      </c>
      <c r="E29">
        <v>270</v>
      </c>
      <c r="F29">
        <v>-4956.6101391938246</v>
      </c>
      <c r="G29">
        <v>6314.4733743142388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000"/>
  <sheetViews>
    <sheetView workbookViewId="0">
      <selection activeCell="C24" sqref="C24"/>
    </sheetView>
  </sheetViews>
  <sheetFormatPr baseColWidth="10" defaultColWidth="14.5" defaultRowHeight="16" x14ac:dyDescent="0.2"/>
  <cols>
    <col min="1" max="1" width="13.5" style="16" customWidth="1"/>
    <col min="2" max="2" width="39.33203125" style="16" customWidth="1"/>
    <col min="3" max="3" width="34.33203125" style="16" customWidth="1"/>
    <col min="4" max="26" width="13.5" style="16" customWidth="1"/>
    <col min="27" max="16384" width="14.5" style="16"/>
  </cols>
  <sheetData>
    <row r="1" spans="1:7" s="15" customFormat="1" ht="15.75" customHeight="1" x14ac:dyDescent="0.2">
      <c r="A1" s="15" t="s">
        <v>209</v>
      </c>
      <c r="B1" s="15" t="s">
        <v>384</v>
      </c>
      <c r="C1" s="15" t="s">
        <v>3</v>
      </c>
      <c r="D1" s="15" t="s">
        <v>124</v>
      </c>
      <c r="E1" s="15" t="s">
        <v>129</v>
      </c>
      <c r="F1" s="15" t="s">
        <v>210</v>
      </c>
      <c r="G1" s="15" t="s">
        <v>323</v>
      </c>
    </row>
    <row r="2" spans="1:7" ht="15.75" customHeight="1" x14ac:dyDescent="0.2">
      <c r="A2" s="16" t="s">
        <v>211</v>
      </c>
      <c r="B2" s="16" t="s">
        <v>212</v>
      </c>
      <c r="C2" s="16" t="s">
        <v>213</v>
      </c>
      <c r="D2" s="16">
        <v>4.7298999999999998</v>
      </c>
      <c r="E2" s="16" t="s">
        <v>134</v>
      </c>
      <c r="F2" s="16">
        <f>D2*10^4</f>
        <v>47299</v>
      </c>
      <c r="G2" s="16">
        <f>F2*10</f>
        <v>472990</v>
      </c>
    </row>
    <row r="3" spans="1:7" ht="15.75" customHeight="1" x14ac:dyDescent="0.2">
      <c r="A3" s="16" t="s">
        <v>214</v>
      </c>
      <c r="B3" s="17" t="s">
        <v>215</v>
      </c>
      <c r="C3" s="16" t="s">
        <v>216</v>
      </c>
      <c r="D3" s="16">
        <v>2.5274999999999999</v>
      </c>
      <c r="E3" s="16" t="s">
        <v>134</v>
      </c>
      <c r="F3" s="16">
        <f t="shared" ref="F3:F39" si="0">D3*10^4</f>
        <v>25275</v>
      </c>
      <c r="G3" s="16">
        <f t="shared" ref="G3:G39" si="1">F3*10</f>
        <v>252750</v>
      </c>
    </row>
    <row r="4" spans="1:7" ht="15.75" customHeight="1" x14ac:dyDescent="0.2">
      <c r="A4" s="16" t="s">
        <v>217</v>
      </c>
      <c r="B4" s="17" t="s">
        <v>215</v>
      </c>
      <c r="C4" s="16" t="s">
        <v>218</v>
      </c>
      <c r="D4" s="16">
        <v>1.5014000000000001</v>
      </c>
      <c r="E4" s="16" t="s">
        <v>134</v>
      </c>
      <c r="F4" s="16">
        <f t="shared" si="0"/>
        <v>15014</v>
      </c>
      <c r="G4" s="16">
        <f t="shared" si="1"/>
        <v>150140</v>
      </c>
    </row>
    <row r="5" spans="1:7" ht="15.75" customHeight="1" x14ac:dyDescent="0.2">
      <c r="A5" s="16" t="s">
        <v>219</v>
      </c>
      <c r="B5" s="16" t="s">
        <v>220</v>
      </c>
      <c r="C5" s="16" t="s">
        <v>221</v>
      </c>
      <c r="D5" s="16">
        <v>8.5</v>
      </c>
      <c r="E5" s="16" t="s">
        <v>134</v>
      </c>
      <c r="F5" s="16">
        <f t="shared" si="0"/>
        <v>85000</v>
      </c>
      <c r="G5" s="16">
        <f t="shared" si="1"/>
        <v>850000</v>
      </c>
    </row>
    <row r="6" spans="1:7" ht="15.75" customHeight="1" x14ac:dyDescent="0.2">
      <c r="A6" s="16" t="s">
        <v>222</v>
      </c>
      <c r="B6" s="16" t="s">
        <v>220</v>
      </c>
      <c r="C6" s="16" t="s">
        <v>223</v>
      </c>
      <c r="D6" s="16">
        <v>0.10199999999999999</v>
      </c>
      <c r="E6" s="16" t="s">
        <v>134</v>
      </c>
      <c r="F6" s="16">
        <f t="shared" si="0"/>
        <v>1019.9999999999999</v>
      </c>
      <c r="G6" s="16">
        <f t="shared" si="1"/>
        <v>10199.999999999998</v>
      </c>
    </row>
    <row r="7" spans="1:7" ht="15.75" customHeight="1" x14ac:dyDescent="0.2">
      <c r="A7" s="16" t="s">
        <v>224</v>
      </c>
      <c r="B7" s="16" t="s">
        <v>225</v>
      </c>
      <c r="C7" s="16" t="s">
        <v>226</v>
      </c>
      <c r="D7" s="16">
        <v>8.5000000000000006E-3</v>
      </c>
      <c r="E7" s="16" t="s">
        <v>134</v>
      </c>
      <c r="F7" s="16">
        <f t="shared" si="0"/>
        <v>85</v>
      </c>
      <c r="G7" s="16">
        <f t="shared" si="1"/>
        <v>850</v>
      </c>
    </row>
    <row r="8" spans="1:7" ht="15.75" customHeight="1" x14ac:dyDescent="0.2">
      <c r="A8" s="16" t="s">
        <v>227</v>
      </c>
      <c r="B8" s="16" t="s">
        <v>228</v>
      </c>
      <c r="C8" s="16" t="s">
        <v>229</v>
      </c>
      <c r="D8" s="16">
        <v>1.3899999999999999E-2</v>
      </c>
      <c r="E8" s="16" t="s">
        <v>134</v>
      </c>
      <c r="F8" s="16">
        <f t="shared" si="0"/>
        <v>139</v>
      </c>
      <c r="G8" s="16">
        <f t="shared" si="1"/>
        <v>1390</v>
      </c>
    </row>
    <row r="9" spans="1:7" ht="15.75" customHeight="1" x14ac:dyDescent="0.2">
      <c r="A9" s="16" t="s">
        <v>230</v>
      </c>
      <c r="B9" s="16" t="s">
        <v>231</v>
      </c>
      <c r="C9" s="16" t="s">
        <v>232</v>
      </c>
      <c r="D9" s="16">
        <v>5.5956999999999999</v>
      </c>
      <c r="E9" s="16" t="s">
        <v>134</v>
      </c>
      <c r="F9" s="16">
        <f t="shared" si="0"/>
        <v>55957</v>
      </c>
      <c r="G9" s="16">
        <f t="shared" si="1"/>
        <v>559570</v>
      </c>
    </row>
    <row r="10" spans="1:7" ht="15.75" customHeight="1" x14ac:dyDescent="0.2">
      <c r="A10" s="16" t="s">
        <v>233</v>
      </c>
      <c r="B10" s="16" t="s">
        <v>231</v>
      </c>
      <c r="C10" s="16" t="s">
        <v>234</v>
      </c>
      <c r="D10" s="16">
        <v>0.44429999999999997</v>
      </c>
      <c r="E10" s="16" t="s">
        <v>134</v>
      </c>
      <c r="F10" s="16">
        <f t="shared" si="0"/>
        <v>4443</v>
      </c>
      <c r="G10" s="16">
        <f t="shared" si="1"/>
        <v>44430</v>
      </c>
    </row>
    <row r="11" spans="1:7" ht="15.75" customHeight="1" x14ac:dyDescent="0.2">
      <c r="A11" s="16" t="s">
        <v>235</v>
      </c>
      <c r="B11" s="16" t="s">
        <v>236</v>
      </c>
      <c r="C11" s="16" t="s">
        <v>237</v>
      </c>
      <c r="D11" s="16">
        <v>1E-3</v>
      </c>
      <c r="E11" s="16" t="s">
        <v>134</v>
      </c>
      <c r="F11" s="16">
        <f t="shared" si="0"/>
        <v>10</v>
      </c>
      <c r="G11" s="16">
        <f t="shared" si="1"/>
        <v>100</v>
      </c>
    </row>
    <row r="12" spans="1:7" ht="15.75" customHeight="1" x14ac:dyDescent="0.2">
      <c r="A12" s="16" t="s">
        <v>238</v>
      </c>
      <c r="B12" s="16" t="s">
        <v>236</v>
      </c>
      <c r="C12" s="16" t="s">
        <v>239</v>
      </c>
      <c r="D12" s="16" t="s">
        <v>166</v>
      </c>
      <c r="E12" s="16" t="s">
        <v>134</v>
      </c>
    </row>
    <row r="13" spans="1:7" ht="15.75" customHeight="1" x14ac:dyDescent="0.2">
      <c r="A13" s="16" t="s">
        <v>240</v>
      </c>
      <c r="B13" s="16" t="s">
        <v>241</v>
      </c>
      <c r="C13" s="16" t="s">
        <v>242</v>
      </c>
      <c r="D13" s="16">
        <v>0.65269999999999995</v>
      </c>
      <c r="E13" s="16" t="s">
        <v>134</v>
      </c>
      <c r="F13" s="16">
        <f t="shared" si="0"/>
        <v>6526.9999999999991</v>
      </c>
      <c r="G13" s="16">
        <f t="shared" si="1"/>
        <v>65269.999999999993</v>
      </c>
    </row>
    <row r="14" spans="1:7" ht="15.75" customHeight="1" x14ac:dyDescent="0.2">
      <c r="A14" s="16" t="s">
        <v>243</v>
      </c>
      <c r="B14" s="16" t="s">
        <v>244</v>
      </c>
      <c r="C14" s="16" t="s">
        <v>245</v>
      </c>
      <c r="D14" s="16">
        <v>6.5946999999999996</v>
      </c>
      <c r="E14" s="16" t="s">
        <v>134</v>
      </c>
      <c r="F14" s="16">
        <f t="shared" si="0"/>
        <v>65947</v>
      </c>
      <c r="G14" s="16">
        <f t="shared" si="1"/>
        <v>659470</v>
      </c>
    </row>
    <row r="15" spans="1:7" ht="15.75" customHeight="1" x14ac:dyDescent="0.2">
      <c r="A15" s="16" t="s">
        <v>246</v>
      </c>
      <c r="B15" s="16" t="s">
        <v>247</v>
      </c>
      <c r="C15" s="16" t="s">
        <v>248</v>
      </c>
      <c r="D15" s="16">
        <v>1.5806</v>
      </c>
      <c r="E15" s="16" t="s">
        <v>134</v>
      </c>
      <c r="F15" s="16">
        <f t="shared" si="0"/>
        <v>15806</v>
      </c>
      <c r="G15" s="16">
        <f t="shared" si="1"/>
        <v>158060</v>
      </c>
    </row>
    <row r="16" spans="1:7" ht="15.75" customHeight="1" x14ac:dyDescent="0.2">
      <c r="A16" s="16" t="s">
        <v>249</v>
      </c>
      <c r="B16" s="16" t="s">
        <v>250</v>
      </c>
      <c r="C16" s="16" t="s">
        <v>251</v>
      </c>
      <c r="D16" s="16">
        <v>5.57</v>
      </c>
      <c r="E16" s="16" t="s">
        <v>134</v>
      </c>
      <c r="F16" s="16">
        <f t="shared" si="0"/>
        <v>55700</v>
      </c>
      <c r="G16" s="16">
        <f t="shared" si="1"/>
        <v>557000</v>
      </c>
    </row>
    <row r="17" spans="1:7" ht="15.75" customHeight="1" x14ac:dyDescent="0.2">
      <c r="A17" s="16" t="s">
        <v>252</v>
      </c>
      <c r="B17" s="16" t="s">
        <v>253</v>
      </c>
      <c r="C17" s="16" t="s">
        <v>254</v>
      </c>
      <c r="D17" s="16">
        <v>8.9499999999999993</v>
      </c>
      <c r="E17" s="16" t="s">
        <v>134</v>
      </c>
      <c r="F17" s="16">
        <f t="shared" si="0"/>
        <v>89500</v>
      </c>
      <c r="G17" s="16">
        <f t="shared" si="1"/>
        <v>895000</v>
      </c>
    </row>
    <row r="18" spans="1:7" ht="15.75" customHeight="1" x14ac:dyDescent="0.2">
      <c r="A18" s="16" t="s">
        <v>255</v>
      </c>
      <c r="B18" s="16" t="s">
        <v>256</v>
      </c>
      <c r="C18" s="16" t="s">
        <v>257</v>
      </c>
      <c r="D18" s="16">
        <v>8.9600000000000009</v>
      </c>
      <c r="E18" s="16" t="s">
        <v>134</v>
      </c>
      <c r="F18" s="16">
        <f t="shared" si="0"/>
        <v>89600.000000000015</v>
      </c>
      <c r="G18" s="16">
        <f t="shared" si="1"/>
        <v>896000.00000000012</v>
      </c>
    </row>
    <row r="19" spans="1:7" ht="15.75" customHeight="1" x14ac:dyDescent="0.2">
      <c r="A19" s="16" t="s">
        <v>258</v>
      </c>
      <c r="B19" s="16" t="s">
        <v>259</v>
      </c>
      <c r="C19" s="16" t="s">
        <v>260</v>
      </c>
      <c r="D19" s="16">
        <v>5.1925999999999997</v>
      </c>
      <c r="E19" s="16" t="s">
        <v>134</v>
      </c>
      <c r="F19" s="16">
        <f t="shared" si="0"/>
        <v>51926</v>
      </c>
      <c r="G19" s="16">
        <f t="shared" si="1"/>
        <v>519260</v>
      </c>
    </row>
    <row r="20" spans="1:7" ht="15.75" customHeight="1" x14ac:dyDescent="0.2">
      <c r="A20" s="16" t="s">
        <v>261</v>
      </c>
      <c r="B20" s="16" t="s">
        <v>262</v>
      </c>
      <c r="C20" s="16" t="s">
        <v>263</v>
      </c>
      <c r="D20" s="16">
        <v>4.6820000000000004</v>
      </c>
      <c r="E20" s="16" t="s">
        <v>134</v>
      </c>
      <c r="F20" s="16">
        <f t="shared" si="0"/>
        <v>46820.000000000007</v>
      </c>
      <c r="G20" s="16">
        <f t="shared" si="1"/>
        <v>468200.00000000006</v>
      </c>
    </row>
    <row r="21" spans="1:7" ht="15.75" customHeight="1" x14ac:dyDescent="0.2">
      <c r="A21" s="16" t="s">
        <v>264</v>
      </c>
      <c r="B21" s="16" t="s">
        <v>244</v>
      </c>
      <c r="C21" s="16" t="s">
        <v>265</v>
      </c>
      <c r="D21" s="16">
        <v>9</v>
      </c>
      <c r="E21" s="16" t="s">
        <v>134</v>
      </c>
      <c r="F21" s="16">
        <f t="shared" si="0"/>
        <v>90000</v>
      </c>
      <c r="G21" s="16">
        <f t="shared" si="1"/>
        <v>900000</v>
      </c>
    </row>
    <row r="22" spans="1:7" ht="15.75" customHeight="1" x14ac:dyDescent="0.2">
      <c r="A22" s="16" t="s">
        <v>266</v>
      </c>
      <c r="B22" s="16" t="s">
        <v>220</v>
      </c>
      <c r="C22" s="16" t="s">
        <v>267</v>
      </c>
      <c r="D22" s="16">
        <v>0.11849999999999999</v>
      </c>
      <c r="E22" s="16" t="s">
        <v>134</v>
      </c>
      <c r="F22" s="16">
        <f t="shared" si="0"/>
        <v>1185</v>
      </c>
      <c r="G22" s="16">
        <f t="shared" si="1"/>
        <v>11850</v>
      </c>
    </row>
    <row r="23" spans="1:7" ht="15.75" customHeight="1" x14ac:dyDescent="0.2">
      <c r="A23" s="16" t="s">
        <v>268</v>
      </c>
      <c r="B23" s="16" t="s">
        <v>269</v>
      </c>
      <c r="C23" s="16" t="s">
        <v>270</v>
      </c>
      <c r="D23" s="16">
        <v>10.28</v>
      </c>
      <c r="E23" s="16" t="s">
        <v>134</v>
      </c>
      <c r="F23" s="16">
        <f t="shared" si="0"/>
        <v>102800</v>
      </c>
      <c r="G23" s="16">
        <f t="shared" si="1"/>
        <v>1028000</v>
      </c>
    </row>
    <row r="24" spans="1:7" ht="15.75" customHeight="1" x14ac:dyDescent="0.2">
      <c r="A24" s="16" t="s">
        <v>271</v>
      </c>
      <c r="B24" s="16" t="s">
        <v>272</v>
      </c>
      <c r="C24" s="16" t="s">
        <v>273</v>
      </c>
      <c r="D24" s="16">
        <v>10.78</v>
      </c>
      <c r="E24" s="16" t="s">
        <v>134</v>
      </c>
      <c r="F24" s="16">
        <f t="shared" si="0"/>
        <v>107800</v>
      </c>
      <c r="G24" s="16">
        <f t="shared" si="1"/>
        <v>1078000</v>
      </c>
    </row>
    <row r="25" spans="1:7" ht="15.75" customHeight="1" x14ac:dyDescent="0.2">
      <c r="A25" s="16" t="s">
        <v>274</v>
      </c>
      <c r="B25" s="16" t="s">
        <v>275</v>
      </c>
      <c r="C25" s="16" t="s">
        <v>276</v>
      </c>
      <c r="D25" s="16">
        <v>8.74</v>
      </c>
      <c r="E25" s="16" t="s">
        <v>134</v>
      </c>
      <c r="F25" s="16">
        <f t="shared" si="0"/>
        <v>87400</v>
      </c>
      <c r="G25" s="16">
        <f t="shared" si="1"/>
        <v>874000</v>
      </c>
    </row>
    <row r="26" spans="1:7" ht="15.75" customHeight="1" x14ac:dyDescent="0.2">
      <c r="A26" s="16" t="s">
        <v>277</v>
      </c>
      <c r="B26" s="16" t="s">
        <v>278</v>
      </c>
      <c r="C26" s="16" t="s">
        <v>279</v>
      </c>
      <c r="D26" s="16">
        <v>10.42</v>
      </c>
      <c r="E26" s="16" t="s">
        <v>134</v>
      </c>
      <c r="F26" s="16">
        <f t="shared" si="0"/>
        <v>104200</v>
      </c>
      <c r="G26" s="16">
        <f t="shared" si="1"/>
        <v>1042000</v>
      </c>
    </row>
    <row r="27" spans="1:7" ht="15.75" customHeight="1" x14ac:dyDescent="0.2">
      <c r="A27" s="16" t="s">
        <v>280</v>
      </c>
      <c r="B27" s="16" t="s">
        <v>281</v>
      </c>
      <c r="C27" s="16" t="s">
        <v>282</v>
      </c>
      <c r="D27" s="16">
        <v>7.97</v>
      </c>
      <c r="E27" s="16" t="s">
        <v>134</v>
      </c>
      <c r="F27" s="16">
        <f t="shared" si="0"/>
        <v>79700</v>
      </c>
      <c r="G27" s="16">
        <f t="shared" si="1"/>
        <v>797000</v>
      </c>
    </row>
    <row r="28" spans="1:7" ht="15.75" customHeight="1" x14ac:dyDescent="0.2">
      <c r="A28" s="16" t="s">
        <v>283</v>
      </c>
      <c r="B28" s="16" t="s">
        <v>284</v>
      </c>
      <c r="C28" s="16" t="s">
        <v>285</v>
      </c>
      <c r="D28" s="16">
        <v>6.0000000000000001E-3</v>
      </c>
      <c r="E28" s="16" t="s">
        <v>134</v>
      </c>
      <c r="F28" s="16">
        <f t="shared" si="0"/>
        <v>60</v>
      </c>
      <c r="G28" s="16">
        <f t="shared" si="1"/>
        <v>600</v>
      </c>
    </row>
    <row r="29" spans="1:7" ht="15.75" customHeight="1" x14ac:dyDescent="0.2">
      <c r="A29" s="16" t="s">
        <v>286</v>
      </c>
      <c r="B29" s="16" t="s">
        <v>287</v>
      </c>
      <c r="C29" s="16" t="s">
        <v>288</v>
      </c>
      <c r="D29" s="16">
        <v>6.2858999999999998</v>
      </c>
      <c r="E29" s="16" t="s">
        <v>134</v>
      </c>
      <c r="F29" s="16">
        <f t="shared" si="0"/>
        <v>62859</v>
      </c>
      <c r="G29" s="16">
        <f t="shared" si="1"/>
        <v>628590</v>
      </c>
    </row>
    <row r="30" spans="1:7" ht="15.75" customHeight="1" x14ac:dyDescent="0.2">
      <c r="A30" s="16" t="s">
        <v>289</v>
      </c>
      <c r="B30" s="16" t="s">
        <v>290</v>
      </c>
      <c r="C30" s="16" t="s">
        <v>291</v>
      </c>
      <c r="D30" s="16">
        <v>1.6899999999999998E-2</v>
      </c>
      <c r="E30" s="16" t="s">
        <v>134</v>
      </c>
      <c r="F30" s="16">
        <f t="shared" si="0"/>
        <v>168.99999999999997</v>
      </c>
      <c r="G30" s="16">
        <f t="shared" si="1"/>
        <v>1689.9999999999998</v>
      </c>
    </row>
    <row r="31" spans="1:7" ht="15.75" customHeight="1" x14ac:dyDescent="0.2">
      <c r="A31" s="16" t="s">
        <v>292</v>
      </c>
      <c r="B31" s="16" t="s">
        <v>231</v>
      </c>
      <c r="C31" s="16" t="s">
        <v>293</v>
      </c>
      <c r="D31" s="16">
        <v>5.6599999999999998E-2</v>
      </c>
      <c r="E31" s="16" t="s">
        <v>134</v>
      </c>
      <c r="F31" s="16">
        <f t="shared" si="0"/>
        <v>566</v>
      </c>
      <c r="G31" s="16">
        <f t="shared" si="1"/>
        <v>5660</v>
      </c>
    </row>
    <row r="32" spans="1:7" ht="15.75" customHeight="1" x14ac:dyDescent="0.2">
      <c r="A32" s="16" t="s">
        <v>294</v>
      </c>
      <c r="B32" s="16" t="s">
        <v>295</v>
      </c>
      <c r="C32" s="16" t="s">
        <v>296</v>
      </c>
      <c r="D32" s="16">
        <v>1.1999999999999999E-3</v>
      </c>
      <c r="E32" s="16" t="s">
        <v>134</v>
      </c>
      <c r="F32" s="16">
        <f t="shared" si="0"/>
        <v>11.999999999999998</v>
      </c>
      <c r="G32" s="16">
        <f t="shared" si="1"/>
        <v>119.99999999999999</v>
      </c>
    </row>
    <row r="33" spans="1:7" ht="15.75" customHeight="1" x14ac:dyDescent="0.2">
      <c r="A33" s="16" t="s">
        <v>297</v>
      </c>
      <c r="B33" s="16" t="s">
        <v>298</v>
      </c>
      <c r="C33" s="16" t="s">
        <v>299</v>
      </c>
      <c r="D33" s="16">
        <v>3.0999999999999999E-3</v>
      </c>
      <c r="E33" s="16" t="s">
        <v>134</v>
      </c>
      <c r="F33" s="16">
        <f t="shared" si="0"/>
        <v>31</v>
      </c>
      <c r="G33" s="16">
        <f t="shared" si="1"/>
        <v>310</v>
      </c>
    </row>
    <row r="34" spans="1:7" ht="15.75" customHeight="1" x14ac:dyDescent="0.2">
      <c r="A34" s="16" t="s">
        <v>300</v>
      </c>
      <c r="B34" s="16" t="s">
        <v>298</v>
      </c>
      <c r="C34" s="16" t="s">
        <v>301</v>
      </c>
      <c r="D34" s="16" t="s">
        <v>166</v>
      </c>
      <c r="E34" s="16" t="s">
        <v>134</v>
      </c>
    </row>
    <row r="35" spans="1:7" ht="15.75" customHeight="1" x14ac:dyDescent="0.2">
      <c r="A35" s="16" t="s">
        <v>302</v>
      </c>
      <c r="B35" s="16" t="s">
        <v>298</v>
      </c>
      <c r="C35" s="16" t="s">
        <v>303</v>
      </c>
      <c r="D35" s="16" t="s">
        <v>166</v>
      </c>
      <c r="E35" s="16" t="s">
        <v>134</v>
      </c>
    </row>
    <row r="36" spans="1:7" ht="15.75" customHeight="1" x14ac:dyDescent="0.2">
      <c r="A36" s="16" t="s">
        <v>304</v>
      </c>
      <c r="B36" s="16" t="s">
        <v>247</v>
      </c>
      <c r="C36" s="16" t="s">
        <v>305</v>
      </c>
      <c r="D36" s="16">
        <v>1.2765</v>
      </c>
      <c r="E36" s="16" t="s">
        <v>134</v>
      </c>
      <c r="F36" s="16">
        <f t="shared" si="0"/>
        <v>12765</v>
      </c>
      <c r="G36" s="16">
        <f t="shared" si="1"/>
        <v>127650</v>
      </c>
    </row>
    <row r="37" spans="1:7" ht="15.75" customHeight="1" x14ac:dyDescent="0.2">
      <c r="A37" s="16" t="s">
        <v>306</v>
      </c>
      <c r="B37" s="16" t="s">
        <v>247</v>
      </c>
      <c r="C37" s="16" t="s">
        <v>307</v>
      </c>
      <c r="D37" s="16">
        <v>1.0746</v>
      </c>
      <c r="E37" s="16" t="s">
        <v>134</v>
      </c>
      <c r="F37" s="16">
        <f t="shared" si="0"/>
        <v>10746</v>
      </c>
      <c r="G37" s="16">
        <f t="shared" si="1"/>
        <v>107460</v>
      </c>
    </row>
    <row r="38" spans="1:7" ht="15.75" customHeight="1" x14ac:dyDescent="0.2">
      <c r="A38" s="16" t="s">
        <v>308</v>
      </c>
      <c r="B38" s="16" t="s">
        <v>247</v>
      </c>
      <c r="C38" s="16" t="s">
        <v>309</v>
      </c>
      <c r="D38" s="16">
        <v>0.69769999999999999</v>
      </c>
      <c r="E38" s="16" t="s">
        <v>134</v>
      </c>
      <c r="F38" s="16">
        <f t="shared" si="0"/>
        <v>6977</v>
      </c>
      <c r="G38" s="16">
        <f t="shared" si="1"/>
        <v>69770</v>
      </c>
    </row>
    <row r="39" spans="1:7" ht="15.75" customHeight="1" x14ac:dyDescent="0.2">
      <c r="A39" s="16" t="s">
        <v>310</v>
      </c>
      <c r="B39" s="16" t="s">
        <v>247</v>
      </c>
      <c r="C39" s="16" t="s">
        <v>311</v>
      </c>
      <c r="D39" s="16">
        <v>7</v>
      </c>
      <c r="E39" s="16" t="s">
        <v>134</v>
      </c>
      <c r="F39" s="16">
        <f t="shared" si="0"/>
        <v>70000</v>
      </c>
      <c r="G39" s="16">
        <f t="shared" si="1"/>
        <v>700000</v>
      </c>
    </row>
    <row r="40" spans="1:7" ht="15.75" customHeight="1" x14ac:dyDescent="0.2"/>
    <row r="41" spans="1:7" ht="15.75" customHeight="1" x14ac:dyDescent="0.2">
      <c r="C41" s="18" t="s">
        <v>312</v>
      </c>
      <c r="D41" s="19">
        <f>AVERAGE(D2:D39)</f>
        <v>3.980965714285714</v>
      </c>
      <c r="E41" s="19" t="s">
        <v>134</v>
      </c>
      <c r="F41" s="16">
        <f>D41*10^4</f>
        <v>39809.657142857141</v>
      </c>
      <c r="G41" s="16">
        <f>AVERAGE(G2:G39)</f>
        <v>398096.57142857142</v>
      </c>
    </row>
    <row r="42" spans="1:7" ht="15.75" customHeight="1" x14ac:dyDescent="0.2">
      <c r="C42" s="18" t="s">
        <v>313</v>
      </c>
      <c r="D42" s="19">
        <f>MEDIAN(D2:D39)</f>
        <v>2.5274999999999999</v>
      </c>
      <c r="E42" s="19" t="s">
        <v>134</v>
      </c>
      <c r="F42" s="16">
        <f>D42*10^4</f>
        <v>25275</v>
      </c>
      <c r="G42" s="16">
        <f>MEDIAN(G2:G39)</f>
        <v>252750</v>
      </c>
    </row>
    <row r="43" spans="1:7" ht="15.75" customHeight="1" x14ac:dyDescent="0.2">
      <c r="C43" s="18" t="s">
        <v>314</v>
      </c>
      <c r="D43" s="19">
        <f>MAX(D2:D39)</f>
        <v>10.78</v>
      </c>
      <c r="E43" s="19" t="s">
        <v>134</v>
      </c>
      <c r="F43" s="16">
        <f>D43*10^4</f>
        <v>107800</v>
      </c>
      <c r="G43" s="16">
        <f>MAX(G2:G39)</f>
        <v>1078000</v>
      </c>
    </row>
    <row r="44" spans="1:7" ht="15.75" customHeight="1" x14ac:dyDescent="0.2"/>
    <row r="45" spans="1:7" ht="15.75" customHeight="1" x14ac:dyDescent="0.2"/>
    <row r="46" spans="1:7" ht="15.75" customHeight="1" x14ac:dyDescent="0.2"/>
    <row r="47" spans="1:7" ht="15.75" customHeight="1" x14ac:dyDescent="0.2"/>
    <row r="48" spans="1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Samples and Simple Model</vt:lpstr>
      <vt:lpstr>ICPMS XRF Comparison</vt:lpstr>
      <vt:lpstr>ICPMS</vt:lpstr>
      <vt:lpstr>XRF After Jan</vt:lpstr>
      <vt:lpstr>Gaussian</vt:lpstr>
      <vt:lpstr>Coordinate Conversions</vt:lpstr>
      <vt:lpstr>CSV Export</vt:lpstr>
      <vt:lpstr>XRF After Fire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 STEPHANIE JOVEN</dc:creator>
  <cp:lastModifiedBy>Bode James Hoover</cp:lastModifiedBy>
  <dcterms:created xsi:type="dcterms:W3CDTF">2022-03-27T17:56:59Z</dcterms:created>
  <dcterms:modified xsi:type="dcterms:W3CDTF">2022-04-26T15:31:14Z</dcterms:modified>
</cp:coreProperties>
</file>