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 me" sheetId="1" r:id="rId1"/>
    <sheet name="Settings" sheetId="2" r:id="rId2"/>
    <sheet name="JLR Machines" sheetId="3" r:id="rId3"/>
    <sheet name="JLR Materials" sheetId="4" r:id="rId4"/>
    <sheet name="JLR Labour" sheetId="5" r:id="rId5"/>
    <sheet name="Mapping" sheetId="6" r:id="rId6"/>
    <sheet name="Builtin" sheetId="7" r:id="rId7"/>
    <sheet name="Materials" sheetId="8" r:id="rId8"/>
    <sheet name="Machines" sheetId="9" r:id="rId9"/>
    <sheet name="Labour" sheetId="10" r:id="rId10"/>
    <sheet name="Energy" sheetId="11" r:id="rId11"/>
    <sheet name="FX" sheetId="12" r:id="rId12"/>
    <sheet name="Overhead" sheetId="13" r:id="rId13"/>
    <sheet name="Check" sheetId="14" r:id="rId1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72"/>
  <sheetViews>
    <sheetView workbookViewId="0"/>
  </sheetViews>
  <cols>
    <col min="1" max="1" width="9.83203125" customWidth="1"/>
    <col min="2" max="2" width="92.83203125" customWidth="1"/>
    <col min="3" max="3" width="8.83203125" customWidth="1"/>
  </cols>
  <sheetData>
    <row r="1">
      <c r="A1" t="str">
        <v>CostVision — JLR rate card converter</v>
      </c>
    </row>
    <row r="2">
      <c r="A2" t="str">
        <v>Start here. Seven steps. About ten minutes the first time, two minutes every quarter after.</v>
      </c>
    </row>
    <row r="4">
      <c r="A4" t="str">
        <v>WHAT THIS DOES</v>
      </c>
    </row>
    <row r="5">
      <c r="A5" t="str">
        <v/>
      </c>
      <c r="B5" t="str">
        <v>JLR give you a rate card in JLR’s layout, with JLR’s codes. The tool needs its own ids,</v>
      </c>
    </row>
    <row r="6">
      <c r="A6" t="str">
        <v/>
      </c>
      <c r="B6" t="str">
        <v>because those ids are what the costing formulas ask for. This workbook joins the two.</v>
      </c>
    </row>
    <row r="7">
      <c r="A7" t="str">
        <v/>
      </c>
      <c r="B7" t="str">
        <v>You paste your export in; it fills in the tool’s upload for you. Nothing is renamed,</v>
      </c>
    </row>
    <row r="8">
      <c r="A8" t="str">
        <v/>
      </c>
      <c r="B8" t="str">
        <v>nothing is coded. It is ordinary Excel formulas, so there are no macros to enable.</v>
      </c>
    </row>
    <row r="10">
      <c r="A10" t="str">
        <v>BEFORE YOU START</v>
      </c>
    </row>
    <row r="11">
      <c r="A11" t="str">
        <v/>
      </c>
      <c r="B11" t="str">
        <v>Have your machine rate card and your material rate card open.</v>
      </c>
    </row>
    <row r="12">
      <c r="A12" t="str">
        <v/>
      </c>
      <c r="B12" t="str">
        <v>If labour comes as its own file, have that too — if it does not, you do not need one.</v>
      </c>
    </row>
    <row r="13">
      <c r="A13" t="str">
        <v/>
      </c>
      <c r="B13" t="str">
        <v>Know the country you are costing in, and the period stamped on each file.</v>
      </c>
    </row>
    <row r="15">
      <c r="A15" t="str">
        <v>────────────────────────────────────────────────────────────────────────────────────────</v>
      </c>
    </row>
    <row r="16">
      <c r="A16" t="str">
        <v>STEP 1</v>
      </c>
      <c r="B16" t="str">
        <v>Paste the machine rates.</v>
      </c>
    </row>
    <row r="17">
      <c r="A17" t="str">
        <v/>
      </c>
      <c r="B17" t="str">
        <v>a. Go to the tab named  JLR Machines.</v>
      </c>
    </row>
    <row r="18">
      <c r="A18" t="str">
        <v/>
      </c>
      <c r="B18" t="str">
        <v>b. Row 2 is an example row. Click the row 2 number, right-click, Delete Row.</v>
      </c>
    </row>
    <row r="19">
      <c r="A19" t="str">
        <v/>
      </c>
      <c r="B19" t="str">
        <v>c. In your machine export, select all the data rows — NOT the header row.</v>
      </c>
    </row>
    <row r="20">
      <c r="A20" t="str">
        <v/>
      </c>
      <c r="B20" t="str">
        <v>d. Come back here, click cell  A2 , and paste. Paste Special → Values if you have it.</v>
      </c>
    </row>
    <row r="21">
      <c r="A21" t="str">
        <v/>
      </c>
      <c r="B21" t="str">
        <v>e. Check that MACHINE_CODE landed in column A and TOTAL_MACHINE_RATE in column N.</v>
      </c>
    </row>
    <row r="22">
      <c r="A22" t="str">
        <v/>
      </c>
      <c r="B22" t="str">
        <v/>
      </c>
    </row>
    <row r="23">
      <c r="A23" t="str">
        <v/>
      </c>
      <c r="B23" t="str">
        <v>Row 1 already carries your own 14 headers. Leave row 1 exactly as it is.</v>
      </c>
    </row>
    <row r="24">
      <c r="A24" t="str">
        <v/>
      </c>
      <c r="B24" t="str">
        <v>If your export has extra columns, or has them in a different order, delete or reorder</v>
      </c>
    </row>
    <row r="25">
      <c r="A25" t="str">
        <v/>
      </c>
      <c r="B25" t="str">
        <v>them in your copy first so the 14 columns line up with row 1 here. Paste as many rows</v>
      </c>
    </row>
    <row r="26">
      <c r="A26" t="str">
        <v/>
      </c>
      <c r="B26" t="str">
        <v>as you like — all countries, all machines. Step 4 is what picks the ones you want.</v>
      </c>
    </row>
    <row r="28">
      <c r="A28" t="str">
        <v>STEP 2</v>
      </c>
      <c r="B28" t="str">
        <v>Paste the material rates.</v>
      </c>
    </row>
    <row r="29">
      <c r="A29" t="str">
        <v/>
      </c>
      <c r="B29" t="str">
        <v>Same again on the tab named  JLR Materials : delete the example row 2, then paste</v>
      </c>
    </row>
    <row r="30">
      <c r="A30" t="str">
        <v/>
      </c>
      <c r="B30" t="str">
        <v>your data rows into cell  A2 . CODE in column A, CO2 in column G.</v>
      </c>
    </row>
    <row r="32">
      <c r="A32" t="str">
        <v>STEP 3</v>
      </c>
      <c r="B32" t="str">
        <v>Paste the labour rates — only if you have a separate labour file.</v>
      </c>
    </row>
    <row r="33">
      <c r="A33" t="str">
        <v/>
      </c>
      <c r="B33" t="str">
        <v>If your labour rates sit INSIDE the machine export, as TOTAL_LABOUR_RATE against a</v>
      </c>
    </row>
    <row r="34">
      <c r="A34" t="str">
        <v/>
      </c>
      <c r="B34" t="str">
        <v>LABOUR_CATEGORY, you can skip this step entirely. Go to the  JLR Labour  tab, delete</v>
      </c>
    </row>
    <row r="35">
      <c r="A35" t="str">
        <v/>
      </c>
      <c r="B35" t="str">
        <v>the two example rows, and leave it empty — the sheet will read labour out of the</v>
      </c>
    </row>
    <row r="36">
      <c r="A36" t="str">
        <v/>
      </c>
      <c r="B36" t="str">
        <v>machine tab by category instead.</v>
      </c>
    </row>
    <row r="37">
      <c r="A37" t="str">
        <v/>
      </c>
      <c r="B37" t="str">
        <v/>
      </c>
    </row>
    <row r="38">
      <c r="A38" t="str">
        <v/>
      </c>
      <c r="B38" t="str">
        <v>If you do have a separate file, delete the example rows and paste into  A2  as before.</v>
      </c>
    </row>
    <row r="40">
      <c r="A40" t="str">
        <v>STEP 4</v>
      </c>
      <c r="B40" t="str">
        <v>Tell it which country and which period to take.</v>
      </c>
    </row>
    <row r="41">
      <c r="A41" t="str">
        <v/>
      </c>
      <c r="B41" t="str">
        <v>Go to the tab named  Settings  and fill in these four cells in column B:</v>
      </c>
    </row>
    <row r="42">
      <c r="A42" t="str">
        <v/>
      </c>
      <c r="B42" t="str">
        <v/>
      </c>
    </row>
    <row r="43">
      <c r="A43" t="str">
        <v/>
      </c>
      <c r="B43" t="str">
        <v xml:space="preserve">   B2  Country           e.g.  United Kingdom</v>
      </c>
    </row>
    <row r="44">
      <c r="A44" t="str">
        <v/>
      </c>
      <c r="B44" t="str">
        <v xml:space="preserve">   B3  Machine period    e.g.  04042025        (copy it from PERIOD_CODE)</v>
      </c>
    </row>
    <row r="45">
      <c r="A45" t="str">
        <v/>
      </c>
      <c r="B45" t="str">
        <v xml:space="preserve">   B4  Material period   e.g.  04-04-2025      (copy it from PERIOD)</v>
      </c>
    </row>
    <row r="46">
      <c r="A46" t="str">
        <v/>
      </c>
      <c r="B46" t="str">
        <v xml:space="preserve">   B5  MATERIAL_RECLAIM  percent  or  per kg</v>
      </c>
    </row>
    <row r="47">
      <c r="A47" t="str">
        <v/>
      </c>
      <c r="B47" t="str">
        <v/>
      </c>
    </row>
    <row r="48">
      <c r="A48" t="str">
        <v/>
      </c>
      <c r="B48" t="str">
        <v>Type each one EXACTLY as it appears in your file, spaces and dashes and all. There are</v>
      </c>
    </row>
    <row r="49">
      <c r="A49" t="str">
        <v/>
      </c>
      <c r="B49" t="str">
        <v>two period cells on purpose: the two exports stamp the same quarter differently.</v>
      </c>
    </row>
    <row r="50">
      <c r="A50" t="str">
        <v/>
      </c>
      <c r="B50" t="str">
        <v>Leave a cell blank only if you have already cut that export down to one country and</v>
      </c>
    </row>
    <row r="51">
      <c r="A51" t="str">
        <v/>
      </c>
      <c r="B51" t="str">
        <v>one period before pasting it.</v>
      </c>
    </row>
    <row r="52">
      <c r="A52" t="str">
        <v/>
      </c>
      <c r="B52" t="str">
        <v/>
      </c>
    </row>
    <row r="53">
      <c r="A53" t="str">
        <v/>
      </c>
      <c r="B53" t="str">
        <v>On B5: if MATERIAL_RECLAIM is a percentage of the material rate, leave it as percent.</v>
      </c>
    </row>
    <row r="54">
      <c r="A54" t="str">
        <v/>
      </c>
      <c r="B54" t="str">
        <v>If it is already a price in £/kg, type per kg. Please confirm which with whoever owns</v>
      </c>
    </row>
    <row r="55">
      <c r="A55" t="str">
        <v/>
      </c>
      <c r="B55" t="str">
        <v>the rate card — getting it the wrong way round changes the scrap credit enormously.</v>
      </c>
    </row>
    <row r="57">
      <c r="A57" t="str">
        <v>STEP 5</v>
      </c>
      <c r="B57" t="str">
        <v>Say which JLR code is which tool rate. You only do this once.</v>
      </c>
    </row>
    <row r="58">
      <c r="A58" t="str">
        <v/>
      </c>
      <c r="B58" t="str">
        <v>Go to the tab named  Mapping . It already lists every rate the tool uses, with a plain</v>
      </c>
    </row>
    <row r="59">
      <c r="A59" t="str">
        <v/>
      </c>
      <c r="B59" t="str">
        <v>description of each in column B — "1045 / C45 (Medium-Carbon Steel)", and so on.</v>
      </c>
    </row>
    <row r="60">
      <c r="A60" t="str">
        <v/>
      </c>
      <c r="B60" t="str">
        <v/>
      </c>
    </row>
    <row r="61">
      <c r="A61" t="str">
        <v/>
      </c>
      <c r="B61" t="str">
        <v>In column C, type the JLR CODE for the ones you have. Leave everything else blank.</v>
      </c>
    </row>
    <row r="62">
      <c r="A62" t="str">
        <v/>
      </c>
      <c r="B62" t="str">
        <v>Column D then shows you the name JLR hold against that code. Read it. If it is not the</v>
      </c>
    </row>
    <row r="63">
      <c r="A63" t="str">
        <v/>
      </c>
      <c r="B63" t="str">
        <v>thing you meant, the code is wrong. If it says NOT FOUND, the code is not on your</v>
      </c>
    </row>
    <row r="64">
      <c r="A64" t="str">
        <v/>
      </c>
      <c r="B64" t="str">
        <v>pasted data at all.</v>
      </c>
    </row>
    <row r="65">
      <c r="A65" t="str">
        <v/>
      </c>
      <c r="B65" t="str">
        <v/>
      </c>
    </row>
    <row r="66">
      <c r="A66" t="str">
        <v/>
      </c>
      <c r="B66" t="str">
        <v>For labour, the code is the LABOUR_CATEGORY — CB, for example — not a machine number.</v>
      </c>
    </row>
    <row r="67">
      <c r="A67" t="str">
        <v/>
      </c>
      <c r="B67" t="str">
        <v/>
      </c>
    </row>
    <row r="68">
      <c r="A68" t="str">
        <v/>
      </c>
      <c r="B68" t="str">
        <v>You do NOT have to fill in all of them. Map the twenty materials you actually buy and</v>
      </c>
    </row>
    <row r="69">
      <c r="A69" t="str">
        <v/>
      </c>
      <c r="B69" t="str">
        <v>the other three hundred keep the values the tool ships with. That is a normal way to</v>
      </c>
    </row>
    <row r="70">
      <c r="A70" t="str">
        <v/>
      </c>
      <c r="B70" t="str">
        <v>use this and nothing breaks.</v>
      </c>
    </row>
    <row r="72">
      <c r="A72" t="str">
        <v>STEP 6</v>
      </c>
      <c r="B72" t="str">
        <v>Recalculate and save.</v>
      </c>
    </row>
    <row r="73">
      <c r="A73" t="str">
        <v/>
      </c>
      <c r="B73" t="str">
        <v>Press F9. (Saving does it too.) Then File → Save As and give it a name with the</v>
      </c>
    </row>
    <row r="74">
      <c r="A74" t="str">
        <v/>
      </c>
      <c r="B74" t="str">
        <v>quarter in it, e.g. CostVision-rates-2025-Q2.xlsx. Keep it as .xlsx.</v>
      </c>
    </row>
    <row r="76">
      <c r="A76" t="str">
        <v>STEP 7</v>
      </c>
      <c r="B76" t="str">
        <v>Check it, then upload it.</v>
      </c>
    </row>
    <row r="77">
      <c r="A77" t="str">
        <v/>
      </c>
      <c r="B77" t="str">
        <v>Go to the tab named  Check . Every line that says "should be 0" must read 0. It also</v>
      </c>
    </row>
    <row r="78">
      <c r="A78" t="str">
        <v/>
      </c>
      <c r="B78" t="str">
        <v>tells you how many materials, machines and labour grades picked up a JLR rate — if</v>
      </c>
    </row>
    <row r="79">
      <c r="A79" t="str">
        <v/>
      </c>
      <c r="B79" t="str">
        <v>that is 0 across the board, something in step 4 or step 5 has not matched.</v>
      </c>
    </row>
    <row r="80">
      <c r="A80" t="str">
        <v/>
      </c>
      <c r="B80" t="str">
        <v/>
      </c>
    </row>
    <row r="81">
      <c r="A81" t="str">
        <v/>
      </c>
      <c r="B81" t="str">
        <v>When it looks right: open CostVision, sign in as an admin, and go to Edit Rates.</v>
      </c>
    </row>
    <row r="82">
      <c r="A82" t="str">
        <v/>
      </c>
      <c r="B82" t="str">
        <v>Choose Upload company rates, and pick the file you just saved. The tool tells you</v>
      </c>
    </row>
    <row r="83">
      <c r="A83" t="str">
        <v/>
      </c>
      <c r="B83" t="str">
        <v>how many rows it read. From then on, every costing uses your rates.</v>
      </c>
    </row>
    <row r="84">
      <c r="A84" t="str">
        <v>────────────────────────────────────────────────────────────────────────────────────────</v>
      </c>
    </row>
    <row r="86">
      <c r="A86" t="str">
        <v>A WORKED EXAMPLE, END TO END</v>
      </c>
    </row>
    <row r="87">
      <c r="A87" t="str">
        <v/>
      </c>
      <c r="B87" t="str">
        <v>Your machine card has this row:</v>
      </c>
    </row>
    <row r="88">
      <c r="A88" t="str">
        <v/>
      </c>
      <c r="B88" t="str">
        <v xml:space="preserve">   712008 | 100t Hydraulic Injection Moulding MC | United Kingdom | 04042025 | CB |</v>
      </c>
    </row>
    <row r="89">
      <c r="A89" t="str">
        <v/>
      </c>
      <c r="B89" t="str">
        <v xml:space="preserve">   40.97 | 1.75 | 1.06 | 1.97 | 0.18 | 0.64 | 4.45 | 0.00 | 10.06</v>
      </c>
    </row>
    <row r="90">
      <c r="A90" t="str">
        <v/>
      </c>
      <c r="B90" t="str">
        <v/>
      </c>
    </row>
    <row r="91">
      <c r="A91" t="str">
        <v/>
      </c>
      <c r="B91" t="str">
        <v>You paste it into JLR Machines. On Settings you put United Kingdom and 04042025.</v>
      </c>
    </row>
    <row r="92">
      <c r="A92" t="str">
        <v/>
      </c>
      <c r="B92" t="str">
        <v>On Mapping you find imm-100t ("100T Injection Moulding Machine") and type 712008</v>
      </c>
    </row>
    <row r="93">
      <c r="A93" t="str">
        <v/>
      </c>
      <c r="B93" t="str">
        <v>next to it; column D comes back with "100t Hydraulic Injection Moulding MC", so you</v>
      </c>
    </row>
    <row r="94">
      <c r="A94" t="str">
        <v/>
      </c>
      <c r="B94" t="str">
        <v>know it is the right row.</v>
      </c>
    </row>
    <row r="95">
      <c r="A95" t="str">
        <v/>
      </c>
      <c r="B95" t="str">
        <v/>
      </c>
    </row>
    <row r="96">
      <c r="A96" t="str">
        <v/>
      </c>
      <c r="B96" t="str">
        <v>Press F9. The Machines tab now costs imm-100t at 10.06 per hour — exactly the</v>
      </c>
    </row>
    <row r="97">
      <c r="A97" t="str">
        <v/>
      </c>
      <c r="B97" t="str">
        <v>TOTAL_MACHINE_RATE on your card — split the way you supplied it:</v>
      </c>
    </row>
    <row r="98">
      <c r="A98" t="str">
        <v/>
      </c>
      <c r="B98" t="str">
        <v xml:space="preserve">   maintenance 1.97/hr, energy 4.45/hr, floor space 1.06/hr, finance 0.64/hr,</v>
      </c>
    </row>
    <row r="99">
      <c r="A99" t="str">
        <v/>
      </c>
      <c r="B99" t="str">
        <v xml:space="preserve">   indirect 0.18/hr, depreciation 1.76/hr.</v>
      </c>
    </row>
    <row r="100">
      <c r="A100" t="str">
        <v/>
      </c>
      <c r="B100" t="str">
        <v/>
      </c>
    </row>
    <row r="101">
      <c r="A101" t="str">
        <v/>
      </c>
      <c r="B101" t="str">
        <v>And because CB is on that row at 40.97, mapping lab-uk-skilled to CB gives you the</v>
      </c>
    </row>
    <row r="102">
      <c r="A102" t="str">
        <v/>
      </c>
      <c r="B102" t="str">
        <v>labour rate too, without a separate labour file.</v>
      </c>
    </row>
    <row r="104">
      <c r="A104" t="str">
        <v>HOW THE MACHINE RATE IS CARRIED ACROSS</v>
      </c>
    </row>
    <row r="105">
      <c r="A105" t="str">
        <v/>
      </c>
      <c r="B105" t="str">
        <v>JLR give a machine rate as seven elements in £/hr that add up to TOTAL_MACHINE_RATE.</v>
      </c>
    </row>
    <row r="106">
      <c r="A106" t="str">
        <v/>
      </c>
      <c r="B106" t="str">
        <v>The tool holds the same build-up as annual figures and divides by hours × utilisation.</v>
      </c>
    </row>
    <row r="107">
      <c r="A107" t="str">
        <v/>
      </c>
      <c r="B107" t="str">
        <v>So each element is multiplied by that machine’s hours × utilisation and the tool</v>
      </c>
    </row>
    <row r="108">
      <c r="A108" t="str">
        <v/>
      </c>
      <c r="B108" t="str">
        <v>divides it straight back out — the rate comes out on JLR’s number, and the report</v>
      </c>
    </row>
    <row r="109">
      <c r="A109" t="str">
        <v/>
      </c>
      <c r="B109" t="str">
        <v>shows a real breakdown rather than one lump. Depreciation takes the penny of</v>
      </c>
    </row>
    <row r="110">
      <c r="A110" t="str">
        <v/>
      </c>
      <c r="B110" t="str">
        <v>rounding so the rebuilt rate matches TOTAL_MACHINE_RATE exactly.</v>
      </c>
    </row>
    <row r="111">
      <c r="A111" t="str">
        <v/>
      </c>
      <c r="B111" t="str">
        <v/>
      </c>
    </row>
    <row r="112">
      <c r="A112" t="str">
        <v/>
      </c>
      <c r="B112" t="str">
        <v xml:space="preserve">   DEPRECIATION → annualDepreciation       MRO        → maintenance</v>
      </c>
    </row>
    <row r="113">
      <c r="A113" t="str">
        <v/>
      </c>
      <c r="B113" t="str">
        <v xml:space="preserve">   UTILITIES    → energy                   FLOORSPACE → floorSpace</v>
      </c>
    </row>
    <row r="114">
      <c r="A114" t="str">
        <v/>
      </c>
      <c r="B114" t="str">
        <v xml:space="preserve">   INTEREST     → financeCost              INSURANCE + CONSUMABLES → indirectSupport</v>
      </c>
    </row>
    <row r="115">
      <c r="A115" t="str">
        <v/>
      </c>
      <c r="B115" t="str">
        <v/>
      </c>
    </row>
    <row r="116">
      <c r="A116" t="str">
        <v/>
      </c>
      <c r="B116" t="str">
        <v>If a row has only TOTAL_MACHINE_RATE and no elements, the total goes on one line and</v>
      </c>
    </row>
    <row r="117">
      <c r="A117" t="str">
        <v/>
      </c>
      <c r="B117" t="str">
        <v>the source note says the build-up was not supplied, so nobody reads it as real.</v>
      </c>
    </row>
    <row r="119">
      <c r="A119" t="str">
        <v>NEXT QUARTER</v>
      </c>
    </row>
    <row r="120">
      <c r="A120" t="str">
        <v/>
      </c>
      <c r="B120" t="str">
        <v>Open this same file. Delete the old rows on the JLR tabs, paste the new ones,</v>
      </c>
    </row>
    <row r="121">
      <c r="A121" t="str">
        <v/>
      </c>
      <c r="B121" t="str">
        <v>change the two period cells on Settings, press F9, save, upload. Your mapping in</v>
      </c>
    </row>
    <row r="122">
      <c r="A122" t="str">
        <v/>
      </c>
      <c r="B122" t="str">
        <v>column C of the Mapping tab is still there — codes do not change quarter to quarter.</v>
      </c>
    </row>
    <row r="124">
      <c r="A124" t="str">
        <v>IF SOMETHING LOOKS WRONG</v>
      </c>
    </row>
    <row r="125">
      <c r="A125" t="str">
        <v/>
      </c>
      <c r="B125" t="str">
        <v>Nothing picked up a rate         Country or period on Settings does not match the</v>
      </c>
    </row>
    <row r="126">
      <c r="A126" t="str">
        <v/>
      </c>
      <c r="B126" t="str">
        <v xml:space="preserve">                                 file exactly. Copy and paste the value out of your</v>
      </c>
    </row>
    <row r="127">
      <c r="A127" t="str">
        <v/>
      </c>
      <c r="B127" t="str">
        <v xml:space="preserve">                                 export rather than typing it.</v>
      </c>
    </row>
    <row r="128">
      <c r="A128" t="str">
        <v/>
      </c>
      <c r="B128" t="str">
        <v/>
      </c>
    </row>
    <row r="129">
      <c r="A129" t="str">
        <v/>
      </c>
      <c r="B129" t="str">
        <v>Mapping column D says NOT FOUND   That code is not in the data you pasted. Check the</v>
      </c>
    </row>
    <row r="130">
      <c r="A130" t="str">
        <v/>
      </c>
      <c r="B130" t="str">
        <v xml:space="preserve">                                 code, and check the paste reached the tab.</v>
      </c>
    </row>
    <row r="131">
      <c r="A131" t="str">
        <v/>
      </c>
      <c r="B131" t="str">
        <v/>
      </c>
    </row>
    <row r="132">
      <c r="A132" t="str">
        <v/>
      </c>
      <c r="B132" t="str">
        <v>Check says a code matched more    Your paste has the same code twice — two countries,</v>
      </c>
    </row>
    <row r="133">
      <c r="A133" t="str">
        <v/>
      </c>
      <c r="B133" t="str">
        <v>than one row                     or two periods. Narrow it on Settings. Until you do,</v>
      </c>
    </row>
    <row r="134">
      <c r="A134" t="str">
        <v/>
      </c>
      <c r="B134" t="str">
        <v xml:space="preserve">                                 that row keeps the tool’s own value on purpose.</v>
      </c>
    </row>
    <row r="135">
      <c r="A135" t="str">
        <v/>
      </c>
      <c r="B135" t="str">
        <v/>
      </c>
    </row>
    <row r="136">
      <c r="A136" t="str">
        <v/>
      </c>
      <c r="B136" t="str">
        <v>A rate looks far too big or       Check B5 on Settings. percent and per kg are very</v>
      </c>
    </row>
    <row r="137">
      <c r="A137" t="str">
        <v/>
      </c>
      <c r="B137" t="str">
        <v>far too small                    different answers for the same number.</v>
      </c>
    </row>
    <row r="138">
      <c r="A138" t="str">
        <v/>
      </c>
      <c r="B138" t="str">
        <v/>
      </c>
    </row>
    <row r="139">
      <c r="A139" t="str">
        <v/>
      </c>
      <c r="B139" t="str">
        <v>The tool rejects the upload       It names the sheet and the row. Usually a number</v>
      </c>
    </row>
    <row r="140">
      <c r="A140" t="str">
        <v/>
      </c>
      <c r="B140" t="str">
        <v xml:space="preserve">                                 pasted as text, or a stray character in a cell.</v>
      </c>
    </row>
    <row r="142">
      <c r="A142" t="str">
        <v>RULES THAT MATTER</v>
      </c>
    </row>
    <row r="143">
      <c r="A143" t="str">
        <v>•</v>
      </c>
      <c r="B143" t="str">
        <v>Do not change column A on the Materials, Machines or Labour tabs. Those ids are what</v>
      </c>
    </row>
    <row r="144">
      <c r="A144" t="str">
        <v/>
      </c>
      <c r="B144" t="str">
        <v>the costing formulas ask for. Rename one and every costing using it stops with</v>
      </c>
    </row>
    <row r="145">
      <c r="A145" t="str">
        <v/>
      </c>
      <c r="B145" t="str">
        <v>"not found in rate library".</v>
      </c>
    </row>
    <row r="146">
      <c r="A146" t="str">
        <v>•</v>
      </c>
      <c r="B146" t="str">
        <v>Do not type numbers straight into the Materials, Machines or Labour tabs. They are</v>
      </c>
    </row>
    <row r="147">
      <c r="A147" t="str">
        <v/>
      </c>
      <c r="B147" t="str">
        <v>filled by formula and your typing would be overwritten on the next recalculation.</v>
      </c>
    </row>
    <row r="148">
      <c r="A148" t="str">
        <v/>
      </c>
      <c r="B148" t="str">
        <v>Everything you change goes on the three JLR tabs, Settings, and Mapping.</v>
      </c>
    </row>
    <row r="149">
      <c r="A149" t="str">
        <v>•</v>
      </c>
      <c r="B149" t="str">
        <v>Do not insert or delete columns on the JLR tabs. Rows, as many as you like.</v>
      </c>
    </row>
    <row r="150">
      <c r="A150" t="str">
        <v>•</v>
      </c>
      <c r="B150" t="str">
        <v>Anything you do not map keeps the value the tool ships with. A partial card is fine.</v>
      </c>
    </row>
    <row r="151">
      <c r="A151" t="str">
        <v>•</v>
      </c>
      <c r="B151" t="str">
        <v>CO2 is brought across for reference only. The upload has no carbon field, so the</v>
      </c>
    </row>
    <row r="152">
      <c r="A152" t="str">
        <v/>
      </c>
      <c r="B152" t="str">
        <v>tool will ignore that column.</v>
      </c>
    </row>
    <row r="153">
      <c r="A153" t="str">
        <v>•</v>
      </c>
      <c r="B153" t="str">
        <v>The one row on the Check tab that looks at your pasted data reads down to row 5000.</v>
      </c>
    </row>
    <row r="154">
      <c r="A154" t="str">
        <v/>
      </c>
      <c r="B154" t="str">
        <v>The rates themselves have no limit — only that one check does.</v>
      </c>
    </row>
    <row r="156">
      <c r="A156" t="str">
        <v>WHAT EACH TAB IS FOR</v>
      </c>
    </row>
    <row r="157">
      <c r="A157" t="str">
        <v/>
      </c>
      <c r="B157" t="str">
        <v>Read me         this page</v>
      </c>
    </row>
    <row r="158">
      <c r="A158" t="str">
        <v/>
      </c>
      <c r="B158" t="str">
        <v>Settings        country, period, and what MATERIAL_RECLAIM means</v>
      </c>
    </row>
    <row r="159">
      <c r="A159" t="str">
        <v/>
      </c>
      <c r="B159" t="str">
        <v>JLR Machines    paste your machine rate card here</v>
      </c>
    </row>
    <row r="160">
      <c r="A160" t="str">
        <v/>
      </c>
      <c r="B160" t="str">
        <v>JLR Materials   paste your material rate card here</v>
      </c>
    </row>
    <row r="161">
      <c r="A161" t="str">
        <v/>
      </c>
      <c r="B161" t="str">
        <v>JLR Labour      paste your labour rate card here, or leave empty</v>
      </c>
    </row>
    <row r="162">
      <c r="A162" t="str">
        <v/>
      </c>
      <c r="B162" t="str">
        <v>Mapping         your JLR code against each tool rate — filled in once</v>
      </c>
    </row>
    <row r="163">
      <c r="A163" t="str">
        <v/>
      </c>
      <c r="B163" t="str">
        <v>Builtin         the values the tool ships with. Do not edit.</v>
      </c>
    </row>
    <row r="164">
      <c r="A164" t="str">
        <v/>
      </c>
      <c r="B164" t="str">
        <v>Materials       ┐</v>
      </c>
    </row>
    <row r="165">
      <c r="A165" t="str">
        <v/>
      </c>
      <c r="B165" t="str">
        <v>Machines        │</v>
      </c>
    </row>
    <row r="166">
      <c r="A166" t="str">
        <v/>
      </c>
      <c r="B166" t="str">
        <v>Labour          ├ the tool’s upload format, filled in for you.</v>
      </c>
    </row>
    <row r="167">
      <c r="A167" t="str">
        <v/>
      </c>
      <c r="B167" t="str">
        <v>Energy          │ This is what gets read when you upload the file.</v>
      </c>
    </row>
    <row r="168">
      <c r="A168" t="str">
        <v/>
      </c>
      <c r="B168" t="str">
        <v>FX              │ Do not type into these.</v>
      </c>
    </row>
    <row r="169">
      <c r="A169" t="str">
        <v/>
      </c>
      <c r="B169" t="str">
        <v>Overhead        ┘</v>
      </c>
    </row>
    <row r="170">
      <c r="A170" t="str">
        <v/>
      </c>
      <c r="B170" t="str">
        <v>Check           read this before you upload</v>
      </c>
    </row>
    <row r="172">
      <c r="A172" t="str">
        <v>Built from the tool's library version 2.1.0. Generated 2026-09-15.</v>
      </c>
    </row>
  </sheetData>
  <ignoredErrors>
    <ignoredError numberStoredAsText="1" sqref="A1:B17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cols>
    <col min="1" max="1" width="24.83203125" customWidth="1"/>
    <col min="2" max="2" width="18.83203125" customWidth="1"/>
    <col min="3" max="3" width="84.83203125" customWidth="1"/>
  </cols>
  <sheetData>
    <row r="1">
      <c r="A1" t="str">
        <v>Setting</v>
      </c>
      <c r="B1" t="str">
        <v>Value</v>
      </c>
      <c r="C1" t="str">
        <v>What it does</v>
      </c>
    </row>
    <row r="2">
      <c r="A2" t="str">
        <v>Country</v>
      </c>
      <c r="B2" t="str">
        <v/>
      </c>
      <c r="C2" t="str">
        <v>Must match COUNTRY_NAME / COUNTRY exactly, e.g. United Kingdom. Blank = take any.</v>
      </c>
    </row>
    <row r="3">
      <c r="A3" t="str">
        <v>Machine period</v>
      </c>
      <c r="B3" t="str">
        <v/>
      </c>
      <c r="C3" t="str">
        <v>Must match PERIOD_CODE on the JLR Machines and JLR Labour tabs, e.g. 04042025.</v>
      </c>
    </row>
    <row r="4">
      <c r="A4" t="str">
        <v>Material period</v>
      </c>
      <c r="B4" t="str">
        <v/>
      </c>
      <c r="C4" t="str">
        <v>Must match PERIOD on the JLR Materials tab, e.g. 04-04-2025. The two exports</v>
      </c>
    </row>
    <row r="5">
      <c r="A5" t="str">
        <v>MATERIAL_RECLAIM is</v>
      </c>
      <c r="B5" t="str">
        <v>percent</v>
      </c>
      <c r="C5" t="str">
        <v>Type percent (of the material rate) or per kg. Confirm with your rates team.</v>
      </c>
    </row>
    <row r="7">
      <c r="A7" t="str">
        <v>The two period cells are deliberate: the machine card stamps the quarter as</v>
      </c>
    </row>
    <row r="8">
      <c r="A8" t="str">
        <v>04042025 and the material card stamps the same quarter as 04-04-2025. Copy each</v>
      </c>
    </row>
    <row r="9">
      <c r="A9" t="str">
        <v>one exactly as it appears in its own file.</v>
      </c>
    </row>
    <row r="11">
      <c r="A11" t="str">
        <v>Leave a cell blank only if you have already filtered that export down to one</v>
      </c>
    </row>
    <row r="12">
      <c r="A12" t="str">
        <v>country and one period before pasting it.</v>
      </c>
    </row>
  </sheetData>
  <ignoredErrors>
    <ignoredError numberStoredAsText="1" sqref="A1:C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cols>
    <col min="1" max="1" width="14.83203125" customWidth="1"/>
    <col min="2" max="2" width="56.83203125" customWidth="1"/>
    <col min="3" max="3" width="16.83203125" customWidth="1"/>
    <col min="4" max="4" width="14.83203125" customWidth="1"/>
    <col min="5" max="5" width="16.83203125" customWidth="1"/>
    <col min="6" max="6" width="18.83203125" customWidth="1"/>
    <col min="7" max="7" width="14.83203125" customWidth="1"/>
    <col min="8" max="8" width="12.83203125" customWidth="1"/>
    <col min="9" max="9" width="10.83203125" customWidth="1"/>
    <col min="10" max="10" width="11.83203125" customWidth="1"/>
    <col min="11" max="11" width="10.83203125" customWidth="1"/>
    <col min="12" max="12" width="11.83203125" customWidth="1"/>
    <col min="13" max="13" width="13.83203125" customWidth="1"/>
    <col min="14" max="14" width="20.83203125" customWidth="1"/>
  </cols>
  <sheetData>
    <row r="1">
      <c r="A1" t="str">
        <v>MACHINE_CODE</v>
      </c>
      <c r="B1" t="str">
        <v>MACHINE_NAME</v>
      </c>
      <c r="C1" t="str">
        <v>COUNTRY_NAME</v>
      </c>
      <c r="D1" t="str">
        <v>PERIOD_CODE</v>
      </c>
      <c r="E1" t="str">
        <v>LABOUR_CATEGORY</v>
      </c>
      <c r="F1" t="str">
        <v>TOTAL_LABOUR_RATE</v>
      </c>
      <c r="G1" t="str">
        <v>DEPRECIATION</v>
      </c>
      <c r="H1" t="str">
        <v>FLOORSPACE</v>
      </c>
      <c r="I1" t="str">
        <v>MRO</v>
      </c>
      <c r="J1" t="str">
        <v>INSURANCE</v>
      </c>
      <c r="K1" t="str">
        <v>INTEREST</v>
      </c>
      <c r="L1" t="str">
        <v>UTILITIES</v>
      </c>
      <c r="M1" t="str">
        <v>CONSUMABLES</v>
      </c>
      <c r="N1" t="str">
        <v>TOTAL_MACHINE_RATE</v>
      </c>
    </row>
    <row r="2">
      <c r="A2">
        <v>712008</v>
      </c>
      <c r="B2" t="str">
        <v>100t Hydraulic Injection Moulding MC + EuroMap290 Inj Unit — EXAMPLE ROW, DELETE IT</v>
      </c>
      <c r="C2" t="str">
        <v>United Kingdom</v>
      </c>
      <c r="D2" t="str">
        <v>04042025</v>
      </c>
      <c r="E2" t="str">
        <v>CB</v>
      </c>
      <c r="F2">
        <v>40.97</v>
      </c>
      <c r="G2">
        <v>1.75</v>
      </c>
      <c r="H2">
        <v>1.06</v>
      </c>
      <c r="I2">
        <v>1.97</v>
      </c>
      <c r="J2">
        <v>0.18</v>
      </c>
      <c r="K2">
        <v>0.64</v>
      </c>
      <c r="L2">
        <v>4.45</v>
      </c>
      <c r="M2">
        <v>0</v>
      </c>
      <c r="N2">
        <v>10.06</v>
      </c>
    </row>
  </sheetData>
  <ignoredErrors>
    <ignoredError numberStoredAsText="1" sqref="A1:N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6.83203125" customWidth="1"/>
    <col min="2" max="2" width="56.83203125" customWidth="1"/>
    <col min="3" max="3" width="16.83203125" customWidth="1"/>
    <col min="4" max="4" width="14.83203125" customWidth="1"/>
    <col min="5" max="5" width="14.83203125" customWidth="1"/>
    <col min="6" max="6" width="18.83203125" customWidth="1"/>
    <col min="7" max="7" width="10.83203125" customWidth="1"/>
  </cols>
  <sheetData>
    <row r="1">
      <c r="A1" t="str">
        <v>CODE</v>
      </c>
      <c r="B1" t="str">
        <v>MATERIAL</v>
      </c>
      <c r="C1" t="str">
        <v>COUNTRY</v>
      </c>
      <c r="D1" t="str">
        <v>PERIOD</v>
      </c>
      <c r="E1" t="str">
        <v>MATERIAL_RATE</v>
      </c>
      <c r="F1" t="str">
        <v>MATERIAL_RECLAIM</v>
      </c>
      <c r="G1" t="str">
        <v>CO2</v>
      </c>
    </row>
    <row r="2">
      <c r="A2">
        <v>10080020309</v>
      </c>
      <c r="B2" t="str">
        <v>HSLA360 Steel Coil: &lt;1mm Thickness — EXAMPLE ROW, DELETE IT</v>
      </c>
      <c r="C2" t="str">
        <v>United Kingdom</v>
      </c>
      <c r="D2" t="str">
        <v>04-04-2025</v>
      </c>
      <c r="E2">
        <v>0.72</v>
      </c>
      <c r="F2">
        <v>40.48</v>
      </c>
      <c r="G2">
        <v>2.19</v>
      </c>
    </row>
  </sheetData>
  <ignoredErrors>
    <ignoredError numberStoredAsText="1" sqref="A1:G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cols>
    <col min="1" max="1" width="18.83203125" customWidth="1"/>
    <col min="2" max="2" width="72.83203125" customWidth="1"/>
    <col min="3" max="3" width="16.83203125" customWidth="1"/>
    <col min="4" max="4" width="14.83203125" customWidth="1"/>
    <col min="5" max="5" width="18.83203125" customWidth="1"/>
  </cols>
  <sheetData>
    <row r="1">
      <c r="A1" t="str">
        <v>LABOUR_CATEGORY</v>
      </c>
      <c r="B1" t="str">
        <v>DESCRIPTION</v>
      </c>
      <c r="C1" t="str">
        <v>COUNTRY_NAME</v>
      </c>
      <c r="D1" t="str">
        <v>PERIOD_CODE</v>
      </c>
      <c r="E1" t="str">
        <v>TOTAL_LABOUR_RATE</v>
      </c>
    </row>
    <row r="2">
      <c r="A2" t="str">
        <v>CB</v>
      </c>
      <c r="B2" t="str">
        <v>EXAMPLE ROW, DELETE IT — or leave this whole tab empty and the sheet will</v>
      </c>
      <c r="C2" t="str">
        <v>United Kingdom</v>
      </c>
      <c r="D2" t="str">
        <v>04042025</v>
      </c>
      <c r="E2">
        <v>40.97</v>
      </c>
    </row>
    <row r="3">
      <c r="A3" t="str">
        <v/>
      </c>
      <c r="B3" t="str">
        <v>read TOTAL_LABOUR_RATE out of the JLR Machines tab by LABOUR_CATEGORY instead.</v>
      </c>
    </row>
  </sheetData>
  <ignoredErrors>
    <ignoredError numberStoredAsText="1" sqref="A1:E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592"/>
  <sheetViews>
    <sheetView workbookViewId="0"/>
  </sheetViews>
  <cols>
    <col min="1" max="1" width="24.83203125" customWidth="1"/>
    <col min="2" max="2" width="46.83203125" customWidth="1"/>
    <col min="3" max="3" width="14.83203125" customWidth="1"/>
    <col min="4" max="4" width="50.83203125" customWidth="1"/>
    <col min="5" max="5" width="12.83203125" customWidth="1"/>
  </cols>
  <sheetData>
    <row r="1">
      <c r="A1" t="str">
        <v>tool id</v>
      </c>
      <c r="B1" t="str">
        <v>what it is (do not edit)</v>
      </c>
      <c r="C1" t="str">
        <v>JLR code</v>
      </c>
      <c r="D1" t="str">
        <v>JLR name for that code</v>
      </c>
      <c r="E1" t="str">
        <v>category</v>
      </c>
    </row>
    <row r="2">
      <c r="A2" t="str">
        <v>mat-al6061</v>
      </c>
      <c r="B2" t="str">
        <v>6061-T6 — Aluminium</v>
      </c>
      <c r="C2" t="str">
        <v/>
      </c>
      <c r="D2" t="str">
        <f>IF($C2="","",IFERROR(IF($E2="machine",INDEX('JLR Machines'!$B:$B,MATCH($C2,'JLR Machines'!$A:$A,0)),IF($E2="material",INDEX('JLR Materials'!$B:$B,MATCH($C2,'JLR Materials'!$A:$A,0)),IF($E2="labour",IFERROR(INDEX('JLR Labour'!$B:$B,MATCH($C2,'JLR Labour'!$A:$A,0)),"labour category "&amp;$C2&amp;" — from the machine tab"),""))),"NOT FOUND — check the code"))</f>
        <v/>
      </c>
      <c r="E2" t="str">
        <v>material</v>
      </c>
    </row>
    <row r="3">
      <c r="A3" t="str">
        <v>mat-steel1045</v>
      </c>
      <c r="B3" t="str">
        <v>1045 / C45 / 080M46 (Medium-Carbon Steel) — Carbon Steel</v>
      </c>
      <c r="C3" t="str">
        <v/>
      </c>
      <c r="D3" t="str">
        <f>IF($C3="","",IFERROR(IF($E3="machine",INDEX('JLR Machines'!$B:$B,MATCH($C3,'JLR Machines'!$A:$A,0)),IF($E3="material",INDEX('JLR Materials'!$B:$B,MATCH($C3,'JLR Materials'!$A:$A,0)),IF($E3="labour",IFERROR(INDEX('JLR Labour'!$B:$B,MATCH($C3,'JLR Labour'!$A:$A,0)),"labour category "&amp;$C3&amp;" — from the machine tab"),""))),"NOT FOUND — check the code"))</f>
        <v/>
      </c>
      <c r="E3" t="str">
        <v>material</v>
      </c>
    </row>
    <row r="4">
      <c r="A4" t="str">
        <v>mat-ss316l</v>
      </c>
      <c r="B4" t="str">
        <v>316L — Stainless Steel</v>
      </c>
      <c r="C4" t="str">
        <v/>
      </c>
      <c r="D4" t="str">
        <f>IF($C4="","",IFERROR(IF($E4="machine",INDEX('JLR Machines'!$B:$B,MATCH($C4,'JLR Machines'!$A:$A,0)),IF($E4="material",INDEX('JLR Materials'!$B:$B,MATCH($C4,'JLR Materials'!$A:$A,0)),IF($E4="labour",IFERROR(INDEX('JLR Labour'!$B:$B,MATCH($C4,'JLR Labour'!$A:$A,0)),"labour category "&amp;$C4&amp;" — from the machine tab"),""))),"NOT FOUND — check the code"))</f>
        <v/>
      </c>
      <c r="E4" t="str">
        <v>material</v>
      </c>
    </row>
    <row r="5">
      <c r="A5" t="str">
        <v>mat-steel4140</v>
      </c>
      <c r="B5" t="str">
        <v>4140 / 42CrMo4 / EN19 (Chromoly Alloy Steel) — Alloy Steel</v>
      </c>
      <c r="C5" t="str">
        <v/>
      </c>
      <c r="D5" t="str">
        <f>IF($C5="","",IFERROR(IF($E5="machine",INDEX('JLR Machines'!$B:$B,MATCH($C5,'JLR Machines'!$A:$A,0)),IF($E5="material",INDEX('JLR Materials'!$B:$B,MATCH($C5,'JLR Materials'!$A:$A,0)),IF($E5="labour",IFERROR(INDEX('JLR Labour'!$B:$B,MATCH($C5,'JLR Labour'!$A:$A,0)),"labour category "&amp;$C5&amp;" — from the machine tab"),""))),"NOT FOUND — check the code"))</f>
        <v/>
      </c>
      <c r="E5" t="str">
        <v>material</v>
      </c>
    </row>
    <row r="6">
      <c r="A6" t="str">
        <v>mat-ti6al4v</v>
      </c>
      <c r="B6" t="str">
        <v>Ti-6Al-4V — Titanium</v>
      </c>
      <c r="C6" t="str">
        <v/>
      </c>
      <c r="D6" t="str">
        <f>IF($C6="","",IFERROR(IF($E6="machine",INDEX('JLR Machines'!$B:$B,MATCH($C6,'JLR Machines'!$A:$A,0)),IF($E6="material",INDEX('JLR Materials'!$B:$B,MATCH($C6,'JLR Materials'!$A:$A,0)),IF($E6="labour",IFERROR(INDEX('JLR Labour'!$B:$B,MATCH($C6,'JLR Labour'!$A:$A,0)),"labour category "&amp;$C6&amp;" — from the machine tab"),""))),"NOT FOUND — check the code"))</f>
        <v/>
      </c>
      <c r="E6" t="str">
        <v>material</v>
      </c>
    </row>
    <row r="7">
      <c r="A7" t="str">
        <v>mat-virtual</v>
      </c>
      <c r="B7" t="str">
        <v>Virtual / Pass-through — Virtual</v>
      </c>
      <c r="C7" t="str">
        <v/>
      </c>
      <c r="D7" t="str">
        <f>IF($C7="","",IFERROR(IF($E7="machine",INDEX('JLR Machines'!$B:$B,MATCH($C7,'JLR Machines'!$A:$A,0)),IF($E7="material",INDEX('JLR Materials'!$B:$B,MATCH($C7,'JLR Materials'!$A:$A,0)),IF($E7="labour",IFERROR(INDEX('JLR Labour'!$B:$B,MATCH($C7,'JLR Labour'!$A:$A,0)),"labour category "&amp;$C7&amp;" — from the machine tab"),""))),"NOT FOUND — check the code"))</f>
        <v/>
      </c>
      <c r="E7" t="str">
        <v>material</v>
      </c>
    </row>
    <row r="8">
      <c r="A8" t="str">
        <v>mat-en8</v>
      </c>
      <c r="B8" t="str">
        <v>EN8 / 080M40 (Medium Carbon) — Carbon Steel</v>
      </c>
      <c r="C8" t="str">
        <v/>
      </c>
      <c r="D8" t="str">
        <f>IF($C8="","",IFERROR(IF($E8="machine",INDEX('JLR Machines'!$B:$B,MATCH($C8,'JLR Machines'!$A:$A,0)),IF($E8="material",INDEX('JLR Materials'!$B:$B,MATCH($C8,'JLR Materials'!$A:$A,0)),IF($E8="labour",IFERROR(INDEX('JLR Labour'!$B:$B,MATCH($C8,'JLR Labour'!$A:$A,0)),"labour category "&amp;$C8&amp;" — from the machine tab"),""))),"NOT FOUND — check the code"))</f>
        <v/>
      </c>
      <c r="E8" t="str">
        <v>material</v>
      </c>
    </row>
    <row r="9">
      <c r="A9" t="str">
        <v>mat-ss304-bar</v>
      </c>
      <c r="B9" t="str">
        <v>304 Stainless Bar — Stainless Steel</v>
      </c>
      <c r="C9" t="str">
        <v/>
      </c>
      <c r="D9" t="str">
        <f>IF($C9="","",IFERROR(IF($E9="machine",INDEX('JLR Machines'!$B:$B,MATCH($C9,'JLR Machines'!$A:$A,0)),IF($E9="material",INDEX('JLR Materials'!$B:$B,MATCH($C9,'JLR Materials'!$A:$A,0)),IF($E9="labour",IFERROR(INDEX('JLR Labour'!$B:$B,MATCH($C9,'JLR Labour'!$A:$A,0)),"labour category "&amp;$C9&amp;" — from the machine tab"),""))),"NOT FOUND — check the code"))</f>
        <v/>
      </c>
      <c r="E9" t="str">
        <v>material</v>
      </c>
    </row>
    <row r="10">
      <c r="A10" t="str">
        <v>mat-ss303</v>
      </c>
      <c r="B10" t="str">
        <v>303 Free-Machining Stainless Bar — Stainless Steel</v>
      </c>
      <c r="C10" t="str">
        <v/>
      </c>
      <c r="D10" t="str">
        <f>IF($C10="","",IFERROR(IF($E10="machine",INDEX('JLR Machines'!$B:$B,MATCH($C10,'JLR Machines'!$A:$A,0)),IF($E10="material",INDEX('JLR Materials'!$B:$B,MATCH($C10,'JLR Materials'!$A:$A,0)),IF($E10="labour",IFERROR(INDEX('JLR Labour'!$B:$B,MATCH($C10,'JLR Labour'!$A:$A,0)),"labour category "&amp;$C10&amp;" — from the machine tab"),""))),"NOT FOUND — check the code"))</f>
        <v/>
      </c>
      <c r="E10" t="str">
        <v>material</v>
      </c>
    </row>
    <row r="11">
      <c r="A11" t="str">
        <v>mat-al6082-bar</v>
      </c>
      <c r="B11" t="str">
        <v>6082-T6 Aluminium Bar — Aluminium</v>
      </c>
      <c r="C11" t="str">
        <v/>
      </c>
      <c r="D11" t="str">
        <f>IF($C11="","",IFERROR(IF($E11="machine",INDEX('JLR Machines'!$B:$B,MATCH($C11,'JLR Machines'!$A:$A,0)),IF($E11="material",INDEX('JLR Materials'!$B:$B,MATCH($C11,'JLR Materials'!$A:$A,0)),IF($E11="labour",IFERROR(INDEX('JLR Labour'!$B:$B,MATCH($C11,'JLR Labour'!$A:$A,0)),"labour category "&amp;$C11&amp;" — from the machine tab"),""))),"NOT FOUND — check the code"))</f>
        <v/>
      </c>
      <c r="E11" t="str">
        <v>material</v>
      </c>
    </row>
    <row r="12">
      <c r="A12" t="str">
        <v>mat-al2011</v>
      </c>
      <c r="B12" t="str">
        <v>2011-T3 Free-Machining Al Bar — Aluminium</v>
      </c>
      <c r="C12" t="str">
        <v/>
      </c>
      <c r="D12" t="str">
        <f>IF($C12="","",IFERROR(IF($E12="machine",INDEX('JLR Machines'!$B:$B,MATCH($C12,'JLR Machines'!$A:$A,0)),IF($E12="material",INDEX('JLR Materials'!$B:$B,MATCH($C12,'JLR Materials'!$A:$A,0)),IF($E12="labour",IFERROR(INDEX('JLR Labour'!$B:$B,MATCH($C12,'JLR Labour'!$A:$A,0)),"labour category "&amp;$C12&amp;" — from the machine tab"),""))),"NOT FOUND — check the code"))</f>
        <v/>
      </c>
      <c r="E12" t="str">
        <v>material</v>
      </c>
    </row>
    <row r="13">
      <c r="A13" t="str">
        <v>mat-brass-cz121</v>
      </c>
      <c r="B13" t="str">
        <v>CZ121 / CW614N Free-Machining Brass — Copper Alloy</v>
      </c>
      <c r="C13" t="str">
        <v/>
      </c>
      <c r="D13" t="str">
        <f>IF($C13="","",IFERROR(IF($E13="machine",INDEX('JLR Machines'!$B:$B,MATCH($C13,'JLR Machines'!$A:$A,0)),IF($E13="material",INDEX('JLR Materials'!$B:$B,MATCH($C13,'JLR Materials'!$A:$A,0)),IF($E13="labour",IFERROR(INDEX('JLR Labour'!$B:$B,MATCH($C13,'JLR Labour'!$A:$A,0)),"labour category "&amp;$C13&amp;" — from the machine tab"),""))),"NOT FOUND — check the code"))</f>
        <v/>
      </c>
      <c r="E13" t="str">
        <v>material</v>
      </c>
    </row>
    <row r="14">
      <c r="A14" t="str">
        <v>mat-bronze-pb1</v>
      </c>
      <c r="B14" t="str">
        <v>PB1 Phosphor Bronze Bar — Copper Alloy</v>
      </c>
      <c r="C14" t="str">
        <v/>
      </c>
      <c r="D14" t="str">
        <f>IF($C14="","",IFERROR(IF($E14="machine",INDEX('JLR Machines'!$B:$B,MATCH($C14,'JLR Machines'!$A:$A,0)),IF($E14="material",INDEX('JLR Materials'!$B:$B,MATCH($C14,'JLR Materials'!$A:$A,0)),IF($E14="labour",IFERROR(INDEX('JLR Labour'!$B:$B,MATCH($C14,'JLR Labour'!$A:$A,0)),"labour category "&amp;$C14&amp;" — from the machine tab"),""))),"NOT FOUND — check the code"))</f>
        <v/>
      </c>
      <c r="E14" t="str">
        <v>material</v>
      </c>
    </row>
    <row r="15">
      <c r="A15" t="str">
        <v>mat-pom-c</v>
      </c>
      <c r="B15" t="str">
        <v>POM-C (Acetal / Delrin Stock) — Engineering Plastic (Stock)</v>
      </c>
      <c r="C15" t="str">
        <v/>
      </c>
      <c r="D15" t="str">
        <f>IF($C15="","",IFERROR(IF($E15="machine",INDEX('JLR Machines'!$B:$B,MATCH($C15,'JLR Machines'!$A:$A,0)),IF($E15="material",INDEX('JLR Materials'!$B:$B,MATCH($C15,'JLR Materials'!$A:$A,0)),IF($E15="labour",IFERROR(INDEX('JLR Labour'!$B:$B,MATCH($C15,'JLR Labour'!$A:$A,0)),"labour category "&amp;$C15&amp;" — from the machine tab"),""))),"NOT FOUND — check the code"))</f>
        <v/>
      </c>
      <c r="E15" t="str">
        <v>material</v>
      </c>
    </row>
    <row r="16">
      <c r="A16" t="str">
        <v>mat-pa6-cast</v>
      </c>
      <c r="B16" t="str">
        <v>Nylon 6 (Cast PA6 Stock) — Engineering Plastic (Stock)</v>
      </c>
      <c r="C16" t="str">
        <v/>
      </c>
      <c r="D16" t="str">
        <f>IF($C16="","",IFERROR(IF($E16="machine",INDEX('JLR Machines'!$B:$B,MATCH($C16,'JLR Machines'!$A:$A,0)),IF($E16="material",INDEX('JLR Materials'!$B:$B,MATCH($C16,'JLR Materials'!$A:$A,0)),IF($E16="labour",IFERROR(INDEX('JLR Labour'!$B:$B,MATCH($C16,'JLR Labour'!$A:$A,0)),"labour category "&amp;$C16&amp;" — from the machine tab"),""))),"NOT FOUND — check the code"))</f>
        <v/>
      </c>
      <c r="E16" t="str">
        <v>material</v>
      </c>
    </row>
    <row r="17">
      <c r="A17" t="str">
        <v>mat-ptfe</v>
      </c>
      <c r="B17" t="str">
        <v>PTFE (Virgin Stock) — Engineering Plastic (Stock)</v>
      </c>
      <c r="C17" t="str">
        <v/>
      </c>
      <c r="D17" t="str">
        <f>IF($C17="","",IFERROR(IF($E17="machine",INDEX('JLR Machines'!$B:$B,MATCH($C17,'JLR Machines'!$A:$A,0)),IF($E17="material",INDEX('JLR Materials'!$B:$B,MATCH($C17,'JLR Materials'!$A:$A,0)),IF($E17="labour",IFERROR(INDEX('JLR Labour'!$B:$B,MATCH($C17,'JLR Labour'!$A:$A,0)),"labour category "&amp;$C17&amp;" — from the machine tab"),""))),"NOT FOUND — check the code"))</f>
        <v/>
      </c>
      <c r="E17" t="str">
        <v>material</v>
      </c>
    </row>
    <row r="18">
      <c r="A18" t="str">
        <v>mat-peek-stock</v>
      </c>
      <c r="B18" t="str">
        <v>PEEK (Unfilled Stock) — Engineering Plastic (Stock)</v>
      </c>
      <c r="C18" t="str">
        <v/>
      </c>
      <c r="D18" t="str">
        <f>IF($C18="","",IFERROR(IF($E18="machine",INDEX('JLR Machines'!$B:$B,MATCH($C18,'JLR Machines'!$A:$A,0)),IF($E18="material",INDEX('JLR Materials'!$B:$B,MATCH($C18,'JLR Materials'!$A:$A,0)),IF($E18="labour",IFERROR(INDEX('JLR Labour'!$B:$B,MATCH($C18,'JLR Labour'!$A:$A,0)),"labour category "&amp;$C18&amp;" — from the machine tab"),""))),"NOT FOUND — check the code"))</f>
        <v/>
      </c>
      <c r="E18" t="str">
        <v>material</v>
      </c>
    </row>
    <row r="19">
      <c r="A19" t="str">
        <v>mat-acrylic-cast</v>
      </c>
      <c r="B19" t="str">
        <v>Cast Acrylic (PMMA Stock) — Engineering Plastic (Stock)</v>
      </c>
      <c r="C19" t="str">
        <v/>
      </c>
      <c r="D19" t="str">
        <f>IF($C19="","",IFERROR(IF($E19="machine",INDEX('JLR Machines'!$B:$B,MATCH($C19,'JLR Machines'!$A:$A,0)),IF($E19="material",INDEX('JLR Materials'!$B:$B,MATCH($C19,'JLR Materials'!$A:$A,0)),IF($E19="labour",IFERROR(INDEX('JLR Labour'!$B:$B,MATCH($C19,'JLR Labour'!$A:$A,0)),"labour category "&amp;$C19&amp;" — from the machine tab"),""))),"NOT FOUND — check the code"))</f>
        <v/>
      </c>
      <c r="E19" t="str">
        <v>material</v>
      </c>
    </row>
    <row r="20">
      <c r="A20" t="str">
        <v>mat-uhmwpe</v>
      </c>
      <c r="B20" t="str">
        <v>UHMW-PE (Stock) — Engineering Plastic (Stock)</v>
      </c>
      <c r="C20" t="str">
        <v/>
      </c>
      <c r="D20" t="str">
        <f>IF($C20="","",IFERROR(IF($E20="machine",INDEX('JLR Machines'!$B:$B,MATCH($C20,'JLR Machines'!$A:$A,0)),IF($E20="material",INDEX('JLR Materials'!$B:$B,MATCH($C20,'JLR Materials'!$A:$A,0)),IF($E20="labour",IFERROR(INDEX('JLR Labour'!$B:$B,MATCH($C20,'JLR Labour'!$A:$A,0)),"labour category "&amp;$C20&amp;" — from the machine tab"),""))),"NOT FOUND — check the code"))</f>
        <v/>
      </c>
      <c r="E20" t="str">
        <v>material</v>
      </c>
    </row>
    <row r="21">
      <c r="A21" t="str">
        <v>mat-dc01</v>
      </c>
      <c r="B21" t="str">
        <v>DC01 — Mild Steel Sheet</v>
      </c>
      <c r="C21" t="str">
        <v/>
      </c>
      <c r="D21" t="str">
        <f>IF($C21="","",IFERROR(IF($E21="machine",INDEX('JLR Machines'!$B:$B,MATCH($C21,'JLR Machines'!$A:$A,0)),IF($E21="material",INDEX('JLR Materials'!$B:$B,MATCH($C21,'JLR Materials'!$A:$A,0)),IF($E21="labour",IFERROR(INDEX('JLR Labour'!$B:$B,MATCH($C21,'JLR Labour'!$A:$A,0)),"labour category "&amp;$C21&amp;" — from the machine tab"),""))),"NOT FOUND — check the code"))</f>
        <v/>
      </c>
      <c r="E21" t="str">
        <v>material</v>
      </c>
    </row>
    <row r="22">
      <c r="A22" t="str">
        <v>mat-dc01-gi</v>
      </c>
      <c r="B22" t="str">
        <v>DC01 GI (Hot-dip Galvanised) — Galvanised Steel Sheet</v>
      </c>
      <c r="C22" t="str">
        <v/>
      </c>
      <c r="D22" t="str">
        <f>IF($C22="","",IFERROR(IF($E22="machine",INDEX('JLR Machines'!$B:$B,MATCH($C22,'JLR Machines'!$A:$A,0)),IF($E22="material",INDEX('JLR Materials'!$B:$B,MATCH($C22,'JLR Materials'!$A:$A,0)),IF($E22="labour",IFERROR(INDEX('JLR Labour'!$B:$B,MATCH($C22,'JLR Labour'!$A:$A,0)),"labour category "&amp;$C22&amp;" — from the machine tab"),""))),"NOT FOUND — check the code"))</f>
        <v/>
      </c>
      <c r="E22" t="str">
        <v>material</v>
      </c>
    </row>
    <row r="23">
      <c r="A23" t="str">
        <v>mat-dc03-ga</v>
      </c>
      <c r="B23" t="str">
        <v>DC03 GA (Galvannealed) — Galvanised Steel Sheet</v>
      </c>
      <c r="C23" t="str">
        <v/>
      </c>
      <c r="D23" t="str">
        <f>IF($C23="","",IFERROR(IF($E23="machine",INDEX('JLR Machines'!$B:$B,MATCH($C23,'JLR Machines'!$A:$A,0)),IF($E23="material",INDEX('JLR Materials'!$B:$B,MATCH($C23,'JLR Materials'!$A:$A,0)),IF($E23="labour",IFERROR(INDEX('JLR Labour'!$B:$B,MATCH($C23,'JLR Labour'!$A:$A,0)),"labour category "&amp;$C23&amp;" — from the machine tab"),""))),"NOT FOUND — check the code"))</f>
        <v/>
      </c>
      <c r="E23" t="str">
        <v>material</v>
      </c>
    </row>
    <row r="24">
      <c r="A24" t="str">
        <v>mat-dp600</v>
      </c>
      <c r="B24" t="str">
        <v>DP600 — AHSS Sheet</v>
      </c>
      <c r="C24" t="str">
        <v/>
      </c>
      <c r="D24" t="str">
        <f>IF($C24="","",IFERROR(IF($E24="machine",INDEX('JLR Machines'!$B:$B,MATCH($C24,'JLR Machines'!$A:$A,0)),IF($E24="material",INDEX('JLR Materials'!$B:$B,MATCH($C24,'JLR Materials'!$A:$A,0)),IF($E24="labour",IFERROR(INDEX('JLR Labour'!$B:$B,MATCH($C24,'JLR Labour'!$A:$A,0)),"labour category "&amp;$C24&amp;" — from the machine tab"),""))),"NOT FOUND — check the code"))</f>
        <v/>
      </c>
      <c r="E24" t="str">
        <v>material</v>
      </c>
    </row>
    <row r="25">
      <c r="A25" t="str">
        <v>mat-hsla340</v>
      </c>
      <c r="B25" t="str">
        <v>HSLA 340 — High Strength Steel Sheet</v>
      </c>
      <c r="C25" t="str">
        <v/>
      </c>
      <c r="D25" t="str">
        <f>IF($C25="","",IFERROR(IF($E25="machine",INDEX('JLR Machines'!$B:$B,MATCH($C25,'JLR Machines'!$A:$A,0)),IF($E25="material",INDEX('JLR Materials'!$B:$B,MATCH($C25,'JLR Materials'!$A:$A,0)),IF($E25="labour",IFERROR(INDEX('JLR Labour'!$B:$B,MATCH($C25,'JLR Labour'!$A:$A,0)),"labour category "&amp;$C25&amp;" — from the machine tab"),""))),"NOT FOUND — check the code"))</f>
        <v/>
      </c>
      <c r="E25" t="str">
        <v>material</v>
      </c>
    </row>
    <row r="26">
      <c r="A26" t="str">
        <v>mat-22mnb5</v>
      </c>
      <c r="B26" t="str">
        <v>22MnB5 (Hot Press Forming / Boron Steel) — Ultra-High Strength Steel</v>
      </c>
      <c r="C26" t="str">
        <v/>
      </c>
      <c r="D26" t="str">
        <f>IF($C26="","",IFERROR(IF($E26="machine",INDEX('JLR Machines'!$B:$B,MATCH($C26,'JLR Machines'!$A:$A,0)),IF($E26="material",INDEX('JLR Materials'!$B:$B,MATCH($C26,'JLR Materials'!$A:$A,0)),IF($E26="labour",IFERROR(INDEX('JLR Labour'!$B:$B,MATCH($C26,'JLR Labour'!$A:$A,0)),"labour category "&amp;$C26&amp;" — from the machine tab"),""))),"NOT FOUND — check the code"))</f>
        <v/>
      </c>
      <c r="E26" t="str">
        <v>material</v>
      </c>
    </row>
    <row r="27">
      <c r="A27" t="str">
        <v>mat-aa5182</v>
      </c>
      <c r="B27" t="str">
        <v>AA5182 — Aluminium Sheet</v>
      </c>
      <c r="C27" t="str">
        <v/>
      </c>
      <c r="D27" t="str">
        <f>IF($C27="","",IFERROR(IF($E27="machine",INDEX('JLR Machines'!$B:$B,MATCH($C27,'JLR Machines'!$A:$A,0)),IF($E27="material",INDEX('JLR Materials'!$B:$B,MATCH($C27,'JLR Materials'!$A:$A,0)),IF($E27="labour",IFERROR(INDEX('JLR Labour'!$B:$B,MATCH($C27,'JLR Labour'!$A:$A,0)),"labour category "&amp;$C27&amp;" — from the machine tab"),""))),"NOT FOUND — check the code"))</f>
        <v/>
      </c>
      <c r="E27" t="str">
        <v>material</v>
      </c>
    </row>
    <row r="28">
      <c r="A28" t="str">
        <v>mat-ss304-sheet</v>
      </c>
      <c r="B28" t="str">
        <v>304L Stainless Sheet — Stainless Steel Sheet</v>
      </c>
      <c r="C28" t="str">
        <v/>
      </c>
      <c r="D28" t="str">
        <f>IF($C28="","",IFERROR(IF($E28="machine",INDEX('JLR Machines'!$B:$B,MATCH($C28,'JLR Machines'!$A:$A,0)),IF($E28="material",INDEX('JLR Materials'!$B:$B,MATCH($C28,'JLR Materials'!$A:$A,0)),IF($E28="labour",IFERROR(INDEX('JLR Labour'!$B:$B,MATCH($C28,'JLR Labour'!$A:$A,0)),"labour category "&amp;$C28&amp;" — from the machine tab"),""))),"NOT FOUND — check the code"))</f>
        <v/>
      </c>
      <c r="E28" t="str">
        <v>material</v>
      </c>
    </row>
    <row r="29">
      <c r="A29" t="str">
        <v>mat-aa5052</v>
      </c>
      <c r="B29" t="str">
        <v>AA5052-H32 Sheet — Aluminium Sheet</v>
      </c>
      <c r="C29" t="str">
        <v/>
      </c>
      <c r="D29" t="str">
        <f>IF($C29="","",IFERROR(IF($E29="machine",INDEX('JLR Machines'!$B:$B,MATCH($C29,'JLR Machines'!$A:$A,0)),IF($E29="material",INDEX('JLR Materials'!$B:$B,MATCH($C29,'JLR Materials'!$A:$A,0)),IF($E29="labour",IFERROR(INDEX('JLR Labour'!$B:$B,MATCH($C29,'JLR Labour'!$A:$A,0)),"labour category "&amp;$C29&amp;" — from the machine tab"),""))),"NOT FOUND — check the code"))</f>
        <v/>
      </c>
      <c r="E29" t="str">
        <v>material</v>
      </c>
    </row>
    <row r="30">
      <c r="A30" t="str">
        <v>mat-aa5083</v>
      </c>
      <c r="B30" t="str">
        <v>AA5083-H111 Sheet — Aluminium Sheet</v>
      </c>
      <c r="C30" t="str">
        <v/>
      </c>
      <c r="D30" t="str">
        <f>IF($C30="","",IFERROR(IF($E30="machine",INDEX('JLR Machines'!$B:$B,MATCH($C30,'JLR Machines'!$A:$A,0)),IF($E30="material",INDEX('JLR Materials'!$B:$B,MATCH($C30,'JLR Materials'!$A:$A,0)),IF($E30="labour",IFERROR(INDEX('JLR Labour'!$B:$B,MATCH($C30,'JLR Labour'!$A:$A,0)),"labour category "&amp;$C30&amp;" — from the machine tab"),""))),"NOT FOUND — check the code"))</f>
        <v/>
      </c>
      <c r="E30" t="str">
        <v>material</v>
      </c>
    </row>
    <row r="31">
      <c r="A31" t="str">
        <v>mat-aa6082-sheet</v>
      </c>
      <c r="B31" t="str">
        <v>AA6082-T6 Sheet — Aluminium Sheet</v>
      </c>
      <c r="C31" t="str">
        <v/>
      </c>
      <c r="D31" t="str">
        <f>IF($C31="","",IFERROR(IF($E31="machine",INDEX('JLR Machines'!$B:$B,MATCH($C31,'JLR Machines'!$A:$A,0)),IF($E31="material",INDEX('JLR Materials'!$B:$B,MATCH($C31,'JLR Materials'!$A:$A,0)),IF($E31="labour",IFERROR(INDEX('JLR Labour'!$B:$B,MATCH($C31,'JLR Labour'!$A:$A,0)),"labour category "&amp;$C31&amp;" — from the machine tab"),""))),"NOT FOUND — check the code"))</f>
        <v/>
      </c>
      <c r="E31" t="str">
        <v>material</v>
      </c>
    </row>
    <row r="32">
      <c r="A32" t="str">
        <v>mat-aisi430</v>
      </c>
      <c r="B32" t="str">
        <v>AISI 430 Ferritic SS Sheet — Stainless Steel Sheet</v>
      </c>
      <c r="C32" t="str">
        <v/>
      </c>
      <c r="D32" t="str">
        <f>IF($C32="","",IFERROR(IF($E32="machine",INDEX('JLR Machines'!$B:$B,MATCH($C32,'JLR Machines'!$A:$A,0)),IF($E32="material",INDEX('JLR Materials'!$B:$B,MATCH($C32,'JLR Materials'!$A:$A,0)),IF($E32="labour",IFERROR(INDEX('JLR Labour'!$B:$B,MATCH($C32,'JLR Labour'!$A:$A,0)),"labour category "&amp;$C32&amp;" — from the machine tab"),""))),"NOT FOUND — check the code"))</f>
        <v/>
      </c>
      <c r="E32" t="str">
        <v>material</v>
      </c>
    </row>
    <row r="33">
      <c r="A33" t="str">
        <v>mat-ss316-sheet</v>
      </c>
      <c r="B33" t="str">
        <v>AISI 316L Stainless Sheet — Stainless Steel Sheet</v>
      </c>
      <c r="C33" t="str">
        <v/>
      </c>
      <c r="D33" t="str">
        <f>IF($C33="","",IFERROR(IF($E33="machine",INDEX('JLR Machines'!$B:$B,MATCH($C33,'JLR Machines'!$A:$A,0)),IF($E33="material",INDEX('JLR Materials'!$B:$B,MATCH($C33,'JLR Materials'!$A:$A,0)),IF($E33="labour",IFERROR(INDEX('JLR Labour'!$B:$B,MATCH($C33,'JLR Labour'!$A:$A,0)),"labour category "&amp;$C33&amp;" — from the machine tab"),""))),"NOT FOUND — check the code"))</f>
        <v/>
      </c>
      <c r="E33" t="str">
        <v>material</v>
      </c>
    </row>
    <row r="34">
      <c r="A34" t="str">
        <v>mat-dc01-ze</v>
      </c>
      <c r="B34" t="str">
        <v>DC01+ZE (Electrogalvanised) — Electrogalvanised Steel Sheet</v>
      </c>
      <c r="C34" t="str">
        <v/>
      </c>
      <c r="D34" t="str">
        <f>IF($C34="","",IFERROR(IF($E34="machine",INDEX('JLR Machines'!$B:$B,MATCH($C34,'JLR Machines'!$A:$A,0)),IF($E34="material",INDEX('JLR Materials'!$B:$B,MATCH($C34,'JLR Materials'!$A:$A,0)),IF($E34="labour",IFERROR(INDEX('JLR Labour'!$B:$B,MATCH($C34,'JLR Labour'!$A:$A,0)),"labour category "&amp;$C34&amp;" — from the machine tab"),""))),"NOT FOUND — check the code"))</f>
        <v/>
      </c>
      <c r="E34" t="str">
        <v>material</v>
      </c>
    </row>
    <row r="35">
      <c r="A35" t="str">
        <v>mat-hsla420</v>
      </c>
      <c r="B35" t="str">
        <v>HSLA 420 Sheet — High Strength Steel Sheet</v>
      </c>
      <c r="C35" t="str">
        <v/>
      </c>
      <c r="D35" t="str">
        <f>IF($C35="","",IFERROR(IF($E35="machine",INDEX('JLR Machines'!$B:$B,MATCH($C35,'JLR Machines'!$A:$A,0)),IF($E35="material",INDEX('JLR Materials'!$B:$B,MATCH($C35,'JLR Materials'!$A:$A,0)),IF($E35="labour",IFERROR(INDEX('JLR Labour'!$B:$B,MATCH($C35,'JLR Labour'!$A:$A,0)),"labour category "&amp;$C35&amp;" — from the machine tab"),""))),"NOT FOUND — check the code"))</f>
        <v/>
      </c>
      <c r="E35" t="str">
        <v>material</v>
      </c>
    </row>
    <row r="36">
      <c r="A36" t="str">
        <v>mat-hrpo</v>
      </c>
      <c r="B36" t="str">
        <v>HRPO (Hot Rolled Pickled &amp; Oiled) — Mild Steel Sheet</v>
      </c>
      <c r="C36" t="str">
        <v/>
      </c>
      <c r="D36" t="str">
        <f>IF($C36="","",IFERROR(IF($E36="machine",INDEX('JLR Machines'!$B:$B,MATCH($C36,'JLR Machines'!$A:$A,0)),IF($E36="material",INDEX('JLR Materials'!$B:$B,MATCH($C36,'JLR Materials'!$A:$A,0)),IF($E36="labour",IFERROR(INDEX('JLR Labour'!$B:$B,MATCH($C36,'JLR Labour'!$A:$A,0)),"labour category "&amp;$C36&amp;" — from the machine tab"),""))),"NOT FOUND — check the code"))</f>
        <v/>
      </c>
      <c r="E36" t="str">
        <v>material</v>
      </c>
    </row>
    <row r="37">
      <c r="A37" t="str">
        <v>mat-aa5754-sheet</v>
      </c>
      <c r="B37" t="str">
        <v>AA5754-H22 Sheet — Aluminium Sheet</v>
      </c>
      <c r="C37" t="str">
        <v/>
      </c>
      <c r="D37" t="str">
        <f>IF($C37="","",IFERROR(IF($E37="machine",INDEX('JLR Machines'!$B:$B,MATCH($C37,'JLR Machines'!$A:$A,0)),IF($E37="material",INDEX('JLR Materials'!$B:$B,MATCH($C37,'JLR Materials'!$A:$A,0)),IF($E37="labour",IFERROR(INDEX('JLR Labour'!$B:$B,MATCH($C37,'JLR Labour'!$A:$A,0)),"labour category "&amp;$C37&amp;" — from the machine tab"),""))),"NOT FOUND — check the code"))</f>
        <v/>
      </c>
      <c r="E37" t="str">
        <v>material</v>
      </c>
    </row>
    <row r="38">
      <c r="A38" t="str">
        <v>mat-aa6061-sheet</v>
      </c>
      <c r="B38" t="str">
        <v>AA6061-T6 Sheet/Plate — Aluminium Sheet</v>
      </c>
      <c r="C38" t="str">
        <v/>
      </c>
      <c r="D38" t="str">
        <f>IF($C38="","",IFERROR(IF($E38="machine",INDEX('JLR Machines'!$B:$B,MATCH($C38,'JLR Machines'!$A:$A,0)),IF($E38="material",INDEX('JLR Materials'!$B:$B,MATCH($C38,'JLR Materials'!$A:$A,0)),IF($E38="labour",IFERROR(INDEX('JLR Labour'!$B:$B,MATCH($C38,'JLR Labour'!$A:$A,0)),"labour category "&amp;$C38&amp;" — from the machine tab"),""))),"NOT FOUND — check the code"))</f>
        <v/>
      </c>
      <c r="E38" t="str">
        <v>material</v>
      </c>
    </row>
    <row r="39">
      <c r="A39" t="str">
        <v>mat-aa6063-sheet</v>
      </c>
      <c r="B39" t="str">
        <v>AA6063-T5 Sheet — Aluminium Sheet</v>
      </c>
      <c r="C39" t="str">
        <v/>
      </c>
      <c r="D39" t="str">
        <f>IF($C39="","",IFERROR(IF($E39="machine",INDEX('JLR Machines'!$B:$B,MATCH($C39,'JLR Machines'!$A:$A,0)),IF($E39="material",INDEX('JLR Materials'!$B:$B,MATCH($C39,'JLR Materials'!$A:$A,0)),IF($E39="labour",IFERROR(INDEX('JLR Labour'!$B:$B,MATCH($C39,'JLR Labour'!$A:$A,0)),"labour category "&amp;$C39&amp;" — from the machine tab"),""))),"NOT FOUND — check the code"))</f>
        <v/>
      </c>
      <c r="E39" t="str">
        <v>material</v>
      </c>
    </row>
    <row r="40">
      <c r="A40" t="str">
        <v>mat-aa3003-sheet</v>
      </c>
      <c r="B40" t="str">
        <v>AA3003-H14 Sheet — Aluminium Sheet</v>
      </c>
      <c r="C40" t="str">
        <v/>
      </c>
      <c r="D40" t="str">
        <f>IF($C40="","",IFERROR(IF($E40="machine",INDEX('JLR Machines'!$B:$B,MATCH($C40,'JLR Machines'!$A:$A,0)),IF($E40="material",INDEX('JLR Materials'!$B:$B,MATCH($C40,'JLR Materials'!$A:$A,0)),IF($E40="labour",IFERROR(INDEX('JLR Labour'!$B:$B,MATCH($C40,'JLR Labour'!$A:$A,0)),"labour category "&amp;$C40&amp;" — from the machine tab"),""))),"NOT FOUND — check the code"))</f>
        <v/>
      </c>
      <c r="E40" t="str">
        <v>material</v>
      </c>
    </row>
    <row r="41">
      <c r="A41" t="str">
        <v>mat-c110-copper</v>
      </c>
      <c r="B41" t="str">
        <v>C110 ETP Copper Sheet — Copper &amp; Brass Sheet</v>
      </c>
      <c r="C41" t="str">
        <v/>
      </c>
      <c r="D41" t="str">
        <f>IF($C41="","",IFERROR(IF($E41="machine",INDEX('JLR Machines'!$B:$B,MATCH($C41,'JLR Machines'!$A:$A,0)),IF($E41="material",INDEX('JLR Materials'!$B:$B,MATCH($C41,'JLR Materials'!$A:$A,0)),IF($E41="labour",IFERROR(INDEX('JLR Labour'!$B:$B,MATCH($C41,'JLR Labour'!$A:$A,0)),"labour category "&amp;$C41&amp;" — from the machine tab"),""))),"NOT FOUND — check the code"))</f>
        <v/>
      </c>
      <c r="E41" t="str">
        <v>material</v>
      </c>
    </row>
    <row r="42">
      <c r="A42" t="str">
        <v>mat-cz108-brass</v>
      </c>
      <c r="B42" t="str">
        <v>CZ108 Brass Sheet (70/30) — Copper &amp; Brass Sheet</v>
      </c>
      <c r="C42" t="str">
        <v/>
      </c>
      <c r="D42" t="str">
        <f>IF($C42="","",IFERROR(IF($E42="machine",INDEX('JLR Machines'!$B:$B,MATCH($C42,'JLR Machines'!$A:$A,0)),IF($E42="material",INDEX('JLR Materials'!$B:$B,MATCH($C42,'JLR Materials'!$A:$A,0)),IF($E42="labour",IFERROR(INDEX('JLR Labour'!$B:$B,MATCH($C42,'JLR Labour'!$A:$A,0)),"labour category "&amp;$C42&amp;" — from the machine tab"),""))),"NOT FOUND — check the code"))</f>
        <v/>
      </c>
      <c r="E42" t="str">
        <v>material</v>
      </c>
    </row>
    <row r="43">
      <c r="A43" t="str">
        <v>mat-dp780</v>
      </c>
      <c r="B43" t="str">
        <v>DP780 — AHSS Sheet</v>
      </c>
      <c r="C43" t="str">
        <v/>
      </c>
      <c r="D43" t="str">
        <f>IF($C43="","",IFERROR(IF($E43="machine",INDEX('JLR Machines'!$B:$B,MATCH($C43,'JLR Machines'!$A:$A,0)),IF($E43="material",INDEX('JLR Materials'!$B:$B,MATCH($C43,'JLR Materials'!$A:$A,0)),IF($E43="labour",IFERROR(INDEX('JLR Labour'!$B:$B,MATCH($C43,'JLR Labour'!$A:$A,0)),"labour category "&amp;$C43&amp;" — from the machine tab"),""))),"NOT FOUND — check the code"))</f>
        <v/>
      </c>
      <c r="E43" t="str">
        <v>material</v>
      </c>
    </row>
    <row r="44">
      <c r="A44" t="str">
        <v>mat-dp980</v>
      </c>
      <c r="B44" t="str">
        <v>DP980 — AHSS Sheet</v>
      </c>
      <c r="C44" t="str">
        <v/>
      </c>
      <c r="D44" t="str">
        <f>IF($C44="","",IFERROR(IF($E44="machine",INDEX('JLR Machines'!$B:$B,MATCH($C44,'JLR Machines'!$A:$A,0)),IF($E44="material",INDEX('JLR Materials'!$B:$B,MATCH($C44,'JLR Materials'!$A:$A,0)),IF($E44="labour",IFERROR(INDEX('JLR Labour'!$B:$B,MATCH($C44,'JLR Labour'!$A:$A,0)),"labour category "&amp;$C44&amp;" — from the machine tab"),""))),"NOT FOUND — check the code"))</f>
        <v/>
      </c>
      <c r="E44" t="str">
        <v>material</v>
      </c>
    </row>
    <row r="45">
      <c r="A45" t="str">
        <v>mat-dp1000</v>
      </c>
      <c r="B45" t="str">
        <v>DP1000 — AHSS Sheet</v>
      </c>
      <c r="C45" t="str">
        <v/>
      </c>
      <c r="D45" t="str">
        <f>IF($C45="","",IFERROR(IF($E45="machine",INDEX('JLR Machines'!$B:$B,MATCH($C45,'JLR Machines'!$A:$A,0)),IF($E45="material",INDEX('JLR Materials'!$B:$B,MATCH($C45,'JLR Materials'!$A:$A,0)),IF($E45="labour",IFERROR(INDEX('JLR Labour'!$B:$B,MATCH($C45,'JLR Labour'!$A:$A,0)),"labour category "&amp;$C45&amp;" — from the machine tab"),""))),"NOT FOUND — check the code"))</f>
        <v/>
      </c>
      <c r="E45" t="str">
        <v>material</v>
      </c>
    </row>
    <row r="46">
      <c r="A46" t="str">
        <v>mat-trip780</v>
      </c>
      <c r="B46" t="str">
        <v>TRIP780 — AHSS Sheet</v>
      </c>
      <c r="C46" t="str">
        <v/>
      </c>
      <c r="D46" t="str">
        <f>IF($C46="","",IFERROR(IF($E46="machine",INDEX('JLR Machines'!$B:$B,MATCH($C46,'JLR Machines'!$A:$A,0)),IF($E46="material",INDEX('JLR Materials'!$B:$B,MATCH($C46,'JLR Materials'!$A:$A,0)),IF($E46="labour",IFERROR(INDEX('JLR Labour'!$B:$B,MATCH($C46,'JLR Labour'!$A:$A,0)),"labour category "&amp;$C46&amp;" — from the machine tab"),""))),"NOT FOUND — check the code"))</f>
        <v/>
      </c>
      <c r="E46" t="str">
        <v>material</v>
      </c>
    </row>
    <row r="47">
      <c r="A47" t="str">
        <v>mat-cp800</v>
      </c>
      <c r="B47" t="str">
        <v>CP800 (Complex Phase) — AHSS Sheet</v>
      </c>
      <c r="C47" t="str">
        <v/>
      </c>
      <c r="D47" t="str">
        <f>IF($C47="","",IFERROR(IF($E47="machine",INDEX('JLR Machines'!$B:$B,MATCH($C47,'JLR Machines'!$A:$A,0)),IF($E47="material",INDEX('JLR Materials'!$B:$B,MATCH($C47,'JLR Materials'!$A:$A,0)),IF($E47="labour",IFERROR(INDEX('JLR Labour'!$B:$B,MATCH($C47,'JLR Labour'!$A:$A,0)),"labour category "&amp;$C47&amp;" — from the machine tab"),""))),"NOT FOUND — check the code"))</f>
        <v/>
      </c>
      <c r="E47" t="str">
        <v>material</v>
      </c>
    </row>
    <row r="48">
      <c r="A48" t="str">
        <v>mat-ms1200</v>
      </c>
      <c r="B48" t="str">
        <v>MS1200 (Martensitic) — Ultra-High Strength Steel</v>
      </c>
      <c r="C48" t="str">
        <v/>
      </c>
      <c r="D48" t="str">
        <f>IF($C48="","",IFERROR(IF($E48="machine",INDEX('JLR Machines'!$B:$B,MATCH($C48,'JLR Machines'!$A:$A,0)),IF($E48="material",INDEX('JLR Materials'!$B:$B,MATCH($C48,'JLR Materials'!$A:$A,0)),IF($E48="labour",IFERROR(INDEX('JLR Labour'!$B:$B,MATCH($C48,'JLR Labour'!$A:$A,0)),"labour category "&amp;$C48&amp;" — from the machine tab"),""))),"NOT FOUND — check the code"))</f>
        <v/>
      </c>
      <c r="E48" t="str">
        <v>material</v>
      </c>
    </row>
    <row r="49">
      <c r="A49" t="str">
        <v>mat-ms1500</v>
      </c>
      <c r="B49" t="str">
        <v>MS1500 (Martensitic) — Ultra-High Strength Steel</v>
      </c>
      <c r="C49" t="str">
        <v/>
      </c>
      <c r="D49" t="str">
        <f>IF($C49="","",IFERROR(IF($E49="machine",INDEX('JLR Machines'!$B:$B,MATCH($C49,'JLR Machines'!$A:$A,0)),IF($E49="material",INDEX('JLR Materials'!$B:$B,MATCH($C49,'JLR Materials'!$A:$A,0)),IF($E49="labour",IFERROR(INDEX('JLR Labour'!$B:$B,MATCH($C49,'JLR Labour'!$A:$A,0)),"labour category "&amp;$C49&amp;" — from the machine tab"),""))),"NOT FOUND — check the code"))</f>
        <v/>
      </c>
      <c r="E49" t="str">
        <v>material</v>
      </c>
    </row>
    <row r="50">
      <c r="A50" t="str">
        <v>mat-usibor1500</v>
      </c>
      <c r="B50" t="str">
        <v>Usibor 1500 (AlSi-coated 22MnB5) — Press-Hardening Steel</v>
      </c>
      <c r="C50" t="str">
        <v/>
      </c>
      <c r="D50" t="str">
        <f>IF($C50="","",IFERROR(IF($E50="machine",INDEX('JLR Machines'!$B:$B,MATCH($C50,'JLR Machines'!$A:$A,0)),IF($E50="material",INDEX('JLR Materials'!$B:$B,MATCH($C50,'JLR Materials'!$A:$A,0)),IF($E50="labour",IFERROR(INDEX('JLR Labour'!$B:$B,MATCH($C50,'JLR Labour'!$A:$A,0)),"labour category "&amp;$C50&amp;" — from the machine tab"),""))),"NOT FOUND — check the code"))</f>
        <v/>
      </c>
      <c r="E50" t="str">
        <v>material</v>
      </c>
    </row>
    <row r="51">
      <c r="A51" t="str">
        <v>mat-usibor2000</v>
      </c>
      <c r="B51" t="str">
        <v>Usibor 2000 — Press-Hardening Steel</v>
      </c>
      <c r="C51" t="str">
        <v/>
      </c>
      <c r="D51" t="str">
        <f>IF($C51="","",IFERROR(IF($E51="machine",INDEX('JLR Machines'!$B:$B,MATCH($C51,'JLR Machines'!$A:$A,0)),IF($E51="material",INDEX('JLR Materials'!$B:$B,MATCH($C51,'JLR Materials'!$A:$A,0)),IF($E51="labour",IFERROR(INDEX('JLR Labour'!$B:$B,MATCH($C51,'JLR Labour'!$A:$A,0)),"labour category "&amp;$C51&amp;" — from the machine tab"),""))),"NOT FOUND — check the code"))</f>
        <v/>
      </c>
      <c r="E51" t="str">
        <v>material</v>
      </c>
    </row>
    <row r="52">
      <c r="A52" t="str">
        <v>mat-ms1300</v>
      </c>
      <c r="B52" t="str">
        <v>MS1300 (Martensitic) — Ultra-High Strength Steel</v>
      </c>
      <c r="C52" t="str">
        <v/>
      </c>
      <c r="D52" t="str">
        <f>IF($C52="","",IFERROR(IF($E52="machine",INDEX('JLR Machines'!$B:$B,MATCH($C52,'JLR Machines'!$A:$A,0)),IF($E52="material",INDEX('JLR Materials'!$B:$B,MATCH($C52,'JLR Materials'!$A:$A,0)),IF($E52="labour",IFERROR(INDEX('JLR Labour'!$B:$B,MATCH($C52,'JLR Labour'!$A:$A,0)),"labour category "&amp;$C52&amp;" — from the machine tab"),""))),"NOT FOUND — check the code"))</f>
        <v/>
      </c>
      <c r="E52" t="str">
        <v>material</v>
      </c>
    </row>
    <row r="53">
      <c r="A53" t="str">
        <v>mat-qp980</v>
      </c>
      <c r="B53" t="str">
        <v>QP980 (Quench &amp; Partition) — AHSS Sheet (3rd Gen)</v>
      </c>
      <c r="C53" t="str">
        <v/>
      </c>
      <c r="D53" t="str">
        <f>IF($C53="","",IFERROR(IF($E53="machine",INDEX('JLR Machines'!$B:$B,MATCH($C53,'JLR Machines'!$A:$A,0)),IF($E53="material",INDEX('JLR Materials'!$B:$B,MATCH($C53,'JLR Materials'!$A:$A,0)),IF($E53="labour",IFERROR(INDEX('JLR Labour'!$B:$B,MATCH($C53,'JLR Labour'!$A:$A,0)),"labour category "&amp;$C53&amp;" — from the machine tab"),""))),"NOT FOUND — check the code"))</f>
        <v/>
      </c>
      <c r="E53" t="str">
        <v>material</v>
      </c>
    </row>
    <row r="54">
      <c r="A54" t="str">
        <v>mat-medmn1180</v>
      </c>
      <c r="B54" t="str">
        <v>Medium-Mn 1180 — AHSS Sheet (3rd Gen)</v>
      </c>
      <c r="C54" t="str">
        <v/>
      </c>
      <c r="D54" t="str">
        <f>IF($C54="","",IFERROR(IF($E54="machine",INDEX('JLR Machines'!$B:$B,MATCH($C54,'JLR Machines'!$A:$A,0)),IF($E54="material",INDEX('JLR Materials'!$B:$B,MATCH($C54,'JLR Materials'!$A:$A,0)),IF($E54="labour",IFERROR(INDEX('JLR Labour'!$B:$B,MATCH($C54,'JLR Labour'!$A:$A,0)),"labour category "&amp;$C54&amp;" — from the machine tab"),""))),"NOT FOUND — check the code"))</f>
        <v/>
      </c>
      <c r="E54" t="str">
        <v>material</v>
      </c>
    </row>
    <row r="55">
      <c r="A55" t="str">
        <v>mat-hsla550</v>
      </c>
      <c r="B55" t="str">
        <v>HSLA 550 — High Strength Steel Sheet</v>
      </c>
      <c r="C55" t="str">
        <v/>
      </c>
      <c r="D55" t="str">
        <f>IF($C55="","",IFERROR(IF($E55="machine",INDEX('JLR Machines'!$B:$B,MATCH($C55,'JLR Machines'!$A:$A,0)),IF($E55="material",INDEX('JLR Materials'!$B:$B,MATCH($C55,'JLR Materials'!$A:$A,0)),IF($E55="labour",IFERROR(INDEX('JLR Labour'!$B:$B,MATCH($C55,'JLR Labour'!$A:$A,0)),"labour category "&amp;$C55&amp;" — from the machine tab"),""))),"NOT FOUND — check the code"))</f>
        <v/>
      </c>
      <c r="E55" t="str">
        <v>material</v>
      </c>
    </row>
    <row r="56">
      <c r="A56" t="str">
        <v>mat-bh260</v>
      </c>
      <c r="B56" t="str">
        <v>BH260 (Bake-Hardening) — Bake-Hardening Steel Sheet</v>
      </c>
      <c r="C56" t="str">
        <v/>
      </c>
      <c r="D56" t="str">
        <f>IF($C56="","",IFERROR(IF($E56="machine",INDEX('JLR Machines'!$B:$B,MATCH($C56,'JLR Machines'!$A:$A,0)),IF($E56="material",INDEX('JLR Materials'!$B:$B,MATCH($C56,'JLR Materials'!$A:$A,0)),IF($E56="labour",IFERROR(INDEX('JLR Labour'!$B:$B,MATCH($C56,'JLR Labour'!$A:$A,0)),"labour category "&amp;$C56&amp;" — from the machine tab"),""))),"NOT FOUND — check the code"))</f>
        <v/>
      </c>
      <c r="E56" t="str">
        <v>material</v>
      </c>
    </row>
    <row r="57">
      <c r="A57" t="str">
        <v>mat-if-dx56</v>
      </c>
      <c r="B57" t="str">
        <v>DX56D IF (Interstitial-Free) — IF Steel Sheet</v>
      </c>
      <c r="C57" t="str">
        <v/>
      </c>
      <c r="D57" t="str">
        <f>IF($C57="","",IFERROR(IF($E57="machine",INDEX('JLR Machines'!$B:$B,MATCH($C57,'JLR Machines'!$A:$A,0)),IF($E57="material",INDEX('JLR Materials'!$B:$B,MATCH($C57,'JLR Materials'!$A:$A,0)),IF($E57="labour",IFERROR(INDEX('JLR Labour'!$B:$B,MATCH($C57,'JLR Labour'!$A:$A,0)),"labour category "&amp;$C57&amp;" — from the machine tab"),""))),"NOT FOUND — check the code"))</f>
        <v/>
      </c>
      <c r="E57" t="str">
        <v>material</v>
      </c>
    </row>
    <row r="58">
      <c r="A58" t="str">
        <v>mat-if-hs260</v>
      </c>
      <c r="B58" t="str">
        <v>IF-HS 260 (High-Strength IF) — IF Steel Sheet</v>
      </c>
      <c r="C58" t="str">
        <v/>
      </c>
      <c r="D58" t="str">
        <f>IF($C58="","",IFERROR(IF($E58="machine",INDEX('JLR Machines'!$B:$B,MATCH($C58,'JLR Machines'!$A:$A,0)),IF($E58="material",INDEX('JLR Materials'!$B:$B,MATCH($C58,'JLR Materials'!$A:$A,0)),IF($E58="labour",IFERROR(INDEX('JLR Labour'!$B:$B,MATCH($C58,'JLR Labour'!$A:$A,0)),"labour category "&amp;$C58&amp;" — from the machine tab"),""))),"NOT FOUND — check the code"))</f>
        <v/>
      </c>
      <c r="E58" t="str">
        <v>material</v>
      </c>
    </row>
    <row r="59">
      <c r="A59" t="str">
        <v>mat-dc04</v>
      </c>
      <c r="B59" t="str">
        <v>DC04 (CR4 Deep-Drawing) — Mild Steel Sheet</v>
      </c>
      <c r="C59" t="str">
        <v/>
      </c>
      <c r="D59" t="str">
        <f>IF($C59="","",IFERROR(IF($E59="machine",INDEX('JLR Machines'!$B:$B,MATCH($C59,'JLR Machines'!$A:$A,0)),IF($E59="material",INDEX('JLR Materials'!$B:$B,MATCH($C59,'JLR Materials'!$A:$A,0)),IF($E59="labour",IFERROR(INDEX('JLR Labour'!$B:$B,MATCH($C59,'JLR Labour'!$A:$A,0)),"labour category "&amp;$C59&amp;" — from the machine tab"),""))),"NOT FOUND — check the code"))</f>
        <v/>
      </c>
      <c r="E59" t="str">
        <v>material</v>
      </c>
    </row>
    <row r="60">
      <c r="A60" t="str">
        <v>mat-dc05</v>
      </c>
      <c r="B60" t="str">
        <v>DC05 (Extra-Deep-Drawing) — Mild Steel Sheet</v>
      </c>
      <c r="C60" t="str">
        <v/>
      </c>
      <c r="D60" t="str">
        <f>IF($C60="","",IFERROR(IF($E60="machine",INDEX('JLR Machines'!$B:$B,MATCH($C60,'JLR Machines'!$A:$A,0)),IF($E60="material",INDEX('JLR Materials'!$B:$B,MATCH($C60,'JLR Materials'!$A:$A,0)),IF($E60="labour",IFERROR(INDEX('JLR Labour'!$B:$B,MATCH($C60,'JLR Labour'!$A:$A,0)),"labour category "&amp;$C60&amp;" — from the machine tab"),""))),"NOT FOUND — check the code"))</f>
        <v/>
      </c>
      <c r="E60" t="str">
        <v>material</v>
      </c>
    </row>
    <row r="61">
      <c r="A61" t="str">
        <v>mat-dc06</v>
      </c>
      <c r="B61" t="str">
        <v>DC06 (Super-Deep-Drawing IF) — Mild Steel Sheet</v>
      </c>
      <c r="C61" t="str">
        <v/>
      </c>
      <c r="D61" t="str">
        <f>IF($C61="","",IFERROR(IF($E61="machine",INDEX('JLR Machines'!$B:$B,MATCH($C61,'JLR Machines'!$A:$A,0)),IF($E61="material",INDEX('JLR Materials'!$B:$B,MATCH($C61,'JLR Materials'!$A:$A,0)),IF($E61="labour",IFERROR(INDEX('JLR Labour'!$B:$B,MATCH($C61,'JLR Labour'!$A:$A,0)),"labour category "&amp;$C61&amp;" — from the machine tab"),""))),"NOT FOUND — check the code"))</f>
        <v/>
      </c>
      <c r="E61" t="str">
        <v>material</v>
      </c>
    </row>
    <row r="62">
      <c r="A62" t="str">
        <v>mat-nogo-m270-35a</v>
      </c>
      <c r="B62" t="str">
        <v>M270-35A Non-Oriented Electrical (0.35mm) — Electrical Steel Sheet</v>
      </c>
      <c r="C62" t="str">
        <v/>
      </c>
      <c r="D62" t="str">
        <f>IF($C62="","",IFERROR(IF($E62="machine",INDEX('JLR Machines'!$B:$B,MATCH($C62,'JLR Machines'!$A:$A,0)),IF($E62="material",INDEX('JLR Materials'!$B:$B,MATCH($C62,'JLR Materials'!$A:$A,0)),IF($E62="labour",IFERROR(INDEX('JLR Labour'!$B:$B,MATCH($C62,'JLR Labour'!$A:$A,0)),"labour category "&amp;$C62&amp;" — from the machine tab"),""))),"NOT FOUND — check the code"))</f>
        <v/>
      </c>
      <c r="E62" t="str">
        <v>material</v>
      </c>
    </row>
    <row r="63">
      <c r="A63" t="str">
        <v>mat-nogo-m400-50a</v>
      </c>
      <c r="B63" t="str">
        <v>M400-50A Non-Oriented Electrical (0.50mm) — Electrical Steel Sheet</v>
      </c>
      <c r="C63" t="str">
        <v/>
      </c>
      <c r="D63" t="str">
        <f>IF($C63="","",IFERROR(IF($E63="machine",INDEX('JLR Machines'!$B:$B,MATCH($C63,'JLR Machines'!$A:$A,0)),IF($E63="material",INDEX('JLR Materials'!$B:$B,MATCH($C63,'JLR Materials'!$A:$A,0)),IF($E63="labour",IFERROR(INDEX('JLR Labour'!$B:$B,MATCH($C63,'JLR Labour'!$A:$A,0)),"labour category "&amp;$C63&amp;" — from the machine tab"),""))),"NOT FOUND — check the code"))</f>
        <v/>
      </c>
      <c r="E63" t="str">
        <v>material</v>
      </c>
    </row>
    <row r="64">
      <c r="A64" t="str">
        <v>mat-go-m105-30p</v>
      </c>
      <c r="B64" t="str">
        <v>M105-30P Grain-Oriented Electrical (0.30mm) — Electrical Steel Sheet</v>
      </c>
      <c r="C64" t="str">
        <v/>
      </c>
      <c r="D64" t="str">
        <f>IF($C64="","",IFERROR(IF($E64="machine",INDEX('JLR Machines'!$B:$B,MATCH($C64,'JLR Machines'!$A:$A,0)),IF($E64="material",INDEX('JLR Materials'!$B:$B,MATCH($C64,'JLR Materials'!$A:$A,0)),IF($E64="labour",IFERROR(INDEX('JLR Labour'!$B:$B,MATCH($C64,'JLR Labour'!$A:$A,0)),"labour category "&amp;$C64&amp;" — from the machine tab"),""))),"NOT FOUND — check the code"))</f>
        <v/>
      </c>
      <c r="E64" t="str">
        <v>material</v>
      </c>
    </row>
    <row r="65">
      <c r="A65" t="str">
        <v>mat-m235-35a</v>
      </c>
      <c r="B65" t="str">
        <v>M235-35A NO Electrical (0.35mm, premium low-loss) — Electrical Steel Sheet</v>
      </c>
      <c r="C65" t="str">
        <v/>
      </c>
      <c r="D65" t="str">
        <f>IF($C65="","",IFERROR(IF($E65="machine",INDEX('JLR Machines'!$B:$B,MATCH($C65,'JLR Machines'!$A:$A,0)),IF($E65="material",INDEX('JLR Materials'!$B:$B,MATCH($C65,'JLR Materials'!$A:$A,0)),IF($E65="labour",IFERROR(INDEX('JLR Labour'!$B:$B,MATCH($C65,'JLR Labour'!$A:$A,0)),"labour category "&amp;$C65&amp;" — from the machine tab"),""))),"NOT FOUND — check the code"))</f>
        <v/>
      </c>
      <c r="E65" t="str">
        <v>material</v>
      </c>
    </row>
    <row r="66">
      <c r="A66" t="str">
        <v>mat-m330-35a</v>
      </c>
      <c r="B66" t="str">
        <v>M330-35A NO Electrical (0.35mm) — Electrical Steel Sheet</v>
      </c>
      <c r="C66" t="str">
        <v/>
      </c>
      <c r="D66" t="str">
        <f>IF($C66="","",IFERROR(IF($E66="machine",INDEX('JLR Machines'!$B:$B,MATCH($C66,'JLR Machines'!$A:$A,0)),IF($E66="material",INDEX('JLR Materials'!$B:$B,MATCH($C66,'JLR Materials'!$A:$A,0)),IF($E66="labour",IFERROR(INDEX('JLR Labour'!$B:$B,MATCH($C66,'JLR Labour'!$A:$A,0)),"labour category "&amp;$C66&amp;" — from the machine tab"),""))),"NOT FOUND — check the code"))</f>
        <v/>
      </c>
      <c r="E66" t="str">
        <v>material</v>
      </c>
    </row>
    <row r="67">
      <c r="A67" t="str">
        <v>mat-m250-50a</v>
      </c>
      <c r="B67" t="str">
        <v>M250-50A NO Electrical (0.50mm, low-loss) — Electrical Steel Sheet</v>
      </c>
      <c r="C67" t="str">
        <v/>
      </c>
      <c r="D67" t="str">
        <f>IF($C67="","",IFERROR(IF($E67="machine",INDEX('JLR Machines'!$B:$B,MATCH($C67,'JLR Machines'!$A:$A,0)),IF($E67="material",INDEX('JLR Materials'!$B:$B,MATCH($C67,'JLR Materials'!$A:$A,0)),IF($E67="labour",IFERROR(INDEX('JLR Labour'!$B:$B,MATCH($C67,'JLR Labour'!$A:$A,0)),"labour category "&amp;$C67&amp;" — from the machine tab"),""))),"NOT FOUND — check the code"))</f>
        <v/>
      </c>
      <c r="E67" t="str">
        <v>material</v>
      </c>
    </row>
    <row r="68">
      <c r="A68" t="str">
        <v>mat-m470-50a</v>
      </c>
      <c r="B68" t="str">
        <v>M470-50A NO Electrical (0.50mm) — Electrical Steel Sheet</v>
      </c>
      <c r="C68" t="str">
        <v/>
      </c>
      <c r="D68" t="str">
        <f>IF($C68="","",IFERROR(IF($E68="machine",INDEX('JLR Machines'!$B:$B,MATCH($C68,'JLR Machines'!$A:$A,0)),IF($E68="material",INDEX('JLR Materials'!$B:$B,MATCH($C68,'JLR Materials'!$A:$A,0)),IF($E68="labour",IFERROR(INDEX('JLR Labour'!$B:$B,MATCH($C68,'JLR Labour'!$A:$A,0)),"labour category "&amp;$C68&amp;" — from the machine tab"),""))),"NOT FOUND — check the code"))</f>
        <v/>
      </c>
      <c r="E68" t="str">
        <v>material</v>
      </c>
    </row>
    <row r="69">
      <c r="A69" t="str">
        <v>mat-m600-50a</v>
      </c>
      <c r="B69" t="str">
        <v>M600-50A NO Electrical (0.50mm, economy) — Electrical Steel Sheet</v>
      </c>
      <c r="C69" t="str">
        <v/>
      </c>
      <c r="D69" t="str">
        <f>IF($C69="","",IFERROR(IF($E69="machine",INDEX('JLR Machines'!$B:$B,MATCH($C69,'JLR Machines'!$A:$A,0)),IF($E69="material",INDEX('JLR Materials'!$B:$B,MATCH($C69,'JLR Materials'!$A:$A,0)),IF($E69="labour",IFERROR(INDEX('JLR Labour'!$B:$B,MATCH($C69,'JLR Labour'!$A:$A,0)),"labour category "&amp;$C69&amp;" — from the machine tab"),""))),"NOT FOUND — check the code"))</f>
        <v/>
      </c>
      <c r="E69" t="str">
        <v>material</v>
      </c>
    </row>
    <row r="70">
      <c r="A70" t="str">
        <v>mat-m700-65a</v>
      </c>
      <c r="B70" t="str">
        <v>M700-65A NO Electrical (0.65mm, mains) — Electrical Steel Sheet</v>
      </c>
      <c r="C70" t="str">
        <v/>
      </c>
      <c r="D70" t="str">
        <f>IF($C70="","",IFERROR(IF($E70="machine",INDEX('JLR Machines'!$B:$B,MATCH($C70,'JLR Machines'!$A:$A,0)),IF($E70="material",INDEX('JLR Materials'!$B:$B,MATCH($C70,'JLR Materials'!$A:$A,0)),IF($E70="labour",IFERROR(INDEX('JLR Labour'!$B:$B,MATCH($C70,'JLR Labour'!$A:$A,0)),"labour category "&amp;$C70&amp;" — from the machine tab"),""))),"NOT FOUND — check the code"))</f>
        <v/>
      </c>
      <c r="E70" t="str">
        <v>material</v>
      </c>
    </row>
    <row r="71">
      <c r="A71" t="str">
        <v>mat-no27-27a</v>
      </c>
      <c r="B71" t="str">
        <v>NO27 (0.27mm EV Traction) — Electrical Steel Sheet</v>
      </c>
      <c r="C71" t="str">
        <v/>
      </c>
      <c r="D71" t="str">
        <f>IF($C71="","",IFERROR(IF($E71="machine",INDEX('JLR Machines'!$B:$B,MATCH($C71,'JLR Machines'!$A:$A,0)),IF($E71="material",INDEX('JLR Materials'!$B:$B,MATCH($C71,'JLR Materials'!$A:$A,0)),IF($E71="labour",IFERROR(INDEX('JLR Labour'!$B:$B,MATCH($C71,'JLR Labour'!$A:$A,0)),"labour category "&amp;$C71&amp;" — from the machine tab"),""))),"NOT FOUND — check the code"))</f>
        <v/>
      </c>
      <c r="E71" t="str">
        <v>material</v>
      </c>
    </row>
    <row r="72">
      <c r="A72" t="str">
        <v>mat-no25-25a</v>
      </c>
      <c r="B72" t="str">
        <v>NO25 (0.25mm EV Traction) — Electrical Steel Sheet</v>
      </c>
      <c r="C72" t="str">
        <v/>
      </c>
      <c r="D72" t="str">
        <f>IF($C72="","",IFERROR(IF($E72="machine",INDEX('JLR Machines'!$B:$B,MATCH($C72,'JLR Machines'!$A:$A,0)),IF($E72="material",INDEX('JLR Materials'!$B:$B,MATCH($C72,'JLR Materials'!$A:$A,0)),IF($E72="labour",IFERROR(INDEX('JLR Labour'!$B:$B,MATCH($C72,'JLR Labour'!$A:$A,0)),"labour category "&amp;$C72&amp;" — from the machine tab"),""))),"NOT FOUND — check the code"))</f>
        <v/>
      </c>
      <c r="E72" t="str">
        <v>material</v>
      </c>
    </row>
    <row r="73">
      <c r="A73" t="str">
        <v>mat-no20-20a</v>
      </c>
      <c r="B73" t="str">
        <v>NO20 (0.20mm High-Speed EV/aero) — Electrical Steel Sheet</v>
      </c>
      <c r="C73" t="str">
        <v/>
      </c>
      <c r="D73" t="str">
        <f>IF($C73="","",IFERROR(IF($E73="machine",INDEX('JLR Machines'!$B:$B,MATCH($C73,'JLR Machines'!$A:$A,0)),IF($E73="material",INDEX('JLR Materials'!$B:$B,MATCH($C73,'JLR Materials'!$A:$A,0)),IF($E73="labour",IFERROR(INDEX('JLR Labour'!$B:$B,MATCH($C73,'JLR Labour'!$A:$A,0)),"labour category "&amp;$C73&amp;" — from the machine tab"),""))),"NOT FOUND — check the code"))</f>
        <v/>
      </c>
      <c r="E73" t="str">
        <v>material</v>
      </c>
    </row>
    <row r="74">
      <c r="A74" t="str">
        <v>mat-cgo-m120-27</v>
      </c>
      <c r="B74" t="str">
        <v>M120-27S CGO (0.27mm Grain-Oriented) — Electrical Steel Sheet</v>
      </c>
      <c r="C74" t="str">
        <v/>
      </c>
      <c r="D74" t="str">
        <f>IF($C74="","",IFERROR(IF($E74="machine",INDEX('JLR Machines'!$B:$B,MATCH($C74,'JLR Machines'!$A:$A,0)),IF($E74="material",INDEX('JLR Materials'!$B:$B,MATCH($C74,'JLR Materials'!$A:$A,0)),IF($E74="labour",IFERROR(INDEX('JLR Labour'!$B:$B,MATCH($C74,'JLR Labour'!$A:$A,0)),"labour category "&amp;$C74&amp;" — from the machine tab"),""))),"NOT FOUND — check the code"))</f>
        <v/>
      </c>
      <c r="E74" t="str">
        <v>material</v>
      </c>
    </row>
    <row r="75">
      <c r="A75" t="str">
        <v>mat-hgo-m090-23</v>
      </c>
      <c r="B75" t="str">
        <v>M090-23P HGO Domain-Refined (0.23mm) — Electrical Steel Sheet</v>
      </c>
      <c r="C75" t="str">
        <v/>
      </c>
      <c r="D75" t="str">
        <f>IF($C75="","",IFERROR(IF($E75="machine",INDEX('JLR Machines'!$B:$B,MATCH($C75,'JLR Machines'!$A:$A,0)),IF($E75="material",INDEX('JLR Materials'!$B:$B,MATCH($C75,'JLR Materials'!$A:$A,0)),IF($E75="labour",IFERROR(INDEX('JLR Labour'!$B:$B,MATCH($C75,'JLR Labour'!$A:$A,0)),"labour category "&amp;$C75&amp;" — from the machine tab"),""))),"NOT FOUND — check the code"))</f>
        <v/>
      </c>
      <c r="E75" t="str">
        <v>material</v>
      </c>
    </row>
    <row r="76">
      <c r="A76" t="str">
        <v>mat-cofe-hiperco50</v>
      </c>
      <c r="B76" t="str">
        <v>Cobalt-Iron (Hiperco 50 / Vacodur 49) — Electrical Steel Sheet</v>
      </c>
      <c r="C76" t="str">
        <v/>
      </c>
      <c r="D76" t="str">
        <f>IF($C76="","",IFERROR(IF($E76="machine",INDEX('JLR Machines'!$B:$B,MATCH($C76,'JLR Machines'!$A:$A,0)),IF($E76="material",INDEX('JLR Materials'!$B:$B,MATCH($C76,'JLR Materials'!$A:$A,0)),IF($E76="labour",IFERROR(INDEX('JLR Labour'!$B:$B,MATCH($C76,'JLR Labour'!$A:$A,0)),"labour category "&amp;$C76&amp;" — from the machine tab"),""))),"NOT FOUND — check the code"))</f>
        <v/>
      </c>
      <c r="E76" t="str">
        <v>material</v>
      </c>
    </row>
    <row r="77">
      <c r="A77" t="str">
        <v>mat-nife-permalloy80</v>
      </c>
      <c r="B77" t="str">
        <v>Nickel-Iron Permalloy (80% Ni) — Electrical Steel Sheet</v>
      </c>
      <c r="C77" t="str">
        <v/>
      </c>
      <c r="D77" t="str">
        <f>IF($C77="","",IFERROR(IF($E77="machine",INDEX('JLR Machines'!$B:$B,MATCH($C77,'JLR Machines'!$A:$A,0)),IF($E77="material",INDEX('JLR Materials'!$B:$B,MATCH($C77,'JLR Materials'!$A:$A,0)),IF($E77="labour",IFERROR(INDEX('JLR Labour'!$B:$B,MATCH($C77,'JLR Labour'!$A:$A,0)),"labour category "&amp;$C77&amp;" — from the machine tab"),""))),"NOT FOUND — check the code"))</f>
        <v/>
      </c>
      <c r="E77" t="str">
        <v>material</v>
      </c>
    </row>
    <row r="78">
      <c r="A78" t="str">
        <v>mat-amorphous-2605sa1</v>
      </c>
      <c r="B78" t="str">
        <v>Amorphous Ribbon (Metglas 2605SA1) — Electrical Steel Sheet</v>
      </c>
      <c r="C78" t="str">
        <v/>
      </c>
      <c r="D78" t="str">
        <f>IF($C78="","",IFERROR(IF($E78="machine",INDEX('JLR Machines'!$B:$B,MATCH($C78,'JLR Machines'!$A:$A,0)),IF($E78="material",INDEX('JLR Materials'!$B:$B,MATCH($C78,'JLR Materials'!$A:$A,0)),IF($E78="labour",IFERROR(INDEX('JLR Labour'!$B:$B,MATCH($C78,'JLR Labour'!$A:$A,0)),"labour category "&amp;$C78&amp;" — from the machine tab"),""))),"NOT FOUND — check the code"))</f>
        <v/>
      </c>
      <c r="E78" t="str">
        <v>material</v>
      </c>
    </row>
    <row r="79">
      <c r="A79" t="str">
        <v>mat-no-semiproc-50</v>
      </c>
      <c r="B79" t="str">
        <v>Semi-Processed NO Electrical (0.50mm) — Electrical Steel Sheet</v>
      </c>
      <c r="C79" t="str">
        <v/>
      </c>
      <c r="D79" t="str">
        <f>IF($C79="","",IFERROR(IF($E79="machine",INDEX('JLR Machines'!$B:$B,MATCH($C79,'JLR Machines'!$A:$A,0)),IF($E79="material",INDEX('JLR Materials'!$B:$B,MATCH($C79,'JLR Materials'!$A:$A,0)),IF($E79="labour",IFERROR(INDEX('JLR Labour'!$B:$B,MATCH($C79,'JLR Labour'!$A:$A,0)),"labour category "&amp;$C79&amp;" — from the machine tab"),""))),"NOT FOUND — check the code"))</f>
        <v/>
      </c>
      <c r="E79" t="str">
        <v>material</v>
      </c>
    </row>
    <row r="80">
      <c r="A80" t="str">
        <v>mat-hsno-rotor-700</v>
      </c>
      <c r="B80" t="str">
        <v>High-Strength NO Electrical (~700 MPa, 0.30mm rotor) — Electrical Steel Sheet</v>
      </c>
      <c r="C80" t="str">
        <v/>
      </c>
      <c r="D80" t="str">
        <f>IF($C80="","",IFERROR(IF($E80="machine",INDEX('JLR Machines'!$B:$B,MATCH($C80,'JLR Machines'!$A:$A,0)),IF($E80="material",INDEX('JLR Materials'!$B:$B,MATCH($C80,'JLR Materials'!$A:$A,0)),IF($E80="labour",IFERROR(INDEX('JLR Labour'!$B:$B,MATCH($C80,'JLR Labour'!$A:$A,0)),"labour category "&amp;$C80&amp;" — from the machine tab"),""))),"NOT FOUND — check the code"))</f>
        <v/>
      </c>
      <c r="E80" t="str">
        <v>material</v>
      </c>
    </row>
    <row r="81">
      <c r="A81" t="str">
        <v>mat-hsno-rotor-960</v>
      </c>
      <c r="B81" t="str">
        <v>Ultra-High-Strength NO Electrical (~960 MPa, 0.20–0.27mm rotor) — Electrical Steel Sheet</v>
      </c>
      <c r="C81" t="str">
        <v/>
      </c>
      <c r="D81" t="str">
        <f>IF($C81="","",IFERROR(IF($E81="machine",INDEX('JLR Machines'!$B:$B,MATCH($C81,'JLR Machines'!$A:$A,0)),IF($E81="material",INDEX('JLR Materials'!$B:$B,MATCH($C81,'JLR Materials'!$A:$A,0)),IF($E81="labour",IFERROR(INDEX('JLR Labour'!$B:$B,MATCH($C81,'JLR Labour'!$A:$A,0)),"labour category "&amp;$C81&amp;" — from the machine tab"),""))),"NOT FOUND — check the code"))</f>
        <v/>
      </c>
      <c r="E81" t="str">
        <v>material</v>
      </c>
    </row>
    <row r="82">
      <c r="A82" t="str">
        <v>mat-no15-15a</v>
      </c>
      <c r="B82" t="str">
        <v>NO15 Ultra-Thin NO Electrical (0.15mm) — Electrical Steel Sheet</v>
      </c>
      <c r="C82" t="str">
        <v/>
      </c>
      <c r="D82" t="str">
        <f>IF($C82="","",IFERROR(IF($E82="machine",INDEX('JLR Machines'!$B:$B,MATCH($C82,'JLR Machines'!$A:$A,0)),IF($E82="material",INDEX('JLR Materials'!$B:$B,MATCH($C82,'JLR Materials'!$A:$A,0)),IF($E82="labour",IFERROR(INDEX('JLR Labour'!$B:$B,MATCH($C82,'JLR Labour'!$A:$A,0)),"labour category "&amp;$C82&amp;" — from the machine tab"),""))),"NOT FOUND — check the code"))</f>
        <v/>
      </c>
      <c r="E82" t="str">
        <v>material</v>
      </c>
    </row>
    <row r="83">
      <c r="A83" t="str">
        <v>mat-no10-10a</v>
      </c>
      <c r="B83" t="str">
        <v>NO10 Ultra-Thin NO Electrical (0.10mm) — Electrical Steel Sheet</v>
      </c>
      <c r="C83" t="str">
        <v/>
      </c>
      <c r="D83" t="str">
        <f>IF($C83="","",IFERROR(IF($E83="machine",INDEX('JLR Machines'!$B:$B,MATCH($C83,'JLR Machines'!$A:$A,0)),IF($E83="material",INDEX('JLR Materials'!$B:$B,MATCH($C83,'JLR Materials'!$A:$A,0)),IF($E83="labour",IFERROR(INDEX('JLR Labour'!$B:$B,MATCH($C83,'JLR Labour'!$A:$A,0)),"labour category "&amp;$C83&amp;" — from the machine tab"),""))),"NOT FOUND — check the code"))</f>
        <v/>
      </c>
      <c r="E83" t="str">
        <v>material</v>
      </c>
    </row>
    <row r="84">
      <c r="A84" t="str">
        <v>mat-si65-jnex-10</v>
      </c>
      <c r="B84" t="str">
        <v>6.5% Si High-Frequency Electrical (JNEX/Super-Core class, 0.10mm) — Electrical Steel Sheet</v>
      </c>
      <c r="C84" t="str">
        <v/>
      </c>
      <c r="D84" t="str">
        <f>IF($C84="","",IFERROR(IF($E84="machine",INDEX('JLR Machines'!$B:$B,MATCH($C84,'JLR Machines'!$A:$A,0)),IF($E84="material",INDEX('JLR Materials'!$B:$B,MATCH($C84,'JLR Materials'!$A:$A,0)),IF($E84="labour",IFERROR(INDEX('JLR Labour'!$B:$B,MATCH($C84,'JLR Labour'!$A:$A,0)),"labour category "&amp;$C84&amp;" — from the machine tab"),""))),"NOT FOUND — check the code"))</f>
        <v/>
      </c>
      <c r="E84" t="str">
        <v>material</v>
      </c>
    </row>
    <row r="85">
      <c r="A85" t="str">
        <v>mat-uhsno-1100</v>
      </c>
      <c r="B85" t="str">
        <v>Ultra-High-Strength NO Electrical (~1100 MPa, 30k-rpm rotor) — Electrical Steel Sheet</v>
      </c>
      <c r="C85" t="str">
        <v/>
      </c>
      <c r="D85" t="str">
        <f>IF($C85="","",IFERROR(IF($E85="machine",INDEX('JLR Machines'!$B:$B,MATCH($C85,'JLR Machines'!$A:$A,0)),IF($E85="material",INDEX('JLR Materials'!$B:$B,MATCH($C85,'JLR Materials'!$A:$A,0)),IF($E85="labour",IFERROR(INDEX('JLR Labour'!$B:$B,MATCH($C85,'JLR Labour'!$A:$A,0)),"labour category "&amp;$C85&amp;" — from the machine tab"),""))),"NOT FOUND — check the code"))</f>
        <v/>
      </c>
      <c r="E85" t="str">
        <v>material</v>
      </c>
    </row>
    <row r="86">
      <c r="A86" t="str">
        <v>mat-cofe-thin-010</v>
      </c>
      <c r="B86" t="str">
        <v>Cobalt-Iron Thin-Gauge (0.10mm, Vacoflux/Hiperco) — Electrical Steel Sheet</v>
      </c>
      <c r="C86" t="str">
        <v/>
      </c>
      <c r="D86" t="str">
        <f>IF($C86="","",IFERROR(IF($E86="machine",INDEX('JLR Machines'!$B:$B,MATCH($C86,'JLR Machines'!$A:$A,0)),IF($E86="material",INDEX('JLR Materials'!$B:$B,MATCH($C86,'JLR Materials'!$A:$A,0)),IF($E86="labour",IFERROR(INDEX('JLR Labour'!$B:$B,MATCH($C86,'JLR Labour'!$A:$A,0)),"labour category "&amp;$C86&amp;" — from the machine tab"),""))),"NOT FOUND — check the code"))</f>
        <v/>
      </c>
      <c r="E86" t="str">
        <v>material</v>
      </c>
    </row>
    <row r="87">
      <c r="A87" t="str">
        <v>mat-cu-hairpin</v>
      </c>
      <c r="B87" t="str">
        <v>Rectangular Enamelled Hairpin Copper (winding) — Winding Copper (Hairpin)</v>
      </c>
      <c r="C87" t="str">
        <v/>
      </c>
      <c r="D87" t="str">
        <f>IF($C87="","",IFERROR(IF($E87="machine",INDEX('JLR Machines'!$B:$B,MATCH($C87,'JLR Machines'!$A:$A,0)),IF($E87="material",INDEX('JLR Materials'!$B:$B,MATCH($C87,'JLR Materials'!$A:$A,0)),IF($E87="labour",IFERROR(INDEX('JLR Labour'!$B:$B,MATCH($C87,'JLR Labour'!$A:$A,0)),"labour category "&amp;$C87&amp;" — from the machine tab"),""))),"NOT FOUND — check the code"))</f>
        <v/>
      </c>
      <c r="E87" t="str">
        <v>material</v>
      </c>
    </row>
    <row r="88">
      <c r="A88" t="str">
        <v>mat-al-hairpin</v>
      </c>
      <c r="B88" t="str">
        <v>Rectangular Enamelled Hairpin Aluminium (winding) — Winding Aluminium (Hairpin)</v>
      </c>
      <c r="C88" t="str">
        <v/>
      </c>
      <c r="D88" t="str">
        <f>IF($C88="","",IFERROR(IF($E88="machine",INDEX('JLR Machines'!$B:$B,MATCH($C88,'JLR Machines'!$A:$A,0)),IF($E88="material",INDEX('JLR Materials'!$B:$B,MATCH($C88,'JLR Materials'!$A:$A,0)),IF($E88="labour",IFERROR(INDEX('JLR Labour'!$B:$B,MATCH($C88,'JLR Labour'!$A:$A,0)),"labour category "&amp;$C88&amp;" — from the machine tab"),""))),"NOT FOUND — check the code"))</f>
        <v/>
      </c>
      <c r="E88" t="str">
        <v>material</v>
      </c>
    </row>
    <row r="89">
      <c r="A89" t="str">
        <v>mat-al-busbar</v>
      </c>
      <c r="B89" t="str">
        <v>Aluminium Busbar (EV / battery) — Aluminium Sheet</v>
      </c>
      <c r="C89" t="str">
        <v/>
      </c>
      <c r="D89" t="str">
        <f>IF($C89="","",IFERROR(IF($E89="machine",INDEX('JLR Machines'!$B:$B,MATCH($C89,'JLR Machines'!$A:$A,0)),IF($E89="material",INDEX('JLR Materials'!$B:$B,MATCH($C89,'JLR Materials'!$A:$A,0)),IF($E89="labour",IFERROR(INDEX('JLR Labour'!$B:$B,MATCH($C89,'JLR Labour'!$A:$A,0)),"labour category "&amp;$C89&amp;" — from the machine tab"),""))),"NOT FOUND — check the code"))</f>
        <v/>
      </c>
      <c r="E89" t="str">
        <v>material</v>
      </c>
    </row>
    <row r="90">
      <c r="A90" t="str">
        <v>mat-c67s-spring</v>
      </c>
      <c r="B90" t="str">
        <v>C67S / 1.1231 (CR Spring Strip) — Spring Steel Strip</v>
      </c>
      <c r="C90" t="str">
        <v/>
      </c>
      <c r="D90" t="str">
        <f>IF($C90="","",IFERROR(IF($E90="machine",INDEX('JLR Machines'!$B:$B,MATCH($C90,'JLR Machines'!$A:$A,0)),IF($E90="material",INDEX('JLR Materials'!$B:$B,MATCH($C90,'JLR Materials'!$A:$A,0)),IF($E90="labour",IFERROR(INDEX('JLR Labour'!$B:$B,MATCH($C90,'JLR Labour'!$A:$A,0)),"labour category "&amp;$C90&amp;" — from the machine tab"),""))),"NOT FOUND — check the code"))</f>
        <v/>
      </c>
      <c r="E90" t="str">
        <v>material</v>
      </c>
    </row>
    <row r="91">
      <c r="A91" t="str">
        <v>mat-ss301-spring</v>
      </c>
      <c r="B91" t="str">
        <v>301 Spring-Temper Stainless Strip — Spring Steel Strip</v>
      </c>
      <c r="C91" t="str">
        <v/>
      </c>
      <c r="D91" t="str">
        <f>IF($C91="","",IFERROR(IF($E91="machine",INDEX('JLR Machines'!$B:$B,MATCH($C91,'JLR Machines'!$A:$A,0)),IF($E91="material",INDEX('JLR Materials'!$B:$B,MATCH($C91,'JLR Materials'!$A:$A,0)),IF($E91="labour",IFERROR(INDEX('JLR Labour'!$B:$B,MATCH($C91,'JLR Labour'!$A:$A,0)),"labour category "&amp;$C91&amp;" — from the machine tab"),""))),"NOT FOUND — check the code"))</f>
        <v/>
      </c>
      <c r="E91" t="str">
        <v>material</v>
      </c>
    </row>
    <row r="92">
      <c r="A92" t="str">
        <v>mat-znni-eg</v>
      </c>
      <c r="B92" t="str">
        <v>Zn-Ni Electrogalvanised — Coated Steel Sheet</v>
      </c>
      <c r="C92" t="str">
        <v/>
      </c>
      <c r="D92" t="str">
        <f>IF($C92="","",IFERROR(IF($E92="machine",INDEX('JLR Machines'!$B:$B,MATCH($C92,'JLR Machines'!$A:$A,0)),IF($E92="material",INDEX('JLR Materials'!$B:$B,MATCH($C92,'JLR Materials'!$A:$A,0)),IF($E92="labour",IFERROR(INDEX('JLR Labour'!$B:$B,MATCH($C92,'JLR Labour'!$A:$A,0)),"labour category "&amp;$C92&amp;" — from the machine tab"),""))),"NOT FOUND — check the code"))</f>
        <v/>
      </c>
      <c r="E92" t="str">
        <v>material</v>
      </c>
    </row>
    <row r="93">
      <c r="A93" t="str">
        <v>mat-zm-coated</v>
      </c>
      <c r="B93" t="str">
        <v>ZM (Zn-Mg-Al) Coated — Coated Steel Sheet</v>
      </c>
      <c r="C93" t="str">
        <v/>
      </c>
      <c r="D93" t="str">
        <f>IF($C93="","",IFERROR(IF($E93="machine",INDEX('JLR Machines'!$B:$B,MATCH($C93,'JLR Machines'!$A:$A,0)),IF($E93="material",INDEX('JLR Materials'!$B:$B,MATCH($C93,'JLR Materials'!$A:$A,0)),IF($E93="labour",IFERROR(INDEX('JLR Labour'!$B:$B,MATCH($C93,'JLR Labour'!$A:$A,0)),"labour category "&amp;$C93&amp;" — from the machine tab"),""))),"NOT FOUND — check the code"))</f>
        <v/>
      </c>
      <c r="E93" t="str">
        <v>material</v>
      </c>
    </row>
    <row r="94">
      <c r="A94" t="str">
        <v>mat-tinplate-etp</v>
      </c>
      <c r="B94" t="str">
        <v>Tinplate (ETP) — Coated Steel Sheet</v>
      </c>
      <c r="C94" t="str">
        <v/>
      </c>
      <c r="D94" t="str">
        <f>IF($C94="","",IFERROR(IF($E94="machine",INDEX('JLR Machines'!$B:$B,MATCH($C94,'JLR Machines'!$A:$A,0)),IF($E94="material",INDEX('JLR Materials'!$B:$B,MATCH($C94,'JLR Materials'!$A:$A,0)),IF($E94="labour",IFERROR(INDEX('JLR Labour'!$B:$B,MATCH($C94,'JLR Labour'!$A:$A,0)),"labour category "&amp;$C94&amp;" — from the machine tab"),""))),"NOT FOUND — check the code"))</f>
        <v/>
      </c>
      <c r="E94" t="str">
        <v>material</v>
      </c>
    </row>
    <row r="95">
      <c r="A95" t="str">
        <v>mat-aa6016-t4</v>
      </c>
      <c r="B95" t="str">
        <v>AA6016-T4 Sheet (Auto Skin) — Aluminium Sheet</v>
      </c>
      <c r="C95" t="str">
        <v/>
      </c>
      <c r="D95" t="str">
        <f>IF($C95="","",IFERROR(IF($E95="machine",INDEX('JLR Machines'!$B:$B,MATCH($C95,'JLR Machines'!$A:$A,0)),IF($E95="material",INDEX('JLR Materials'!$B:$B,MATCH($C95,'JLR Materials'!$A:$A,0)),IF($E95="labour",IFERROR(INDEX('JLR Labour'!$B:$B,MATCH($C95,'JLR Labour'!$A:$A,0)),"labour category "&amp;$C95&amp;" — from the machine tab"),""))),"NOT FOUND — check the code"))</f>
        <v/>
      </c>
      <c r="E95" t="str">
        <v>material</v>
      </c>
    </row>
    <row r="96">
      <c r="A96" t="str">
        <v>mat-aa6111-t4</v>
      </c>
      <c r="B96" t="str">
        <v>AA6111-T4 Sheet (Auto Skin) — Aluminium Sheet</v>
      </c>
      <c r="C96" t="str">
        <v/>
      </c>
      <c r="D96" t="str">
        <f>IF($C96="","",IFERROR(IF($E96="machine",INDEX('JLR Machines'!$B:$B,MATCH($C96,'JLR Machines'!$A:$A,0)),IF($E96="material",INDEX('JLR Materials'!$B:$B,MATCH($C96,'JLR Materials'!$A:$A,0)),IF($E96="labour",IFERROR(INDEX('JLR Labour'!$B:$B,MATCH($C96,'JLR Labour'!$A:$A,0)),"labour category "&amp;$C96&amp;" — from the machine tab"),""))),"NOT FOUND — check the code"))</f>
        <v/>
      </c>
      <c r="E96" t="str">
        <v>material</v>
      </c>
    </row>
    <row r="97">
      <c r="A97" t="str">
        <v>mat-aa7075-t6</v>
      </c>
      <c r="B97" t="str">
        <v>AA7075-T6 Sheet/Plate — Aluminium Sheet</v>
      </c>
      <c r="C97" t="str">
        <v/>
      </c>
      <c r="D97" t="str">
        <f>IF($C97="","",IFERROR(IF($E97="machine",INDEX('JLR Machines'!$B:$B,MATCH($C97,'JLR Machines'!$A:$A,0)),IF($E97="material",INDEX('JLR Materials'!$B:$B,MATCH($C97,'JLR Materials'!$A:$A,0)),IF($E97="labour",IFERROR(INDEX('JLR Labour'!$B:$B,MATCH($C97,'JLR Labour'!$A:$A,0)),"labour category "&amp;$C97&amp;" — from the machine tab"),""))),"NOT FOUND — check the code"))</f>
        <v/>
      </c>
      <c r="E97" t="str">
        <v>material</v>
      </c>
    </row>
    <row r="98">
      <c r="A98" t="str">
        <v>mat-greensteel-dc01</v>
      </c>
      <c r="B98" t="str">
        <v>Low-CO₂ "Green" Steel (H₂-DRI, DC01 equiv.) — Low-Carbon Steel Sheet</v>
      </c>
      <c r="C98" t="str">
        <v/>
      </c>
      <c r="D98" t="str">
        <f>IF($C98="","",IFERROR(IF($E98="machine",INDEX('JLR Machines'!$B:$B,MATCH($C98,'JLR Machines'!$A:$A,0)),IF($E98="material",INDEX('JLR Materials'!$B:$B,MATCH($C98,'JLR Materials'!$A:$A,0)),IF($E98="labour",IFERROR(INDEX('JLR Labour'!$B:$B,MATCH($C98,'JLR Labour'!$A:$A,0)),"labour category "&amp;$C98&amp;" — from the machine tab"),""))),"NOT FOUND — check the code"))</f>
        <v/>
      </c>
      <c r="E98" t="str">
        <v>material</v>
      </c>
    </row>
    <row r="99">
      <c r="A99" t="str">
        <v>mat-al-recycled-5xxx</v>
      </c>
      <c r="B99" t="str">
        <v>Recycled-Content Al 5xxx (Secondary) — Aluminium Sheet</v>
      </c>
      <c r="C99" t="str">
        <v/>
      </c>
      <c r="D99" t="str">
        <f>IF($C99="","",IFERROR(IF($E99="machine",INDEX('JLR Machines'!$B:$B,MATCH($C99,'JLR Machines'!$A:$A,0)),IF($E99="material",INDEX('JLR Materials'!$B:$B,MATCH($C99,'JLR Materials'!$A:$A,0)),IF($E99="labour",IFERROR(INDEX('JLR Labour'!$B:$B,MATCH($C99,'JLR Labour'!$A:$A,0)),"labour category "&amp;$C99&amp;" — from the machine tab"),""))),"NOT FOUND — check the code"))</f>
        <v/>
      </c>
      <c r="E99" t="str">
        <v>material</v>
      </c>
    </row>
    <row r="100">
      <c r="A100" t="str">
        <v>mat-pp</v>
      </c>
      <c r="B100" t="str">
        <v>PP Copolymer — Thermoplastic</v>
      </c>
      <c r="C100" t="str">
        <v/>
      </c>
      <c r="D100" t="str">
        <f>IF($C100="","",IFERROR(IF($E100="machine",INDEX('JLR Machines'!$B:$B,MATCH($C100,'JLR Machines'!$A:$A,0)),IF($E100="material",INDEX('JLR Materials'!$B:$B,MATCH($C100,'JLR Materials'!$A:$A,0)),IF($E100="labour",IFERROR(INDEX('JLR Labour'!$B:$B,MATCH($C100,'JLR Labour'!$A:$A,0)),"labour category "&amp;$C100&amp;" — from the machine tab"),""))),"NOT FOUND — check the code"))</f>
        <v/>
      </c>
      <c r="E100" t="str">
        <v>material</v>
      </c>
    </row>
    <row r="101">
      <c r="A101" t="str">
        <v>mat-abs</v>
      </c>
      <c r="B101" t="str">
        <v>ABS — Thermoplastic</v>
      </c>
      <c r="C101" t="str">
        <v/>
      </c>
      <c r="D101" t="str">
        <f>IF($C101="","",IFERROR(IF($E101="machine",INDEX('JLR Machines'!$B:$B,MATCH($C101,'JLR Machines'!$A:$A,0)),IF($E101="material",INDEX('JLR Materials'!$B:$B,MATCH($C101,'JLR Materials'!$A:$A,0)),IF($E101="labour",IFERROR(INDEX('JLR Labour'!$B:$B,MATCH($C101,'JLR Labour'!$A:$A,0)),"labour category "&amp;$C101&amp;" — from the machine tab"),""))),"NOT FOUND — check the code"))</f>
        <v/>
      </c>
      <c r="E101" t="str">
        <v>material</v>
      </c>
    </row>
    <row r="102">
      <c r="A102" t="str">
        <v>mat-pa66gf30</v>
      </c>
      <c r="B102" t="str">
        <v>PA66 GF30 — Thermoplastic</v>
      </c>
      <c r="C102" t="str">
        <v/>
      </c>
      <c r="D102" t="str">
        <f>IF($C102="","",IFERROR(IF($E102="machine",INDEX('JLR Machines'!$B:$B,MATCH($C102,'JLR Machines'!$A:$A,0)),IF($E102="material",INDEX('JLR Materials'!$B:$B,MATCH($C102,'JLR Materials'!$A:$A,0)),IF($E102="labour",IFERROR(INDEX('JLR Labour'!$B:$B,MATCH($C102,'JLR Labour'!$A:$A,0)),"labour category "&amp;$C102&amp;" — from the machine tab"),""))),"NOT FOUND — check the code"))</f>
        <v/>
      </c>
      <c r="E102" t="str">
        <v>material</v>
      </c>
    </row>
    <row r="103">
      <c r="A103" t="str">
        <v>mat-pc</v>
      </c>
      <c r="B103" t="str">
        <v>PC (Lexan) — Thermoplastic</v>
      </c>
      <c r="C103" t="str">
        <v/>
      </c>
      <c r="D103" t="str">
        <f>IF($C103="","",IFERROR(IF($E103="machine",INDEX('JLR Machines'!$B:$B,MATCH($C103,'JLR Machines'!$A:$A,0)),IF($E103="material",INDEX('JLR Materials'!$B:$B,MATCH($C103,'JLR Materials'!$A:$A,0)),IF($E103="labour",IFERROR(INDEX('JLR Labour'!$B:$B,MATCH($C103,'JLR Labour'!$A:$A,0)),"labour category "&amp;$C103&amp;" — from the machine tab"),""))),"NOT FOUND — check the code"))</f>
        <v/>
      </c>
      <c r="E103" t="str">
        <v>material</v>
      </c>
    </row>
    <row r="104">
      <c r="A104" t="str">
        <v>mat-hdpe</v>
      </c>
      <c r="B104" t="str">
        <v>HDPE — Thermoplastic</v>
      </c>
      <c r="C104" t="str">
        <v/>
      </c>
      <c r="D104" t="str">
        <f>IF($C104="","",IFERROR(IF($E104="machine",INDEX('JLR Machines'!$B:$B,MATCH($C104,'JLR Machines'!$A:$A,0)),IF($E104="material",INDEX('JLR Materials'!$B:$B,MATCH($C104,'JLR Materials'!$A:$A,0)),IF($E104="labour",IFERROR(INDEX('JLR Labour'!$B:$B,MATCH($C104,'JLR Labour'!$A:$A,0)),"labour category "&amp;$C104&amp;" — from the machine tab"),""))),"NOT FOUND — check the code"))</f>
        <v/>
      </c>
      <c r="E104" t="str">
        <v>material</v>
      </c>
    </row>
    <row r="105">
      <c r="A105" t="str">
        <v>mat-pom</v>
      </c>
      <c r="B105" t="str">
        <v>POM / Acetal (Delrin) — Thermoplastic</v>
      </c>
      <c r="C105" t="str">
        <v/>
      </c>
      <c r="D105" t="str">
        <f>IF($C105="","",IFERROR(IF($E105="machine",INDEX('JLR Machines'!$B:$B,MATCH($C105,'JLR Machines'!$A:$A,0)),IF($E105="material",INDEX('JLR Materials'!$B:$B,MATCH($C105,'JLR Materials'!$A:$A,0)),IF($E105="labour",IFERROR(INDEX('JLR Labour'!$B:$B,MATCH($C105,'JLR Labour'!$A:$A,0)),"labour category "&amp;$C105&amp;" — from the machine tab"),""))),"NOT FOUND — check the code"))</f>
        <v/>
      </c>
      <c r="E105" t="str">
        <v>material</v>
      </c>
    </row>
    <row r="106">
      <c r="A106" t="str">
        <v>mat-pbt-gf30</v>
      </c>
      <c r="B106" t="str">
        <v>PBT GF30 — Thermoplastic</v>
      </c>
      <c r="C106" t="str">
        <v/>
      </c>
      <c r="D106" t="str">
        <f>IF($C106="","",IFERROR(IF($E106="machine",INDEX('JLR Machines'!$B:$B,MATCH($C106,'JLR Machines'!$A:$A,0)),IF($E106="material",INDEX('JLR Materials'!$B:$B,MATCH($C106,'JLR Materials'!$A:$A,0)),IF($E106="labour",IFERROR(INDEX('JLR Labour'!$B:$B,MATCH($C106,'JLR Labour'!$A:$A,0)),"labour category "&amp;$C106&amp;" — from the machine tab"),""))),"NOT FOUND — check the code"))</f>
        <v/>
      </c>
      <c r="E106" t="str">
        <v>material</v>
      </c>
    </row>
    <row r="107">
      <c r="A107" t="str">
        <v>mat-tpu-shore85</v>
      </c>
      <c r="B107" t="str">
        <v>TPU Shore 85A — Thermoplastic Elastomer</v>
      </c>
      <c r="C107" t="str">
        <v/>
      </c>
      <c r="D107" t="str">
        <f>IF($C107="","",IFERROR(IF($E107="machine",INDEX('JLR Machines'!$B:$B,MATCH($C107,'JLR Machines'!$A:$A,0)),IF($E107="material",INDEX('JLR Materials'!$B:$B,MATCH($C107,'JLR Materials'!$A:$A,0)),IF($E107="labour",IFERROR(INDEX('JLR Labour'!$B:$B,MATCH($C107,'JLR Labour'!$A:$A,0)),"labour category "&amp;$C107&amp;" — from the machine tab"),""))),"NOT FOUND — check the code"))</f>
        <v/>
      </c>
      <c r="E107" t="str">
        <v>material</v>
      </c>
    </row>
    <row r="108">
      <c r="A108" t="str">
        <v>mat-ldpe</v>
      </c>
      <c r="B108" t="str">
        <v>LDPE (2426H) — Thermoplastic</v>
      </c>
      <c r="C108" t="str">
        <v/>
      </c>
      <c r="D108" t="str">
        <f>IF($C108="","",IFERROR(IF($E108="machine",INDEX('JLR Machines'!$B:$B,MATCH($C108,'JLR Machines'!$A:$A,0)),IF($E108="material",INDEX('JLR Materials'!$B:$B,MATCH($C108,'JLR Materials'!$A:$A,0)),IF($E108="labour",IFERROR(INDEX('JLR Labour'!$B:$B,MATCH($C108,'JLR Labour'!$A:$A,0)),"labour category "&amp;$C108&amp;" — from the machine tab"),""))),"NOT FOUND — check the code"))</f>
        <v/>
      </c>
      <c r="E108" t="str">
        <v>material</v>
      </c>
    </row>
    <row r="109">
      <c r="A109" t="str">
        <v>mat-lldpe</v>
      </c>
      <c r="B109" t="str">
        <v>LLDPE C6 — Thermoplastic</v>
      </c>
      <c r="C109" t="str">
        <v/>
      </c>
      <c r="D109" t="str">
        <f>IF($C109="","",IFERROR(IF($E109="machine",INDEX('JLR Machines'!$B:$B,MATCH($C109,'JLR Machines'!$A:$A,0)),IF($E109="material",INDEX('JLR Materials'!$B:$B,MATCH($C109,'JLR Materials'!$A:$A,0)),IF($E109="labour",IFERROR(INDEX('JLR Labour'!$B:$B,MATCH($C109,'JLR Labour'!$A:$A,0)),"labour category "&amp;$C109&amp;" — from the machine tab"),""))),"NOT FOUND — check the code"))</f>
        <v/>
      </c>
      <c r="E109" t="str">
        <v>material</v>
      </c>
    </row>
    <row r="110">
      <c r="A110" t="str">
        <v>mat-pp-homo</v>
      </c>
      <c r="B110" t="str">
        <v>PP Homopolymer (MFI 12) — Thermoplastic</v>
      </c>
      <c r="C110" t="str">
        <v/>
      </c>
      <c r="D110" t="str">
        <f>IF($C110="","",IFERROR(IF($E110="machine",INDEX('JLR Machines'!$B:$B,MATCH($C110,'JLR Machines'!$A:$A,0)),IF($E110="material",INDEX('JLR Materials'!$B:$B,MATCH($C110,'JLR Materials'!$A:$A,0)),IF($E110="labour",IFERROR(INDEX('JLR Labour'!$B:$B,MATCH($C110,'JLR Labour'!$A:$A,0)),"labour category "&amp;$C110&amp;" — from the machine tab"),""))),"NOT FOUND — check the code"))</f>
        <v/>
      </c>
      <c r="E110" t="str">
        <v>material</v>
      </c>
    </row>
    <row r="111">
      <c r="A111" t="str">
        <v>mat-pp-impact</v>
      </c>
      <c r="B111" t="str">
        <v>PP Impact Copolymer (PP-B) — Thermoplastic</v>
      </c>
      <c r="C111" t="str">
        <v/>
      </c>
      <c r="D111" t="str">
        <f>IF($C111="","",IFERROR(IF($E111="machine",INDEX('JLR Machines'!$B:$B,MATCH($C111,'JLR Machines'!$A:$A,0)),IF($E111="material",INDEX('JLR Materials'!$B:$B,MATCH($C111,'JLR Materials'!$A:$A,0)),IF($E111="labour",IFERROR(INDEX('JLR Labour'!$B:$B,MATCH($C111,'JLR Labour'!$A:$A,0)),"labour category "&amp;$C111&amp;" — from the machine tab"),""))),"NOT FOUND — check the code"))</f>
        <v/>
      </c>
      <c r="E111" t="str">
        <v>material</v>
      </c>
    </row>
    <row r="112">
      <c r="A112" t="str">
        <v>mat-pp-gf30</v>
      </c>
      <c r="B112" t="str">
        <v>PP GF30 (Short Glass) — Thermoplastic</v>
      </c>
      <c r="C112" t="str">
        <v/>
      </c>
      <c r="D112" t="str">
        <f>IF($C112="","",IFERROR(IF($E112="machine",INDEX('JLR Machines'!$B:$B,MATCH($C112,'JLR Machines'!$A:$A,0)),IF($E112="material",INDEX('JLR Materials'!$B:$B,MATCH($C112,'JLR Materials'!$A:$A,0)),IF($E112="labour",IFERROR(INDEX('JLR Labour'!$B:$B,MATCH($C112,'JLR Labour'!$A:$A,0)),"labour category "&amp;$C112&amp;" — from the machine tab"),""))),"NOT FOUND — check the code"))</f>
        <v/>
      </c>
      <c r="E112" t="str">
        <v>material</v>
      </c>
    </row>
    <row r="113">
      <c r="A113" t="str">
        <v>mat-pet-bg</v>
      </c>
      <c r="B113" t="str">
        <v>PET Bottle Grade (1101) — Thermoplastic</v>
      </c>
      <c r="C113" t="str">
        <v/>
      </c>
      <c r="D113" t="str">
        <f>IF($C113="","",IFERROR(IF($E113="machine",INDEX('JLR Machines'!$B:$B,MATCH($C113,'JLR Machines'!$A:$A,0)),IF($E113="material",INDEX('JLR Materials'!$B:$B,MATCH($C113,'JLR Materials'!$A:$A,0)),IF($E113="labour",IFERROR(INDEX('JLR Labour'!$B:$B,MATCH($C113,'JLR Labour'!$A:$A,0)),"labour category "&amp;$C113&amp;" — from the machine tab"),""))),"NOT FOUND — check the code"))</f>
        <v/>
      </c>
      <c r="E113" t="str">
        <v>material</v>
      </c>
    </row>
    <row r="114">
      <c r="A114" t="str">
        <v>mat-pet-gf30</v>
      </c>
      <c r="B114" t="str">
        <v>PET GF30 (Engineering) — Thermoplastic</v>
      </c>
      <c r="C114" t="str">
        <v/>
      </c>
      <c r="D114" t="str">
        <f>IF($C114="","",IFERROR(IF($E114="machine",INDEX('JLR Machines'!$B:$B,MATCH($C114,'JLR Machines'!$A:$A,0)),IF($E114="material",INDEX('JLR Materials'!$B:$B,MATCH($C114,'JLR Materials'!$A:$A,0)),IF($E114="labour",IFERROR(INDEX('JLR Labour'!$B:$B,MATCH($C114,'JLR Labour'!$A:$A,0)),"labour category "&amp;$C114&amp;" — from the machine tab"),""))),"NOT FOUND — check the code"))</f>
        <v/>
      </c>
      <c r="E114" t="str">
        <v>material</v>
      </c>
    </row>
    <row r="115">
      <c r="A115" t="str">
        <v>mat-upvc</v>
      </c>
      <c r="B115" t="str">
        <v>Rigid PVC (uPVC pipe grade) — Thermoplastic</v>
      </c>
      <c r="C115" t="str">
        <v/>
      </c>
      <c r="D115" t="str">
        <f>IF($C115="","",IFERROR(IF($E115="machine",INDEX('JLR Machines'!$B:$B,MATCH($C115,'JLR Machines'!$A:$A,0)),IF($E115="material",INDEX('JLR Materials'!$B:$B,MATCH($C115,'JLR Materials'!$A:$A,0)),IF($E115="labour",IFERROR(INDEX('JLR Labour'!$B:$B,MATCH($C115,'JLR Labour'!$A:$A,0)),"labour category "&amp;$C115&amp;" — from the machine tab"),""))),"NOT FOUND — check the code"))</f>
        <v/>
      </c>
      <c r="E115" t="str">
        <v>material</v>
      </c>
    </row>
    <row r="116">
      <c r="A116" t="str">
        <v>mat-fpvc</v>
      </c>
      <c r="B116" t="str">
        <v>Flexible PVC (fPVC plasticised) — Thermoplastic</v>
      </c>
      <c r="C116" t="str">
        <v/>
      </c>
      <c r="D116" t="str">
        <f>IF($C116="","",IFERROR(IF($E116="machine",INDEX('JLR Machines'!$B:$B,MATCH($C116,'JLR Machines'!$A:$A,0)),IF($E116="material",INDEX('JLR Materials'!$B:$B,MATCH($C116,'JLR Materials'!$A:$A,0)),IF($E116="labour",IFERROR(INDEX('JLR Labour'!$B:$B,MATCH($C116,'JLR Labour'!$A:$A,0)),"labour category "&amp;$C116&amp;" — from the machine tab"),""))),"NOT FOUND — check the code"))</f>
        <v/>
      </c>
      <c r="E116" t="str">
        <v>material</v>
      </c>
    </row>
    <row r="117">
      <c r="A117" t="str">
        <v>mat-gpps</v>
      </c>
      <c r="B117" t="str">
        <v>GPPS (Crystal PS) — Thermoplastic</v>
      </c>
      <c r="C117" t="str">
        <v/>
      </c>
      <c r="D117" t="str">
        <f>IF($C117="","",IFERROR(IF($E117="machine",INDEX('JLR Machines'!$B:$B,MATCH($C117,'JLR Machines'!$A:$A,0)),IF($E117="material",INDEX('JLR Materials'!$B:$B,MATCH($C117,'JLR Materials'!$A:$A,0)),IF($E117="labour",IFERROR(INDEX('JLR Labour'!$B:$B,MATCH($C117,'JLR Labour'!$A:$A,0)),"labour category "&amp;$C117&amp;" — from the machine tab"),""))),"NOT FOUND — check the code"))</f>
        <v/>
      </c>
      <c r="E117" t="str">
        <v>material</v>
      </c>
    </row>
    <row r="118">
      <c r="A118" t="str">
        <v>mat-hips</v>
      </c>
      <c r="B118" t="str">
        <v>HIPS (High Impact PS) — Thermoplastic</v>
      </c>
      <c r="C118" t="str">
        <v/>
      </c>
      <c r="D118" t="str">
        <f>IF($C118="","",IFERROR(IF($E118="machine",INDEX('JLR Machines'!$B:$B,MATCH($C118,'JLR Machines'!$A:$A,0)),IF($E118="material",INDEX('JLR Materials'!$B:$B,MATCH($C118,'JLR Materials'!$A:$A,0)),IF($E118="labour",IFERROR(INDEX('JLR Labour'!$B:$B,MATCH($C118,'JLR Labour'!$A:$A,0)),"labour category "&amp;$C118&amp;" — from the machine tab"),""))),"NOT FOUND — check the code"))</f>
        <v/>
      </c>
      <c r="E118" t="str">
        <v>material</v>
      </c>
    </row>
    <row r="119">
      <c r="A119" t="str">
        <v>mat-pc-abs</v>
      </c>
      <c r="B119" t="str">
        <v>PC/ABS Blend (automotive grade) — Thermoplastic</v>
      </c>
      <c r="C119" t="str">
        <v/>
      </c>
      <c r="D119" t="str">
        <f>IF($C119="","",IFERROR(IF($E119="machine",INDEX('JLR Machines'!$B:$B,MATCH($C119,'JLR Machines'!$A:$A,0)),IF($E119="material",INDEX('JLR Materials'!$B:$B,MATCH($C119,'JLR Materials'!$A:$A,0)),IF($E119="labour",IFERROR(INDEX('JLR Labour'!$B:$B,MATCH($C119,'JLR Labour'!$A:$A,0)),"labour category "&amp;$C119&amp;" — from the machine tab"),""))),"NOT FOUND — check the code"))</f>
        <v/>
      </c>
      <c r="E119" t="str">
        <v>material</v>
      </c>
    </row>
    <row r="120">
      <c r="A120" t="str">
        <v>mat-pa6</v>
      </c>
      <c r="B120" t="str">
        <v>PA6 Unfilled — Thermoplastic</v>
      </c>
      <c r="C120" t="str">
        <v/>
      </c>
      <c r="D120" t="str">
        <f>IF($C120="","",IFERROR(IF($E120="machine",INDEX('JLR Machines'!$B:$B,MATCH($C120,'JLR Machines'!$A:$A,0)),IF($E120="material",INDEX('JLR Materials'!$B:$B,MATCH($C120,'JLR Materials'!$A:$A,0)),IF($E120="labour",IFERROR(INDEX('JLR Labour'!$B:$B,MATCH($C120,'JLR Labour'!$A:$A,0)),"labour category "&amp;$C120&amp;" — from the machine tab"),""))),"NOT FOUND — check the code"))</f>
        <v/>
      </c>
      <c r="E120" t="str">
        <v>material</v>
      </c>
    </row>
    <row r="121">
      <c r="A121" t="str">
        <v>mat-pa6-gf30</v>
      </c>
      <c r="B121" t="str">
        <v>PA6 GF30 — Thermoplastic</v>
      </c>
      <c r="C121" t="str">
        <v/>
      </c>
      <c r="D121" t="str">
        <f>IF($C121="","",IFERROR(IF($E121="machine",INDEX('JLR Machines'!$B:$B,MATCH($C121,'JLR Machines'!$A:$A,0)),IF($E121="material",INDEX('JLR Materials'!$B:$B,MATCH($C121,'JLR Materials'!$A:$A,0)),IF($E121="labour",IFERROR(INDEX('JLR Labour'!$B:$B,MATCH($C121,'JLR Labour'!$A:$A,0)),"labour category "&amp;$C121&amp;" — from the machine tab"),""))),"NOT FOUND — check the code"))</f>
        <v/>
      </c>
      <c r="E121" t="str">
        <v>material</v>
      </c>
    </row>
    <row r="122">
      <c r="A122" t="str">
        <v>mat-pa66</v>
      </c>
      <c r="B122" t="str">
        <v>PA66 Unfilled — Thermoplastic</v>
      </c>
      <c r="C122" t="str">
        <v/>
      </c>
      <c r="D122" t="str">
        <f>IF($C122="","",IFERROR(IF($E122="machine",INDEX('JLR Machines'!$B:$B,MATCH($C122,'JLR Machines'!$A:$A,0)),IF($E122="material",INDEX('JLR Materials'!$B:$B,MATCH($C122,'JLR Materials'!$A:$A,0)),IF($E122="labour",IFERROR(INDEX('JLR Labour'!$B:$B,MATCH($C122,'JLR Labour'!$A:$A,0)),"labour category "&amp;$C122&amp;" — from the machine tab"),""))),"NOT FOUND — check the code"))</f>
        <v/>
      </c>
      <c r="E122" t="str">
        <v>material</v>
      </c>
    </row>
    <row r="123">
      <c r="A123" t="str">
        <v>mat-peek</v>
      </c>
      <c r="B123" t="str">
        <v>PEEK Unfilled — High-Performance Thermoplastic</v>
      </c>
      <c r="C123" t="str">
        <v/>
      </c>
      <c r="D123" t="str">
        <f>IF($C123="","",IFERROR(IF($E123="machine",INDEX('JLR Machines'!$B:$B,MATCH($C123,'JLR Machines'!$A:$A,0)),IF($E123="material",INDEX('JLR Materials'!$B:$B,MATCH($C123,'JLR Materials'!$A:$A,0)),IF($E123="labour",IFERROR(INDEX('JLR Labour'!$B:$B,MATCH($C123,'JLR Labour'!$A:$A,0)),"labour category "&amp;$C123&amp;" — from the machine tab"),""))),"NOT FOUND — check the code"))</f>
        <v/>
      </c>
      <c r="E123" t="str">
        <v>material</v>
      </c>
    </row>
    <row r="124">
      <c r="A124" t="str">
        <v>mat-peek-gf30</v>
      </c>
      <c r="B124" t="str">
        <v>PEEK GF30 — High-Performance Thermoplastic</v>
      </c>
      <c r="C124" t="str">
        <v/>
      </c>
      <c r="D124" t="str">
        <f>IF($C124="","",IFERROR(IF($E124="machine",INDEX('JLR Machines'!$B:$B,MATCH($C124,'JLR Machines'!$A:$A,0)),IF($E124="material",INDEX('JLR Materials'!$B:$B,MATCH($C124,'JLR Materials'!$A:$A,0)),IF($E124="labour",IFERROR(INDEX('JLR Labour'!$B:$B,MATCH($C124,'JLR Labour'!$A:$A,0)),"labour category "&amp;$C124&amp;" — from the machine tab"),""))),"NOT FOUND — check the code"))</f>
        <v/>
      </c>
      <c r="E124" t="str">
        <v>material</v>
      </c>
    </row>
    <row r="125">
      <c r="A125" t="str">
        <v>mat-asa</v>
      </c>
      <c r="B125" t="str">
        <v>ASA (Weatherable) — Thermoplastic</v>
      </c>
      <c r="C125" t="str">
        <v/>
      </c>
      <c r="D125" t="str">
        <f>IF($C125="","",IFERROR(IF($E125="machine",INDEX('JLR Machines'!$B:$B,MATCH($C125,'JLR Machines'!$A:$A,0)),IF($E125="material",INDEX('JLR Materials'!$B:$B,MATCH($C125,'JLR Materials'!$A:$A,0)),IF($E125="labour",IFERROR(INDEX('JLR Labour'!$B:$B,MATCH($C125,'JLR Labour'!$A:$A,0)),"labour category "&amp;$C125&amp;" — from the machine tab"),""))),"NOT FOUND — check the code"))</f>
        <v/>
      </c>
      <c r="E125" t="str">
        <v>material</v>
      </c>
    </row>
    <row r="126">
      <c r="A126" t="str">
        <v>mat-san</v>
      </c>
      <c r="B126" t="str">
        <v>SAN (Styrene-Acrylonitrile) — Thermoplastic</v>
      </c>
      <c r="C126" t="str">
        <v/>
      </c>
      <c r="D126" t="str">
        <f>IF($C126="","",IFERROR(IF($E126="machine",INDEX('JLR Machines'!$B:$B,MATCH($C126,'JLR Machines'!$A:$A,0)),IF($E126="material",INDEX('JLR Materials'!$B:$B,MATCH($C126,'JLR Materials'!$A:$A,0)),IF($E126="labour",IFERROR(INDEX('JLR Labour'!$B:$B,MATCH($C126,'JLR Labour'!$A:$A,0)),"labour category "&amp;$C126&amp;" — from the machine tab"),""))),"NOT FOUND — check the code"))</f>
        <v/>
      </c>
      <c r="E126" t="str">
        <v>material</v>
      </c>
    </row>
    <row r="127">
      <c r="A127" t="str">
        <v>mat-pp-t20</v>
      </c>
      <c r="B127" t="str">
        <v>PP-T20 (20% Talc-filled) — Thermoplastic</v>
      </c>
      <c r="C127" t="str">
        <v/>
      </c>
      <c r="D127" t="str">
        <f>IF($C127="","",IFERROR(IF($E127="machine",INDEX('JLR Machines'!$B:$B,MATCH($C127,'JLR Machines'!$A:$A,0)),IF($E127="material",INDEX('JLR Materials'!$B:$B,MATCH($C127,'JLR Materials'!$A:$A,0)),IF($E127="labour",IFERROR(INDEX('JLR Labour'!$B:$B,MATCH($C127,'JLR Labour'!$A:$A,0)),"labour category "&amp;$C127&amp;" — from the machine tab"),""))),"NOT FOUND — check the code"))</f>
        <v/>
      </c>
      <c r="E127" t="str">
        <v>material</v>
      </c>
    </row>
    <row r="128">
      <c r="A128" t="str">
        <v>mat-pp-t30</v>
      </c>
      <c r="B128" t="str">
        <v>PP-T30 (30% Mineral/Talc-filled) — Thermoplastic</v>
      </c>
      <c r="C128" t="str">
        <v/>
      </c>
      <c r="D128" t="str">
        <f>IF($C128="","",IFERROR(IF($E128="machine",INDEX('JLR Machines'!$B:$B,MATCH($C128,'JLR Machines'!$A:$A,0)),IF($E128="material",INDEX('JLR Materials'!$B:$B,MATCH($C128,'JLR Materials'!$A:$A,0)),IF($E128="labour",IFERROR(INDEX('JLR Labour'!$B:$B,MATCH($C128,'JLR Labour'!$A:$A,0)),"labour category "&amp;$C128&amp;" — from the machine tab"),""))),"NOT FOUND — check the code"))</f>
        <v/>
      </c>
      <c r="E128" t="str">
        <v>material</v>
      </c>
    </row>
    <row r="129">
      <c r="A129" t="str">
        <v>mat-pp-lgf30</v>
      </c>
      <c r="B129" t="str">
        <v>PP-LGF30 (Long-Glass PP) — Thermoplastic</v>
      </c>
      <c r="C129" t="str">
        <v/>
      </c>
      <c r="D129" t="str">
        <f>IF($C129="","",IFERROR(IF($E129="machine",INDEX('JLR Machines'!$B:$B,MATCH($C129,'JLR Machines'!$A:$A,0)),IF($E129="material",INDEX('JLR Materials'!$B:$B,MATCH($C129,'JLR Materials'!$A:$A,0)),IF($E129="labour",IFERROR(INDEX('JLR Labour'!$B:$B,MATCH($C129,'JLR Labour'!$A:$A,0)),"labour category "&amp;$C129&amp;" — from the machine tab"),""))),"NOT FOUND — check the code"))</f>
        <v/>
      </c>
      <c r="E129" t="str">
        <v>material</v>
      </c>
    </row>
    <row r="130">
      <c r="A130" t="str">
        <v>mat-tpo</v>
      </c>
      <c r="B130" t="str">
        <v>TPO (Thermoplastic Olefin) — Thermoplastic</v>
      </c>
      <c r="C130" t="str">
        <v/>
      </c>
      <c r="D130" t="str">
        <f>IF($C130="","",IFERROR(IF($E130="machine",INDEX('JLR Machines'!$B:$B,MATCH($C130,'JLR Machines'!$A:$A,0)),IF($E130="material",INDEX('JLR Materials'!$B:$B,MATCH($C130,'JLR Materials'!$A:$A,0)),IF($E130="labour",IFERROR(INDEX('JLR Labour'!$B:$B,MATCH($C130,'JLR Labour'!$A:$A,0)),"labour category "&amp;$C130&amp;" — from the machine tab"),""))),"NOT FOUND — check the code"))</f>
        <v/>
      </c>
      <c r="E130" t="str">
        <v>material</v>
      </c>
    </row>
    <row r="131">
      <c r="A131" t="str">
        <v>mat-tpv</v>
      </c>
      <c r="B131" t="str">
        <v>TPV (Santoprene-type) — Thermoplastic Elastomer</v>
      </c>
      <c r="C131" t="str">
        <v/>
      </c>
      <c r="D131" t="str">
        <f>IF($C131="","",IFERROR(IF($E131="machine",INDEX('JLR Machines'!$B:$B,MATCH($C131,'JLR Machines'!$A:$A,0)),IF($E131="material",INDEX('JLR Materials'!$B:$B,MATCH($C131,'JLR Materials'!$A:$A,0)),IF($E131="labour",IFERROR(INDEX('JLR Labour'!$B:$B,MATCH($C131,'JLR Labour'!$A:$A,0)),"labour category "&amp;$C131&amp;" — from the machine tab"),""))),"NOT FOUND — check the code"))</f>
        <v/>
      </c>
      <c r="E131" t="str">
        <v>material</v>
      </c>
    </row>
    <row r="132">
      <c r="A132" t="str">
        <v>mat-pmma</v>
      </c>
      <c r="B132" t="str">
        <v>PMMA (Acrylic) — Thermoplastic</v>
      </c>
      <c r="C132" t="str">
        <v/>
      </c>
      <c r="D132" t="str">
        <f>IF($C132="","",IFERROR(IF($E132="machine",INDEX('JLR Machines'!$B:$B,MATCH($C132,'JLR Machines'!$A:$A,0)),IF($E132="material",INDEX('JLR Materials'!$B:$B,MATCH($C132,'JLR Materials'!$A:$A,0)),IF($E132="labour",IFERROR(INDEX('JLR Labour'!$B:$B,MATCH($C132,'JLR Labour'!$A:$A,0)),"labour category "&amp;$C132&amp;" — from the machine tab"),""))),"NOT FOUND — check the code"))</f>
        <v/>
      </c>
      <c r="E132" t="str">
        <v>material</v>
      </c>
    </row>
    <row r="133">
      <c r="A133" t="str">
        <v>mat-pps-gf40</v>
      </c>
      <c r="B133" t="str">
        <v>PPS GF40 — High-Performance Thermoplastic</v>
      </c>
      <c r="C133" t="str">
        <v/>
      </c>
      <c r="D133" t="str">
        <f>IF($C133="","",IFERROR(IF($E133="machine",INDEX('JLR Machines'!$B:$B,MATCH($C133,'JLR Machines'!$A:$A,0)),IF($E133="material",INDEX('JLR Materials'!$B:$B,MATCH($C133,'JLR Materials'!$A:$A,0)),IF($E133="labour",IFERROR(INDEX('JLR Labour'!$B:$B,MATCH($C133,'JLR Labour'!$A:$A,0)),"labour category "&amp;$C133&amp;" — from the machine tab"),""))),"NOT FOUND — check the code"))</f>
        <v/>
      </c>
      <c r="E133" t="str">
        <v>material</v>
      </c>
    </row>
    <row r="134">
      <c r="A134" t="str">
        <v>mat-ppa-gf35</v>
      </c>
      <c r="B134" t="str">
        <v>PPA GF35 (High-Temp Polyamide) — High-Performance Thermoplastic</v>
      </c>
      <c r="C134" t="str">
        <v/>
      </c>
      <c r="D134" t="str">
        <f>IF($C134="","",IFERROR(IF($E134="machine",INDEX('JLR Machines'!$B:$B,MATCH($C134,'JLR Machines'!$A:$A,0)),IF($E134="material",INDEX('JLR Materials'!$B:$B,MATCH($C134,'JLR Materials'!$A:$A,0)),IF($E134="labour",IFERROR(INDEX('JLR Labour'!$B:$B,MATCH($C134,'JLR Labour'!$A:$A,0)),"labour category "&amp;$C134&amp;" — from the machine tab"),""))),"NOT FOUND — check the code"))</f>
        <v/>
      </c>
      <c r="E134" t="str">
        <v>material</v>
      </c>
    </row>
    <row r="135">
      <c r="A135" t="str">
        <v>mat-pei</v>
      </c>
      <c r="B135" t="str">
        <v>PEI (Ultem, Unfilled) — High-Performance Thermoplastic</v>
      </c>
      <c r="C135" t="str">
        <v/>
      </c>
      <c r="D135" t="str">
        <f>IF($C135="","",IFERROR(IF($E135="machine",INDEX('JLR Machines'!$B:$B,MATCH($C135,'JLR Machines'!$A:$A,0)),IF($E135="material",INDEX('JLR Materials'!$B:$B,MATCH($C135,'JLR Materials'!$A:$A,0)),IF($E135="labour",IFERROR(INDEX('JLR Labour'!$B:$B,MATCH($C135,'JLR Labour'!$A:$A,0)),"labour category "&amp;$C135&amp;" — from the machine tab"),""))),"NOT FOUND — check the code"))</f>
        <v/>
      </c>
      <c r="E135" t="str">
        <v>material</v>
      </c>
    </row>
    <row r="136">
      <c r="A136" t="str">
        <v>mat-pei-gf30</v>
      </c>
      <c r="B136" t="str">
        <v>PEI GF30 — High-Performance Thermoplastic</v>
      </c>
      <c r="C136" t="str">
        <v/>
      </c>
      <c r="D136" t="str">
        <f>IF($C136="","",IFERROR(IF($E136="machine",INDEX('JLR Machines'!$B:$B,MATCH($C136,'JLR Machines'!$A:$A,0)),IF($E136="material",INDEX('JLR Materials'!$B:$B,MATCH($C136,'JLR Materials'!$A:$A,0)),IF($E136="labour",IFERROR(INDEX('JLR Labour'!$B:$B,MATCH($C136,'JLR Labour'!$A:$A,0)),"labour category "&amp;$C136&amp;" — from the machine tab"),""))),"NOT FOUND — check the code"))</f>
        <v/>
      </c>
      <c r="E136" t="str">
        <v>material</v>
      </c>
    </row>
    <row r="137">
      <c r="A137" t="str">
        <v>mat-lcp-gf30</v>
      </c>
      <c r="B137" t="str">
        <v>LCP GF30 (Liquid-Crystal Polymer) — High-Performance Thermoplastic</v>
      </c>
      <c r="C137" t="str">
        <v/>
      </c>
      <c r="D137" t="str">
        <f>IF($C137="","",IFERROR(IF($E137="machine",INDEX('JLR Machines'!$B:$B,MATCH($C137,'JLR Machines'!$A:$A,0)),IF($E137="material",INDEX('JLR Materials'!$B:$B,MATCH($C137,'JLR Materials'!$A:$A,0)),IF($E137="labour",IFERROR(INDEX('JLR Labour'!$B:$B,MATCH($C137,'JLR Labour'!$A:$A,0)),"labour category "&amp;$C137&amp;" — from the machine tab"),""))),"NOT FOUND — check the code"))</f>
        <v/>
      </c>
      <c r="E137" t="str">
        <v>material</v>
      </c>
    </row>
    <row r="138">
      <c r="A138" t="str">
        <v>mat-pa66-gf35</v>
      </c>
      <c r="B138" t="str">
        <v>PA66 GF35 — Thermoplastic</v>
      </c>
      <c r="C138" t="str">
        <v/>
      </c>
      <c r="D138" t="str">
        <f>IF($C138="","",IFERROR(IF($E138="machine",INDEX('JLR Machines'!$B:$B,MATCH($C138,'JLR Machines'!$A:$A,0)),IF($E138="material",INDEX('JLR Materials'!$B:$B,MATCH($C138,'JLR Materials'!$A:$A,0)),IF($E138="labour",IFERROR(INDEX('JLR Labour'!$B:$B,MATCH($C138,'JLR Labour'!$A:$A,0)),"labour category "&amp;$C138&amp;" — from the machine tab"),""))),"NOT FOUND — check the code"))</f>
        <v/>
      </c>
      <c r="E138" t="str">
        <v>material</v>
      </c>
    </row>
    <row r="139">
      <c r="A139" t="str">
        <v>mat-pa66-gf50</v>
      </c>
      <c r="B139" t="str">
        <v>PA66 GF50 — Thermoplastic</v>
      </c>
      <c r="C139" t="str">
        <v/>
      </c>
      <c r="D139" t="str">
        <f>IF($C139="","",IFERROR(IF($E139="machine",INDEX('JLR Machines'!$B:$B,MATCH($C139,'JLR Machines'!$A:$A,0)),IF($E139="material",INDEX('JLR Materials'!$B:$B,MATCH($C139,'JLR Materials'!$A:$A,0)),IF($E139="labour",IFERROR(INDEX('JLR Labour'!$B:$B,MATCH($C139,'JLR Labour'!$A:$A,0)),"labour category "&amp;$C139&amp;" — from the machine tab"),""))),"NOT FOUND — check the code"))</f>
        <v/>
      </c>
      <c r="E139" t="str">
        <v>material</v>
      </c>
    </row>
    <row r="140">
      <c r="A140" t="str">
        <v>mat-pa66-min</v>
      </c>
      <c r="B140" t="str">
        <v>PA66 Mineral-filled (Low-Warp) — Thermoplastic</v>
      </c>
      <c r="C140" t="str">
        <v/>
      </c>
      <c r="D140" t="str">
        <f>IF($C140="","",IFERROR(IF($E140="machine",INDEX('JLR Machines'!$B:$B,MATCH($C140,'JLR Machines'!$A:$A,0)),IF($E140="material",INDEX('JLR Materials'!$B:$B,MATCH($C140,'JLR Materials'!$A:$A,0)),IF($E140="labour",IFERROR(INDEX('JLR Labour'!$B:$B,MATCH($C140,'JLR Labour'!$A:$A,0)),"labour category "&amp;$C140&amp;" — from the machine tab"),""))),"NOT FOUND — check the code"))</f>
        <v/>
      </c>
      <c r="E140" t="str">
        <v>material</v>
      </c>
    </row>
    <row r="141">
      <c r="A141" t="str">
        <v>mat-pa12</v>
      </c>
      <c r="B141" t="str">
        <v>PA12 (Nylon 12) — Thermoplastic</v>
      </c>
      <c r="C141" t="str">
        <v/>
      </c>
      <c r="D141" t="str">
        <f>IF($C141="","",IFERROR(IF($E141="machine",INDEX('JLR Machines'!$B:$B,MATCH($C141,'JLR Machines'!$A:$A,0)),IF($E141="material",INDEX('JLR Materials'!$B:$B,MATCH($C141,'JLR Materials'!$A:$A,0)),IF($E141="labour",IFERROR(INDEX('JLR Labour'!$B:$B,MATCH($C141,'JLR Labour'!$A:$A,0)),"labour category "&amp;$C141&amp;" — from the machine tab"),""))),"NOT FOUND — check the code"))</f>
        <v/>
      </c>
      <c r="E141" t="str">
        <v>material</v>
      </c>
    </row>
    <row r="142">
      <c r="A142" t="str">
        <v>mat-pc-pbt</v>
      </c>
      <c r="B142" t="str">
        <v>PC/PBT Blend — Thermoplastic</v>
      </c>
      <c r="C142" t="str">
        <v/>
      </c>
      <c r="D142" t="str">
        <f>IF($C142="","",IFERROR(IF($E142="machine",INDEX('JLR Machines'!$B:$B,MATCH($C142,'JLR Machines'!$A:$A,0)),IF($E142="material",INDEX('JLR Materials'!$B:$B,MATCH($C142,'JLR Materials'!$A:$A,0)),IF($E142="labour",IFERROR(INDEX('JLR Labour'!$B:$B,MATCH($C142,'JLR Labour'!$A:$A,0)),"labour category "&amp;$C142&amp;" — from the machine tab"),""))),"NOT FOUND — check the code"))</f>
        <v/>
      </c>
      <c r="E142" t="str">
        <v>material</v>
      </c>
    </row>
    <row r="143">
      <c r="A143" t="str">
        <v>mat-mppe</v>
      </c>
      <c r="B143" t="str">
        <v>mPPE / PPO (Noryl-type) — Thermoplastic</v>
      </c>
      <c r="C143" t="str">
        <v/>
      </c>
      <c r="D143" t="str">
        <f>IF($C143="","",IFERROR(IF($E143="machine",INDEX('JLR Machines'!$B:$B,MATCH($C143,'JLR Machines'!$A:$A,0)),IF($E143="material",INDEX('JLR Materials'!$B:$B,MATCH($C143,'JLR Materials'!$A:$A,0)),IF($E143="labour",IFERROR(INDEX('JLR Labour'!$B:$B,MATCH($C143,'JLR Labour'!$A:$A,0)),"labour category "&amp;$C143&amp;" — from the machine tab"),""))),"NOT FOUND — check the code"))</f>
        <v/>
      </c>
      <c r="E143" t="str">
        <v>material</v>
      </c>
    </row>
    <row r="144">
      <c r="A144" t="str">
        <v>mat-pc-fr</v>
      </c>
      <c r="B144" t="str">
        <v>PC FR (UL94 V0) — Thermoplastic</v>
      </c>
      <c r="C144" t="str">
        <v/>
      </c>
      <c r="D144" t="str">
        <f>IF($C144="","",IFERROR(IF($E144="machine",INDEX('JLR Machines'!$B:$B,MATCH($C144,'JLR Machines'!$A:$A,0)),IF($E144="material",INDEX('JLR Materials'!$B:$B,MATCH($C144,'JLR Materials'!$A:$A,0)),IF($E144="labour",IFERROR(INDEX('JLR Labour'!$B:$B,MATCH($C144,'JLR Labour'!$A:$A,0)),"labour category "&amp;$C144&amp;" — from the machine tab"),""))),"NOT FOUND — check the code"))</f>
        <v/>
      </c>
      <c r="E144" t="str">
        <v>material</v>
      </c>
    </row>
    <row r="145">
      <c r="A145" t="str">
        <v>mat-pa66-gf25-fr</v>
      </c>
      <c r="B145" t="str">
        <v>PA66 GF25 FR (UL94 V0) — Thermoplastic</v>
      </c>
      <c r="C145" t="str">
        <v/>
      </c>
      <c r="D145" t="str">
        <f>IF($C145="","",IFERROR(IF($E145="machine",INDEX('JLR Machines'!$B:$B,MATCH($C145,'JLR Machines'!$A:$A,0)),IF($E145="material",INDEX('JLR Materials'!$B:$B,MATCH($C145,'JLR Materials'!$A:$A,0)),IF($E145="labour",IFERROR(INDEX('JLR Labour'!$B:$B,MATCH($C145,'JLR Labour'!$A:$A,0)),"labour category "&amp;$C145&amp;" — from the machine tab"),""))),"NOT FOUND — check the code"))</f>
        <v/>
      </c>
      <c r="E145" t="str">
        <v>material</v>
      </c>
    </row>
    <row r="146">
      <c r="A146" t="str">
        <v>mat-pcr-pp</v>
      </c>
      <c r="B146" t="str">
        <v>PCR PP (Post-Consumer Recycled) — Thermoplastic</v>
      </c>
      <c r="C146" t="str">
        <v/>
      </c>
      <c r="D146" t="str">
        <f>IF($C146="","",IFERROR(IF($E146="machine",INDEX('JLR Machines'!$B:$B,MATCH($C146,'JLR Machines'!$A:$A,0)),IF($E146="material",INDEX('JLR Materials'!$B:$B,MATCH($C146,'JLR Materials'!$A:$A,0)),IF($E146="labour",IFERROR(INDEX('JLR Labour'!$B:$B,MATCH($C146,'JLR Labour'!$A:$A,0)),"labour category "&amp;$C146&amp;" — from the machine tab"),""))),"NOT FOUND — check the code"))</f>
        <v/>
      </c>
      <c r="E146" t="str">
        <v>material</v>
      </c>
    </row>
    <row r="147">
      <c r="A147" t="str">
        <v>mat-bio-pa610</v>
      </c>
      <c r="B147" t="str">
        <v>Bio-PA610 (Castor-based) — High-Performance Thermoplastic</v>
      </c>
      <c r="C147" t="str">
        <v/>
      </c>
      <c r="D147" t="str">
        <f>IF($C147="","",IFERROR(IF($E147="machine",INDEX('JLR Machines'!$B:$B,MATCH($C147,'JLR Machines'!$A:$A,0)),IF($E147="material",INDEX('JLR Materials'!$B:$B,MATCH($C147,'JLR Materials'!$A:$A,0)),IF($E147="labour",IFERROR(INDEX('JLR Labour'!$B:$B,MATCH($C147,'JLR Labour'!$A:$A,0)),"labour category "&amp;$C147&amp;" — from the machine tab"),""))),"NOT FOUND — check the code"))</f>
        <v/>
      </c>
      <c r="E147" t="str">
        <v>material</v>
      </c>
    </row>
    <row r="148">
      <c r="A148" t="str">
        <v>mat-pc-glazing</v>
      </c>
      <c r="B148" t="str">
        <v>PC Glazing Grade (Automotive) — Thermoplastic</v>
      </c>
      <c r="C148" t="str">
        <v/>
      </c>
      <c r="D148" t="str">
        <f>IF($C148="","",IFERROR(IF($E148="machine",INDEX('JLR Machines'!$B:$B,MATCH($C148,'JLR Machines'!$A:$A,0)),IF($E148="material",INDEX('JLR Materials'!$B:$B,MATCH($C148,'JLR Materials'!$A:$A,0)),IF($E148="labour",IFERROR(INDEX('JLR Labour'!$B:$B,MATCH($C148,'JLR Labour'!$A:$A,0)),"labour category "&amp;$C148&amp;" — from the machine tab"),""))),"NOT FOUND — check the code"))</f>
        <v/>
      </c>
      <c r="E148" t="str">
        <v>material</v>
      </c>
    </row>
    <row r="149">
      <c r="A149" t="str">
        <v>mat-adc12</v>
      </c>
      <c r="B149" t="str">
        <v>ADC12 / A383 — Die Cast Aluminium</v>
      </c>
      <c r="C149" t="str">
        <v/>
      </c>
      <c r="D149" t="str">
        <f>IF($C149="","",IFERROR(IF($E149="machine",INDEX('JLR Machines'!$B:$B,MATCH($C149,'JLR Machines'!$A:$A,0)),IF($E149="material",INDEX('JLR Materials'!$B:$B,MATCH($C149,'JLR Materials'!$A:$A,0)),IF($E149="labour",IFERROR(INDEX('JLR Labour'!$B:$B,MATCH($C149,'JLR Labour'!$A:$A,0)),"labour category "&amp;$C149&amp;" — from the machine tab"),""))),"NOT FOUND — check the code"))</f>
        <v/>
      </c>
      <c r="E149" t="str">
        <v>material</v>
      </c>
    </row>
    <row r="150">
      <c r="A150" t="str">
        <v>mat-a380</v>
      </c>
      <c r="B150" t="str">
        <v>A380 / EN AC-46000 (Al-Si Die-Cast Alloy) — Die Cast Aluminium</v>
      </c>
      <c r="C150" t="str">
        <v/>
      </c>
      <c r="D150" t="str">
        <f>IF($C150="","",IFERROR(IF($E150="machine",INDEX('JLR Machines'!$B:$B,MATCH($C150,'JLR Machines'!$A:$A,0)),IF($E150="material",INDEX('JLR Materials'!$B:$B,MATCH($C150,'JLR Materials'!$A:$A,0)),IF($E150="labour",IFERROR(INDEX('JLR Labour'!$B:$B,MATCH($C150,'JLR Labour'!$A:$A,0)),"labour category "&amp;$C150&amp;" — from the machine tab"),""))),"NOT FOUND — check the code"))</f>
        <v/>
      </c>
      <c r="E150" t="str">
        <v>material</v>
      </c>
    </row>
    <row r="151">
      <c r="A151" t="str">
        <v>mat-gjl250</v>
      </c>
      <c r="B151" t="str">
        <v>EN-GJL-250 — Grey Cast Iron</v>
      </c>
      <c r="C151" t="str">
        <v/>
      </c>
      <c r="D151" t="str">
        <f>IF($C151="","",IFERROR(IF($E151="machine",INDEX('JLR Machines'!$B:$B,MATCH($C151,'JLR Machines'!$A:$A,0)),IF($E151="material",INDEX('JLR Materials'!$B:$B,MATCH($C151,'JLR Materials'!$A:$A,0)),IF($E151="labour",IFERROR(INDEX('JLR Labour'!$B:$B,MATCH($C151,'JLR Labour'!$A:$A,0)),"labour category "&amp;$C151&amp;" — from the machine tab"),""))),"NOT FOUND — check the code"))</f>
        <v/>
      </c>
      <c r="E151" t="str">
        <v>material</v>
      </c>
    </row>
    <row r="152">
      <c r="A152" t="str">
        <v>mat-lm25</v>
      </c>
      <c r="B152" t="str">
        <v>LM25 / A356 — Gravity/Sand Aluminium</v>
      </c>
      <c r="C152" t="str">
        <v/>
      </c>
      <c r="D152" t="str">
        <f>IF($C152="","",IFERROR(IF($E152="machine",INDEX('JLR Machines'!$B:$B,MATCH($C152,'JLR Machines'!$A:$A,0)),IF($E152="material",INDEX('JLR Materials'!$B:$B,MATCH($C152,'JLR Materials'!$A:$A,0)),IF($E152="labour",IFERROR(INDEX('JLR Labour'!$B:$B,MATCH($C152,'JLR Labour'!$A:$A,0)),"labour category "&amp;$C152&amp;" — from the machine tab"),""))),"NOT FOUND — check the code"))</f>
        <v/>
      </c>
      <c r="E152" t="str">
        <v>material</v>
      </c>
    </row>
    <row r="153">
      <c r="A153" t="str">
        <v>mat-gjl350</v>
      </c>
      <c r="B153" t="str">
        <v>EN-GJL-350 — Grey Cast Iron</v>
      </c>
      <c r="C153" t="str">
        <v/>
      </c>
      <c r="D153" t="str">
        <f>IF($C153="","",IFERROR(IF($E153="machine",INDEX('JLR Machines'!$B:$B,MATCH($C153,'JLR Machines'!$A:$A,0)),IF($E153="material",INDEX('JLR Materials'!$B:$B,MATCH($C153,'JLR Materials'!$A:$A,0)),IF($E153="labour",IFERROR(INDEX('JLR Labour'!$B:$B,MATCH($C153,'JLR Labour'!$A:$A,0)),"labour category "&amp;$C153&amp;" — from the machine tab"),""))),"NOT FOUND — check the code"))</f>
        <v/>
      </c>
      <c r="E153" t="str">
        <v>material</v>
      </c>
    </row>
    <row r="154">
      <c r="A154" t="str">
        <v>mat-bronze-c905</v>
      </c>
      <c r="B154" t="str">
        <v>C905 Phosphor Bronze — Copper Alloy</v>
      </c>
      <c r="C154" t="str">
        <v/>
      </c>
      <c r="D154" t="str">
        <f>IF($C154="","",IFERROR(IF($E154="machine",INDEX('JLR Machines'!$B:$B,MATCH($C154,'JLR Machines'!$A:$A,0)),IF($E154="material",INDEX('JLR Materials'!$B:$B,MATCH($C154,'JLR Materials'!$A:$A,0)),IF($E154="labour",IFERROR(INDEX('JLR Labour'!$B:$B,MATCH($C154,'JLR Labour'!$A:$A,0)),"labour category "&amp;$C154&amp;" — from the machine tab"),""))),"NOT FOUND — check the code"))</f>
        <v/>
      </c>
      <c r="E154" t="str">
        <v>material</v>
      </c>
    </row>
    <row r="155">
      <c r="A155" t="str">
        <v>mat-mag-az91</v>
      </c>
      <c r="B155" t="str">
        <v>AZ91D Magnesium Die Cast — Magnesium Alloy</v>
      </c>
      <c r="C155" t="str">
        <v/>
      </c>
      <c r="D155" t="str">
        <f>IF($C155="","",IFERROR(IF($E155="machine",INDEX('JLR Machines'!$B:$B,MATCH($C155,'JLR Machines'!$A:$A,0)),IF($E155="material",INDEX('JLR Materials'!$B:$B,MATCH($C155,'JLR Materials'!$A:$A,0)),IF($E155="labour",IFERROR(INDEX('JLR Labour'!$B:$B,MATCH($C155,'JLR Labour'!$A:$A,0)),"labour category "&amp;$C155&amp;" — from the machine tab"),""))),"NOT FOUND — check the code"))</f>
        <v/>
      </c>
      <c r="E155" t="str">
        <v>material</v>
      </c>
    </row>
    <row r="156">
      <c r="A156" t="str">
        <v>mat-ss304-cast</v>
      </c>
      <c r="B156" t="str">
        <v>CF8 / 304 Cast Stainless — Cast Stainless Steel</v>
      </c>
      <c r="C156" t="str">
        <v/>
      </c>
      <c r="D156" t="str">
        <f>IF($C156="","",IFERROR(IF($E156="machine",INDEX('JLR Machines'!$B:$B,MATCH($C156,'JLR Machines'!$A:$A,0)),IF($E156="material",INDEX('JLR Materials'!$B:$B,MATCH($C156,'JLR Materials'!$A:$A,0)),IF($E156="labour",IFERROR(INDEX('JLR Labour'!$B:$B,MATCH($C156,'JLR Labour'!$A:$A,0)),"labour category "&amp;$C156&amp;" — from the machine tab"),""))),"NOT FOUND — check the code"))</f>
        <v/>
      </c>
      <c r="E156" t="str">
        <v>material</v>
      </c>
    </row>
    <row r="157">
      <c r="A157" t="str">
        <v>mat-adc12-secondary</v>
      </c>
      <c r="B157" t="str">
        <v>ADC12 Secondary (recycled) — Die Cast Aluminium</v>
      </c>
      <c r="C157" t="str">
        <v/>
      </c>
      <c r="D157" t="str">
        <f>IF($C157="","",IFERROR(IF($E157="machine",INDEX('JLR Machines'!$B:$B,MATCH($C157,'JLR Machines'!$A:$A,0)),IF($E157="material",INDEX('JLR Materials'!$B:$B,MATCH($C157,'JLR Materials'!$A:$A,0)),IF($E157="labour",IFERROR(INDEX('JLR Labour'!$B:$B,MATCH($C157,'JLR Labour'!$A:$A,0)),"labour category "&amp;$C157&amp;" — from the machine tab"),""))),"NOT FOUND — check the code"))</f>
        <v/>
      </c>
      <c r="E157" t="str">
        <v>material</v>
      </c>
    </row>
    <row r="158">
      <c r="A158" t="str">
        <v>mat-alsi10mg</v>
      </c>
      <c r="B158" t="str">
        <v>AlSi10Mg (A360/Scalmalloy) — Die Cast Aluminium</v>
      </c>
      <c r="C158" t="str">
        <v/>
      </c>
      <c r="D158" t="str">
        <f>IF($C158="","",IFERROR(IF($E158="machine",INDEX('JLR Machines'!$B:$B,MATCH($C158,'JLR Machines'!$A:$A,0)),IF($E158="material",INDEX('JLR Materials'!$B:$B,MATCH($C158,'JLR Materials'!$A:$A,0)),IF($E158="labour",IFERROR(INDEX('JLR Labour'!$B:$B,MATCH($C158,'JLR Labour'!$A:$A,0)),"labour category "&amp;$C158&amp;" — from the machine tab"),""))),"NOT FOUND — check the code"))</f>
        <v/>
      </c>
      <c r="E158" t="str">
        <v>material</v>
      </c>
    </row>
    <row r="159">
      <c r="A159" t="str">
        <v>mat-a365</v>
      </c>
      <c r="B159" t="str">
        <v>A365 / AlSi7Mg — Die Cast Aluminium</v>
      </c>
      <c r="C159" t="str">
        <v/>
      </c>
      <c r="D159" t="str">
        <f>IF($C159="","",IFERROR(IF($E159="machine",INDEX('JLR Machines'!$B:$B,MATCH($C159,'JLR Machines'!$A:$A,0)),IF($E159="material",INDEX('JLR Materials'!$B:$B,MATCH($C159,'JLR Materials'!$A:$A,0)),IF($E159="labour",IFERROR(INDEX('JLR Labour'!$B:$B,MATCH($C159,'JLR Labour'!$A:$A,0)),"labour category "&amp;$C159&amp;" — from the machine tab"),""))),"NOT FOUND — check the code"))</f>
        <v/>
      </c>
      <c r="E159" t="str">
        <v>material</v>
      </c>
    </row>
    <row r="160">
      <c r="A160" t="str">
        <v>mat-zamak3</v>
      </c>
      <c r="B160" t="str">
        <v>Zamak 3 (Zinc Die Cast) — Zinc Die Cast</v>
      </c>
      <c r="C160" t="str">
        <v/>
      </c>
      <c r="D160" t="str">
        <f>IF($C160="","",IFERROR(IF($E160="machine",INDEX('JLR Machines'!$B:$B,MATCH($C160,'JLR Machines'!$A:$A,0)),IF($E160="material",INDEX('JLR Materials'!$B:$B,MATCH($C160,'JLR Materials'!$A:$A,0)),IF($E160="labour",IFERROR(INDEX('JLR Labour'!$B:$B,MATCH($C160,'JLR Labour'!$A:$A,0)),"labour category "&amp;$C160&amp;" — from the machine tab"),""))),"NOT FOUND — check the code"))</f>
        <v/>
      </c>
      <c r="E160" t="str">
        <v>material</v>
      </c>
    </row>
    <row r="161">
      <c r="A161" t="str">
        <v>mat-zamak5</v>
      </c>
      <c r="B161" t="str">
        <v>Zamak 5 (Zinc Die Cast, Hi-Strength) — Zinc Die Cast</v>
      </c>
      <c r="C161" t="str">
        <v/>
      </c>
      <c r="D161" t="str">
        <f>IF($C161="","",IFERROR(IF($E161="machine",INDEX('JLR Machines'!$B:$B,MATCH($C161,'JLR Machines'!$A:$A,0)),IF($E161="material",INDEX('JLR Materials'!$B:$B,MATCH($C161,'JLR Materials'!$A:$A,0)),IF($E161="labour",IFERROR(INDEX('JLR Labour'!$B:$B,MATCH($C161,'JLR Labour'!$A:$A,0)),"labour category "&amp;$C161&amp;" — from the machine tab"),""))),"NOT FOUND — check the code"))</f>
        <v/>
      </c>
      <c r="E161" t="str">
        <v>material</v>
      </c>
    </row>
    <row r="162">
      <c r="A162" t="str">
        <v>mat-gjs400</v>
      </c>
      <c r="B162" t="str">
        <v>EN-GJS-400-15 (Ductile Iron) — Ductile Cast Iron</v>
      </c>
      <c r="C162" t="str">
        <v/>
      </c>
      <c r="D162" t="str">
        <f>IF($C162="","",IFERROR(IF($E162="machine",INDEX('JLR Machines'!$B:$B,MATCH($C162,'JLR Machines'!$A:$A,0)),IF($E162="material",INDEX('JLR Materials'!$B:$B,MATCH($C162,'JLR Materials'!$A:$A,0)),IF($E162="labour",IFERROR(INDEX('JLR Labour'!$B:$B,MATCH($C162,'JLR Labour'!$A:$A,0)),"labour category "&amp;$C162&amp;" — from the machine tab"),""))),"NOT FOUND — check the code"))</f>
        <v/>
      </c>
      <c r="E162" t="str">
        <v>material</v>
      </c>
    </row>
    <row r="163">
      <c r="A163" t="str">
        <v>mat-gjs600</v>
      </c>
      <c r="B163" t="str">
        <v>EN-GJS-600-3 (Ductile Iron Hi-Strength) — Ductile Cast Iron</v>
      </c>
      <c r="C163" t="str">
        <v/>
      </c>
      <c r="D163" t="str">
        <f>IF($C163="","",IFERROR(IF($E163="machine",INDEX('JLR Machines'!$B:$B,MATCH($C163,'JLR Machines'!$A:$A,0)),IF($E163="material",INDEX('JLR Materials'!$B:$B,MATCH($C163,'JLR Materials'!$A:$A,0)),IF($E163="labour",IFERROR(INDEX('JLR Labour'!$B:$B,MATCH($C163,'JLR Labour'!$A:$A,0)),"labour category "&amp;$C163&amp;" — from the machine tab"),""))),"NOT FOUND — check the code"))</f>
        <v/>
      </c>
      <c r="E163" t="str">
        <v>material</v>
      </c>
    </row>
    <row r="164">
      <c r="A164" t="str">
        <v>mat-aural5</v>
      </c>
      <c r="B164" t="str">
        <v>Aural-5 (AlSi9MnMg, Rheinfelden) — Structural HPDC Aluminium</v>
      </c>
      <c r="C164" t="str">
        <v/>
      </c>
      <c r="D164" t="str">
        <f>IF($C164="","",IFERROR(IF($E164="machine",INDEX('JLR Machines'!$B:$B,MATCH($C164,'JLR Machines'!$A:$A,0)),IF($E164="material",INDEX('JLR Materials'!$B:$B,MATCH($C164,'JLR Materials'!$A:$A,0)),IF($E164="labour",IFERROR(INDEX('JLR Labour'!$B:$B,MATCH($C164,'JLR Labour'!$A:$A,0)),"labour category "&amp;$C164&amp;" — from the machine tab"),""))),"NOT FOUND — check the code"))</f>
        <v/>
      </c>
      <c r="E164" t="str">
        <v>material</v>
      </c>
    </row>
    <row r="165">
      <c r="A165" t="str">
        <v>mat-silafont36</v>
      </c>
      <c r="B165" t="str">
        <v>Silafont-36 (AlSi10MnMg) — Structural HPDC Aluminium</v>
      </c>
      <c r="C165" t="str">
        <v/>
      </c>
      <c r="D165" t="str">
        <f>IF($C165="","",IFERROR(IF($E165="machine",INDEX('JLR Machines'!$B:$B,MATCH($C165,'JLR Machines'!$A:$A,0)),IF($E165="material",INDEX('JLR Materials'!$B:$B,MATCH($C165,'JLR Materials'!$A:$A,0)),IF($E165="labour",IFERROR(INDEX('JLR Labour'!$B:$B,MATCH($C165,'JLR Labour'!$A:$A,0)),"labour category "&amp;$C165&amp;" — from the machine tab"),""))),"NOT FOUND — check the code"))</f>
        <v/>
      </c>
      <c r="E165" t="str">
        <v>material</v>
      </c>
    </row>
    <row r="166">
      <c r="A166" t="str">
        <v>mat-castasil37</v>
      </c>
      <c r="B166" t="str">
        <v>Castasil-37 (AlSi9MnMoZr) — Structural HPDC Aluminium</v>
      </c>
      <c r="C166" t="str">
        <v/>
      </c>
      <c r="D166" t="str">
        <f>IF($C166="","",IFERROR(IF($E166="machine",INDEX('JLR Machines'!$B:$B,MATCH($C166,'JLR Machines'!$A:$A,0)),IF($E166="material",INDEX('JLR Materials'!$B:$B,MATCH($C166,'JLR Materials'!$A:$A,0)),IF($E166="labour",IFERROR(INDEX('JLR Labour'!$B:$B,MATCH($C166,'JLR Labour'!$A:$A,0)),"labour category "&amp;$C166&amp;" — from the machine tab"),""))),"NOT FOUND — check the code"))</f>
        <v/>
      </c>
      <c r="E166" t="str">
        <v>material</v>
      </c>
    </row>
    <row r="167">
      <c r="A167" t="str">
        <v>mat-magsimal59</v>
      </c>
      <c r="B167" t="str">
        <v>Magsimal-59 (AlMg5Si2Mn) — Structural HPDC Aluminium</v>
      </c>
      <c r="C167" t="str">
        <v/>
      </c>
      <c r="D167" t="str">
        <f>IF($C167="","",IFERROR(IF($E167="machine",INDEX('JLR Machines'!$B:$B,MATCH($C167,'JLR Machines'!$A:$A,0)),IF($E167="material",INDEX('JLR Materials'!$B:$B,MATCH($C167,'JLR Materials'!$A:$A,0)),IF($E167="labour",IFERROR(INDEX('JLR Labour'!$B:$B,MATCH($C167,'JLR Labour'!$A:$A,0)),"labour category "&amp;$C167&amp;" — from the machine tab"),""))),"NOT FOUND — check the code"))</f>
        <v/>
      </c>
      <c r="E167" t="str">
        <v>material</v>
      </c>
    </row>
    <row r="168">
      <c r="A168" t="str">
        <v>mat-al-hpdc-lowco2</v>
      </c>
      <c r="B168" t="str">
        <v>Low-CO₂ Recycled HPDC (AlSi10MnMg) — Structural HPDC Aluminium</v>
      </c>
      <c r="C168" t="str">
        <v/>
      </c>
      <c r="D168" t="str">
        <f>IF($C168="","",IFERROR(IF($E168="machine",INDEX('JLR Machines'!$B:$B,MATCH($C168,'JLR Machines'!$A:$A,0)),IF($E168="material",INDEX('JLR Materials'!$B:$B,MATCH($C168,'JLR Materials'!$A:$A,0)),IF($E168="labour",IFERROR(INDEX('JLR Labour'!$B:$B,MATCH($C168,'JLR Labour'!$A:$A,0)),"labour category "&amp;$C168&amp;" — from the machine tab"),""))),"NOT FOUND — check the code"))</f>
        <v/>
      </c>
      <c r="E168" t="str">
        <v>material</v>
      </c>
    </row>
    <row r="169">
      <c r="A169" t="str">
        <v>mat-htf-gigacast</v>
      </c>
      <c r="B169" t="str">
        <v>Heat-Treat-Free Giga-Casting Alloy (Xiaomi Titan / Tesla-class) — Structural HPDC Aluminium</v>
      </c>
      <c r="C169" t="str">
        <v/>
      </c>
      <c r="D169" t="str">
        <f>IF($C169="","",IFERROR(IF($E169="machine",INDEX('JLR Machines'!$B:$B,MATCH($C169,'JLR Machines'!$A:$A,0)),IF($E169="material",INDEX('JLR Materials'!$B:$B,MATCH($C169,'JLR Materials'!$A:$A,0)),IF($E169="labour",IFERROR(INDEX('JLR Labour'!$B:$B,MATCH($C169,'JLR Labour'!$A:$A,0)),"labour category "&amp;$C169&amp;" — from the machine tab"),""))),"NOT FOUND — check the code"))</f>
        <v/>
      </c>
      <c r="E169" t="str">
        <v>material</v>
      </c>
    </row>
    <row r="170">
      <c r="A170" t="str">
        <v>mat-a413</v>
      </c>
      <c r="B170" t="str">
        <v>A413 / AlSi12 (Eutectic Die Cast) — Die Cast Aluminium</v>
      </c>
      <c r="C170" t="str">
        <v/>
      </c>
      <c r="D170" t="str">
        <f>IF($C170="","",IFERROR(IF($E170="machine",INDEX('JLR Machines'!$B:$B,MATCH($C170,'JLR Machines'!$A:$A,0)),IF($E170="material",INDEX('JLR Materials'!$B:$B,MATCH($C170,'JLR Materials'!$A:$A,0)),IF($E170="labour",IFERROR(INDEX('JLR Labour'!$B:$B,MATCH($C170,'JLR Labour'!$A:$A,0)),"labour category "&amp;$C170&amp;" — from the machine tab"),""))),"NOT FOUND — check the code"))</f>
        <v/>
      </c>
      <c r="E170" t="str">
        <v>material</v>
      </c>
    </row>
    <row r="171">
      <c r="A171" t="str">
        <v>mat-a319</v>
      </c>
      <c r="B171" t="str">
        <v>A319 / AlSi6Cu4 — Die Cast Aluminium</v>
      </c>
      <c r="C171" t="str">
        <v/>
      </c>
      <c r="D171" t="str">
        <f>IF($C171="","",IFERROR(IF($E171="machine",INDEX('JLR Machines'!$B:$B,MATCH($C171,'JLR Machines'!$A:$A,0)),IF($E171="material",INDEX('JLR Materials'!$B:$B,MATCH($C171,'JLR Materials'!$A:$A,0)),IF($E171="labour",IFERROR(INDEX('JLR Labour'!$B:$B,MATCH($C171,'JLR Labour'!$A:$A,0)),"labour category "&amp;$C171&amp;" — from the machine tab"),""))),"NOT FOUND — check the code"))</f>
        <v/>
      </c>
      <c r="E171" t="str">
        <v>material</v>
      </c>
    </row>
    <row r="172">
      <c r="A172" t="str">
        <v>mat-a390</v>
      </c>
      <c r="B172" t="str">
        <v>A390 / AlSi17Cu (Hypereutectic) — Die Cast Aluminium</v>
      </c>
      <c r="C172" t="str">
        <v/>
      </c>
      <c r="D172" t="str">
        <f>IF($C172="","",IFERROR(IF($E172="machine",INDEX('JLR Machines'!$B:$B,MATCH($C172,'JLR Machines'!$A:$A,0)),IF($E172="material",INDEX('JLR Materials'!$B:$B,MATCH($C172,'JLR Materials'!$A:$A,0)),IF($E172="labour",IFERROR(INDEX('JLR Labour'!$B:$B,MATCH($C172,'JLR Labour'!$A:$A,0)),"labour category "&amp;$C172&amp;" — from the machine tab"),""))),"NOT FOUND — check the code"))</f>
        <v/>
      </c>
      <c r="E172" t="str">
        <v>material</v>
      </c>
    </row>
    <row r="173">
      <c r="A173" t="str">
        <v>mat-a357</v>
      </c>
      <c r="B173" t="str">
        <v>A357 / AlSi7Mg0.6 (Premium T6) — Gravity/Sand Aluminium</v>
      </c>
      <c r="C173" t="str">
        <v/>
      </c>
      <c r="D173" t="str">
        <f>IF($C173="","",IFERROR(IF($E173="machine",INDEX('JLR Machines'!$B:$B,MATCH($C173,'JLR Machines'!$A:$A,0)),IF($E173="material",INDEX('JLR Materials'!$B:$B,MATCH($C173,'JLR Materials'!$A:$A,0)),IF($E173="labour",IFERROR(INDEX('JLR Labour'!$B:$B,MATCH($C173,'JLR Labour'!$A:$A,0)),"labour category "&amp;$C173&amp;" — from the machine tab"),""))),"NOT FOUND — check the code"))</f>
        <v/>
      </c>
      <c r="E173" t="str">
        <v>material</v>
      </c>
    </row>
    <row r="174">
      <c r="A174" t="str">
        <v>mat-gjl200</v>
      </c>
      <c r="B174" t="str">
        <v>EN-GJL-200 (Grey Iron) — Grey Cast Iron</v>
      </c>
      <c r="C174" t="str">
        <v/>
      </c>
      <c r="D174" t="str">
        <f>IF($C174="","",IFERROR(IF($E174="machine",INDEX('JLR Machines'!$B:$B,MATCH($C174,'JLR Machines'!$A:$A,0)),IF($E174="material",INDEX('JLR Materials'!$B:$B,MATCH($C174,'JLR Materials'!$A:$A,0)),IF($E174="labour",IFERROR(INDEX('JLR Labour'!$B:$B,MATCH($C174,'JLR Labour'!$A:$A,0)),"labour category "&amp;$C174&amp;" — from the machine tab"),""))),"NOT FOUND — check the code"))</f>
        <v/>
      </c>
      <c r="E174" t="str">
        <v>material</v>
      </c>
    </row>
    <row r="175">
      <c r="A175" t="str">
        <v>mat-gjl300</v>
      </c>
      <c r="B175" t="str">
        <v>EN-GJL-300 (Grey Iron Hi-Strength) — Grey Cast Iron</v>
      </c>
      <c r="C175" t="str">
        <v/>
      </c>
      <c r="D175" t="str">
        <f>IF($C175="","",IFERROR(IF($E175="machine",INDEX('JLR Machines'!$B:$B,MATCH($C175,'JLR Machines'!$A:$A,0)),IF($E175="material",INDEX('JLR Materials'!$B:$B,MATCH($C175,'JLR Materials'!$A:$A,0)),IF($E175="labour",IFERROR(INDEX('JLR Labour'!$B:$B,MATCH($C175,'JLR Labour'!$A:$A,0)),"labour category "&amp;$C175&amp;" — from the machine tab"),""))),"NOT FOUND — check the code"))</f>
        <v/>
      </c>
      <c r="E175" t="str">
        <v>material</v>
      </c>
    </row>
    <row r="176">
      <c r="A176" t="str">
        <v>mat-gjs500</v>
      </c>
      <c r="B176" t="str">
        <v>EN-GJS-500-7 (Ductile Iron) — Ductile Cast Iron</v>
      </c>
      <c r="C176" t="str">
        <v/>
      </c>
      <c r="D176" t="str">
        <f>IF($C176="","",IFERROR(IF($E176="machine",INDEX('JLR Machines'!$B:$B,MATCH($C176,'JLR Machines'!$A:$A,0)),IF($E176="material",INDEX('JLR Materials'!$B:$B,MATCH($C176,'JLR Materials'!$A:$A,0)),IF($E176="labour",IFERROR(INDEX('JLR Labour'!$B:$B,MATCH($C176,'JLR Labour'!$A:$A,0)),"labour category "&amp;$C176&amp;" — from the machine tab"),""))),"NOT FOUND — check the code"))</f>
        <v/>
      </c>
      <c r="E176" t="str">
        <v>material</v>
      </c>
    </row>
    <row r="177">
      <c r="A177" t="str">
        <v>mat-gjs700</v>
      </c>
      <c r="B177" t="str">
        <v>EN-GJS-700-2 (Ductile Iron Hi-Strength) — Ductile Cast Iron</v>
      </c>
      <c r="C177" t="str">
        <v/>
      </c>
      <c r="D177" t="str">
        <f>IF($C177="","",IFERROR(IF($E177="machine",INDEX('JLR Machines'!$B:$B,MATCH($C177,'JLR Machines'!$A:$A,0)),IF($E177="material",INDEX('JLR Materials'!$B:$B,MATCH($C177,'JLR Materials'!$A:$A,0)),IF($E177="labour",IFERROR(INDEX('JLR Labour'!$B:$B,MATCH($C177,'JLR Labour'!$A:$A,0)),"labour category "&amp;$C177&amp;" — from the machine tab"),""))),"NOT FOUND — check the code"))</f>
        <v/>
      </c>
      <c r="E177" t="str">
        <v>material</v>
      </c>
    </row>
    <row r="178">
      <c r="A178" t="str">
        <v>mat-gjv450</v>
      </c>
      <c r="B178" t="str">
        <v>EN-GJV-450 (Compacted Graphite Iron) — Compacted Graphite Iron</v>
      </c>
      <c r="C178" t="str">
        <v/>
      </c>
      <c r="D178" t="str">
        <f>IF($C178="","",IFERROR(IF($E178="machine",INDEX('JLR Machines'!$B:$B,MATCH($C178,'JLR Machines'!$A:$A,0)),IF($E178="material",INDEX('JLR Materials'!$B:$B,MATCH($C178,'JLR Materials'!$A:$A,0)),IF($E178="labour",IFERROR(INDEX('JLR Labour'!$B:$B,MATCH($C178,'JLR Labour'!$A:$A,0)),"labour category "&amp;$C178&amp;" — from the machine tab"),""))),"NOT FOUND — check the code"))</f>
        <v/>
      </c>
      <c r="E178" t="str">
        <v>material</v>
      </c>
    </row>
    <row r="179">
      <c r="A179" t="str">
        <v>mat-simo</v>
      </c>
      <c r="B179" t="str">
        <v>EN-GJS-SiMo (Heat-Resistant Ductile) — Ductile Cast Iron</v>
      </c>
      <c r="C179" t="str">
        <v/>
      </c>
      <c r="D179" t="str">
        <f>IF($C179="","",IFERROR(IF($E179="machine",INDEX('JLR Machines'!$B:$B,MATCH($C179,'JLR Machines'!$A:$A,0)),IF($E179="material",INDEX('JLR Materials'!$B:$B,MATCH($C179,'JLR Materials'!$A:$A,0)),IF($E179="labour",IFERROR(INDEX('JLR Labour'!$B:$B,MATCH($C179,'JLR Labour'!$A:$A,0)),"labour category "&amp;$C179&amp;" — from the machine tab"),""))),"NOT FOUND — check the code"))</f>
        <v/>
      </c>
      <c r="E179" t="str">
        <v>material</v>
      </c>
    </row>
    <row r="180">
      <c r="A180" t="str">
        <v>mat-adi</v>
      </c>
      <c r="B180" t="str">
        <v>EN-GJS-800 ADI (Austempered Ductile Iron) — Ductile Cast Iron</v>
      </c>
      <c r="C180" t="str">
        <v/>
      </c>
      <c r="D180" t="str">
        <f>IF($C180="","",IFERROR(IF($E180="machine",INDEX('JLR Machines'!$B:$B,MATCH($C180,'JLR Machines'!$A:$A,0)),IF($E180="material",INDEX('JLR Materials'!$B:$B,MATCH($C180,'JLR Materials'!$A:$A,0)),IF($E180="labour",IFERROR(INDEX('JLR Labour'!$B:$B,MATCH($C180,'JLR Labour'!$A:$A,0)),"labour category "&amp;$C180&amp;" — from the machine tab"),""))),"NOT FOUND — check the code"))</f>
        <v/>
      </c>
      <c r="E180" t="str">
        <v>material</v>
      </c>
    </row>
    <row r="181">
      <c r="A181" t="str">
        <v>mat-mag-am60</v>
      </c>
      <c r="B181" t="str">
        <v>AM60B Magnesium Die Cast — Magnesium Alloy</v>
      </c>
      <c r="C181" t="str">
        <v/>
      </c>
      <c r="D181" t="str">
        <f>IF($C181="","",IFERROR(IF($E181="machine",INDEX('JLR Machines'!$B:$B,MATCH($C181,'JLR Machines'!$A:$A,0)),IF($E181="material",INDEX('JLR Materials'!$B:$B,MATCH($C181,'JLR Materials'!$A:$A,0)),IF($E181="labour",IFERROR(INDEX('JLR Labour'!$B:$B,MATCH($C181,'JLR Labour'!$A:$A,0)),"labour category "&amp;$C181&amp;" — from the machine tab"),""))),"NOT FOUND — check the code"))</f>
        <v/>
      </c>
      <c r="E181" t="str">
        <v>material</v>
      </c>
    </row>
    <row r="182">
      <c r="A182" t="str">
        <v>mat-mag-am50</v>
      </c>
      <c r="B182" t="str">
        <v>AM50A Magnesium Die Cast — Magnesium Alloy</v>
      </c>
      <c r="C182" t="str">
        <v/>
      </c>
      <c r="D182" t="str">
        <f>IF($C182="","",IFERROR(IF($E182="machine",INDEX('JLR Machines'!$B:$B,MATCH($C182,'JLR Machines'!$A:$A,0)),IF($E182="material",INDEX('JLR Materials'!$B:$B,MATCH($C182,'JLR Materials'!$A:$A,0)),IF($E182="labour",IFERROR(INDEX('JLR Labour'!$B:$B,MATCH($C182,'JLR Labour'!$A:$A,0)),"labour category "&amp;$C182&amp;" — from the machine tab"),""))),"NOT FOUND — check the code"))</f>
        <v/>
      </c>
      <c r="E182" t="str">
        <v>material</v>
      </c>
    </row>
    <row r="183">
      <c r="A183" t="str">
        <v>mat-mag-ae44</v>
      </c>
      <c r="B183" t="str">
        <v>AE44 Magnesium (Creep-Resistant) — Magnesium Alloy</v>
      </c>
      <c r="C183" t="str">
        <v/>
      </c>
      <c r="D183" t="str">
        <f>IF($C183="","",IFERROR(IF($E183="machine",INDEX('JLR Machines'!$B:$B,MATCH($C183,'JLR Machines'!$A:$A,0)),IF($E183="material",INDEX('JLR Materials'!$B:$B,MATCH($C183,'JLR Materials'!$A:$A,0)),IF($E183="labour",IFERROR(INDEX('JLR Labour'!$B:$B,MATCH($C183,'JLR Labour'!$A:$A,0)),"labour category "&amp;$C183&amp;" — from the machine tab"),""))),"NOT FOUND — check the code"))</f>
        <v/>
      </c>
      <c r="E183" t="str">
        <v>material</v>
      </c>
    </row>
    <row r="184">
      <c r="A184" t="str">
        <v>mat-za8</v>
      </c>
      <c r="B184" t="str">
        <v>ZA-8 (Zinc-Aluminium Die Cast) — Zinc Die Cast</v>
      </c>
      <c r="C184" t="str">
        <v/>
      </c>
      <c r="D184" t="str">
        <f>IF($C184="","",IFERROR(IF($E184="machine",INDEX('JLR Machines'!$B:$B,MATCH($C184,'JLR Machines'!$A:$A,0)),IF($E184="material",INDEX('JLR Materials'!$B:$B,MATCH($C184,'JLR Materials'!$A:$A,0)),IF($E184="labour",IFERROR(INDEX('JLR Labour'!$B:$B,MATCH($C184,'JLR Labour'!$A:$A,0)),"labour category "&amp;$C184&amp;" — from the machine tab"),""))),"NOT FOUND — check the code"))</f>
        <v/>
      </c>
      <c r="E184" t="str">
        <v>material</v>
      </c>
    </row>
    <row r="185">
      <c r="A185" t="str">
        <v>mat-za27</v>
      </c>
      <c r="B185" t="str">
        <v>ZA-27 (High-Strength Zinc-Aluminium) — Zinc Die Cast</v>
      </c>
      <c r="C185" t="str">
        <v/>
      </c>
      <c r="D185" t="str">
        <f>IF($C185="","",IFERROR(IF($E185="machine",INDEX('JLR Machines'!$B:$B,MATCH($C185,'JLR Machines'!$A:$A,0)),IF($E185="material",INDEX('JLR Materials'!$B:$B,MATCH($C185,'JLR Materials'!$A:$A,0)),IF($E185="labour",IFERROR(INDEX('JLR Labour'!$B:$B,MATCH($C185,'JLR Labour'!$A:$A,0)),"labour category "&amp;$C185&amp;" — from the machine tab"),""))),"NOT FOUND — check the code"))</f>
        <v/>
      </c>
      <c r="E185" t="str">
        <v>material</v>
      </c>
    </row>
    <row r="186">
      <c r="A186" t="str">
        <v>mat-gs-c25</v>
      </c>
      <c r="B186" t="str">
        <v>GS-C25 (Cast Carbon Steel) — Cast Carbon Steel</v>
      </c>
      <c r="C186" t="str">
        <v/>
      </c>
      <c r="D186" t="str">
        <f>IF($C186="","",IFERROR(IF($E186="machine",INDEX('JLR Machines'!$B:$B,MATCH($C186,'JLR Machines'!$A:$A,0)),IF($E186="material",INDEX('JLR Materials'!$B:$B,MATCH($C186,'JLR Materials'!$A:$A,0)),IF($E186="labour",IFERROR(INDEX('JLR Labour'!$B:$B,MATCH($C186,'JLR Labour'!$A:$A,0)),"labour category "&amp;$C186&amp;" — from the machine tab"),""))),"NOT FOUND — check the code"))</f>
        <v/>
      </c>
      <c r="E186" t="str">
        <v>material</v>
      </c>
    </row>
    <row r="187">
      <c r="A187" t="str">
        <v>mat-17-4ph-cast</v>
      </c>
      <c r="B187" t="str">
        <v>17-4PH (Investment Cast Stainless) — Cast Stainless Steel</v>
      </c>
      <c r="C187" t="str">
        <v/>
      </c>
      <c r="D187" t="str">
        <f>IF($C187="","",IFERROR(IF($E187="machine",INDEX('JLR Machines'!$B:$B,MATCH($C187,'JLR Machines'!$A:$A,0)),IF($E187="material",INDEX('JLR Materials'!$B:$B,MATCH($C187,'JLR Materials'!$A:$A,0)),IF($E187="labour",IFERROR(INDEX('JLR Labour'!$B:$B,MATCH($C187,'JLR Labour'!$A:$A,0)),"labour category "&amp;$C187&amp;" — from the machine tab"),""))),"NOT FOUND — check the code"))</f>
        <v/>
      </c>
      <c r="E187" t="str">
        <v>material</v>
      </c>
    </row>
    <row r="188">
      <c r="A188" t="str">
        <v>mat-inconel718-cast</v>
      </c>
      <c r="B188" t="str">
        <v>Inconel 718 (Investment Cast Superalloy) — Nickel Superalloy Casting</v>
      </c>
      <c r="C188" t="str">
        <v/>
      </c>
      <c r="D188" t="str">
        <f>IF($C188="","",IFERROR(IF($E188="machine",INDEX('JLR Machines'!$B:$B,MATCH($C188,'JLR Machines'!$A:$A,0)),IF($E188="material",INDEX('JLR Materials'!$B:$B,MATCH($C188,'JLR Materials'!$A:$A,0)),IF($E188="labour",IFERROR(INDEX('JLR Labour'!$B:$B,MATCH($C188,'JLR Labour'!$A:$A,0)),"labour category "&amp;$C188&amp;" — from the machine tab"),""))),"NOT FOUND — check the code"))</f>
        <v/>
      </c>
      <c r="E188" t="str">
        <v>material</v>
      </c>
    </row>
    <row r="189">
      <c r="A189" t="str">
        <v>mat-steel1020</v>
      </c>
      <c r="B189" t="str">
        <v>1020 / S20C — Carbon Steel Billet</v>
      </c>
      <c r="C189" t="str">
        <v/>
      </c>
      <c r="D189" t="str">
        <f>IF($C189="","",IFERROR(IF($E189="machine",INDEX('JLR Machines'!$B:$B,MATCH($C189,'JLR Machines'!$A:$A,0)),IF($E189="material",INDEX('JLR Materials'!$B:$B,MATCH($C189,'JLR Materials'!$A:$A,0)),IF($E189="labour",IFERROR(INDEX('JLR Labour'!$B:$B,MATCH($C189,'JLR Labour'!$A:$A,0)),"labour category "&amp;$C189&amp;" — from the machine tab"),""))),"NOT FOUND — check the code"))</f>
        <v/>
      </c>
      <c r="E189" t="str">
        <v>material</v>
      </c>
    </row>
    <row r="190">
      <c r="A190" t="str">
        <v>mat-steel4340</v>
      </c>
      <c r="B190" t="str">
        <v>4340 / 40NiCrMo22 / EN24 (Ni-Cr-Mo Alloy Steel) — Alloy Steel Billet</v>
      </c>
      <c r="C190" t="str">
        <v/>
      </c>
      <c r="D190" t="str">
        <f>IF($C190="","",IFERROR(IF($E190="machine",INDEX('JLR Machines'!$B:$B,MATCH($C190,'JLR Machines'!$A:$A,0)),IF($E190="material",INDEX('JLR Materials'!$B:$B,MATCH($C190,'JLR Materials'!$A:$A,0)),IF($E190="labour",IFERROR(INDEX('JLR Labour'!$B:$B,MATCH($C190,'JLR Labour'!$A:$A,0)),"labour category "&amp;$C190&amp;" — from the machine tab"),""))),"NOT FOUND — check the code"))</f>
        <v/>
      </c>
      <c r="E190" t="str">
        <v>material</v>
      </c>
    </row>
    <row r="191">
      <c r="A191" t="str">
        <v>mat-steel1141</v>
      </c>
      <c r="B191" t="str">
        <v>1141 / 1144 (Free-Machining) — Carbon Steel Billet</v>
      </c>
      <c r="C191" t="str">
        <v/>
      </c>
      <c r="D191" t="str">
        <f>IF($C191="","",IFERROR(IF($E191="machine",INDEX('JLR Machines'!$B:$B,MATCH($C191,'JLR Machines'!$A:$A,0)),IF($E191="material",INDEX('JLR Materials'!$B:$B,MATCH($C191,'JLR Materials'!$A:$A,0)),IF($E191="labour",IFERROR(INDEX('JLR Labour'!$B:$B,MATCH($C191,'JLR Labour'!$A:$A,0)),"labour category "&amp;$C191&amp;" — from the machine tab"),""))),"NOT FOUND — check the code"))</f>
        <v/>
      </c>
      <c r="E191" t="str">
        <v>material</v>
      </c>
    </row>
    <row r="192">
      <c r="A192" t="str">
        <v>mat-steel-38mnvs6</v>
      </c>
      <c r="B192" t="str">
        <v>38MnVS6 (Microalloyed) — Microalloyed Steel Billet</v>
      </c>
      <c r="C192" t="str">
        <v/>
      </c>
      <c r="D192" t="str">
        <f>IF($C192="","",IFERROR(IF($E192="machine",INDEX('JLR Machines'!$B:$B,MATCH($C192,'JLR Machines'!$A:$A,0)),IF($E192="material",INDEX('JLR Materials'!$B:$B,MATCH($C192,'JLR Materials'!$A:$A,0)),IF($E192="labour",IFERROR(INDEX('JLR Labour'!$B:$B,MATCH($C192,'JLR Labour'!$A:$A,0)),"labour category "&amp;$C192&amp;" — from the machine tab"),""))),"NOT FOUND — check the code"))</f>
        <v/>
      </c>
      <c r="E192" t="str">
        <v>material</v>
      </c>
    </row>
    <row r="193">
      <c r="A193" t="str">
        <v>mat-steel4130</v>
      </c>
      <c r="B193" t="str">
        <v>4130 / 25CrMo4 — Alloy Steel Billet</v>
      </c>
      <c r="C193" t="str">
        <v/>
      </c>
      <c r="D193" t="str">
        <f>IF($C193="","",IFERROR(IF($E193="machine",INDEX('JLR Machines'!$B:$B,MATCH($C193,'JLR Machines'!$A:$A,0)),IF($E193="material",INDEX('JLR Materials'!$B:$B,MATCH($C193,'JLR Materials'!$A:$A,0)),IF($E193="labour",IFERROR(INDEX('JLR Labour'!$B:$B,MATCH($C193,'JLR Labour'!$A:$A,0)),"labour category "&amp;$C193&amp;" — from the machine tab"),""))),"NOT FOUND — check the code"))</f>
        <v/>
      </c>
      <c r="E193" t="str">
        <v>material</v>
      </c>
    </row>
    <row r="194">
      <c r="A194" t="str">
        <v>mat-steel8620</v>
      </c>
      <c r="B194" t="str">
        <v>8620 (Case-Hardening) — Alloy Steel Billet</v>
      </c>
      <c r="C194" t="str">
        <v/>
      </c>
      <c r="D194" t="str">
        <f>IF($C194="","",IFERROR(IF($E194="machine",INDEX('JLR Machines'!$B:$B,MATCH($C194,'JLR Machines'!$A:$A,0)),IF($E194="material",INDEX('JLR Materials'!$B:$B,MATCH($C194,'JLR Materials'!$A:$A,0)),IF($E194="labour",IFERROR(INDEX('JLR Labour'!$B:$B,MATCH($C194,'JLR Labour'!$A:$A,0)),"labour category "&amp;$C194&amp;" — from the machine tab"),""))),"NOT FOUND — check the code"))</f>
        <v/>
      </c>
      <c r="E194" t="str">
        <v>material</v>
      </c>
    </row>
    <row r="195">
      <c r="A195" t="str">
        <v>mat-steel-20mncr5</v>
      </c>
      <c r="B195" t="str">
        <v>20MnCr5 (Gear Steel) — Alloy Steel Billet</v>
      </c>
      <c r="C195" t="str">
        <v/>
      </c>
      <c r="D195" t="str">
        <f>IF($C195="","",IFERROR(IF($E195="machine",INDEX('JLR Machines'!$B:$B,MATCH($C195,'JLR Machines'!$A:$A,0)),IF($E195="material",INDEX('JLR Materials'!$B:$B,MATCH($C195,'JLR Materials'!$A:$A,0)),IF($E195="labour",IFERROR(INDEX('JLR Labour'!$B:$B,MATCH($C195,'JLR Labour'!$A:$A,0)),"labour category "&amp;$C195&amp;" — from the machine tab"),""))),"NOT FOUND — check the code"))</f>
        <v/>
      </c>
      <c r="E195" t="str">
        <v>material</v>
      </c>
    </row>
    <row r="196">
      <c r="A196" t="str">
        <v>mat-steel-52100</v>
      </c>
      <c r="B196" t="str">
        <v>52100 / 100Cr6 (Bearing Steel) — Alloy Steel Billet</v>
      </c>
      <c r="C196" t="str">
        <v/>
      </c>
      <c r="D196" t="str">
        <f>IF($C196="","",IFERROR(IF($E196="machine",INDEX('JLR Machines'!$B:$B,MATCH($C196,'JLR Machines'!$A:$A,0)),IF($E196="material",INDEX('JLR Materials'!$B:$B,MATCH($C196,'JLR Materials'!$A:$A,0)),IF($E196="labour",IFERROR(INDEX('JLR Labour'!$B:$B,MATCH($C196,'JLR Labour'!$A:$A,0)),"labour category "&amp;$C196&amp;" — from the machine tab"),""))),"NOT FOUND — check the code"))</f>
        <v/>
      </c>
      <c r="E196" t="str">
        <v>material</v>
      </c>
    </row>
    <row r="197">
      <c r="A197" t="str">
        <v>mat-steel-300m</v>
      </c>
      <c r="B197" t="str">
        <v>300M (UHS Aerospace) — Alloy Steel Billet</v>
      </c>
      <c r="C197" t="str">
        <v/>
      </c>
      <c r="D197" t="str">
        <f>IF($C197="","",IFERROR(IF($E197="machine",INDEX('JLR Machines'!$B:$B,MATCH($C197,'JLR Machines'!$A:$A,0)),IF($E197="material",INDEX('JLR Materials'!$B:$B,MATCH($C197,'JLR Materials'!$A:$A,0)),IF($E197="labour",IFERROR(INDEX('JLR Labour'!$B:$B,MATCH($C197,'JLR Labour'!$A:$A,0)),"labour category "&amp;$C197&amp;" — from the machine tab"),""))),"NOT FOUND — check the code"))</f>
        <v/>
      </c>
      <c r="E197" t="str">
        <v>material</v>
      </c>
    </row>
    <row r="198">
      <c r="A198" t="str">
        <v>mat-ss410-bar</v>
      </c>
      <c r="B198" t="str">
        <v>410 (Martensitic Stainless Bar) — Stainless Steel Billet</v>
      </c>
      <c r="C198" t="str">
        <v/>
      </c>
      <c r="D198" t="str">
        <f>IF($C198="","",IFERROR(IF($E198="machine",INDEX('JLR Machines'!$B:$B,MATCH($C198,'JLR Machines'!$A:$A,0)),IF($E198="material",INDEX('JLR Materials'!$B:$B,MATCH($C198,'JLR Materials'!$A:$A,0)),IF($E198="labour",IFERROR(INDEX('JLR Labour'!$B:$B,MATCH($C198,'JLR Labour'!$A:$A,0)),"labour category "&amp;$C198&amp;" — from the machine tab"),""))),"NOT FOUND — check the code"))</f>
        <v/>
      </c>
      <c r="E198" t="str">
        <v>material</v>
      </c>
    </row>
    <row r="199">
      <c r="A199" t="str">
        <v>mat-ss304l-bar</v>
      </c>
      <c r="B199" t="str">
        <v>304L (Austenitic Stainless Bar) — Stainless Steel Billet</v>
      </c>
      <c r="C199" t="str">
        <v/>
      </c>
      <c r="D199" t="str">
        <f>IF($C199="","",IFERROR(IF($E199="machine",INDEX('JLR Machines'!$B:$B,MATCH($C199,'JLR Machines'!$A:$A,0)),IF($E199="material",INDEX('JLR Materials'!$B:$B,MATCH($C199,'JLR Materials'!$A:$A,0)),IF($E199="labour",IFERROR(INDEX('JLR Labour'!$B:$B,MATCH($C199,'JLR Labour'!$A:$A,0)),"labour category "&amp;$C199&amp;" — from the machine tab"),""))),"NOT FOUND — check the code"))</f>
        <v/>
      </c>
      <c r="E199" t="str">
        <v>material</v>
      </c>
    </row>
    <row r="200">
      <c r="A200" t="str">
        <v>mat-ss316l-bar</v>
      </c>
      <c r="B200" t="str">
        <v>316L (Austenitic Stainless Bar) — Stainless Steel Billet</v>
      </c>
      <c r="C200" t="str">
        <v/>
      </c>
      <c r="D200" t="str">
        <f>IF($C200="","",IFERROR(IF($E200="machine",INDEX('JLR Machines'!$B:$B,MATCH($C200,'JLR Machines'!$A:$A,0)),IF($E200="material",INDEX('JLR Materials'!$B:$B,MATCH($C200,'JLR Materials'!$A:$A,0)),IF($E200="labour",IFERROR(INDEX('JLR Labour'!$B:$B,MATCH($C200,'JLR Labour'!$A:$A,0)),"labour category "&amp;$C200&amp;" — from the machine tab"),""))),"NOT FOUND — check the code"))</f>
        <v/>
      </c>
      <c r="E200" t="str">
        <v>material</v>
      </c>
    </row>
    <row r="201">
      <c r="A201" t="str">
        <v>mat-ss17-4ph-bar</v>
      </c>
      <c r="B201" t="str">
        <v>17-4PH (PH Stainless Bar) — Stainless Steel Billet</v>
      </c>
      <c r="C201" t="str">
        <v/>
      </c>
      <c r="D201" t="str">
        <f>IF($C201="","",IFERROR(IF($E201="machine",INDEX('JLR Machines'!$B:$B,MATCH($C201,'JLR Machines'!$A:$A,0)),IF($E201="material",INDEX('JLR Materials'!$B:$B,MATCH($C201,'JLR Materials'!$A:$A,0)),IF($E201="labour",IFERROR(INDEX('JLR Labour'!$B:$B,MATCH($C201,'JLR Labour'!$A:$A,0)),"labour category "&amp;$C201&amp;" — from the machine tab"),""))),"NOT FOUND — check the code"))</f>
        <v/>
      </c>
      <c r="E201" t="str">
        <v>material</v>
      </c>
    </row>
    <row r="202">
      <c r="A202" t="str">
        <v>mat-ss15-5ph-bar</v>
      </c>
      <c r="B202" t="str">
        <v>15-5PH (PH Stainless Bar) — Stainless Steel Billet</v>
      </c>
      <c r="C202" t="str">
        <v/>
      </c>
      <c r="D202" t="str">
        <f>IF($C202="","",IFERROR(IF($E202="machine",INDEX('JLR Machines'!$B:$B,MATCH($C202,'JLR Machines'!$A:$A,0)),IF($E202="material",INDEX('JLR Materials'!$B:$B,MATCH($C202,'JLR Materials'!$A:$A,0)),IF($E202="labour",IFERROR(INDEX('JLR Labour'!$B:$B,MATCH($C202,'JLR Labour'!$A:$A,0)),"labour category "&amp;$C202&amp;" — from the machine tab"),""))),"NOT FOUND — check the code"))</f>
        <v/>
      </c>
      <c r="E202" t="str">
        <v>material</v>
      </c>
    </row>
    <row r="203">
      <c r="A203" t="str">
        <v>mat-al6061-forge</v>
      </c>
      <c r="B203" t="str">
        <v>6061 (Al Forging Stock) — Aluminium Forging Billet</v>
      </c>
      <c r="C203" t="str">
        <v/>
      </c>
      <c r="D203" t="str">
        <f>IF($C203="","",IFERROR(IF($E203="machine",INDEX('JLR Machines'!$B:$B,MATCH($C203,'JLR Machines'!$A:$A,0)),IF($E203="material",INDEX('JLR Materials'!$B:$B,MATCH($C203,'JLR Materials'!$A:$A,0)),IF($E203="labour",IFERROR(INDEX('JLR Labour'!$B:$B,MATCH($C203,'JLR Labour'!$A:$A,0)),"labour category "&amp;$C203&amp;" — from the machine tab"),""))),"NOT FOUND — check the code"))</f>
        <v/>
      </c>
      <c r="E203" t="str">
        <v>material</v>
      </c>
    </row>
    <row r="204">
      <c r="A204" t="str">
        <v>mat-al6082-forge</v>
      </c>
      <c r="B204" t="str">
        <v>6082 (Al Forging Stock) — Aluminium Forging Billet</v>
      </c>
      <c r="C204" t="str">
        <v/>
      </c>
      <c r="D204" t="str">
        <f>IF($C204="","",IFERROR(IF($E204="machine",INDEX('JLR Machines'!$B:$B,MATCH($C204,'JLR Machines'!$A:$A,0)),IF($E204="material",INDEX('JLR Materials'!$B:$B,MATCH($C204,'JLR Materials'!$A:$A,0)),IF($E204="labour",IFERROR(INDEX('JLR Labour'!$B:$B,MATCH($C204,'JLR Labour'!$A:$A,0)),"labour category "&amp;$C204&amp;" — from the machine tab"),""))),"NOT FOUND — check the code"))</f>
        <v/>
      </c>
      <c r="E204" t="str">
        <v>material</v>
      </c>
    </row>
    <row r="205">
      <c r="A205" t="str">
        <v>mat-al7075-forge</v>
      </c>
      <c r="B205" t="str">
        <v>7075 (Al Forging Stock) — Aluminium Forging Billet</v>
      </c>
      <c r="C205" t="str">
        <v/>
      </c>
      <c r="D205" t="str">
        <f>IF($C205="","",IFERROR(IF($E205="machine",INDEX('JLR Machines'!$B:$B,MATCH($C205,'JLR Machines'!$A:$A,0)),IF($E205="material",INDEX('JLR Materials'!$B:$B,MATCH($C205,'JLR Materials'!$A:$A,0)),IF($E205="labour",IFERROR(INDEX('JLR Labour'!$B:$B,MATCH($C205,'JLR Labour'!$A:$A,0)),"labour category "&amp;$C205&amp;" — from the machine tab"),""))),"NOT FOUND — check the code"))</f>
        <v/>
      </c>
      <c r="E205" t="str">
        <v>material</v>
      </c>
    </row>
    <row r="206">
      <c r="A206" t="str">
        <v>mat-al2618-forge</v>
      </c>
      <c r="B206" t="str">
        <v>2618 (Al-Cu Piston/Aero) — Aluminium Forging Billet</v>
      </c>
      <c r="C206" t="str">
        <v/>
      </c>
      <c r="D206" t="str">
        <f>IF($C206="","",IFERROR(IF($E206="machine",INDEX('JLR Machines'!$B:$B,MATCH($C206,'JLR Machines'!$A:$A,0)),IF($E206="material",INDEX('JLR Materials'!$B:$B,MATCH($C206,'JLR Materials'!$A:$A,0)),IF($E206="labour",IFERROR(INDEX('JLR Labour'!$B:$B,MATCH($C206,'JLR Labour'!$A:$A,0)),"labour category "&amp;$C206&amp;" — from the machine tab"),""))),"NOT FOUND — check the code"))</f>
        <v/>
      </c>
      <c r="E206" t="str">
        <v>material</v>
      </c>
    </row>
    <row r="207">
      <c r="A207" t="str">
        <v>mat-ti-cp-gr2</v>
      </c>
      <c r="B207" t="str">
        <v>CP Titanium Grade 2 (Forging Bar) — Titanium Forging Billet</v>
      </c>
      <c r="C207" t="str">
        <v/>
      </c>
      <c r="D207" t="str">
        <f>IF($C207="","",IFERROR(IF($E207="machine",INDEX('JLR Machines'!$B:$B,MATCH($C207,'JLR Machines'!$A:$A,0)),IF($E207="material",INDEX('JLR Materials'!$B:$B,MATCH($C207,'JLR Materials'!$A:$A,0)),IF($E207="labour",IFERROR(INDEX('JLR Labour'!$B:$B,MATCH($C207,'JLR Labour'!$A:$A,0)),"labour category "&amp;$C207&amp;" — from the machine tab"),""))),"NOT FOUND — check the code"))</f>
        <v/>
      </c>
      <c r="E207" t="str">
        <v>material</v>
      </c>
    </row>
    <row r="208">
      <c r="A208" t="str">
        <v>mat-ti-6al4v-forge</v>
      </c>
      <c r="B208" t="str">
        <v>Ti-6Al-4V Grade 5 (Forging Bar) — Titanium Forging Billet</v>
      </c>
      <c r="C208" t="str">
        <v/>
      </c>
      <c r="D208" t="str">
        <f>IF($C208="","",IFERROR(IF($E208="machine",INDEX('JLR Machines'!$B:$B,MATCH($C208,'JLR Machines'!$A:$A,0)),IF($E208="material",INDEX('JLR Materials'!$B:$B,MATCH($C208,'JLR Materials'!$A:$A,0)),IF($E208="labour",IFERROR(INDEX('JLR Labour'!$B:$B,MATCH($C208,'JLR Labour'!$A:$A,0)),"labour category "&amp;$C208&amp;" — from the machine tab"),""))),"NOT FOUND — check the code"))</f>
        <v/>
      </c>
      <c r="E208" t="str">
        <v>material</v>
      </c>
    </row>
    <row r="209">
      <c r="A209" t="str">
        <v>mat-inconel718-forge</v>
      </c>
      <c r="B209" t="str">
        <v>Inconel 718 (Forging Bar) — Nickel Superalloy Billet</v>
      </c>
      <c r="C209" t="str">
        <v/>
      </c>
      <c r="D209" t="str">
        <f>IF($C209="","",IFERROR(IF($E209="machine",INDEX('JLR Machines'!$B:$B,MATCH($C209,'JLR Machines'!$A:$A,0)),IF($E209="material",INDEX('JLR Materials'!$B:$B,MATCH($C209,'JLR Materials'!$A:$A,0)),IF($E209="labour",IFERROR(INDEX('JLR Labour'!$B:$B,MATCH($C209,'JLR Labour'!$A:$A,0)),"labour category "&amp;$C209&amp;" — from the machine tab"),""))),"NOT FOUND — check the code"))</f>
        <v/>
      </c>
      <c r="E209" t="str">
        <v>material</v>
      </c>
    </row>
    <row r="210">
      <c r="A210" t="str">
        <v>mat-waspaloy-forge</v>
      </c>
      <c r="B210" t="str">
        <v>Waspaloy (Forging Bar) — Nickel Superalloy Billet</v>
      </c>
      <c r="C210" t="str">
        <v/>
      </c>
      <c r="D210" t="str">
        <f>IF($C210="","",IFERROR(IF($E210="machine",INDEX('JLR Machines'!$B:$B,MATCH($C210,'JLR Machines'!$A:$A,0)),IF($E210="material",INDEX('JLR Materials'!$B:$B,MATCH($C210,'JLR Materials'!$A:$A,0)),IF($E210="labour",IFERROR(INDEX('JLR Labour'!$B:$B,MATCH($C210,'JLR Labour'!$A:$A,0)),"labour category "&amp;$C210&amp;" — from the machine tab"),""))),"NOT FOUND — check the code"))</f>
        <v/>
      </c>
      <c r="E210" t="str">
        <v>material</v>
      </c>
    </row>
    <row r="211">
      <c r="A211" t="str">
        <v>mat-inconel625-forge</v>
      </c>
      <c r="B211" t="str">
        <v>Inconel 625 (Forging Bar) — Nickel Superalloy Billet</v>
      </c>
      <c r="C211" t="str">
        <v/>
      </c>
      <c r="D211" t="str">
        <f>IF($C211="","",IFERROR(IF($E211="machine",INDEX('JLR Machines'!$B:$B,MATCH($C211,'JLR Machines'!$A:$A,0)),IF($E211="material",INDEX('JLR Materials'!$B:$B,MATCH($C211,'JLR Materials'!$A:$A,0)),IF($E211="labour",IFERROR(INDEX('JLR Labour'!$B:$B,MATCH($C211,'JLR Labour'!$A:$A,0)),"labour category "&amp;$C211&amp;" — from the machine tab"),""))),"NOT FOUND — check the code"))</f>
        <v/>
      </c>
      <c r="E211" t="str">
        <v>material</v>
      </c>
    </row>
    <row r="212">
      <c r="A212" t="str">
        <v>mat-hastelloy-c276-forge</v>
      </c>
      <c r="B212" t="str">
        <v>Hastelloy C-276 (Forging Bar) — Nickel Superalloy Billet</v>
      </c>
      <c r="C212" t="str">
        <v/>
      </c>
      <c r="D212" t="str">
        <f>IF($C212="","",IFERROR(IF($E212="machine",INDEX('JLR Machines'!$B:$B,MATCH($C212,'JLR Machines'!$A:$A,0)),IF($E212="material",INDEX('JLR Materials'!$B:$B,MATCH($C212,'JLR Materials'!$A:$A,0)),IF($E212="labour",IFERROR(INDEX('JLR Labour'!$B:$B,MATCH($C212,'JLR Labour'!$A:$A,0)),"labour category "&amp;$C212&amp;" — from the machine tab"),""))),"NOT FOUND — check the code"))</f>
        <v/>
      </c>
      <c r="E212" t="str">
        <v>material</v>
      </c>
    </row>
    <row r="213">
      <c r="A213" t="str">
        <v>mat-monel400-forge</v>
      </c>
      <c r="B213" t="str">
        <v>Monel 400 (Forging Bar) — Nickel Alloy Billet</v>
      </c>
      <c r="C213" t="str">
        <v/>
      </c>
      <c r="D213" t="str">
        <f>IF($C213="","",IFERROR(IF($E213="machine",INDEX('JLR Machines'!$B:$B,MATCH($C213,'JLR Machines'!$A:$A,0)),IF($E213="material",INDEX('JLR Materials'!$B:$B,MATCH($C213,'JLR Materials'!$A:$A,0)),IF($E213="labour",IFERROR(INDEX('JLR Labour'!$B:$B,MATCH($C213,'JLR Labour'!$A:$A,0)),"labour category "&amp;$C213&amp;" — from the machine tab"),""))),"NOT FOUND — check the code"))</f>
        <v/>
      </c>
      <c r="E213" t="str">
        <v>material</v>
      </c>
    </row>
    <row r="214">
      <c r="A214" t="str">
        <v>mat-ti-6242-forge</v>
      </c>
      <c r="B214" t="str">
        <v>Ti-6Al-2Sn-4Zr-2Mo (Forging Bar) — Titanium Forging Billet</v>
      </c>
      <c r="C214" t="str">
        <v/>
      </c>
      <c r="D214" t="str">
        <f>IF($C214="","",IFERROR(IF($E214="machine",INDEX('JLR Machines'!$B:$B,MATCH($C214,'JLR Machines'!$A:$A,0)),IF($E214="material",INDEX('JLR Materials'!$B:$B,MATCH($C214,'JLR Materials'!$A:$A,0)),IF($E214="labour",IFERROR(INDEX('JLR Labour'!$B:$B,MATCH($C214,'JLR Labour'!$A:$A,0)),"labour category "&amp;$C214&amp;" — from the machine tab"),""))),"NOT FOUND — check the code"))</f>
        <v/>
      </c>
      <c r="E214" t="str">
        <v>material</v>
      </c>
    </row>
    <row r="215">
      <c r="A215" t="str">
        <v>mat-al7050-forge</v>
      </c>
      <c r="B215" t="str">
        <v>7050 (Al-Zn Aero Forging Stock) — Aluminium Forging Billet</v>
      </c>
      <c r="C215" t="str">
        <v/>
      </c>
      <c r="D215" t="str">
        <f>IF($C215="","",IFERROR(IF($E215="machine",INDEX('JLR Machines'!$B:$B,MATCH($C215,'JLR Machines'!$A:$A,0)),IF($E215="material",INDEX('JLR Materials'!$B:$B,MATCH($C215,'JLR Materials'!$A:$A,0)),IF($E215="labour",IFERROR(INDEX('JLR Labour'!$B:$B,MATCH($C215,'JLR Labour'!$A:$A,0)),"labour category "&amp;$C215&amp;" — from the machine tab"),""))),"NOT FOUND — check the code"))</f>
        <v/>
      </c>
      <c r="E215" t="str">
        <v>material</v>
      </c>
    </row>
    <row r="216">
      <c r="A216" t="str">
        <v>mat-mg-az31-forge</v>
      </c>
      <c r="B216" t="str">
        <v>AZ31B (Mg Forging Bar) — Magnesium Forging Billet</v>
      </c>
      <c r="C216" t="str">
        <v/>
      </c>
      <c r="D216" t="str">
        <f>IF($C216="","",IFERROR(IF($E216="machine",INDEX('JLR Machines'!$B:$B,MATCH($C216,'JLR Machines'!$A:$A,0)),IF($E216="material",INDEX('JLR Materials'!$B:$B,MATCH($C216,'JLR Materials'!$A:$A,0)),IF($E216="labour",IFERROR(INDEX('JLR Labour'!$B:$B,MATCH($C216,'JLR Labour'!$A:$A,0)),"labour category "&amp;$C216&amp;" — from the machine tab"),""))),"NOT FOUND — check the code"))</f>
        <v/>
      </c>
      <c r="E216" t="str">
        <v>material</v>
      </c>
    </row>
    <row r="217">
      <c r="A217" t="str">
        <v>mat-brass-cz122-forge</v>
      </c>
      <c r="B217" t="str">
        <v>CZ122 / CW617N (Forging Brass) — Copper Alloy Billet</v>
      </c>
      <c r="C217" t="str">
        <v/>
      </c>
      <c r="D217" t="str">
        <f>IF($C217="","",IFERROR(IF($E217="machine",INDEX('JLR Machines'!$B:$B,MATCH($C217,'JLR Machines'!$A:$A,0)),IF($E217="material",INDEX('JLR Materials'!$B:$B,MATCH($C217,'JLR Materials'!$A:$A,0)),IF($E217="labour",IFERROR(INDEX('JLR Labour'!$B:$B,MATCH($C217,'JLR Labour'!$A:$A,0)),"labour category "&amp;$C217&amp;" — from the machine tab"),""))),"NOT FOUND — check the code"))</f>
        <v/>
      </c>
      <c r="E217" t="str">
        <v>material</v>
      </c>
    </row>
    <row r="218">
      <c r="A218" t="str">
        <v>mat-paint-ecoat</v>
      </c>
      <c r="B218" t="str">
        <v>E-coat (Cathodic) — Paint</v>
      </c>
      <c r="C218" t="str">
        <v/>
      </c>
      <c r="D218" t="str">
        <f>IF($C218="","",IFERROR(IF($E218="machine",INDEX('JLR Machines'!$B:$B,MATCH($C218,'JLR Machines'!$A:$A,0)),IF($E218="material",INDEX('JLR Materials'!$B:$B,MATCH($C218,'JLR Materials'!$A:$A,0)),IF($E218="labour",IFERROR(INDEX('JLR Labour'!$B:$B,MATCH($C218,'JLR Labour'!$A:$A,0)),"labour category "&amp;$C218&amp;" — from the machine tab"),""))),"NOT FOUND — check the code"))</f>
        <v/>
      </c>
      <c r="E218" t="str">
        <v>material</v>
      </c>
    </row>
    <row r="219">
      <c r="A219" t="str">
        <v>mat-paint-primer</v>
      </c>
      <c r="B219" t="str">
        <v>2K Primer — Paint</v>
      </c>
      <c r="C219" t="str">
        <v/>
      </c>
      <c r="D219" t="str">
        <f>IF($C219="","",IFERROR(IF($E219="machine",INDEX('JLR Machines'!$B:$B,MATCH($C219,'JLR Machines'!$A:$A,0)),IF($E219="material",INDEX('JLR Materials'!$B:$B,MATCH($C219,'JLR Materials'!$A:$A,0)),IF($E219="labour",IFERROR(INDEX('JLR Labour'!$B:$B,MATCH($C219,'JLR Labour'!$A:$A,0)),"labour category "&amp;$C219&amp;" — from the machine tab"),""))),"NOT FOUND — check the code"))</f>
        <v/>
      </c>
      <c r="E219" t="str">
        <v>material</v>
      </c>
    </row>
    <row r="220">
      <c r="A220" t="str">
        <v>mat-paint-basecoat</v>
      </c>
      <c r="B220" t="str">
        <v>Waterborne Basecoat — Paint</v>
      </c>
      <c r="C220" t="str">
        <v/>
      </c>
      <c r="D220" t="str">
        <f>IF($C220="","",IFERROR(IF($E220="machine",INDEX('JLR Machines'!$B:$B,MATCH($C220,'JLR Machines'!$A:$A,0)),IF($E220="material",INDEX('JLR Materials'!$B:$B,MATCH($C220,'JLR Materials'!$A:$A,0)),IF($E220="labour",IFERROR(INDEX('JLR Labour'!$B:$B,MATCH($C220,'JLR Labour'!$A:$A,0)),"labour category "&amp;$C220&amp;" — from the machine tab"),""))),"NOT FOUND — check the code"))</f>
        <v/>
      </c>
      <c r="E220" t="str">
        <v>material</v>
      </c>
    </row>
    <row r="221">
      <c r="A221" t="str">
        <v>mat-paint-clearcoat</v>
      </c>
      <c r="B221" t="str">
        <v>2K Clearcoat — Paint</v>
      </c>
      <c r="C221" t="str">
        <v/>
      </c>
      <c r="D221" t="str">
        <f>IF($C221="","",IFERROR(IF($E221="machine",INDEX('JLR Machines'!$B:$B,MATCH($C221,'JLR Machines'!$A:$A,0)),IF($E221="material",INDEX('JLR Materials'!$B:$B,MATCH($C221,'JLR Materials'!$A:$A,0)),IF($E221="labour",IFERROR(INDEX('JLR Labour'!$B:$B,MATCH($C221,'JLR Labour'!$A:$A,0)),"labour category "&amp;$C221&amp;" — from the machine tab"),""))),"NOT FOUND — check the code"))</f>
        <v/>
      </c>
      <c r="E221" t="str">
        <v>material</v>
      </c>
    </row>
    <row r="222">
      <c r="A222" t="str">
        <v>mat-paint-powder</v>
      </c>
      <c r="B222" t="str">
        <v>Powder Coat (Polyester) — Paint</v>
      </c>
      <c r="C222" t="str">
        <v/>
      </c>
      <c r="D222" t="str">
        <f>IF($C222="","",IFERROR(IF($E222="machine",INDEX('JLR Machines'!$B:$B,MATCH($C222,'JLR Machines'!$A:$A,0)),IF($E222="material",INDEX('JLR Materials'!$B:$B,MATCH($C222,'JLR Materials'!$A:$A,0)),IF($E222="labour",IFERROR(INDEX('JLR Labour'!$B:$B,MATCH($C222,'JLR Labour'!$A:$A,0)),"labour category "&amp;$C222&amp;" — from the machine tab"),""))),"NOT FOUND — check the code"))</f>
        <v/>
      </c>
      <c r="E222" t="str">
        <v>material</v>
      </c>
    </row>
    <row r="223">
      <c r="A223" t="str">
        <v>mat-paint-1k-primer</v>
      </c>
      <c r="B223" t="str">
        <v>1K Etch Primer — Paint</v>
      </c>
      <c r="C223" t="str">
        <v/>
      </c>
      <c r="D223" t="str">
        <f>IF($C223="","",IFERROR(IF($E223="machine",INDEX('JLR Machines'!$B:$B,MATCH($C223,'JLR Machines'!$A:$A,0)),IF($E223="material",INDEX('JLR Materials'!$B:$B,MATCH($C223,'JLR Materials'!$A:$A,0)),IF($E223="labour",IFERROR(INDEX('JLR Labour'!$B:$B,MATCH($C223,'JLR Labour'!$A:$A,0)),"labour category "&amp;$C223&amp;" — from the machine tab"),""))),"NOT FOUND — check the code"))</f>
        <v/>
      </c>
      <c r="E223" t="str">
        <v>material</v>
      </c>
    </row>
    <row r="224">
      <c r="A224" t="str">
        <v>mat-paint-sb-basecoat</v>
      </c>
      <c r="B224" t="str">
        <v>Solventborne Basecoat — Paint</v>
      </c>
      <c r="C224" t="str">
        <v/>
      </c>
      <c r="D224" t="str">
        <f>IF($C224="","",IFERROR(IF($E224="machine",INDEX('JLR Machines'!$B:$B,MATCH($C224,'JLR Machines'!$A:$A,0)),IF($E224="material",INDEX('JLR Materials'!$B:$B,MATCH($C224,'JLR Materials'!$A:$A,0)),IF($E224="labour",IFERROR(INDEX('JLR Labour'!$B:$B,MATCH($C224,'JLR Labour'!$A:$A,0)),"labour category "&amp;$C224&amp;" — from the machine tab"),""))),"NOT FOUND — check the code"))</f>
        <v/>
      </c>
      <c r="E224" t="str">
        <v>material</v>
      </c>
    </row>
    <row r="225">
      <c r="A225" t="str">
        <v>mat-paint-uv-clear</v>
      </c>
      <c r="B225" t="str">
        <v>UV-Cure Clearcoat — Paint</v>
      </c>
      <c r="C225" t="str">
        <v/>
      </c>
      <c r="D225" t="str">
        <f>IF($C225="","",IFERROR(IF($E225="machine",INDEX('JLR Machines'!$B:$B,MATCH($C225,'JLR Machines'!$A:$A,0)),IF($E225="material",INDEX('JLR Materials'!$B:$B,MATCH($C225,'JLR Materials'!$A:$A,0)),IF($E225="labour",IFERROR(INDEX('JLR Labour'!$B:$B,MATCH($C225,'JLR Labour'!$A:$A,0)),"labour category "&amp;$C225&amp;" — from the machine tab"),""))),"NOT FOUND — check the code"))</f>
        <v/>
      </c>
      <c r="E225" t="str">
        <v>material</v>
      </c>
    </row>
    <row r="226">
      <c r="A226" t="str">
        <v>mat-paint-pvc-underbody</v>
      </c>
      <c r="B226" t="str">
        <v>PVC Underbody / Anti-Chip Sealer — Paint</v>
      </c>
      <c r="C226" t="str">
        <v/>
      </c>
      <c r="D226" t="str">
        <f>IF($C226="","",IFERROR(IF($E226="machine",INDEX('JLR Machines'!$B:$B,MATCH($C226,'JLR Machines'!$A:$A,0)),IF($E226="material",INDEX('JLR Materials'!$B:$B,MATCH($C226,'JLR Materials'!$A:$A,0)),IF($E226="labour",IFERROR(INDEX('JLR Labour'!$B:$B,MATCH($C226,'JLR Labour'!$A:$A,0)),"labour category "&amp;$C226&amp;" — from the machine tab"),""))),"NOT FOUND — check the code"))</f>
        <v/>
      </c>
      <c r="E226" t="str">
        <v>material</v>
      </c>
    </row>
    <row r="227">
      <c r="A227" t="str">
        <v>mat-pp-bm</v>
      </c>
      <c r="B227" t="str">
        <v>PP Blow Grade (MFI 1.0, random co-polymer) — Blow Moulding</v>
      </c>
      <c r="C227" t="str">
        <v/>
      </c>
      <c r="D227" t="str">
        <f>IF($C227="","",IFERROR(IF($E227="machine",INDEX('JLR Machines'!$B:$B,MATCH($C227,'JLR Machines'!$A:$A,0)),IF($E227="material",INDEX('JLR Materials'!$B:$B,MATCH($C227,'JLR Materials'!$A:$A,0)),IF($E227="labour",IFERROR(INDEX('JLR Labour'!$B:$B,MATCH($C227,'JLR Labour'!$A:$A,0)),"labour category "&amp;$C227&amp;" — from the machine tab"),""))),"NOT FOUND — check the code"))</f>
        <v/>
      </c>
      <c r="E227" t="str">
        <v>material</v>
      </c>
    </row>
    <row r="228">
      <c r="A228" t="str">
        <v>mat-petg-bm</v>
      </c>
      <c r="B228" t="str">
        <v>PETG Clear Blow Grade — Blow Moulding</v>
      </c>
      <c r="C228" t="str">
        <v/>
      </c>
      <c r="D228" t="str">
        <f>IF($C228="","",IFERROR(IF($E228="machine",INDEX('JLR Machines'!$B:$B,MATCH($C228,'JLR Machines'!$A:$A,0)),IF($E228="material",INDEX('JLR Materials'!$B:$B,MATCH($C228,'JLR Materials'!$A:$A,0)),IF($E228="labour",IFERROR(INDEX('JLR Labour'!$B:$B,MATCH($C228,'JLR Labour'!$A:$A,0)),"labour category "&amp;$C228&amp;" — from the machine tab"),""))),"NOT FOUND — check the code"))</f>
        <v/>
      </c>
      <c r="E228" t="str">
        <v>material</v>
      </c>
    </row>
    <row r="229">
      <c r="A229" t="str">
        <v>mat-pvc-bm</v>
      </c>
      <c r="B229" t="str">
        <v>PVC Rigid Blow Grade (uPVC bottle grade) — Blow Moulding</v>
      </c>
      <c r="C229" t="str">
        <v/>
      </c>
      <c r="D229" t="str">
        <f>IF($C229="","",IFERROR(IF($E229="machine",INDEX('JLR Machines'!$B:$B,MATCH($C229,'JLR Machines'!$A:$A,0)),IF($E229="material",INDEX('JLR Materials'!$B:$B,MATCH($C229,'JLR Materials'!$A:$A,0)),IF($E229="labour",IFERROR(INDEX('JLR Labour'!$B:$B,MATCH($C229,'JLR Labour'!$A:$A,0)),"labour category "&amp;$C229&amp;" — from the machine tab"),""))),"NOT FOUND — check the code"))</f>
        <v/>
      </c>
      <c r="E229" t="str">
        <v>material</v>
      </c>
    </row>
    <row r="230">
      <c r="A230" t="str">
        <v>mat-tpe-bm</v>
      </c>
      <c r="B230" t="str">
        <v>TPE Blow Grade 40 Shore A — Blow Moulding</v>
      </c>
      <c r="C230" t="str">
        <v/>
      </c>
      <c r="D230" t="str">
        <f>IF($C230="","",IFERROR(IF($E230="machine",INDEX('JLR Machines'!$B:$B,MATCH($C230,'JLR Machines'!$A:$A,0)),IF($E230="material",INDEX('JLR Materials'!$B:$B,MATCH($C230,'JLR Materials'!$A:$A,0)),IF($E230="labour",IFERROR(INDEX('JLR Labour'!$B:$B,MATCH($C230,'JLR Labour'!$A:$A,0)),"labour category "&amp;$C230&amp;" — from the machine tab"),""))),"NOT FOUND — check the code"))</f>
        <v/>
      </c>
      <c r="E230" t="str">
        <v>material</v>
      </c>
    </row>
    <row r="231">
      <c r="A231" t="str">
        <v>mat-eva-bm</v>
      </c>
      <c r="B231" t="str">
        <v>EVA Blow Grade (14% VA) — Blow Moulding</v>
      </c>
      <c r="C231" t="str">
        <v/>
      </c>
      <c r="D231" t="str">
        <f>IF($C231="","",IFERROR(IF($E231="machine",INDEX('JLR Machines'!$B:$B,MATCH($C231,'JLR Machines'!$A:$A,0)),IF($E231="material",INDEX('JLR Materials'!$B:$B,MATCH($C231,'JLR Materials'!$A:$A,0)),IF($E231="labour",IFERROR(INDEX('JLR Labour'!$B:$B,MATCH($C231,'JLR Labour'!$A:$A,0)),"labour category "&amp;$C231&amp;" — from the machine tab"),""))),"NOT FOUND — check the code"))</f>
        <v/>
      </c>
      <c r="E231" t="str">
        <v>material</v>
      </c>
    </row>
    <row r="232">
      <c r="A232" t="str">
        <v>mat-hdpe-bm</v>
      </c>
      <c r="B232" t="str">
        <v>HDPE Blow Grade (jerry can / drum) — Blow Moulding</v>
      </c>
      <c r="C232" t="str">
        <v/>
      </c>
      <c r="D232" t="str">
        <f>IF($C232="","",IFERROR(IF($E232="machine",INDEX('JLR Machines'!$B:$B,MATCH($C232,'JLR Machines'!$A:$A,0)),IF($E232="material",INDEX('JLR Materials'!$B:$B,MATCH($C232,'JLR Materials'!$A:$A,0)),IF($E232="labour",IFERROR(INDEX('JLR Labour'!$B:$B,MATCH($C232,'JLR Labour'!$A:$A,0)),"labour category "&amp;$C232&amp;" — from the machine tab"),""))),"NOT FOUND — check the code"))</f>
        <v/>
      </c>
      <c r="E232" t="str">
        <v>material</v>
      </c>
    </row>
    <row r="233">
      <c r="A233" t="str">
        <v>mat-hdpe-fuel-coex</v>
      </c>
      <c r="B233" t="str">
        <v>HDPE Coex Fuel-Tank Grade (6-layer/EVOH) — Blow Moulding</v>
      </c>
      <c r="C233" t="str">
        <v/>
      </c>
      <c r="D233" t="str">
        <f>IF($C233="","",IFERROR(IF($E233="machine",INDEX('JLR Machines'!$B:$B,MATCH($C233,'JLR Machines'!$A:$A,0)),IF($E233="material",INDEX('JLR Materials'!$B:$B,MATCH($C233,'JLR Materials'!$A:$A,0)),IF($E233="labour",IFERROR(INDEX('JLR Labour'!$B:$B,MATCH($C233,'JLR Labour'!$A:$A,0)),"labour category "&amp;$C233&amp;" — from the machine tab"),""))),"NOT FOUND — check the code"))</f>
        <v/>
      </c>
      <c r="E233" t="str">
        <v>material</v>
      </c>
    </row>
    <row r="234">
      <c r="A234" t="str">
        <v>mat-pa6-bm</v>
      </c>
      <c r="B234" t="str">
        <v>PA6 Blow Grade (charge-air / ducts) — Blow Moulding</v>
      </c>
      <c r="C234" t="str">
        <v/>
      </c>
      <c r="D234" t="str">
        <f>IF($C234="","",IFERROR(IF($E234="machine",INDEX('JLR Machines'!$B:$B,MATCH($C234,'JLR Machines'!$A:$A,0)),IF($E234="material",INDEX('JLR Materials'!$B:$B,MATCH($C234,'JLR Materials'!$A:$A,0)),IF($E234="labour",IFERROR(INDEX('JLR Labour'!$B:$B,MATCH($C234,'JLR Labour'!$A:$A,0)),"labour category "&amp;$C234&amp;" — from the machine tab"),""))),"NOT FOUND — check the code"))</f>
        <v/>
      </c>
      <c r="E234" t="str">
        <v>material</v>
      </c>
    </row>
    <row r="235">
      <c r="A235" t="str">
        <v>mat-pc-bm</v>
      </c>
      <c r="B235" t="str">
        <v>PC Blow Grade (clear/impact) — Blow Moulding</v>
      </c>
      <c r="C235" t="str">
        <v/>
      </c>
      <c r="D235" t="str">
        <f>IF($C235="","",IFERROR(IF($E235="machine",INDEX('JLR Machines'!$B:$B,MATCH($C235,'JLR Machines'!$A:$A,0)),IF($E235="material",INDEX('JLR Materials'!$B:$B,MATCH($C235,'JLR Materials'!$A:$A,0)),IF($E235="labour",IFERROR(INDEX('JLR Labour'!$B:$B,MATCH($C235,'JLR Labour'!$A:$A,0)),"labour category "&amp;$C235&amp;" — from the machine tab"),""))),"NOT FOUND — check the code"))</f>
        <v/>
      </c>
      <c r="E235" t="str">
        <v>material</v>
      </c>
    </row>
    <row r="236">
      <c r="A236" t="str">
        <v>mat-ldpe-bm</v>
      </c>
      <c r="B236" t="str">
        <v>LDPE Blow Grade — Blow Moulding</v>
      </c>
      <c r="C236" t="str">
        <v/>
      </c>
      <c r="D236" t="str">
        <f>IF($C236="","",IFERROR(IF($E236="machine",INDEX('JLR Machines'!$B:$B,MATCH($C236,'JLR Machines'!$A:$A,0)),IF($E236="material",INDEX('JLR Materials'!$B:$B,MATCH($C236,'JLR Materials'!$A:$A,0)),IF($E236="labour",IFERROR(INDEX('JLR Labour'!$B:$B,MATCH($C236,'JLR Labour'!$A:$A,0)),"labour category "&amp;$C236&amp;" — from the machine tab"),""))),"NOT FOUND — check the code"))</f>
        <v/>
      </c>
      <c r="E236" t="str">
        <v>material</v>
      </c>
    </row>
    <row r="237">
      <c r="A237" t="str">
        <v>mat-lldpe-bm</v>
      </c>
      <c r="B237" t="str">
        <v>LLDPE Blow Grade — Blow Moulding</v>
      </c>
      <c r="C237" t="str">
        <v/>
      </c>
      <c r="D237" t="str">
        <f>IF($C237="","",IFERROR(IF($E237="machine",INDEX('JLR Machines'!$B:$B,MATCH($C237,'JLR Machines'!$A:$A,0)),IF($E237="material",INDEX('JLR Materials'!$B:$B,MATCH($C237,'JLR Materials'!$A:$A,0)),IF($E237="labour",IFERROR(INDEX('JLR Labour'!$B:$B,MATCH($C237,'JLR Labour'!$A:$A,0)),"labour category "&amp;$C237&amp;" — from the machine tab"),""))),"NOT FOUND — check the code"))</f>
        <v/>
      </c>
      <c r="E237" t="str">
        <v>material</v>
      </c>
    </row>
    <row r="238">
      <c r="A238" t="str">
        <v>mat-pet-preform</v>
      </c>
      <c r="B238" t="str">
        <v>PET Stretch-Blow Bottle Grade — Blow Moulding</v>
      </c>
      <c r="C238" t="str">
        <v/>
      </c>
      <c r="D238" t="str">
        <f>IF($C238="","",IFERROR(IF($E238="machine",INDEX('JLR Machines'!$B:$B,MATCH($C238,'JLR Machines'!$A:$A,0)),IF($E238="material",INDEX('JLR Materials'!$B:$B,MATCH($C238,'JLR Materials'!$A:$A,0)),IF($E238="labour",IFERROR(INDEX('JLR Labour'!$B:$B,MATCH($C238,'JLR Labour'!$A:$A,0)),"labour category "&amp;$C238&amp;" — from the machine tab"),""))),"NOT FOUND — check the code"))</f>
        <v/>
      </c>
      <c r="E238" t="str">
        <v>material</v>
      </c>
    </row>
    <row r="239">
      <c r="A239" t="str">
        <v>mat-tritan-bm</v>
      </c>
      <c r="B239" t="str">
        <v>Tritan Copolyester (BPA-free clear) — Blow Moulding</v>
      </c>
      <c r="C239" t="str">
        <v/>
      </c>
      <c r="D239" t="str">
        <f>IF($C239="","",IFERROR(IF($E239="machine",INDEX('JLR Machines'!$B:$B,MATCH($C239,'JLR Machines'!$A:$A,0)),IF($E239="material",INDEX('JLR Materials'!$B:$B,MATCH($C239,'JLR Materials'!$A:$A,0)),IF($E239="labour",IFERROR(INDEX('JLR Labour'!$B:$B,MATCH($C239,'JLR Labour'!$A:$A,0)),"labour category "&amp;$C239&amp;" — from the machine tab"),""))),"NOT FOUND — check the code"))</f>
        <v/>
      </c>
      <c r="E239" t="str">
        <v>material</v>
      </c>
    </row>
    <row r="240">
      <c r="A240" t="str">
        <v>mat-biope-bm</v>
      </c>
      <c r="B240" t="str">
        <v>Bio-PE Blow Grade (sugarcane HDPE) — Blow Moulding</v>
      </c>
      <c r="C240" t="str">
        <v/>
      </c>
      <c r="D240" t="str">
        <f>IF($C240="","",IFERROR(IF($E240="machine",INDEX('JLR Machines'!$B:$B,MATCH($C240,'JLR Machines'!$A:$A,0)),IF($E240="material",INDEX('JLR Materials'!$B:$B,MATCH($C240,'JLR Materials'!$A:$A,0)),IF($E240="labour",IFERROR(INDEX('JLR Labour'!$B:$B,MATCH($C240,'JLR Labour'!$A:$A,0)),"labour category "&amp;$C240&amp;" — from the machine tab"),""))),"NOT FOUND — check the code"))</f>
        <v/>
      </c>
      <c r="E240" t="str">
        <v>material</v>
      </c>
    </row>
    <row r="241">
      <c r="A241" t="str">
        <v>mat-rhdpe-bm</v>
      </c>
      <c r="B241" t="str">
        <v>Recycled HDPE Blow Grade (PCR) — Blow Moulding</v>
      </c>
      <c r="C241" t="str">
        <v/>
      </c>
      <c r="D241" t="str">
        <f>IF($C241="","",IFERROR(IF($E241="machine",INDEX('JLR Machines'!$B:$B,MATCH($C241,'JLR Machines'!$A:$A,0)),IF($E241="material",INDEX('JLR Materials'!$B:$B,MATCH($C241,'JLR Materials'!$A:$A,0)),IF($E241="labour",IFERROR(INDEX('JLR Labour'!$B:$B,MATCH($C241,'JLR Labour'!$A:$A,0)),"labour category "&amp;$C241&amp;" — from the machine tab"),""))),"NOT FOUND — check the code"))</f>
        <v/>
      </c>
      <c r="E241" t="str">
        <v>material</v>
      </c>
    </row>
    <row r="242">
      <c r="A242" t="str">
        <v>mat-rpp-bm</v>
      </c>
      <c r="B242" t="str">
        <v>Recycled PP Blow Grade (PCR) — Blow Moulding</v>
      </c>
      <c r="C242" t="str">
        <v/>
      </c>
      <c r="D242" t="str">
        <f>IF($C242="","",IFERROR(IF($E242="machine",INDEX('JLR Machines'!$B:$B,MATCH($C242,'JLR Machines'!$A:$A,0)),IF($E242="material",INDEX('JLR Materials'!$B:$B,MATCH($C242,'JLR Materials'!$A:$A,0)),IF($E242="labour",IFERROR(INDEX('JLR Labour'!$B:$B,MATCH($C242,'JLR Labour'!$A:$A,0)),"labour category "&amp;$C242&amp;" — from the machine tab"),""))),"NOT FOUND — check the code"))</f>
        <v/>
      </c>
      <c r="E242" t="str">
        <v>material</v>
      </c>
    </row>
    <row r="243">
      <c r="A243" t="str">
        <v>mat-pe100-pipe</v>
      </c>
      <c r="B243" t="str">
        <v>PE100 Pipe Grade (black, PE4710) — Extrusion</v>
      </c>
      <c r="C243" t="str">
        <v/>
      </c>
      <c r="D243" t="str">
        <f>IF($C243="","",IFERROR(IF($E243="machine",INDEX('JLR Machines'!$B:$B,MATCH($C243,'JLR Machines'!$A:$A,0)),IF($E243="material",INDEX('JLR Materials'!$B:$B,MATCH($C243,'JLR Materials'!$A:$A,0)),IF($E243="labour",IFERROR(INDEX('JLR Labour'!$B:$B,MATCH($C243,'JLR Labour'!$A:$A,0)),"labour category "&amp;$C243&amp;" — from the machine tab"),""))),"NOT FOUND — check the code"))</f>
        <v/>
      </c>
      <c r="E243" t="str">
        <v>material</v>
      </c>
    </row>
    <row r="244">
      <c r="A244" t="str">
        <v>mat-pe80-pipe</v>
      </c>
      <c r="B244" t="str">
        <v>PE80 Pipe Grade — Extrusion</v>
      </c>
      <c r="C244" t="str">
        <v/>
      </c>
      <c r="D244" t="str">
        <f>IF($C244="","",IFERROR(IF($E244="machine",INDEX('JLR Machines'!$B:$B,MATCH($C244,'JLR Machines'!$A:$A,0)),IF($E244="material",INDEX('JLR Materials'!$B:$B,MATCH($C244,'JLR Materials'!$A:$A,0)),IF($E244="labour",IFERROR(INDEX('JLR Labour'!$B:$B,MATCH($C244,'JLR Labour'!$A:$A,0)),"labour category "&amp;$C244&amp;" — from the machine tab"),""))),"NOT FOUND — check the code"))</f>
        <v/>
      </c>
      <c r="E244" t="str">
        <v>material</v>
      </c>
    </row>
    <row r="245">
      <c r="A245" t="str">
        <v>mat-upvc-pipe</v>
      </c>
      <c r="B245" t="str">
        <v>uPVC Pipe Compound (K67, dry-blend) — Extrusion</v>
      </c>
      <c r="C245" t="str">
        <v/>
      </c>
      <c r="D245" t="str">
        <f>IF($C245="","",IFERROR(IF($E245="machine",INDEX('JLR Machines'!$B:$B,MATCH($C245,'JLR Machines'!$A:$A,0)),IF($E245="material",INDEX('JLR Materials'!$B:$B,MATCH($C245,'JLR Materials'!$A:$A,0)),IF($E245="labour",IFERROR(INDEX('JLR Labour'!$B:$B,MATCH($C245,'JLR Labour'!$A:$A,0)),"labour category "&amp;$C245&amp;" — from the machine tab"),""))),"NOT FOUND — check the code"))</f>
        <v/>
      </c>
      <c r="E245" t="str">
        <v>material</v>
      </c>
    </row>
    <row r="246">
      <c r="A246" t="str">
        <v>mat-pvc-cable</v>
      </c>
      <c r="B246" t="str">
        <v>PVC Cable Compound (flexible, insulation) — Extrusion</v>
      </c>
      <c r="C246" t="str">
        <v/>
      </c>
      <c r="D246" t="str">
        <f>IF($C246="","",IFERROR(IF($E246="machine",INDEX('JLR Machines'!$B:$B,MATCH($C246,'JLR Machines'!$A:$A,0)),IF($E246="material",INDEX('JLR Materials'!$B:$B,MATCH($C246,'JLR Materials'!$A:$A,0)),IF($E246="labour",IFERROR(INDEX('JLR Labour'!$B:$B,MATCH($C246,'JLR Labour'!$A:$A,0)),"labour category "&amp;$C246&amp;" — from the machine tab"),""))),"NOT FOUND — check the code"))</f>
        <v/>
      </c>
      <c r="E246" t="str">
        <v>material</v>
      </c>
    </row>
    <row r="247">
      <c r="A247" t="str">
        <v>mat-xlpe-cable</v>
      </c>
      <c r="B247" t="str">
        <v>XLPE Cable Insulation Compound — Extrusion</v>
      </c>
      <c r="C247" t="str">
        <v/>
      </c>
      <c r="D247" t="str">
        <f>IF($C247="","",IFERROR(IF($E247="machine",INDEX('JLR Machines'!$B:$B,MATCH($C247,'JLR Machines'!$A:$A,0)),IF($E247="material",INDEX('JLR Materials'!$B:$B,MATCH($C247,'JLR Materials'!$A:$A,0)),IF($E247="labour",IFERROR(INDEX('JLR Labour'!$B:$B,MATCH($C247,'JLR Labour'!$A:$A,0)),"labour category "&amp;$C247&amp;" — from the machine tab"),""))),"NOT FOUND — check the code"))</f>
        <v/>
      </c>
      <c r="E247" t="str">
        <v>material</v>
      </c>
    </row>
    <row r="248">
      <c r="A248" t="str">
        <v>mat-gpps-ext</v>
      </c>
      <c r="B248" t="str">
        <v>GPPS Extrusion Sheet Grade — Extrusion</v>
      </c>
      <c r="C248" t="str">
        <v/>
      </c>
      <c r="D248" t="str">
        <f>IF($C248="","",IFERROR(IF($E248="machine",INDEX('JLR Machines'!$B:$B,MATCH($C248,'JLR Machines'!$A:$A,0)),IF($E248="material",INDEX('JLR Materials'!$B:$B,MATCH($C248,'JLR Materials'!$A:$A,0)),IF($E248="labour",IFERROR(INDEX('JLR Labour'!$B:$B,MATCH($C248,'JLR Labour'!$A:$A,0)),"labour category "&amp;$C248&amp;" — from the machine tab"),""))),"NOT FOUND — check the code"))</f>
        <v/>
      </c>
      <c r="E248" t="str">
        <v>material</v>
      </c>
    </row>
    <row r="249">
      <c r="A249" t="str">
        <v>mat-abs-ext-sheet</v>
      </c>
      <c r="B249" t="str">
        <v>ABS Extrusion Sheet Grade — Extrusion</v>
      </c>
      <c r="C249" t="str">
        <v/>
      </c>
      <c r="D249" t="str">
        <f>IF($C249="","",IFERROR(IF($E249="machine",INDEX('JLR Machines'!$B:$B,MATCH($C249,'JLR Machines'!$A:$A,0)),IF($E249="material",INDEX('JLR Materials'!$B:$B,MATCH($C249,'JLR Materials'!$A:$A,0)),IF($E249="labour",IFERROR(INDEX('JLR Labour'!$B:$B,MATCH($C249,'JLR Labour'!$A:$A,0)),"labour category "&amp;$C249&amp;" — from the machine tab"),""))),"NOT FOUND — check the code"))</f>
        <v/>
      </c>
      <c r="E249" t="str">
        <v>material</v>
      </c>
    </row>
    <row r="250">
      <c r="A250" t="str">
        <v>mat-pmma-ext-sheet</v>
      </c>
      <c r="B250" t="str">
        <v>PMMA Extrusion Sheet (acrylic) — Extrusion</v>
      </c>
      <c r="C250" t="str">
        <v/>
      </c>
      <c r="D250" t="str">
        <f>IF($C250="","",IFERROR(IF($E250="machine",INDEX('JLR Machines'!$B:$B,MATCH($C250,'JLR Machines'!$A:$A,0)),IF($E250="material",INDEX('JLR Materials'!$B:$B,MATCH($C250,'JLR Materials'!$A:$A,0)),IF($E250="labour",IFERROR(INDEX('JLR Labour'!$B:$B,MATCH($C250,'JLR Labour'!$A:$A,0)),"labour category "&amp;$C250&amp;" — from the machine tab"),""))),"NOT FOUND — check the code"))</f>
        <v/>
      </c>
      <c r="E250" t="str">
        <v>material</v>
      </c>
    </row>
    <row r="251">
      <c r="A251" t="str">
        <v>mat-pc-ext-sheet</v>
      </c>
      <c r="B251" t="str">
        <v>PC Extrusion/Solid Sheet Grade — Extrusion</v>
      </c>
      <c r="C251" t="str">
        <v/>
      </c>
      <c r="D251" t="str">
        <f>IF($C251="","",IFERROR(IF($E251="machine",INDEX('JLR Machines'!$B:$B,MATCH($C251,'JLR Machines'!$A:$A,0)),IF($E251="material",INDEX('JLR Materials'!$B:$B,MATCH($C251,'JLR Materials'!$A:$A,0)),IF($E251="labour",IFERROR(INDEX('JLR Labour'!$B:$B,MATCH($C251,'JLR Labour'!$A:$A,0)),"labour category "&amp;$C251&amp;" — from the machine tab"),""))),"NOT FOUND — check the code"))</f>
        <v/>
      </c>
      <c r="E251" t="str">
        <v>material</v>
      </c>
    </row>
    <row r="252">
      <c r="A252" t="str">
        <v>mat-pvc-medical-tube</v>
      </c>
      <c r="B252" t="str">
        <v>Medical PVC Tubing Compound (DEHP-free) — Extrusion</v>
      </c>
      <c r="C252" t="str">
        <v/>
      </c>
      <c r="D252" t="str">
        <f>IF($C252="","",IFERROR(IF($E252="machine",INDEX('JLR Machines'!$B:$B,MATCH($C252,'JLR Machines'!$A:$A,0)),IF($E252="material",INDEX('JLR Materials'!$B:$B,MATCH($C252,'JLR Materials'!$A:$A,0)),IF($E252="labour",IFERROR(INDEX('JLR Labour'!$B:$B,MATCH($C252,'JLR Labour'!$A:$A,0)),"labour category "&amp;$C252&amp;" — from the machine tab"),""))),"NOT FOUND — check the code"))</f>
        <v/>
      </c>
      <c r="E252" t="str">
        <v>material</v>
      </c>
    </row>
    <row r="253">
      <c r="A253" t="str">
        <v>mat-tpu-medical-tube</v>
      </c>
      <c r="B253" t="str">
        <v>Medical TPU Tubing (85A) — Extrusion</v>
      </c>
      <c r="C253" t="str">
        <v/>
      </c>
      <c r="D253" t="str">
        <f>IF($C253="","",IFERROR(IF($E253="machine",INDEX('JLR Machines'!$B:$B,MATCH($C253,'JLR Machines'!$A:$A,0)),IF($E253="material",INDEX('JLR Materials'!$B:$B,MATCH($C253,'JLR Materials'!$A:$A,0)),IF($E253="labour",IFERROR(INDEX('JLR Labour'!$B:$B,MATCH($C253,'JLR Labour'!$A:$A,0)),"labour category "&amp;$C253&amp;" — from the machine tab"),""))),"NOT FOUND — check the code"))</f>
        <v/>
      </c>
      <c r="E253" t="str">
        <v>material</v>
      </c>
    </row>
    <row r="254">
      <c r="A254" t="str">
        <v>mat-tpe-profile</v>
      </c>
      <c r="B254" t="str">
        <v>TPE-S Extrusion Profile (60 Shore A) — Extrusion</v>
      </c>
      <c r="C254" t="str">
        <v/>
      </c>
      <c r="D254" t="str">
        <f>IF($C254="","",IFERROR(IF($E254="machine",INDEX('JLR Machines'!$B:$B,MATCH($C254,'JLR Machines'!$A:$A,0)),IF($E254="material",INDEX('JLR Materials'!$B:$B,MATCH($C254,'JLR Materials'!$A:$A,0)),IF($E254="labour",IFERROR(INDEX('JLR Labour'!$B:$B,MATCH($C254,'JLR Labour'!$A:$A,0)),"labour category "&amp;$C254&amp;" — from the machine tab"),""))),"NOT FOUND — check the code"))</f>
        <v/>
      </c>
      <c r="E254" t="str">
        <v>material</v>
      </c>
    </row>
    <row r="255">
      <c r="A255" t="str">
        <v>mat-pvc-foam</v>
      </c>
      <c r="B255" t="str">
        <v>Rigid PVC Foam (Celuka) Profile — Extrusion</v>
      </c>
      <c r="C255" t="str">
        <v/>
      </c>
      <c r="D255" t="str">
        <f>IF($C255="","",IFERROR(IF($E255="machine",INDEX('JLR Machines'!$B:$B,MATCH($C255,'JLR Machines'!$A:$A,0)),IF($E255="material",INDEX('JLR Materials'!$B:$B,MATCH($C255,'JLR Materials'!$A:$A,0)),IF($E255="labour",IFERROR(INDEX('JLR Labour'!$B:$B,MATCH($C255,'JLR Labour'!$A:$A,0)),"labour category "&amp;$C255&amp;" — from the machine tab"),""))),"NOT FOUND — check the code"))</f>
        <v/>
      </c>
      <c r="E255" t="str">
        <v>material</v>
      </c>
    </row>
    <row r="256">
      <c r="A256" t="str">
        <v>mat-pp-ext-sheet</v>
      </c>
      <c r="B256" t="str">
        <v>PP Extrusion Sheet Grade — Extrusion</v>
      </c>
      <c r="C256" t="str">
        <v/>
      </c>
      <c r="D256" t="str">
        <f>IF($C256="","",IFERROR(IF($E256="machine",INDEX('JLR Machines'!$B:$B,MATCH($C256,'JLR Machines'!$A:$A,0)),IF($E256="material",INDEX('JLR Materials'!$B:$B,MATCH($C256,'JLR Materials'!$A:$A,0)),IF($E256="labour",IFERROR(INDEX('JLR Labour'!$B:$B,MATCH($C256,'JLR Labour'!$A:$A,0)),"labour category "&amp;$C256&amp;" — from the machine tab"),""))),"NOT FOUND — check the code"))</f>
        <v/>
      </c>
      <c r="E256" t="str">
        <v>material</v>
      </c>
    </row>
    <row r="257">
      <c r="A257" t="str">
        <v>mat-pa12-ext-tube</v>
      </c>
      <c r="B257" t="str">
        <v>PA12 Extrusion (fuel/brake line tube) — Extrusion</v>
      </c>
      <c r="C257" t="str">
        <v/>
      </c>
      <c r="D257" t="str">
        <f>IF($C257="","",IFERROR(IF($E257="machine",INDEX('JLR Machines'!$B:$B,MATCH($C257,'JLR Machines'!$A:$A,0)),IF($E257="material",INDEX('JLR Materials'!$B:$B,MATCH($C257,'JLR Materials'!$A:$A,0)),IF($E257="labour",IFERROR(INDEX('JLR Labour'!$B:$B,MATCH($C257,'JLR Labour'!$A:$A,0)),"labour category "&amp;$C257&amp;" — from the machine tab"),""))),"NOT FOUND — check the code"))</f>
        <v/>
      </c>
      <c r="E257" t="str">
        <v>material</v>
      </c>
    </row>
    <row r="258">
      <c r="A258" t="str">
        <v>mat-mb-colour</v>
      </c>
      <c r="B258" t="str">
        <v>Colour Masterbatch (universal) — Additive / Masterbatch</v>
      </c>
      <c r="C258" t="str">
        <v/>
      </c>
      <c r="D258" t="str">
        <f>IF($C258="","",IFERROR(IF($E258="machine",INDEX('JLR Machines'!$B:$B,MATCH($C258,'JLR Machines'!$A:$A,0)),IF($E258="material",INDEX('JLR Materials'!$B:$B,MATCH($C258,'JLR Materials'!$A:$A,0)),IF($E258="labour",IFERROR(INDEX('JLR Labour'!$B:$B,MATCH($C258,'JLR Labour'!$A:$A,0)),"labour category "&amp;$C258&amp;" — from the machine tab"),""))),"NOT FOUND — check the code"))</f>
        <v/>
      </c>
      <c r="E258" t="str">
        <v>material</v>
      </c>
    </row>
    <row r="259">
      <c r="A259" t="str">
        <v>mat-mb-white-tio2</v>
      </c>
      <c r="B259" t="str">
        <v>White Masterbatch (70% TiO₂) — Additive / Masterbatch</v>
      </c>
      <c r="C259" t="str">
        <v/>
      </c>
      <c r="D259" t="str">
        <f>IF($C259="","",IFERROR(IF($E259="machine",INDEX('JLR Machines'!$B:$B,MATCH($C259,'JLR Machines'!$A:$A,0)),IF($E259="material",INDEX('JLR Materials'!$B:$B,MATCH($C259,'JLR Materials'!$A:$A,0)),IF($E259="labour",IFERROR(INDEX('JLR Labour'!$B:$B,MATCH($C259,'JLR Labour'!$A:$A,0)),"labour category "&amp;$C259&amp;" — from the machine tab"),""))),"NOT FOUND — check the code"))</f>
        <v/>
      </c>
      <c r="E259" t="str">
        <v>material</v>
      </c>
    </row>
    <row r="260">
      <c r="A260" t="str">
        <v>mat-mb-black</v>
      </c>
      <c r="B260" t="str">
        <v>Black Masterbatch (40% carbon) — Additive / Masterbatch</v>
      </c>
      <c r="C260" t="str">
        <v/>
      </c>
      <c r="D260" t="str">
        <f>IF($C260="","",IFERROR(IF($E260="machine",INDEX('JLR Machines'!$B:$B,MATCH($C260,'JLR Machines'!$A:$A,0)),IF($E260="material",INDEX('JLR Materials'!$B:$B,MATCH($C260,'JLR Materials'!$A:$A,0)),IF($E260="labour",IFERROR(INDEX('JLR Labour'!$B:$B,MATCH($C260,'JLR Labour'!$A:$A,0)),"labour category "&amp;$C260&amp;" — from the machine tab"),""))),"NOT FOUND — check the code"))</f>
        <v/>
      </c>
      <c r="E260" t="str">
        <v>material</v>
      </c>
    </row>
    <row r="261">
      <c r="A261" t="str">
        <v>mat-add-uv</v>
      </c>
      <c r="B261" t="str">
        <v>UV Stabiliser Masterbatch (HALS) — Additive / Masterbatch</v>
      </c>
      <c r="C261" t="str">
        <v/>
      </c>
      <c r="D261" t="str">
        <f>IF($C261="","",IFERROR(IF($E261="machine",INDEX('JLR Machines'!$B:$B,MATCH($C261,'JLR Machines'!$A:$A,0)),IF($E261="material",INDEX('JLR Materials'!$B:$B,MATCH($C261,'JLR Materials'!$A:$A,0)),IF($E261="labour",IFERROR(INDEX('JLR Labour'!$B:$B,MATCH($C261,'JLR Labour'!$A:$A,0)),"labour category "&amp;$C261&amp;" — from the machine tab"),""))),"NOT FOUND — check the code"))</f>
        <v/>
      </c>
      <c r="E261" t="str">
        <v>material</v>
      </c>
    </row>
    <row r="262">
      <c r="A262" t="str">
        <v>mat-add-antistat</v>
      </c>
      <c r="B262" t="str">
        <v>Anti-Static Additive Masterbatch — Additive / Masterbatch</v>
      </c>
      <c r="C262" t="str">
        <v/>
      </c>
      <c r="D262" t="str">
        <f>IF($C262="","",IFERROR(IF($E262="machine",INDEX('JLR Machines'!$B:$B,MATCH($C262,'JLR Machines'!$A:$A,0)),IF($E262="material",INDEX('JLR Materials'!$B:$B,MATCH($C262,'JLR Materials'!$A:$A,0)),IF($E262="labour",IFERROR(INDEX('JLR Labour'!$B:$B,MATCH($C262,'JLR Labour'!$A:$A,0)),"labour category "&amp;$C262&amp;" — from the machine tab"),""))),"NOT FOUND — check the code"))</f>
        <v/>
      </c>
      <c r="E262" t="str">
        <v>material</v>
      </c>
    </row>
    <row r="263">
      <c r="A263" t="str">
        <v>mat-add-fr</v>
      </c>
      <c r="B263" t="str">
        <v>Flame-Retardant Masterbatch (halogen-free) — Additive / Masterbatch</v>
      </c>
      <c r="C263" t="str">
        <v/>
      </c>
      <c r="D263" t="str">
        <f>IF($C263="","",IFERROR(IF($E263="machine",INDEX('JLR Machines'!$B:$B,MATCH($C263,'JLR Machines'!$A:$A,0)),IF($E263="material",INDEX('JLR Materials'!$B:$B,MATCH($C263,'JLR Materials'!$A:$A,0)),IF($E263="labour",IFERROR(INDEX('JLR Labour'!$B:$B,MATCH($C263,'JLR Labour'!$A:$A,0)),"labour category "&amp;$C263&amp;" — from the machine tab"),""))),"NOT FOUND — check the code"))</f>
        <v/>
      </c>
      <c r="E263" t="str">
        <v>material</v>
      </c>
    </row>
    <row r="264">
      <c r="A264" t="str">
        <v>mat-add-impact</v>
      </c>
      <c r="B264" t="str">
        <v>Impact Modifier (acrylic/CPE) — Additive / Masterbatch</v>
      </c>
      <c r="C264" t="str">
        <v/>
      </c>
      <c r="D264" t="str">
        <f>IF($C264="","",IFERROR(IF($E264="machine",INDEX('JLR Machines'!$B:$B,MATCH($C264,'JLR Machines'!$A:$A,0)),IF($E264="material",INDEX('JLR Materials'!$B:$B,MATCH($C264,'JLR Materials'!$A:$A,0)),IF($E264="labour",IFERROR(INDEX('JLR Labour'!$B:$B,MATCH($C264,'JLR Labour'!$A:$A,0)),"labour category "&amp;$C264&amp;" — from the machine tab"),""))),"NOT FOUND — check the code"))</f>
        <v/>
      </c>
      <c r="E264" t="str">
        <v>material</v>
      </c>
    </row>
    <row r="265">
      <c r="A265" t="str">
        <v>mat-add-procaid</v>
      </c>
      <c r="B265" t="str">
        <v>Processing Aid (fluoropolymer PPA) — Additive / Masterbatch</v>
      </c>
      <c r="C265" t="str">
        <v/>
      </c>
      <c r="D265" t="str">
        <f>IF($C265="","",IFERROR(IF($E265="machine",INDEX('JLR Machines'!$B:$B,MATCH($C265,'JLR Machines'!$A:$A,0)),IF($E265="material",INDEX('JLR Materials'!$B:$B,MATCH($C265,'JLR Materials'!$A:$A,0)),IF($E265="labour",IFERROR(INDEX('JLR Labour'!$B:$B,MATCH($C265,'JLR Labour'!$A:$A,0)),"labour category "&amp;$C265&amp;" — from the machine tab"),""))),"NOT FOUND — check the code"))</f>
        <v/>
      </c>
      <c r="E265" t="str">
        <v>material</v>
      </c>
    </row>
    <row r="266">
      <c r="A266" t="str">
        <v>mat-hips-tf</v>
      </c>
      <c r="B266" t="str">
        <v>HIPS Thermoforming Sheet — Thermoforming Sheet</v>
      </c>
      <c r="C266" t="str">
        <v/>
      </c>
      <c r="D266" t="str">
        <f>IF($C266="","",IFERROR(IF($E266="machine",INDEX('JLR Machines'!$B:$B,MATCH($C266,'JLR Machines'!$A:$A,0)),IF($E266="material",INDEX('JLR Materials'!$B:$B,MATCH($C266,'JLR Materials'!$A:$A,0)),IF($E266="labour",IFERROR(INDEX('JLR Labour'!$B:$B,MATCH($C266,'JLR Labour'!$A:$A,0)),"labour category "&amp;$C266&amp;" — from the machine tab"),""))),"NOT FOUND — check the code"))</f>
        <v/>
      </c>
      <c r="E266" t="str">
        <v>material</v>
      </c>
    </row>
    <row r="267">
      <c r="A267" t="str">
        <v>mat-abs-tf</v>
      </c>
      <c r="B267" t="str">
        <v>ABS Thermoforming Sheet — Thermoforming Sheet</v>
      </c>
      <c r="C267" t="str">
        <v/>
      </c>
      <c r="D267" t="str">
        <f>IF($C267="","",IFERROR(IF($E267="machine",INDEX('JLR Machines'!$B:$B,MATCH($C267,'JLR Machines'!$A:$A,0)),IF($E267="material",INDEX('JLR Materials'!$B:$B,MATCH($C267,'JLR Materials'!$A:$A,0)),IF($E267="labour",IFERROR(INDEX('JLR Labour'!$B:$B,MATCH($C267,'JLR Labour'!$A:$A,0)),"labour category "&amp;$C267&amp;" — from the machine tab"),""))),"NOT FOUND — check the code"))</f>
        <v/>
      </c>
      <c r="E267" t="str">
        <v>material</v>
      </c>
    </row>
    <row r="268">
      <c r="A268" t="str">
        <v>mat-petg-tf</v>
      </c>
      <c r="B268" t="str">
        <v>PETG Thermoforming Sheet (clear) — Thermoforming Sheet</v>
      </c>
      <c r="C268" t="str">
        <v/>
      </c>
      <c r="D268" t="str">
        <f>IF($C268="","",IFERROR(IF($E268="machine",INDEX('JLR Machines'!$B:$B,MATCH($C268,'JLR Machines'!$A:$A,0)),IF($E268="material",INDEX('JLR Materials'!$B:$B,MATCH($C268,'JLR Materials'!$A:$A,0)),IF($E268="labour",IFERROR(INDEX('JLR Labour'!$B:$B,MATCH($C268,'JLR Labour'!$A:$A,0)),"labour category "&amp;$C268&amp;" — from the machine tab"),""))),"NOT FOUND — check the code"))</f>
        <v/>
      </c>
      <c r="E268" t="str">
        <v>material</v>
      </c>
    </row>
    <row r="269">
      <c r="A269" t="str">
        <v>mat-apet-tf</v>
      </c>
      <c r="B269" t="str">
        <v>APET Sheet (amorphous, food pack) — Thermoforming Sheet</v>
      </c>
      <c r="C269" t="str">
        <v/>
      </c>
      <c r="D269" t="str">
        <f>IF($C269="","",IFERROR(IF($E269="machine",INDEX('JLR Machines'!$B:$B,MATCH($C269,'JLR Machines'!$A:$A,0)),IF($E269="material",INDEX('JLR Materials'!$B:$B,MATCH($C269,'JLR Materials'!$A:$A,0)),IF($E269="labour",IFERROR(INDEX('JLR Labour'!$B:$B,MATCH($C269,'JLR Labour'!$A:$A,0)),"labour category "&amp;$C269&amp;" — from the machine tab"),""))),"NOT FOUND — check the code"))</f>
        <v/>
      </c>
      <c r="E269" t="str">
        <v>material</v>
      </c>
    </row>
    <row r="270">
      <c r="A270" t="str">
        <v>mat-cpet-tf</v>
      </c>
      <c r="B270" t="str">
        <v>CPET Sheet (crystalline, dual-ovenable) — Thermoforming Sheet</v>
      </c>
      <c r="C270" t="str">
        <v/>
      </c>
      <c r="D270" t="str">
        <f>IF($C270="","",IFERROR(IF($E270="machine",INDEX('JLR Machines'!$B:$B,MATCH($C270,'JLR Machines'!$A:$A,0)),IF($E270="material",INDEX('JLR Materials'!$B:$B,MATCH($C270,'JLR Materials'!$A:$A,0)),IF($E270="labour",IFERROR(INDEX('JLR Labour'!$B:$B,MATCH($C270,'JLR Labour'!$A:$A,0)),"labour category "&amp;$C270&amp;" — from the machine tab"),""))),"NOT FOUND — check the code"))</f>
        <v/>
      </c>
      <c r="E270" t="str">
        <v>material</v>
      </c>
    </row>
    <row r="271">
      <c r="A271" t="str">
        <v>mat-rpvc-tf</v>
      </c>
      <c r="B271" t="str">
        <v>Rigid PVC Thermoforming Sheet — Thermoforming Sheet</v>
      </c>
      <c r="C271" t="str">
        <v/>
      </c>
      <c r="D271" t="str">
        <f>IF($C271="","",IFERROR(IF($E271="machine",INDEX('JLR Machines'!$B:$B,MATCH($C271,'JLR Machines'!$A:$A,0)),IF($E271="material",INDEX('JLR Materials'!$B:$B,MATCH($C271,'JLR Materials'!$A:$A,0)),IF($E271="labour",IFERROR(INDEX('JLR Labour'!$B:$B,MATCH($C271,'JLR Labour'!$A:$A,0)),"labour category "&amp;$C271&amp;" — from the machine tab"),""))),"NOT FOUND — check the code"))</f>
        <v/>
      </c>
      <c r="E271" t="str">
        <v>material</v>
      </c>
    </row>
    <row r="272">
      <c r="A272" t="str">
        <v>mat-pp-tf</v>
      </c>
      <c r="B272" t="str">
        <v>PP Thermoforming Sheet (HMS) — Thermoforming Sheet</v>
      </c>
      <c r="C272" t="str">
        <v/>
      </c>
      <c r="D272" t="str">
        <f>IF($C272="","",IFERROR(IF($E272="machine",INDEX('JLR Machines'!$B:$B,MATCH($C272,'JLR Machines'!$A:$A,0)),IF($E272="material",INDEX('JLR Materials'!$B:$B,MATCH($C272,'JLR Materials'!$A:$A,0)),IF($E272="labour",IFERROR(INDEX('JLR Labour'!$B:$B,MATCH($C272,'JLR Labour'!$A:$A,0)),"labour category "&amp;$C272&amp;" — from the machine tab"),""))),"NOT FOUND — check the code"))</f>
        <v/>
      </c>
      <c r="E272" t="str">
        <v>material</v>
      </c>
    </row>
    <row r="273">
      <c r="A273" t="str">
        <v>mat-hdpe-tf</v>
      </c>
      <c r="B273" t="str">
        <v>HDPE Thermoforming Sheet — Thermoforming Sheet</v>
      </c>
      <c r="C273" t="str">
        <v/>
      </c>
      <c r="D273" t="str">
        <f>IF($C273="","",IFERROR(IF($E273="machine",INDEX('JLR Machines'!$B:$B,MATCH($C273,'JLR Machines'!$A:$A,0)),IF($E273="material",INDEX('JLR Materials'!$B:$B,MATCH($C273,'JLR Materials'!$A:$A,0)),IF($E273="labour",IFERROR(INDEX('JLR Labour'!$B:$B,MATCH($C273,'JLR Labour'!$A:$A,0)),"labour category "&amp;$C273&amp;" — from the machine tab"),""))),"NOT FOUND — check the code"))</f>
        <v/>
      </c>
      <c r="E273" t="str">
        <v>material</v>
      </c>
    </row>
    <row r="274">
      <c r="A274" t="str">
        <v>mat-ldpe-tf</v>
      </c>
      <c r="B274" t="str">
        <v>LDPE Thermoforming Sheet — Thermoforming Sheet</v>
      </c>
      <c r="C274" t="str">
        <v/>
      </c>
      <c r="D274" t="str">
        <f>IF($C274="","",IFERROR(IF($E274="machine",INDEX('JLR Machines'!$B:$B,MATCH($C274,'JLR Machines'!$A:$A,0)),IF($E274="material",INDEX('JLR Materials'!$B:$B,MATCH($C274,'JLR Materials'!$A:$A,0)),IF($E274="labour",IFERROR(INDEX('JLR Labour'!$B:$B,MATCH($C274,'JLR Labour'!$A:$A,0)),"labour category "&amp;$C274&amp;" — from the machine tab"),""))),"NOT FOUND — check the code"))</f>
        <v/>
      </c>
      <c r="E274" t="str">
        <v>material</v>
      </c>
    </row>
    <row r="275">
      <c r="A275" t="str">
        <v>mat-ps-foam-tf</v>
      </c>
      <c r="B275" t="str">
        <v>PS Foam Sheet (foamed tray stock) — Thermoforming Sheet</v>
      </c>
      <c r="C275" t="str">
        <v/>
      </c>
      <c r="D275" t="str">
        <f>IF($C275="","",IFERROR(IF($E275="machine",INDEX('JLR Machines'!$B:$B,MATCH($C275,'JLR Machines'!$A:$A,0)),IF($E275="material",INDEX('JLR Materials'!$B:$B,MATCH($C275,'JLR Materials'!$A:$A,0)),IF($E275="labour",IFERROR(INDEX('JLR Labour'!$B:$B,MATCH($C275,'JLR Labour'!$A:$A,0)),"labour category "&amp;$C275&amp;" — from the machine tab"),""))),"NOT FOUND — check the code"))</f>
        <v/>
      </c>
      <c r="E275" t="str">
        <v>material</v>
      </c>
    </row>
    <row r="276">
      <c r="A276" t="str">
        <v>mat-pmma-tf</v>
      </c>
      <c r="B276" t="str">
        <v>PMMA / Acrylic Sheet (cast/extruded) — Thermoforming Sheet</v>
      </c>
      <c r="C276" t="str">
        <v/>
      </c>
      <c r="D276" t="str">
        <f>IF($C276="","",IFERROR(IF($E276="machine",INDEX('JLR Machines'!$B:$B,MATCH($C276,'JLR Machines'!$A:$A,0)),IF($E276="material",INDEX('JLR Materials'!$B:$B,MATCH($C276,'JLR Materials'!$A:$A,0)),IF($E276="labour",IFERROR(INDEX('JLR Labour'!$B:$B,MATCH($C276,'JLR Labour'!$A:$A,0)),"labour category "&amp;$C276&amp;" — from the machine tab"),""))),"NOT FOUND — check the code"))</f>
        <v/>
      </c>
      <c r="E276" t="str">
        <v>material</v>
      </c>
    </row>
    <row r="277">
      <c r="A277" t="str">
        <v>mat-pc-tf</v>
      </c>
      <c r="B277" t="str">
        <v>PC Thermoforming Sheet — Thermoforming Sheet</v>
      </c>
      <c r="C277" t="str">
        <v/>
      </c>
      <c r="D277" t="str">
        <f>IF($C277="","",IFERROR(IF($E277="machine",INDEX('JLR Machines'!$B:$B,MATCH($C277,'JLR Machines'!$A:$A,0)),IF($E277="material",INDEX('JLR Materials'!$B:$B,MATCH($C277,'JLR Materials'!$A:$A,0)),IF($E277="labour",IFERROR(INDEX('JLR Labour'!$B:$B,MATCH($C277,'JLR Labour'!$A:$A,0)),"labour category "&amp;$C277&amp;" — from the machine tab"),""))),"NOT FOUND — check the code"))</f>
        <v/>
      </c>
      <c r="E277" t="str">
        <v>material</v>
      </c>
    </row>
    <row r="278">
      <c r="A278" t="str">
        <v>mat-pei-tf</v>
      </c>
      <c r="B278" t="str">
        <v>PEI (Ultem) Sheet (aerospace) — Thermoforming Sheet</v>
      </c>
      <c r="C278" t="str">
        <v/>
      </c>
      <c r="D278" t="str">
        <f>IF($C278="","",IFERROR(IF($E278="machine",INDEX('JLR Machines'!$B:$B,MATCH($C278,'JLR Machines'!$A:$A,0)),IF($E278="material",INDEX('JLR Materials'!$B:$B,MATCH($C278,'JLR Materials'!$A:$A,0)),IF($E278="labour",IFERROR(INDEX('JLR Labour'!$B:$B,MATCH($C278,'JLR Labour'!$A:$A,0)),"labour category "&amp;$C278&amp;" — from the machine tab"),""))),"NOT FOUND — check the code"))</f>
        <v/>
      </c>
      <c r="E278" t="str">
        <v>material</v>
      </c>
    </row>
    <row r="279">
      <c r="A279" t="str">
        <v>mat-pps-tf</v>
      </c>
      <c r="B279" t="str">
        <v>PPS Sheet (high-temp) — Thermoforming Sheet</v>
      </c>
      <c r="C279" t="str">
        <v/>
      </c>
      <c r="D279" t="str">
        <f>IF($C279="","",IFERROR(IF($E279="machine",INDEX('JLR Machines'!$B:$B,MATCH($C279,'JLR Machines'!$A:$A,0)),IF($E279="material",INDEX('JLR Materials'!$B:$B,MATCH($C279,'JLR Materials'!$A:$A,0)),IF($E279="labour",IFERROR(INDEX('JLR Labour'!$B:$B,MATCH($C279,'JLR Labour'!$A:$A,0)),"labour category "&amp;$C279&amp;" — from the machine tab"),""))),"NOT FOUND — check the code"))</f>
        <v/>
      </c>
      <c r="E279" t="str">
        <v>material</v>
      </c>
    </row>
    <row r="280">
      <c r="A280" t="str">
        <v>mat-abs-pmma-tf</v>
      </c>
      <c r="B280" t="str">
        <v>ABS/PMMA Co-ex Sheet (capped) — Thermoforming Sheet</v>
      </c>
      <c r="C280" t="str">
        <v/>
      </c>
      <c r="D280" t="str">
        <f>IF($C280="","",IFERROR(IF($E280="machine",INDEX('JLR Machines'!$B:$B,MATCH($C280,'JLR Machines'!$A:$A,0)),IF($E280="material",INDEX('JLR Materials'!$B:$B,MATCH($C280,'JLR Materials'!$A:$A,0)),IF($E280="labour",IFERROR(INDEX('JLR Labour'!$B:$B,MATCH($C280,'JLR Labour'!$A:$A,0)),"labour category "&amp;$C280&amp;" — from the machine tab"),""))),"NOT FOUND — check the code"))</f>
        <v/>
      </c>
      <c r="E280" t="str">
        <v>material</v>
      </c>
    </row>
    <row r="281">
      <c r="A281" t="str">
        <v>mat-abs-pc-tf</v>
      </c>
      <c r="B281" t="str">
        <v>ABS/PC Co-ex Sheet — Thermoforming Sheet</v>
      </c>
      <c r="C281" t="str">
        <v/>
      </c>
      <c r="D281" t="str">
        <f>IF($C281="","",IFERROR(IF($E281="machine",INDEX('JLR Machines'!$B:$B,MATCH($C281,'JLR Machines'!$A:$A,0)),IF($E281="material",INDEX('JLR Materials'!$B:$B,MATCH($C281,'JLR Materials'!$A:$A,0)),IF($E281="labour",IFERROR(INDEX('JLR Labour'!$B:$B,MATCH($C281,'JLR Labour'!$A:$A,0)),"labour category "&amp;$C281&amp;" — from the machine tab"),""))),"NOT FOUND — check the code"))</f>
        <v/>
      </c>
      <c r="E281" t="str">
        <v>material</v>
      </c>
    </row>
    <row r="282">
      <c r="A282" t="str">
        <v>mat-pp-tpo-tf</v>
      </c>
      <c r="B282" t="str">
        <v>PP/TPO Automotive Sheet — Thermoforming Sheet</v>
      </c>
      <c r="C282" t="str">
        <v/>
      </c>
      <c r="D282" t="str">
        <f>IF($C282="","",IFERROR(IF($E282="machine",INDEX('JLR Machines'!$B:$B,MATCH($C282,'JLR Machines'!$A:$A,0)),IF($E282="material",INDEX('JLR Materials'!$B:$B,MATCH($C282,'JLR Materials'!$A:$A,0)),IF($E282="labour",IFERROR(INDEX('JLR Labour'!$B:$B,MATCH($C282,'JLR Labour'!$A:$A,0)),"labour category "&amp;$C282&amp;" — from the machine tab"),""))),"NOT FOUND — check the code"))</f>
        <v/>
      </c>
      <c r="E282" t="str">
        <v>material</v>
      </c>
    </row>
    <row r="283">
      <c r="A283" t="str">
        <v>mat-petg-barrier-tf</v>
      </c>
      <c r="B283" t="str">
        <v>PETG/EVOH Barrier Sheet — Thermoforming Sheet</v>
      </c>
      <c r="C283" t="str">
        <v/>
      </c>
      <c r="D283" t="str">
        <f>IF($C283="","",IFERROR(IF($E283="machine",INDEX('JLR Machines'!$B:$B,MATCH($C283,'JLR Machines'!$A:$A,0)),IF($E283="material",INDEX('JLR Materials'!$B:$B,MATCH($C283,'JLR Materials'!$A:$A,0)),IF($E283="labour",IFERROR(INDEX('JLR Labour'!$B:$B,MATCH($C283,'JLR Labour'!$A:$A,0)),"labour category "&amp;$C283&amp;" — from the machine tab"),""))),"NOT FOUND — check the code"))</f>
        <v/>
      </c>
      <c r="E283" t="str">
        <v>material</v>
      </c>
    </row>
    <row r="284">
      <c r="A284" t="str">
        <v>mat-lldpe-roto</v>
      </c>
      <c r="B284" t="str">
        <v>LLDPE Roto Powder (natural) — Rotational Moulding</v>
      </c>
      <c r="C284" t="str">
        <v/>
      </c>
      <c r="D284" t="str">
        <f>IF($C284="","",IFERROR(IF($E284="machine",INDEX('JLR Machines'!$B:$B,MATCH($C284,'JLR Machines'!$A:$A,0)),IF($E284="material",INDEX('JLR Materials'!$B:$B,MATCH($C284,'JLR Materials'!$A:$A,0)),IF($E284="labour",IFERROR(INDEX('JLR Labour'!$B:$B,MATCH($C284,'JLR Labour'!$A:$A,0)),"labour category "&amp;$C284&amp;" — from the machine tab"),""))),"NOT FOUND — check the code"))</f>
        <v/>
      </c>
      <c r="E284" t="str">
        <v>material</v>
      </c>
    </row>
    <row r="285">
      <c r="A285" t="str">
        <v>mat-hdpe-roto</v>
      </c>
      <c r="B285" t="str">
        <v>HDPE Roto Powder — Rotational Moulding</v>
      </c>
      <c r="C285" t="str">
        <v/>
      </c>
      <c r="D285" t="str">
        <f>IF($C285="","",IFERROR(IF($E285="machine",INDEX('JLR Machines'!$B:$B,MATCH($C285,'JLR Machines'!$A:$A,0)),IF($E285="material",INDEX('JLR Materials'!$B:$B,MATCH($C285,'JLR Materials'!$A:$A,0)),IF($E285="labour",IFERROR(INDEX('JLR Labour'!$B:$B,MATCH($C285,'JLR Labour'!$A:$A,0)),"labour category "&amp;$C285&amp;" — from the machine tab"),""))),"NOT FOUND — check the code"))</f>
        <v/>
      </c>
      <c r="E285" t="str">
        <v>material</v>
      </c>
    </row>
    <row r="286">
      <c r="A286" t="str">
        <v>mat-pp-roto</v>
      </c>
      <c r="B286" t="str">
        <v>PP Roto Powder — Rotational Moulding</v>
      </c>
      <c r="C286" t="str">
        <v/>
      </c>
      <c r="D286" t="str">
        <f>IF($C286="","",IFERROR(IF($E286="machine",INDEX('JLR Machines'!$B:$B,MATCH($C286,'JLR Machines'!$A:$A,0)),IF($E286="material",INDEX('JLR Materials'!$B:$B,MATCH($C286,'JLR Materials'!$A:$A,0)),IF($E286="labour",IFERROR(INDEX('JLR Labour'!$B:$B,MATCH($C286,'JLR Labour'!$A:$A,0)),"labour category "&amp;$C286&amp;" — from the machine tab"),""))),"NOT FOUND — check the code"))</f>
        <v/>
      </c>
      <c r="E286" t="str">
        <v>material</v>
      </c>
    </row>
    <row r="287">
      <c r="A287" t="str">
        <v>mat-xlpe-roto</v>
      </c>
      <c r="B287" t="str">
        <v>Cross-Linked PE (XLPE) Roto — Rotational Moulding</v>
      </c>
      <c r="C287" t="str">
        <v/>
      </c>
      <c r="D287" t="str">
        <f>IF($C287="","",IFERROR(IF($E287="machine",INDEX('JLR Machines'!$B:$B,MATCH($C287,'JLR Machines'!$A:$A,0)),IF($E287="material",INDEX('JLR Materials'!$B:$B,MATCH($C287,'JLR Materials'!$A:$A,0)),IF($E287="labour",IFERROR(INDEX('JLR Labour'!$B:$B,MATCH($C287,'JLR Labour'!$A:$A,0)),"labour category "&amp;$C287&amp;" — from the machine tab"),""))),"NOT FOUND — check the code"))</f>
        <v/>
      </c>
      <c r="E287" t="str">
        <v>material</v>
      </c>
    </row>
    <row r="288">
      <c r="A288" t="str">
        <v>mat-pa12-roto</v>
      </c>
      <c r="B288" t="str">
        <v>PA12 Roto Powder — Rotational Moulding</v>
      </c>
      <c r="C288" t="str">
        <v/>
      </c>
      <c r="D288" t="str">
        <f>IF($C288="","",IFERROR(IF($E288="machine",INDEX('JLR Machines'!$B:$B,MATCH($C288,'JLR Machines'!$A:$A,0)),IF($E288="material",INDEX('JLR Materials'!$B:$B,MATCH($C288,'JLR Materials'!$A:$A,0)),IF($E288="labour",IFERROR(INDEX('JLR Labour'!$B:$B,MATCH($C288,'JLR Labour'!$A:$A,0)),"labour category "&amp;$C288&amp;" — from the machine tab"),""))),"NOT FOUND — check the code"))</f>
        <v/>
      </c>
      <c r="E288" t="str">
        <v>material</v>
      </c>
    </row>
    <row r="289">
      <c r="A289" t="str">
        <v>mat-fr-pe-roto</v>
      </c>
      <c r="B289" t="str">
        <v>Flame-Retardant PE Roto — Rotational Moulding</v>
      </c>
      <c r="C289" t="str">
        <v/>
      </c>
      <c r="D289" t="str">
        <f>IF($C289="","",IFERROR(IF($E289="machine",INDEX('JLR Machines'!$B:$B,MATCH($C289,'JLR Machines'!$A:$A,0)),IF($E289="material",INDEX('JLR Materials'!$B:$B,MATCH($C289,'JLR Materials'!$A:$A,0)),IF($E289="labour",IFERROR(INDEX('JLR Labour'!$B:$B,MATCH($C289,'JLR Labour'!$A:$A,0)),"labour category "&amp;$C289&amp;" — from the machine tab"),""))),"NOT FOUND — check the code"))</f>
        <v/>
      </c>
      <c r="E289" t="str">
        <v>material</v>
      </c>
    </row>
    <row r="290">
      <c r="A290" t="str">
        <v>mat-foam-pe-roto</v>
      </c>
      <c r="B290" t="str">
        <v>Foamable PE Roto (structural foam core) — Rotational Moulding</v>
      </c>
      <c r="C290" t="str">
        <v/>
      </c>
      <c r="D290" t="str">
        <f>IF($C290="","",IFERROR(IF($E290="machine",INDEX('JLR Machines'!$B:$B,MATCH($C290,'JLR Machines'!$A:$A,0)),IF($E290="material",INDEX('JLR Materials'!$B:$B,MATCH($C290,'JLR Materials'!$A:$A,0)),IF($E290="labour",IFERROR(INDEX('JLR Labour'!$B:$B,MATCH($C290,'JLR Labour'!$A:$A,0)),"labour category "&amp;$C290&amp;" — from the machine tab"),""))),"NOT FOUND — check the code"))</f>
        <v/>
      </c>
      <c r="E290" t="str">
        <v>material</v>
      </c>
    </row>
    <row r="291">
      <c r="A291" t="str">
        <v>mat-cond-pe-roto</v>
      </c>
      <c r="B291" t="str">
        <v>Conductive/Antistatic PE Roto — Rotational Moulding</v>
      </c>
      <c r="C291" t="str">
        <v/>
      </c>
      <c r="D291" t="str">
        <f>IF($C291="","",IFERROR(IF($E291="machine",INDEX('JLR Machines'!$B:$B,MATCH($C291,'JLR Machines'!$A:$A,0)),IF($E291="material",INDEX('JLR Materials'!$B:$B,MATCH($C291,'JLR Materials'!$A:$A,0)),IF($E291="labour",IFERROR(INDEX('JLR Labour'!$B:$B,MATCH($C291,'JLR Labour'!$A:$A,0)),"labour category "&amp;$C291&amp;" — from the machine tab"),""))),"NOT FOUND — check the code"))</f>
        <v/>
      </c>
      <c r="E291" t="str">
        <v>material</v>
      </c>
    </row>
    <row r="292">
      <c r="A292" t="str">
        <v>mat-rpe-roto</v>
      </c>
      <c r="B292" t="str">
        <v>Recycled PE Roto Powder — Rotational Moulding</v>
      </c>
      <c r="C292" t="str">
        <v/>
      </c>
      <c r="D292" t="str">
        <f>IF($C292="","",IFERROR(IF($E292="machine",INDEX('JLR Machines'!$B:$B,MATCH($C292,'JLR Machines'!$A:$A,0)),IF($E292="material",INDEX('JLR Materials'!$B:$B,MATCH($C292,'JLR Materials'!$A:$A,0)),IF($E292="labour",IFERROR(INDEX('JLR Labour'!$B:$B,MATCH($C292,'JLR Labour'!$A:$A,0)),"labour category "&amp;$C292&amp;" — from the machine tab"),""))),"NOT FOUND — check the code"))</f>
        <v/>
      </c>
      <c r="E292" t="str">
        <v>material</v>
      </c>
    </row>
    <row r="293">
      <c r="A293" t="str">
        <v>mat-epdm</v>
      </c>
      <c r="B293" t="str">
        <v>EPDM 70 Shore A — Rubber</v>
      </c>
      <c r="C293" t="str">
        <v/>
      </c>
      <c r="D293" t="str">
        <f>IF($C293="","",IFERROR(IF($E293="machine",INDEX('JLR Machines'!$B:$B,MATCH($C293,'JLR Machines'!$A:$A,0)),IF($E293="material",INDEX('JLR Materials'!$B:$B,MATCH($C293,'JLR Materials'!$A:$A,0)),IF($E293="labour",IFERROR(INDEX('JLR Labour'!$B:$B,MATCH($C293,'JLR Labour'!$A:$A,0)),"labour category "&amp;$C293&amp;" — from the machine tab"),""))),"NOT FOUND — check the code"))</f>
        <v/>
      </c>
      <c r="E293" t="str">
        <v>material</v>
      </c>
    </row>
    <row r="294">
      <c r="A294" t="str">
        <v>mat-nbr</v>
      </c>
      <c r="B294" t="str">
        <v>NBR 70 Shore A — Rubber</v>
      </c>
      <c r="C294" t="str">
        <v/>
      </c>
      <c r="D294" t="str">
        <f>IF($C294="","",IFERROR(IF($E294="machine",INDEX('JLR Machines'!$B:$B,MATCH($C294,'JLR Machines'!$A:$A,0)),IF($E294="material",INDEX('JLR Materials'!$B:$B,MATCH($C294,'JLR Materials'!$A:$A,0)),IF($E294="labour",IFERROR(INDEX('JLR Labour'!$B:$B,MATCH($C294,'JLR Labour'!$A:$A,0)),"labour category "&amp;$C294&amp;" — from the machine tab"),""))),"NOT FOUND — check the code"))</f>
        <v/>
      </c>
      <c r="E294" t="str">
        <v>material</v>
      </c>
    </row>
    <row r="295">
      <c r="A295" t="str">
        <v>mat-silicone-hcr</v>
      </c>
      <c r="B295" t="str">
        <v>HCR Silicone 60 Shore A — Rubber</v>
      </c>
      <c r="C295" t="str">
        <v/>
      </c>
      <c r="D295" t="str">
        <f>IF($C295="","",IFERROR(IF($E295="machine",INDEX('JLR Machines'!$B:$B,MATCH($C295,'JLR Machines'!$A:$A,0)),IF($E295="material",INDEX('JLR Materials'!$B:$B,MATCH($C295,'JLR Materials'!$A:$A,0)),IF($E295="labour",IFERROR(INDEX('JLR Labour'!$B:$B,MATCH($C295,'JLR Labour'!$A:$A,0)),"labour category "&amp;$C295&amp;" — from the machine tab"),""))),"NOT FOUND — check the code"))</f>
        <v/>
      </c>
      <c r="E295" t="str">
        <v>material</v>
      </c>
    </row>
    <row r="296">
      <c r="A296" t="str">
        <v>mat-lsr</v>
      </c>
      <c r="B296" t="str">
        <v>LSR 40 Shore A — Rubber</v>
      </c>
      <c r="C296" t="str">
        <v/>
      </c>
      <c r="D296" t="str">
        <f>IF($C296="","",IFERROR(IF($E296="machine",INDEX('JLR Machines'!$B:$B,MATCH($C296,'JLR Machines'!$A:$A,0)),IF($E296="material",INDEX('JLR Materials'!$B:$B,MATCH($C296,'JLR Materials'!$A:$A,0)),IF($E296="labour",IFERROR(INDEX('JLR Labour'!$B:$B,MATCH($C296,'JLR Labour'!$A:$A,0)),"labour category "&amp;$C296&amp;" — from the machine tab"),""))),"NOT FOUND — check the code"))</f>
        <v/>
      </c>
      <c r="E296" t="str">
        <v>material</v>
      </c>
    </row>
    <row r="297">
      <c r="A297" t="str">
        <v>mat-nr</v>
      </c>
      <c r="B297" t="str">
        <v>Natural Rubber SMR20 — Rubber</v>
      </c>
      <c r="C297" t="str">
        <v/>
      </c>
      <c r="D297" t="str">
        <f>IF($C297="","",IFERROR(IF($E297="machine",INDEX('JLR Machines'!$B:$B,MATCH($C297,'JLR Machines'!$A:$A,0)),IF($E297="material",INDEX('JLR Materials'!$B:$B,MATCH($C297,'JLR Materials'!$A:$A,0)),IF($E297="labour",IFERROR(INDEX('JLR Labour'!$B:$B,MATCH($C297,'JLR Labour'!$A:$A,0)),"labour category "&amp;$C297&amp;" — from the machine tab"),""))),"NOT FOUND — check the code"))</f>
        <v/>
      </c>
      <c r="E297" t="str">
        <v>material</v>
      </c>
    </row>
    <row r="298">
      <c r="A298" t="str">
        <v>mat-viton-fkm</v>
      </c>
      <c r="B298" t="str">
        <v>FKM Viton 75 Shore A — Rubber</v>
      </c>
      <c r="C298" t="str">
        <v/>
      </c>
      <c r="D298" t="str">
        <f>IF($C298="","",IFERROR(IF($E298="machine",INDEX('JLR Machines'!$B:$B,MATCH($C298,'JLR Machines'!$A:$A,0)),IF($E298="material",INDEX('JLR Materials'!$B:$B,MATCH($C298,'JLR Materials'!$A:$A,0)),IF($E298="labour",IFERROR(INDEX('JLR Labour'!$B:$B,MATCH($C298,'JLR Labour'!$A:$A,0)),"labour category "&amp;$C298&amp;" — from the machine tab"),""))),"NOT FOUND — check the code"))</f>
        <v/>
      </c>
      <c r="E298" t="str">
        <v>material</v>
      </c>
    </row>
    <row r="299">
      <c r="A299" t="str">
        <v>mat-sbr</v>
      </c>
      <c r="B299" t="str">
        <v>SBR 65 Shore A — Rubber</v>
      </c>
      <c r="C299" t="str">
        <v/>
      </c>
      <c r="D299" t="str">
        <f>IF($C299="","",IFERROR(IF($E299="machine",INDEX('JLR Machines'!$B:$B,MATCH($C299,'JLR Machines'!$A:$A,0)),IF($E299="material",INDEX('JLR Materials'!$B:$B,MATCH($C299,'JLR Materials'!$A:$A,0)),IF($E299="labour",IFERROR(INDEX('JLR Labour'!$B:$B,MATCH($C299,'JLR Labour'!$A:$A,0)),"labour category "&amp;$C299&amp;" — from the machine tab"),""))),"NOT FOUND — check the code"))</f>
        <v/>
      </c>
      <c r="E299" t="str">
        <v>material</v>
      </c>
    </row>
    <row r="300">
      <c r="A300" t="str">
        <v>mat-cr</v>
      </c>
      <c r="B300" t="str">
        <v>CR Neoprene 60 Shore A — Rubber</v>
      </c>
      <c r="C300" t="str">
        <v/>
      </c>
      <c r="D300" t="str">
        <f>IF($C300="","",IFERROR(IF($E300="machine",INDEX('JLR Machines'!$B:$B,MATCH($C300,'JLR Machines'!$A:$A,0)),IF($E300="material",INDEX('JLR Materials'!$B:$B,MATCH($C300,'JLR Materials'!$A:$A,0)),IF($E300="labour",IFERROR(INDEX('JLR Labour'!$B:$B,MATCH($C300,'JLR Labour'!$A:$A,0)),"labour category "&amp;$C300&amp;" — from the machine tab"),""))),"NOT FOUND — check the code"))</f>
        <v/>
      </c>
      <c r="E300" t="str">
        <v>material</v>
      </c>
    </row>
    <row r="301">
      <c r="A301" t="str">
        <v>mat-hnbr</v>
      </c>
      <c r="B301" t="str">
        <v>HNBR 70 Shore A — Rubber</v>
      </c>
      <c r="C301" t="str">
        <v/>
      </c>
      <c r="D301" t="str">
        <f>IF($C301="","",IFERROR(IF($E301="machine",INDEX('JLR Machines'!$B:$B,MATCH($C301,'JLR Machines'!$A:$A,0)),IF($E301="material",INDEX('JLR Materials'!$B:$B,MATCH($C301,'JLR Materials'!$A:$A,0)),IF($E301="labour",IFERROR(INDEX('JLR Labour'!$B:$B,MATCH($C301,'JLR Labour'!$A:$A,0)),"labour category "&amp;$C301&amp;" — from the machine tab"),""))),"NOT FOUND — check the code"))</f>
        <v/>
      </c>
      <c r="E301" t="str">
        <v>material</v>
      </c>
    </row>
    <row r="302">
      <c r="A302" t="str">
        <v>mat-iir</v>
      </c>
      <c r="B302" t="str">
        <v>Butyl Rubber IIR 55 Shore A — Rubber</v>
      </c>
      <c r="C302" t="str">
        <v/>
      </c>
      <c r="D302" t="str">
        <f>IF($C302="","",IFERROR(IF($E302="machine",INDEX('JLR Machines'!$B:$B,MATCH($C302,'JLR Machines'!$A:$A,0)),IF($E302="material",INDEX('JLR Materials'!$B:$B,MATCH($C302,'JLR Materials'!$A:$A,0)),IF($E302="labour",IFERROR(INDEX('JLR Labour'!$B:$B,MATCH($C302,'JLR Labour'!$A:$A,0)),"labour category "&amp;$C302&amp;" — from the machine tab"),""))),"NOT FOUND — check the code"))</f>
        <v/>
      </c>
      <c r="E302" t="str">
        <v>material</v>
      </c>
    </row>
    <row r="303">
      <c r="A303" t="str">
        <v>mat-pu-elastomer</v>
      </c>
      <c r="B303" t="str">
        <v>Polyurethane Elastomer 70 Shore A — Rubber</v>
      </c>
      <c r="C303" t="str">
        <v/>
      </c>
      <c r="D303" t="str">
        <f>IF($C303="","",IFERROR(IF($E303="machine",INDEX('JLR Machines'!$B:$B,MATCH($C303,'JLR Machines'!$A:$A,0)),IF($E303="material",INDEX('JLR Materials'!$B:$B,MATCH($C303,'JLR Materials'!$A:$A,0)),IF($E303="labour",IFERROR(INDEX('JLR Labour'!$B:$B,MATCH($C303,'JLR Labour'!$A:$A,0)),"labour category "&amp;$C303&amp;" — from the machine tab"),""))),"NOT FOUND — check the code"))</f>
        <v/>
      </c>
      <c r="E303" t="str">
        <v>material</v>
      </c>
    </row>
    <row r="304">
      <c r="A304" t="str">
        <v>mat-fvmq</v>
      </c>
      <c r="B304" t="str">
        <v>FVMQ Fluorosilicone 60 Shore A — Rubber</v>
      </c>
      <c r="C304" t="str">
        <v/>
      </c>
      <c r="D304" t="str">
        <f>IF($C304="","",IFERROR(IF($E304="machine",INDEX('JLR Machines'!$B:$B,MATCH($C304,'JLR Machines'!$A:$A,0)),IF($E304="material",INDEX('JLR Materials'!$B:$B,MATCH($C304,'JLR Materials'!$A:$A,0)),IF($E304="labour",IFERROR(INDEX('JLR Labour'!$B:$B,MATCH($C304,'JLR Labour'!$A:$A,0)),"labour category "&amp;$C304&amp;" — from the machine tab"),""))),"NOT FOUND — check the code"))</f>
        <v/>
      </c>
      <c r="E304" t="str">
        <v>material</v>
      </c>
    </row>
    <row r="305">
      <c r="A305" t="str">
        <v>mat-acm</v>
      </c>
      <c r="B305" t="str">
        <v>ACM Polyacrylate 70 Shore A — Rubber</v>
      </c>
      <c r="C305" t="str">
        <v/>
      </c>
      <c r="D305" t="str">
        <f>IF($C305="","",IFERROR(IF($E305="machine",INDEX('JLR Machines'!$B:$B,MATCH($C305,'JLR Machines'!$A:$A,0)),IF($E305="material",INDEX('JLR Materials'!$B:$B,MATCH($C305,'JLR Materials'!$A:$A,0)),IF($E305="labour",IFERROR(INDEX('JLR Labour'!$B:$B,MATCH($C305,'JLR Labour'!$A:$A,0)),"labour category "&amp;$C305&amp;" — from the machine tab"),""))),"NOT FOUND — check the code"))</f>
        <v/>
      </c>
      <c r="E305" t="str">
        <v>material</v>
      </c>
    </row>
    <row r="306">
      <c r="A306" t="str">
        <v>mat-aem</v>
      </c>
      <c r="B306" t="str">
        <v>AEM (Vamac) 60 Shore A — Rubber</v>
      </c>
      <c r="C306" t="str">
        <v/>
      </c>
      <c r="D306" t="str">
        <f>IF($C306="","",IFERROR(IF($E306="machine",INDEX('JLR Machines'!$B:$B,MATCH($C306,'JLR Machines'!$A:$A,0)),IF($E306="material",INDEX('JLR Materials'!$B:$B,MATCH($C306,'JLR Materials'!$A:$A,0)),IF($E306="labour",IFERROR(INDEX('JLR Labour'!$B:$B,MATCH($C306,'JLR Labour'!$A:$A,0)),"labour category "&amp;$C306&amp;" — from the machine tab"),""))),"NOT FOUND — check the code"))</f>
        <v/>
      </c>
      <c r="E306" t="str">
        <v>material</v>
      </c>
    </row>
    <row r="307">
      <c r="A307" t="str">
        <v>mat-eco</v>
      </c>
      <c r="B307" t="str">
        <v>ECO Epichlorohydrin 65 Shore A — Rubber</v>
      </c>
      <c r="C307" t="str">
        <v/>
      </c>
      <c r="D307" t="str">
        <f>IF($C307="","",IFERROR(IF($E307="machine",INDEX('JLR Machines'!$B:$B,MATCH($C307,'JLR Machines'!$A:$A,0)),IF($E307="material",INDEX('JLR Materials'!$B:$B,MATCH($C307,'JLR Materials'!$A:$A,0)),IF($E307="labour",IFERROR(INDEX('JLR Labour'!$B:$B,MATCH($C307,'JLR Labour'!$A:$A,0)),"labour category "&amp;$C307&amp;" — from the machine tab"),""))),"NOT FOUND — check the code"))</f>
        <v/>
      </c>
      <c r="E307" t="str">
        <v>material</v>
      </c>
    </row>
    <row r="308">
      <c r="A308" t="str">
        <v>mat-csm</v>
      </c>
      <c r="B308" t="str">
        <v>CSM Hypalon 65 Shore A — Rubber</v>
      </c>
      <c r="C308" t="str">
        <v/>
      </c>
      <c r="D308" t="str">
        <f>IF($C308="","",IFERROR(IF($E308="machine",INDEX('JLR Machines'!$B:$B,MATCH($C308,'JLR Machines'!$A:$A,0)),IF($E308="material",INDEX('JLR Materials'!$B:$B,MATCH($C308,'JLR Materials'!$A:$A,0)),IF($E308="labour",IFERROR(INDEX('JLR Labour'!$B:$B,MATCH($C308,'JLR Labour'!$A:$A,0)),"labour category "&amp;$C308&amp;" — from the machine tab"),""))),"NOT FOUND — check the code"))</f>
        <v/>
      </c>
      <c r="E308" t="str">
        <v>material</v>
      </c>
    </row>
    <row r="309">
      <c r="A309" t="str">
        <v>mat-br</v>
      </c>
      <c r="B309" t="str">
        <v>BR Polybutadiene (high-cis) 60 Shore A — Rubber</v>
      </c>
      <c r="C309" t="str">
        <v/>
      </c>
      <c r="D309" t="str">
        <f>IF($C309="","",IFERROR(IF($E309="machine",INDEX('JLR Machines'!$B:$B,MATCH($C309,'JLR Machines'!$A:$A,0)),IF($E309="material",INDEX('JLR Materials'!$B:$B,MATCH($C309,'JLR Materials'!$A:$A,0)),IF($E309="labour",IFERROR(INDEX('JLR Labour'!$B:$B,MATCH($C309,'JLR Labour'!$A:$A,0)),"labour category "&amp;$C309&amp;" — from the machine tab"),""))),"NOT FOUND — check the code"))</f>
        <v/>
      </c>
      <c r="E309" t="str">
        <v>material</v>
      </c>
    </row>
    <row r="310">
      <c r="A310" t="str">
        <v>mat-bromobutyl</v>
      </c>
      <c r="B310" t="str">
        <v>Bromobutyl (BIIR) 50 Shore A — Rubber</v>
      </c>
      <c r="C310" t="str">
        <v/>
      </c>
      <c r="D310" t="str">
        <f>IF($C310="","",IFERROR(IF($E310="machine",INDEX('JLR Machines'!$B:$B,MATCH($C310,'JLR Machines'!$A:$A,0)),IF($E310="material",INDEX('JLR Materials'!$B:$B,MATCH($C310,'JLR Materials'!$A:$A,0)),IF($E310="labour",IFERROR(INDEX('JLR Labour'!$B:$B,MATCH($C310,'JLR Labour'!$A:$A,0)),"labour category "&amp;$C310&amp;" — from the machine tab"),""))),"NOT FOUND — check the code"))</f>
        <v/>
      </c>
      <c r="E310" t="str">
        <v>material</v>
      </c>
    </row>
    <row r="311">
      <c r="A311" t="str">
        <v>mat-chlorobutyl</v>
      </c>
      <c r="B311" t="str">
        <v>Chlorobutyl (CIIR) 55 Shore A — Rubber</v>
      </c>
      <c r="C311" t="str">
        <v/>
      </c>
      <c r="D311" t="str">
        <f>IF($C311="","",IFERROR(IF($E311="machine",INDEX('JLR Machines'!$B:$B,MATCH($C311,'JLR Machines'!$A:$A,0)),IF($E311="material",INDEX('JLR Materials'!$B:$B,MATCH($C311,'JLR Materials'!$A:$A,0)),IF($E311="labour",IFERROR(INDEX('JLR Labour'!$B:$B,MATCH($C311,'JLR Labour'!$A:$A,0)),"labour category "&amp;$C311&amp;" — from the machine tab"),""))),"NOT FOUND — check the code"))</f>
        <v/>
      </c>
      <c r="E311" t="str">
        <v>material</v>
      </c>
    </row>
    <row r="312">
      <c r="A312" t="str">
        <v>mat-ffkm</v>
      </c>
      <c r="B312" t="str">
        <v>FFKM Perfluoroelastomer (Kalrez-type) 75 Shore A — Rubber</v>
      </c>
      <c r="C312" t="str">
        <v/>
      </c>
      <c r="D312" t="str">
        <f>IF($C312="","",IFERROR(IF($E312="machine",INDEX('JLR Machines'!$B:$B,MATCH($C312,'JLR Machines'!$A:$A,0)),IF($E312="material",INDEX('JLR Materials'!$B:$B,MATCH($C312,'JLR Materials'!$A:$A,0)),IF($E312="labour",IFERROR(INDEX('JLR Labour'!$B:$B,MATCH($C312,'JLR Labour'!$A:$A,0)),"labour category "&amp;$C312&amp;" — from the machine tab"),""))),"NOT FOUND — check the code"))</f>
        <v/>
      </c>
      <c r="E312" t="str">
        <v>material</v>
      </c>
    </row>
    <row r="313">
      <c r="A313" t="str">
        <v>mat-nbr-high-acn</v>
      </c>
      <c r="B313" t="str">
        <v>NBR High-ACN (fuel) 75 Shore A — Rubber</v>
      </c>
      <c r="C313" t="str">
        <v/>
      </c>
      <c r="D313" t="str">
        <f>IF($C313="","",IFERROR(IF($E313="machine",INDEX('JLR Machines'!$B:$B,MATCH($C313,'JLR Machines'!$A:$A,0)),IF($E313="material",INDEX('JLR Materials'!$B:$B,MATCH($C313,'JLR Materials'!$A:$A,0)),IF($E313="labour",IFERROR(INDEX('JLR Labour'!$B:$B,MATCH($C313,'JLR Labour'!$A:$A,0)),"labour category "&amp;$C313&amp;" — from the machine tab"),""))),"NOT FOUND — check the code"))</f>
        <v/>
      </c>
      <c r="E313" t="str">
        <v>material</v>
      </c>
    </row>
    <row r="314">
      <c r="A314" t="str">
        <v>mat-epdm-peroxide</v>
      </c>
      <c r="B314" t="str">
        <v>EPDM Peroxide-Cured 70 Shore A — Rubber</v>
      </c>
      <c r="C314" t="str">
        <v/>
      </c>
      <c r="D314" t="str">
        <f>IF($C314="","",IFERROR(IF($E314="machine",INDEX('JLR Machines'!$B:$B,MATCH($C314,'JLR Machines'!$A:$A,0)),IF($E314="material",INDEX('JLR Materials'!$B:$B,MATCH($C314,'JLR Materials'!$A:$A,0)),IF($E314="labour",IFERROR(INDEX('JLR Labour'!$B:$B,MATCH($C314,'JLR Labour'!$A:$A,0)),"labour category "&amp;$C314&amp;" — from the machine tab"),""))),"NOT FOUND — check the code"))</f>
        <v/>
      </c>
      <c r="E314" t="str">
        <v>material</v>
      </c>
    </row>
    <row r="315">
      <c r="A315" t="str">
        <v>mat-silicone-medical</v>
      </c>
      <c r="B315" t="str">
        <v>LSR Medical-Grade 30 Shore A — Rubber</v>
      </c>
      <c r="C315" t="str">
        <v/>
      </c>
      <c r="D315" t="str">
        <f>IF($C315="","",IFERROR(IF($E315="machine",INDEX('JLR Machines'!$B:$B,MATCH($C315,'JLR Machines'!$A:$A,0)),IF($E315="material",INDEX('JLR Materials'!$B:$B,MATCH($C315,'JLR Materials'!$A:$A,0)),IF($E315="labour",IFERROR(INDEX('JLR Labour'!$B:$B,MATCH($C315,'JLR Labour'!$A:$A,0)),"labour category "&amp;$C315&amp;" — from the machine tab"),""))),"NOT FOUND — check the code"))</f>
        <v/>
      </c>
      <c r="E315" t="str">
        <v>material</v>
      </c>
    </row>
    <row r="316">
      <c r="A316" t="str">
        <v>mat-cfrp-prepreg-t700</v>
      </c>
      <c r="B316" t="str">
        <v>T700 CF/Epoxy Prepreg (125°C cure) — Composite</v>
      </c>
      <c r="C316" t="str">
        <v/>
      </c>
      <c r="D316" t="str">
        <f>IF($C316="","",IFERROR(IF($E316="machine",INDEX('JLR Machines'!$B:$B,MATCH($C316,'JLR Machines'!$A:$A,0)),IF($E316="material",INDEX('JLR Materials'!$B:$B,MATCH($C316,'JLR Materials'!$A:$A,0)),IF($E316="labour",IFERROR(INDEX('JLR Labour'!$B:$B,MATCH($C316,'JLR Labour'!$A:$A,0)),"labour category "&amp;$C316&amp;" — from the machine tab"),""))),"NOT FOUND — check the code"))</f>
        <v/>
      </c>
      <c r="E316" t="str">
        <v>material</v>
      </c>
    </row>
    <row r="317">
      <c r="A317" t="str">
        <v>mat-gfrp-prepreg-e</v>
      </c>
      <c r="B317" t="str">
        <v>E-glass/Epoxy Prepreg (120°C cure) — Composite</v>
      </c>
      <c r="C317" t="str">
        <v/>
      </c>
      <c r="D317" t="str">
        <f>IF($C317="","",IFERROR(IF($E317="machine",INDEX('JLR Machines'!$B:$B,MATCH($C317,'JLR Machines'!$A:$A,0)),IF($E317="material",INDEX('JLR Materials'!$B:$B,MATCH($C317,'JLR Materials'!$A:$A,0)),IF($E317="labour",IFERROR(INDEX('JLR Labour'!$B:$B,MATCH($C317,'JLR Labour'!$A:$A,0)),"labour category "&amp;$C317&amp;" — from the machine tab"),""))),"NOT FOUND — check the code"))</f>
        <v/>
      </c>
      <c r="E317" t="str">
        <v>material</v>
      </c>
    </row>
    <row r="318">
      <c r="A318" t="str">
        <v>mat-cf-dry-3k</v>
      </c>
      <c r="B318" t="str">
        <v>Carbon Fibre 3K Twill Dry Fabric — Composite</v>
      </c>
      <c r="C318" t="str">
        <v/>
      </c>
      <c r="D318" t="str">
        <f>IF($C318="","",IFERROR(IF($E318="machine",INDEX('JLR Machines'!$B:$B,MATCH($C318,'JLR Machines'!$A:$A,0)),IF($E318="material",INDEX('JLR Materials'!$B:$B,MATCH($C318,'JLR Materials'!$A:$A,0)),IF($E318="labour",IFERROR(INDEX('JLR Labour'!$B:$B,MATCH($C318,'JLR Labour'!$A:$A,0)),"labour category "&amp;$C318&amp;" — from the machine tab"),""))),"NOT FOUND — check the code"))</f>
        <v/>
      </c>
      <c r="E318" t="str">
        <v>material</v>
      </c>
    </row>
    <row r="319">
      <c r="A319" t="str">
        <v>mat-gf-dry-e</v>
      </c>
      <c r="B319" t="str">
        <v>E-glass Woven Dry Fabric (600 g/m²) — Composite</v>
      </c>
      <c r="C319" t="str">
        <v/>
      </c>
      <c r="D319" t="str">
        <f>IF($C319="","",IFERROR(IF($E319="machine",INDEX('JLR Machines'!$B:$B,MATCH($C319,'JLR Machines'!$A:$A,0)),IF($E319="material",INDEX('JLR Materials'!$B:$B,MATCH($C319,'JLR Materials'!$A:$A,0)),IF($E319="labour",IFERROR(INDEX('JLR Labour'!$B:$B,MATCH($C319,'JLR Labour'!$A:$A,0)),"labour category "&amp;$C319&amp;" — from the machine tab"),""))),"NOT FOUND — check the code"))</f>
        <v/>
      </c>
      <c r="E319" t="str">
        <v>material</v>
      </c>
    </row>
    <row r="320">
      <c r="A320" t="str">
        <v>mat-epoxy-infusion</v>
      </c>
      <c r="B320" t="str">
        <v>Epoxy Infusion Resin System (LT cure) — Composite</v>
      </c>
      <c r="C320" t="str">
        <v/>
      </c>
      <c r="D320" t="str">
        <f>IF($C320="","",IFERROR(IF($E320="machine",INDEX('JLR Machines'!$B:$B,MATCH($C320,'JLR Machines'!$A:$A,0)),IF($E320="material",INDEX('JLR Materials'!$B:$B,MATCH($C320,'JLR Materials'!$A:$A,0)),IF($E320="labour",IFERROR(INDEX('JLR Labour'!$B:$B,MATCH($C320,'JLR Labour'!$A:$A,0)),"labour category "&amp;$C320&amp;" — from the machine tab"),""))),"NOT FOUND — check the code"))</f>
        <v/>
      </c>
      <c r="E320" t="str">
        <v>material</v>
      </c>
    </row>
    <row r="321">
      <c r="A321" t="str">
        <v>mat-vinylester-rtm</v>
      </c>
      <c r="B321" t="str">
        <v>Vinyl Ester RTM Resin — Composite</v>
      </c>
      <c r="C321" t="str">
        <v/>
      </c>
      <c r="D321" t="str">
        <f>IF($C321="","",IFERROR(IF($E321="machine",INDEX('JLR Machines'!$B:$B,MATCH($C321,'JLR Machines'!$A:$A,0)),IF($E321="material",INDEX('JLR Materials'!$B:$B,MATCH($C321,'JLR Materials'!$A:$A,0)),IF($E321="labour",IFERROR(INDEX('JLR Labour'!$B:$B,MATCH($C321,'JLR Labour'!$A:$A,0)),"labour category "&amp;$C321&amp;" — from the machine tab"),""))),"NOT FOUND — check the code"))</f>
        <v/>
      </c>
      <c r="E321" t="str">
        <v>material</v>
      </c>
    </row>
    <row r="322">
      <c r="A322" t="str">
        <v>mat-aramid-k49</v>
      </c>
      <c r="B322" t="str">
        <v>Aramid (Kevlar 49) Woven Fabric — Composite</v>
      </c>
      <c r="C322" t="str">
        <v/>
      </c>
      <c r="D322" t="str">
        <f>IF($C322="","",IFERROR(IF($E322="machine",INDEX('JLR Machines'!$B:$B,MATCH($C322,'JLR Machines'!$A:$A,0)),IF($E322="material",INDEX('JLR Materials'!$B:$B,MATCH($C322,'JLR Materials'!$A:$A,0)),IF($E322="labour",IFERROR(INDEX('JLR Labour'!$B:$B,MATCH($C322,'JLR Labour'!$A:$A,0)),"labour category "&amp;$C322&amp;" — from the machine tab"),""))),"NOT FOUND — check the code"))</f>
        <v/>
      </c>
      <c r="E322" t="str">
        <v>material</v>
      </c>
    </row>
    <row r="323">
      <c r="A323" t="str">
        <v>mat-cf-uni-t800</v>
      </c>
      <c r="B323" t="str">
        <v>T800 Unidirectional CF/Epoxy Prepreg — Composite</v>
      </c>
      <c r="C323" t="str">
        <v/>
      </c>
      <c r="D323" t="str">
        <f>IF($C323="","",IFERROR(IF($E323="machine",INDEX('JLR Machines'!$B:$B,MATCH($C323,'JLR Machines'!$A:$A,0)),IF($E323="material",INDEX('JLR Materials'!$B:$B,MATCH($C323,'JLR Materials'!$A:$A,0)),IF($E323="labour",IFERROR(INDEX('JLR Labour'!$B:$B,MATCH($C323,'JLR Labour'!$A:$A,0)),"labour category "&amp;$C323&amp;" — from the machine tab"),""))),"NOT FOUND — check the code"))</f>
        <v/>
      </c>
      <c r="E323" t="str">
        <v>material</v>
      </c>
    </row>
    <row r="324">
      <c r="A324" t="str">
        <v>mat-smc-gf</v>
      </c>
      <c r="B324" t="str">
        <v>SMC (Glass-Filled Sheet Moulding Compound) — Composite</v>
      </c>
      <c r="C324" t="str">
        <v/>
      </c>
      <c r="D324" t="str">
        <f>IF($C324="","",IFERROR(IF($E324="machine",INDEX('JLR Machines'!$B:$B,MATCH($C324,'JLR Machines'!$A:$A,0)),IF($E324="material",INDEX('JLR Materials'!$B:$B,MATCH($C324,'JLR Materials'!$A:$A,0)),IF($E324="labour",IFERROR(INDEX('JLR Labour'!$B:$B,MATCH($C324,'JLR Labour'!$A:$A,0)),"labour category "&amp;$C324&amp;" — from the machine tab"),""))),"NOT FOUND — check the code"))</f>
        <v/>
      </c>
      <c r="E324" t="str">
        <v>material</v>
      </c>
    </row>
    <row r="325">
      <c r="A325" t="str">
        <v>mat-bmc</v>
      </c>
      <c r="B325" t="str">
        <v>BMC (Bulk Moulding Compound) — Composite</v>
      </c>
      <c r="C325" t="str">
        <v/>
      </c>
      <c r="D325" t="str">
        <f>IF($C325="","",IFERROR(IF($E325="machine",INDEX('JLR Machines'!$B:$B,MATCH($C325,'JLR Machines'!$A:$A,0)),IF($E325="material",INDEX('JLR Materials'!$B:$B,MATCH($C325,'JLR Materials'!$A:$A,0)),IF($E325="labour",IFERROR(INDEX('JLR Labour'!$B:$B,MATCH($C325,'JLR Labour'!$A:$A,0)),"labour category "&amp;$C325&amp;" — from the machine tab"),""))),"NOT FOUND — check the code"))</f>
        <v/>
      </c>
      <c r="E325" t="str">
        <v>material</v>
      </c>
    </row>
    <row r="326">
      <c r="A326" t="str">
        <v>mat-csm-gf</v>
      </c>
      <c r="B326" t="str">
        <v>E-glass Chopped Strand Mat (450 g/m²) — Composite</v>
      </c>
      <c r="C326" t="str">
        <v/>
      </c>
      <c r="D326" t="str">
        <f>IF($C326="","",IFERROR(IF($E326="machine",INDEX('JLR Machines'!$B:$B,MATCH($C326,'JLR Machines'!$A:$A,0)),IF($E326="material",INDEX('JLR Materials'!$B:$B,MATCH($C326,'JLR Materials'!$A:$A,0)),IF($E326="labour",IFERROR(INDEX('JLR Labour'!$B:$B,MATCH($C326,'JLR Labour'!$A:$A,0)),"labour category "&amp;$C326&amp;" — from the machine tab"),""))),"NOT FOUND — check the code"))</f>
        <v/>
      </c>
      <c r="E326" t="str">
        <v>material</v>
      </c>
    </row>
    <row r="327">
      <c r="A327" t="str">
        <v>mat-cf-peek-organo</v>
      </c>
      <c r="B327" t="str">
        <v>CF/PEEK Organosheet (Thermoplastic) — Composite</v>
      </c>
      <c r="C327" t="str">
        <v/>
      </c>
      <c r="D327" t="str">
        <f>IF($C327="","",IFERROR(IF($E327="machine",INDEX('JLR Machines'!$B:$B,MATCH($C327,'JLR Machines'!$A:$A,0)),IF($E327="material",INDEX('JLR Materials'!$B:$B,MATCH($C327,'JLR Materials'!$A:$A,0)),IF($E327="labour",IFERROR(INDEX('JLR Labour'!$B:$B,MATCH($C327,'JLR Labour'!$A:$A,0)),"labour category "&amp;$C327&amp;" — from the machine tab"),""))),"NOT FOUND — check the code"))</f>
        <v/>
      </c>
      <c r="E327" t="str">
        <v>material</v>
      </c>
    </row>
    <row r="328">
      <c r="A328" t="str">
        <v>mat-nomex-honeycomb</v>
      </c>
      <c r="B328" t="str">
        <v>Nomex Honeycomb Core — Composite</v>
      </c>
      <c r="C328" t="str">
        <v/>
      </c>
      <c r="D328" t="str">
        <f>IF($C328="","",IFERROR(IF($E328="machine",INDEX('JLR Machines'!$B:$B,MATCH($C328,'JLR Machines'!$A:$A,0)),IF($E328="material",INDEX('JLR Materials'!$B:$B,MATCH($C328,'JLR Materials'!$A:$A,0)),IF($E328="labour",IFERROR(INDEX('JLR Labour'!$B:$B,MATCH($C328,'JLR Labour'!$A:$A,0)),"labour category "&amp;$C328&amp;" — from the machine tab"),""))),"NOT FOUND — check the code"))</f>
        <v/>
      </c>
      <c r="E328" t="str">
        <v>material</v>
      </c>
    </row>
    <row r="329">
      <c r="A329" t="str">
        <v>mat-pet-foam-core</v>
      </c>
      <c r="B329" t="str">
        <v>PET Structural Foam Core — Composite</v>
      </c>
      <c r="C329" t="str">
        <v/>
      </c>
      <c r="D329" t="str">
        <f>IF($C329="","",IFERROR(IF($E329="machine",INDEX('JLR Machines'!$B:$B,MATCH($C329,'JLR Machines'!$A:$A,0)),IF($E329="material",INDEX('JLR Materials'!$B:$B,MATCH($C329,'JLR Materials'!$A:$A,0)),IF($E329="labour",IFERROR(INDEX('JLR Labour'!$B:$B,MATCH($C329,'JLR Labour'!$A:$A,0)),"labour category "&amp;$C329&amp;" — from the machine tab"),""))),"NOT FOUND — check the code"))</f>
        <v/>
      </c>
      <c r="E329" t="str">
        <v>material</v>
      </c>
    </row>
    <row r="330">
      <c r="A330" t="str">
        <v>mach-lathe-cnc</v>
      </c>
      <c r="B330" t="str">
        <v>CNC Lathe (2-axis)</v>
      </c>
      <c r="C330" t="str">
        <v/>
      </c>
      <c r="D330" t="str">
        <f>IF($C330="","",IFERROR(IF($E330="machine",INDEX('JLR Machines'!$B:$B,MATCH($C330,'JLR Machines'!$A:$A,0)),IF($E330="material",INDEX('JLR Materials'!$B:$B,MATCH($C330,'JLR Materials'!$A:$A,0)),IF($E330="labour",IFERROR(INDEX('JLR Labour'!$B:$B,MATCH($C330,'JLR Labour'!$A:$A,0)),"labour category "&amp;$C330&amp;" — from the machine tab"),""))),"NOT FOUND — check the code"))</f>
        <v/>
      </c>
      <c r="E330" t="str">
        <v>machine</v>
      </c>
    </row>
    <row r="331">
      <c r="A331" t="str">
        <v>mach-vmc3</v>
      </c>
      <c r="B331" t="str">
        <v>CNC VMC 3-axis</v>
      </c>
      <c r="C331" t="str">
        <v/>
      </c>
      <c r="D331" t="str">
        <f>IF($C331="","",IFERROR(IF($E331="machine",INDEX('JLR Machines'!$B:$B,MATCH($C331,'JLR Machines'!$A:$A,0)),IF($E331="material",INDEX('JLR Materials'!$B:$B,MATCH($C331,'JLR Materials'!$A:$A,0)),IF($E331="labour",IFERROR(INDEX('JLR Labour'!$B:$B,MATCH($C331,'JLR Labour'!$A:$A,0)),"labour category "&amp;$C331&amp;" — from the machine tab"),""))),"NOT FOUND — check the code"))</f>
        <v/>
      </c>
      <c r="E331" t="str">
        <v>machine</v>
      </c>
    </row>
    <row r="332">
      <c r="A332" t="str">
        <v>mach-vmc5</v>
      </c>
      <c r="B332" t="str">
        <v>CNC VMC 5-axis</v>
      </c>
      <c r="C332" t="str">
        <v/>
      </c>
      <c r="D332" t="str">
        <f>IF($C332="","",IFERROR(IF($E332="machine",INDEX('JLR Machines'!$B:$B,MATCH($C332,'JLR Machines'!$A:$A,0)),IF($E332="material",INDEX('JLR Materials'!$B:$B,MATCH($C332,'JLR Materials'!$A:$A,0)),IF($E332="labour",IFERROR(INDEX('JLR Labour'!$B:$B,MATCH($C332,'JLR Labour'!$A:$A,0)),"labour category "&amp;$C332&amp;" — from the machine tab"),""))),"NOT FOUND — check the code"))</f>
        <v/>
      </c>
      <c r="E332" t="str">
        <v>machine</v>
      </c>
    </row>
    <row r="333">
      <c r="A333" t="str">
        <v>mach-drill</v>
      </c>
      <c r="B333" t="str">
        <v>CNC Drilling Centre</v>
      </c>
      <c r="C333" t="str">
        <v/>
      </c>
      <c r="D333" t="str">
        <f>IF($C333="","",IFERROR(IF($E333="machine",INDEX('JLR Machines'!$B:$B,MATCH($C333,'JLR Machines'!$A:$A,0)),IF($E333="material",INDEX('JLR Materials'!$B:$B,MATCH($C333,'JLR Materials'!$A:$A,0)),IF($E333="labour",IFERROR(INDEX('JLR Labour'!$B:$B,MATCH($C333,'JLR Labour'!$A:$A,0)),"labour category "&amp;$C333&amp;" — from the machine tab"),""))),"NOT FOUND — check the code"))</f>
        <v/>
      </c>
      <c r="E333" t="str">
        <v>machine</v>
      </c>
    </row>
    <row r="334">
      <c r="A334" t="str">
        <v>mach-grind</v>
      </c>
      <c r="B334" t="str">
        <v>CNC Cylindrical Grinder</v>
      </c>
      <c r="C334" t="str">
        <v/>
      </c>
      <c r="D334" t="str">
        <f>IF($C334="","",IFERROR(IF($E334="machine",INDEX('JLR Machines'!$B:$B,MATCH($C334,'JLR Machines'!$A:$A,0)),IF($E334="material",INDEX('JLR Materials'!$B:$B,MATCH($C334,'JLR Materials'!$A:$A,0)),IF($E334="labour",IFERROR(INDEX('JLR Labour'!$B:$B,MATCH($C334,'JLR Labour'!$A:$A,0)),"labour category "&amp;$C334&amp;" — from the machine tab"),""))),"NOT FOUND — check the code"))</f>
        <v/>
      </c>
      <c r="E334" t="str">
        <v>machine</v>
      </c>
    </row>
    <row r="335">
      <c r="A335" t="str">
        <v>gear-hob-small</v>
      </c>
      <c r="B335" t="str">
        <v>CNC Gear Hobber — small (≤m4, ≤Ø200)</v>
      </c>
      <c r="C335" t="str">
        <v/>
      </c>
      <c r="D335" t="str">
        <f>IF($C335="","",IFERROR(IF($E335="machine",INDEX('JLR Machines'!$B:$B,MATCH($C335,'JLR Machines'!$A:$A,0)),IF($E335="material",INDEX('JLR Materials'!$B:$B,MATCH($C335,'JLR Materials'!$A:$A,0)),IF($E335="labour",IFERROR(INDEX('JLR Labour'!$B:$B,MATCH($C335,'JLR Labour'!$A:$A,0)),"labour category "&amp;$C335&amp;" — from the machine tab"),""))),"NOT FOUND — check the code"))</f>
        <v/>
      </c>
      <c r="E335" t="str">
        <v>machine</v>
      </c>
    </row>
    <row r="336">
      <c r="A336" t="str">
        <v>gear-hob-medium</v>
      </c>
      <c r="B336" t="str">
        <v>CNC Gear Hobber — medium (≤m8, ≤Ø500)</v>
      </c>
      <c r="C336" t="str">
        <v/>
      </c>
      <c r="D336" t="str">
        <f>IF($C336="","",IFERROR(IF($E336="machine",INDEX('JLR Machines'!$B:$B,MATCH($C336,'JLR Machines'!$A:$A,0)),IF($E336="material",INDEX('JLR Materials'!$B:$B,MATCH($C336,'JLR Materials'!$A:$A,0)),IF($E336="labour",IFERROR(INDEX('JLR Labour'!$B:$B,MATCH($C336,'JLR Labour'!$A:$A,0)),"labour category "&amp;$C336&amp;" — from the machine tab"),""))),"NOT FOUND — check the code"))</f>
        <v/>
      </c>
      <c r="E336" t="str">
        <v>machine</v>
      </c>
    </row>
    <row r="337">
      <c r="A337" t="str">
        <v>gear-hob-large</v>
      </c>
      <c r="B337" t="str">
        <v>CNC Gear Hobber — large (≤m25, ≤Ø1600)</v>
      </c>
      <c r="C337" t="str">
        <v/>
      </c>
      <c r="D337" t="str">
        <f>IF($C337="","",IFERROR(IF($E337="machine",INDEX('JLR Machines'!$B:$B,MATCH($C337,'JLR Machines'!$A:$A,0)),IF($E337="material",INDEX('JLR Materials'!$B:$B,MATCH($C337,'JLR Materials'!$A:$A,0)),IF($E337="labour",IFERROR(INDEX('JLR Labour'!$B:$B,MATCH($C337,'JLR Labour'!$A:$A,0)),"labour category "&amp;$C337&amp;" — from the machine tab"),""))),"NOT FOUND — check the code"))</f>
        <v/>
      </c>
      <c r="E337" t="str">
        <v>machine</v>
      </c>
    </row>
    <row r="338">
      <c r="A338" t="str">
        <v>gear-shaper-small</v>
      </c>
      <c r="B338" t="str">
        <v>CNC Gear Shaper — small (≤m6, ≤Ø300)</v>
      </c>
      <c r="C338" t="str">
        <v/>
      </c>
      <c r="D338" t="str">
        <f>IF($C338="","",IFERROR(IF($E338="machine",INDEX('JLR Machines'!$B:$B,MATCH($C338,'JLR Machines'!$A:$A,0)),IF($E338="material",INDEX('JLR Materials'!$B:$B,MATCH($C338,'JLR Materials'!$A:$A,0)),IF($E338="labour",IFERROR(INDEX('JLR Labour'!$B:$B,MATCH($C338,'JLR Labour'!$A:$A,0)),"labour category "&amp;$C338&amp;" — from the machine tab"),""))),"NOT FOUND — check the code"))</f>
        <v/>
      </c>
      <c r="E338" t="str">
        <v>machine</v>
      </c>
    </row>
    <row r="339">
      <c r="A339" t="str">
        <v>gear-shaper-large</v>
      </c>
      <c r="B339" t="str">
        <v>CNC Gear Shaper — large (≤m12, ≤Ø800)</v>
      </c>
      <c r="C339" t="str">
        <v/>
      </c>
      <c r="D339" t="str">
        <f>IF($C339="","",IFERROR(IF($E339="machine",INDEX('JLR Machines'!$B:$B,MATCH($C339,'JLR Machines'!$A:$A,0)),IF($E339="material",INDEX('JLR Materials'!$B:$B,MATCH($C339,'JLR Materials'!$A:$A,0)),IF($E339="labour",IFERROR(INDEX('JLR Labour'!$B:$B,MATCH($C339,'JLR Labour'!$A:$A,0)),"labour category "&amp;$C339&amp;" — from the machine tab"),""))),"NOT FOUND — check the code"))</f>
        <v/>
      </c>
      <c r="E339" t="str">
        <v>machine</v>
      </c>
    </row>
    <row r="340">
      <c r="A340" t="str">
        <v>gear-skive-small</v>
      </c>
      <c r="B340" t="str">
        <v>Power Skiving Machine — small (≤m4, ≤Ø250)</v>
      </c>
      <c r="C340" t="str">
        <v/>
      </c>
      <c r="D340" t="str">
        <f>IF($C340="","",IFERROR(IF($E340="machine",INDEX('JLR Machines'!$B:$B,MATCH($C340,'JLR Machines'!$A:$A,0)),IF($E340="material",INDEX('JLR Materials'!$B:$B,MATCH($C340,'JLR Materials'!$A:$A,0)),IF($E340="labour",IFERROR(INDEX('JLR Labour'!$B:$B,MATCH($C340,'JLR Labour'!$A:$A,0)),"labour category "&amp;$C340&amp;" — from the machine tab"),""))),"NOT FOUND — check the code"))</f>
        <v/>
      </c>
      <c r="E340" t="str">
        <v>machine</v>
      </c>
    </row>
    <row r="341">
      <c r="A341" t="str">
        <v>gear-skive-medium</v>
      </c>
      <c r="B341" t="str">
        <v>Power Skiving Machine — medium (≤m8, ≤Ø600)</v>
      </c>
      <c r="C341" t="str">
        <v/>
      </c>
      <c r="D341" t="str">
        <f>IF($C341="","",IFERROR(IF($E341="machine",INDEX('JLR Machines'!$B:$B,MATCH($C341,'JLR Machines'!$A:$A,0)),IF($E341="material",INDEX('JLR Materials'!$B:$B,MATCH($C341,'JLR Materials'!$A:$A,0)),IF($E341="labour",IFERROR(INDEX('JLR Labour'!$B:$B,MATCH($C341,'JLR Labour'!$A:$A,0)),"labour category "&amp;$C341&amp;" — from the machine tab"),""))),"NOT FOUND — check the code"))</f>
        <v/>
      </c>
      <c r="E341" t="str">
        <v>machine</v>
      </c>
    </row>
    <row r="342">
      <c r="A342" t="str">
        <v>gear-broach</v>
      </c>
      <c r="B342" t="str">
        <v>Vertical Internal Gear Broach</v>
      </c>
      <c r="C342" t="str">
        <v/>
      </c>
      <c r="D342" t="str">
        <f>IF($C342="","",IFERROR(IF($E342="machine",INDEX('JLR Machines'!$B:$B,MATCH($C342,'JLR Machines'!$A:$A,0)),IF($E342="material",INDEX('JLR Materials'!$B:$B,MATCH($C342,'JLR Materials'!$A:$A,0)),IF($E342="labour",IFERROR(INDEX('JLR Labour'!$B:$B,MATCH($C342,'JLR Labour'!$A:$A,0)),"labour category "&amp;$C342&amp;" — from the machine tab"),""))),"NOT FOUND — check the code"))</f>
        <v/>
      </c>
      <c r="E342" t="str">
        <v>machine</v>
      </c>
    </row>
    <row r="343">
      <c r="A343" t="str">
        <v>gear-grind-generating</v>
      </c>
      <c r="B343" t="str">
        <v>Generating Gear Grinder (threaded wheel, ≤m6)</v>
      </c>
      <c r="C343" t="str">
        <v/>
      </c>
      <c r="D343" t="str">
        <f>IF($C343="","",IFERROR(IF($E343="machine",INDEX('JLR Machines'!$B:$B,MATCH($C343,'JLR Machines'!$A:$A,0)),IF($E343="material",INDEX('JLR Materials'!$B:$B,MATCH($C343,'JLR Materials'!$A:$A,0)),IF($E343="labour",IFERROR(INDEX('JLR Labour'!$B:$B,MATCH($C343,'JLR Labour'!$A:$A,0)),"labour category "&amp;$C343&amp;" — from the machine tab"),""))),"NOT FOUND — check the code"))</f>
        <v/>
      </c>
      <c r="E343" t="str">
        <v>machine</v>
      </c>
    </row>
    <row r="344">
      <c r="A344" t="str">
        <v>gear-grind-profile</v>
      </c>
      <c r="B344" t="str">
        <v>Profile Gear Grinder (form wheel, ≤m12)</v>
      </c>
      <c r="C344" t="str">
        <v/>
      </c>
      <c r="D344" t="str">
        <f>IF($C344="","",IFERROR(IF($E344="machine",INDEX('JLR Machines'!$B:$B,MATCH($C344,'JLR Machines'!$A:$A,0)),IF($E344="material",INDEX('JLR Materials'!$B:$B,MATCH($C344,'JLR Materials'!$A:$A,0)),IF($E344="labour",IFERROR(INDEX('JLR Labour'!$B:$B,MATCH($C344,'JLR Labour'!$A:$A,0)),"labour category "&amp;$C344&amp;" — from the machine tab"),""))),"NOT FOUND — check the code"))</f>
        <v/>
      </c>
      <c r="E344" t="str">
        <v>machine</v>
      </c>
    </row>
    <row r="345">
      <c r="A345" t="str">
        <v>gear-shave</v>
      </c>
      <c r="B345" t="str">
        <v>Gear Shaving Machine</v>
      </c>
      <c r="C345" t="str">
        <v/>
      </c>
      <c r="D345" t="str">
        <f>IF($C345="","",IFERROR(IF($E345="machine",INDEX('JLR Machines'!$B:$B,MATCH($C345,'JLR Machines'!$A:$A,0)),IF($E345="material",INDEX('JLR Materials'!$B:$B,MATCH($C345,'JLR Materials'!$A:$A,0)),IF($E345="labour",IFERROR(INDEX('JLR Labour'!$B:$B,MATCH($C345,'JLR Labour'!$A:$A,0)),"labour category "&amp;$C345&amp;" — from the machine tab"),""))),"NOT FOUND — check the code"))</f>
        <v/>
      </c>
      <c r="E345" t="str">
        <v>machine</v>
      </c>
    </row>
    <row r="346">
      <c r="A346" t="str">
        <v>gear-hone</v>
      </c>
      <c r="B346" t="str">
        <v>Gear Honing Machine</v>
      </c>
      <c r="C346" t="str">
        <v/>
      </c>
      <c r="D346" t="str">
        <f>IF($C346="","",IFERROR(IF($E346="machine",INDEX('JLR Machines'!$B:$B,MATCH($C346,'JLR Machines'!$A:$A,0)),IF($E346="material",INDEX('JLR Materials'!$B:$B,MATCH($C346,'JLR Materials'!$A:$A,0)),IF($E346="labour",IFERROR(INDEX('JLR Labour'!$B:$B,MATCH($C346,'JLR Labour'!$A:$A,0)),"labour category "&amp;$C346&amp;" — from the machine tab"),""))),"NOT FOUND — check the code"))</f>
        <v/>
      </c>
      <c r="E346" t="str">
        <v>machine</v>
      </c>
    </row>
    <row r="347">
      <c r="A347" t="str">
        <v>gear-deburr</v>
      </c>
      <c r="B347" t="str">
        <v>Gear Chamfer / Deburr Cell</v>
      </c>
      <c r="C347" t="str">
        <v/>
      </c>
      <c r="D347" t="str">
        <f>IF($C347="","",IFERROR(IF($E347="machine",INDEX('JLR Machines'!$B:$B,MATCH($C347,'JLR Machines'!$A:$A,0)),IF($E347="material",INDEX('JLR Materials'!$B:$B,MATCH($C347,'JLR Materials'!$A:$A,0)),IF($E347="labour",IFERROR(INDEX('JLR Labour'!$B:$B,MATCH($C347,'JLR Labour'!$A:$A,0)),"labour category "&amp;$C347&amp;" — from the machine tab"),""))),"NOT FOUND — check the code"))</f>
        <v/>
      </c>
      <c r="E347" t="str">
        <v>machine</v>
      </c>
    </row>
    <row r="348">
      <c r="A348" t="str">
        <v>gear-induction</v>
      </c>
      <c r="B348" t="str">
        <v>Gear Induction Hardening Cell (RF + quench + temper)</v>
      </c>
      <c r="C348" t="str">
        <v/>
      </c>
      <c r="D348" t="str">
        <f>IF($C348="","",IFERROR(IF($E348="machine",INDEX('JLR Machines'!$B:$B,MATCH($C348,'JLR Machines'!$A:$A,0)),IF($E348="material",INDEX('JLR Materials'!$B:$B,MATCH($C348,'JLR Materials'!$A:$A,0)),IF($E348="labour",IFERROR(INDEX('JLR Labour'!$B:$B,MATCH($C348,'JLR Labour'!$A:$A,0)),"labour category "&amp;$C348&amp;" — from the machine tab"),""))),"NOT FOUND — check the code"))</f>
        <v/>
      </c>
      <c r="E348" t="str">
        <v>machine</v>
      </c>
    </row>
    <row r="349">
      <c r="A349" t="str">
        <v>gear-checker</v>
      </c>
      <c r="B349" t="str">
        <v>CNC Gear Checker (profile / lead / pitch)</v>
      </c>
      <c r="C349" t="str">
        <v/>
      </c>
      <c r="D349" t="str">
        <f>IF($C349="","",IFERROR(IF($E349="machine",INDEX('JLR Machines'!$B:$B,MATCH($C349,'JLR Machines'!$A:$A,0)),IF($E349="material",INDEX('JLR Materials'!$B:$B,MATCH($C349,'JLR Materials'!$A:$A,0)),IF($E349="labour",IFERROR(INDEX('JLR Labour'!$B:$B,MATCH($C349,'JLR Labour'!$A:$A,0)),"labour category "&amp;$C349&amp;" — from the machine tab"),""))),"NOT FOUND — check the code"))</f>
        <v/>
      </c>
      <c r="E349" t="str">
        <v>machine</v>
      </c>
    </row>
    <row r="350">
      <c r="A350" t="str">
        <v>bench-assembly</v>
      </c>
      <c r="B350" t="str">
        <v>Assembly Workbench</v>
      </c>
      <c r="C350" t="str">
        <v/>
      </c>
      <c r="D350" t="str">
        <f>IF($C350="","",IFERROR(IF($E350="machine",INDEX('JLR Machines'!$B:$B,MATCH($C350,'JLR Machines'!$A:$A,0)),IF($E350="material",INDEX('JLR Materials'!$B:$B,MATCH($C350,'JLR Materials'!$A:$A,0)),IF($E350="labour",IFERROR(INDEX('JLR Labour'!$B:$B,MATCH($C350,'JLR Labour'!$A:$A,0)),"labour category "&amp;$C350&amp;" — from the machine tab"),""))),"NOT FOUND — check the code"))</f>
        <v/>
      </c>
      <c r="E350" t="str">
        <v>machine</v>
      </c>
    </row>
    <row r="351">
      <c r="A351" t="str">
        <v>mach-haas-vf2</v>
      </c>
      <c r="B351" t="str">
        <v>HAAS VF-2 (3-axis Mill)</v>
      </c>
      <c r="C351" t="str">
        <v/>
      </c>
      <c r="D351" t="str">
        <f>IF($C351="","",IFERROR(IF($E351="machine",INDEX('JLR Machines'!$B:$B,MATCH($C351,'JLR Machines'!$A:$A,0)),IF($E351="material",INDEX('JLR Materials'!$B:$B,MATCH($C351,'JLR Materials'!$A:$A,0)),IF($E351="labour",IFERROR(INDEX('JLR Labour'!$B:$B,MATCH($C351,'JLR Labour'!$A:$A,0)),"labour category "&amp;$C351&amp;" — from the machine tab"),""))),"NOT FOUND — check the code"))</f>
        <v/>
      </c>
      <c r="E351" t="str">
        <v>machine</v>
      </c>
    </row>
    <row r="352">
      <c r="A352" t="str">
        <v>mach-dmg-dmu50</v>
      </c>
      <c r="B352" t="str">
        <v>DMG Mori DMU 50 (5-axis Mill)</v>
      </c>
      <c r="C352" t="str">
        <v/>
      </c>
      <c r="D352" t="str">
        <f>IF($C352="","",IFERROR(IF($E352="machine",INDEX('JLR Machines'!$B:$B,MATCH($C352,'JLR Machines'!$A:$A,0)),IF($E352="material",INDEX('JLR Materials'!$B:$B,MATCH($C352,'JLR Materials'!$A:$A,0)),IF($E352="labour",IFERROR(INDEX('JLR Labour'!$B:$B,MATCH($C352,'JLR Labour'!$A:$A,0)),"labour category "&amp;$C352&amp;" — from the machine tab"),""))),"NOT FOUND — check the code"))</f>
        <v/>
      </c>
      <c r="E352" t="str">
        <v>machine</v>
      </c>
    </row>
    <row r="353">
      <c r="A353" t="str">
        <v>mach-haas-umc500</v>
      </c>
      <c r="B353" t="str">
        <v>HAAS UMC-500 (5-axis Mill)</v>
      </c>
      <c r="C353" t="str">
        <v/>
      </c>
      <c r="D353" t="str">
        <f>IF($C353="","",IFERROR(IF($E353="machine",INDEX('JLR Machines'!$B:$B,MATCH($C353,'JLR Machines'!$A:$A,0)),IF($E353="material",INDEX('JLR Materials'!$B:$B,MATCH($C353,'JLR Materials'!$A:$A,0)),IF($E353="labour",IFERROR(INDEX('JLR Labour'!$B:$B,MATCH($C353,'JLR Labour'!$A:$A,0)),"labour category "&amp;$C353&amp;" — from the machine tab"),""))),"NOT FOUND — check the code"))</f>
        <v/>
      </c>
      <c r="E353" t="str">
        <v>machine</v>
      </c>
    </row>
    <row r="354">
      <c r="A354" t="str">
        <v>mach-mazak-qt200</v>
      </c>
      <c r="B354" t="str">
        <v>Mazak Quick Turn 200 (Turning)</v>
      </c>
      <c r="C354" t="str">
        <v/>
      </c>
      <c r="D354" t="str">
        <f>IF($C354="","",IFERROR(IF($E354="machine",INDEX('JLR Machines'!$B:$B,MATCH($C354,'JLR Machines'!$A:$A,0)),IF($E354="material",INDEX('JLR Materials'!$B:$B,MATCH($C354,'JLR Materials'!$A:$A,0)),IF($E354="labour",IFERROR(INDEX('JLR Labour'!$B:$B,MATCH($C354,'JLR Labour'!$A:$A,0)),"labour category "&amp;$C354&amp;" — from the machine tab"),""))),"NOT FOUND — check the code"))</f>
        <v/>
      </c>
      <c r="E354" t="str">
        <v>machine</v>
      </c>
    </row>
    <row r="355">
      <c r="A355" t="str">
        <v>grav-die-cast-std</v>
      </c>
      <c r="B355" t="str">
        <v>Gravity Die Casting Machine</v>
      </c>
      <c r="C355" t="str">
        <v/>
      </c>
      <c r="D355" t="str">
        <f>IF($C355="","",IFERROR(IF($E355="machine",INDEX('JLR Machines'!$B:$B,MATCH($C355,'JLR Machines'!$A:$A,0)),IF($E355="material",INDEX('JLR Materials'!$B:$B,MATCH($C355,'JLR Materials'!$A:$A,0)),IF($E355="labour",IFERROR(INDEX('JLR Labour'!$B:$B,MATCH($C355,'JLR Labour'!$A:$A,0)),"labour category "&amp;$C355&amp;" — from the machine tab"),""))),"NOT FOUND — check the code"))</f>
        <v/>
      </c>
      <c r="E355" t="str">
        <v>machine</v>
      </c>
    </row>
    <row r="356">
      <c r="A356" t="str">
        <v>invest-cast-furnace</v>
      </c>
      <c r="B356" t="str">
        <v>Investment Casting Furnace</v>
      </c>
      <c r="C356" t="str">
        <v/>
      </c>
      <c r="D356" t="str">
        <f>IF($C356="","",IFERROR(IF($E356="machine",INDEX('JLR Machines'!$B:$B,MATCH($C356,'JLR Machines'!$A:$A,0)),IF($E356="material",INDEX('JLR Materials'!$B:$B,MATCH($C356,'JLR Materials'!$A:$A,0)),IF($E356="labour",IFERROR(INDEX('JLR Labour'!$B:$B,MATCH($C356,'JLR Labour'!$A:$A,0)),"labour category "&amp;$C356&amp;" — from the machine tab"),""))),"NOT FOUND — check the code"))</f>
        <v/>
      </c>
      <c r="E356" t="str">
        <v>machine</v>
      </c>
    </row>
    <row r="357">
      <c r="A357" t="str">
        <v>heat-treat-furnace</v>
      </c>
      <c r="B357" t="str">
        <v>Heat Treatment / Ageing Furnace</v>
      </c>
      <c r="C357" t="str">
        <v/>
      </c>
      <c r="D357" t="str">
        <f>IF($C357="","",IFERROR(IF($E357="machine",INDEX('JLR Machines'!$B:$B,MATCH($C357,'JLR Machines'!$A:$A,0)),IF($E357="material",INDEX('JLR Materials'!$B:$B,MATCH($C357,'JLR Materials'!$A:$A,0)),IF($E357="labour",IFERROR(INDEX('JLR Labour'!$B:$B,MATCH($C357,'JLR Labour'!$A:$A,0)),"labour category "&amp;$C357&amp;" — from the machine tab"),""))),"NOT FOUND — check the code"))</f>
        <v/>
      </c>
      <c r="E357" t="str">
        <v>machine</v>
      </c>
    </row>
    <row r="358">
      <c r="A358" t="str">
        <v>press-100t</v>
      </c>
      <c r="B358" t="str">
        <v>100T Mechanical Press (general press shop)</v>
      </c>
      <c r="C358" t="str">
        <v/>
      </c>
      <c r="D358" t="str">
        <f>IF($C358="","",IFERROR(IF($E358="machine",INDEX('JLR Machines'!$B:$B,MATCH($C358,'JLR Machines'!$A:$A,0)),IF($E358="material",INDEX('JLR Materials'!$B:$B,MATCH($C358,'JLR Materials'!$A:$A,0)),IF($E358="labour",IFERROR(INDEX('JLR Labour'!$B:$B,MATCH($C358,'JLR Labour'!$A:$A,0)),"labour category "&amp;$C358&amp;" — from the machine tab"),""))),"NOT FOUND — check the code"))</f>
        <v/>
      </c>
      <c r="E358" t="str">
        <v>machine</v>
      </c>
    </row>
    <row r="359">
      <c r="A359" t="str">
        <v>press-200t</v>
      </c>
      <c r="B359" t="str">
        <v>200T Mechanical Press (general press shop)</v>
      </c>
      <c r="C359" t="str">
        <v/>
      </c>
      <c r="D359" t="str">
        <f>IF($C359="","",IFERROR(IF($E359="machine",INDEX('JLR Machines'!$B:$B,MATCH($C359,'JLR Machines'!$A:$A,0)),IF($E359="material",INDEX('JLR Materials'!$B:$B,MATCH($C359,'JLR Materials'!$A:$A,0)),IF($E359="labour",IFERROR(INDEX('JLR Labour'!$B:$B,MATCH($C359,'JLR Labour'!$A:$A,0)),"labour category "&amp;$C359&amp;" — from the machine tab"),""))),"NOT FOUND — check the code"))</f>
        <v/>
      </c>
      <c r="E359" t="str">
        <v>machine</v>
      </c>
    </row>
    <row r="360">
      <c r="A360" t="str">
        <v>press-400t</v>
      </c>
      <c r="B360" t="str">
        <v>400T Mechanical Press (general press shop)</v>
      </c>
      <c r="C360" t="str">
        <v/>
      </c>
      <c r="D360" t="str">
        <f>IF($C360="","",IFERROR(IF($E360="machine",INDEX('JLR Machines'!$B:$B,MATCH($C360,'JLR Machines'!$A:$A,0)),IF($E360="material",INDEX('JLR Materials'!$B:$B,MATCH($C360,'JLR Materials'!$A:$A,0)),IF($E360="labour",IFERROR(INDEX('JLR Labour'!$B:$B,MATCH($C360,'JLR Labour'!$A:$A,0)),"labour category "&amp;$C360&amp;" — from the machine tab"),""))),"NOT FOUND — check the code"))</f>
        <v/>
      </c>
      <c r="E360" t="str">
        <v>machine</v>
      </c>
    </row>
    <row r="361">
      <c r="A361" t="str">
        <v>press-630t</v>
      </c>
      <c r="B361" t="str">
        <v>630T Mechanical Press (general press shop)</v>
      </c>
      <c r="C361" t="str">
        <v/>
      </c>
      <c r="D361" t="str">
        <f>IF($C361="","",IFERROR(IF($E361="machine",INDEX('JLR Machines'!$B:$B,MATCH($C361,'JLR Machines'!$A:$A,0)),IF($E361="material",INDEX('JLR Materials'!$B:$B,MATCH($C361,'JLR Materials'!$A:$A,0)),IF($E361="labour",IFERROR(INDEX('JLR Labour'!$B:$B,MATCH($C361,'JLR Labour'!$A:$A,0)),"labour category "&amp;$C361&amp;" — from the machine tab"),""))),"NOT FOUND — check the code"))</f>
        <v/>
      </c>
      <c r="E361" t="str">
        <v>machine</v>
      </c>
    </row>
    <row r="362">
      <c r="A362" t="str">
        <v>press-800t</v>
      </c>
      <c r="B362" t="str">
        <v>800T Mechanical Press (general press shop)</v>
      </c>
      <c r="C362" t="str">
        <v/>
      </c>
      <c r="D362" t="str">
        <f>IF($C362="","",IFERROR(IF($E362="machine",INDEX('JLR Machines'!$B:$B,MATCH($C362,'JLR Machines'!$A:$A,0)),IF($E362="material",INDEX('JLR Materials'!$B:$B,MATCH($C362,'JLR Materials'!$A:$A,0)),IF($E362="labour",IFERROR(INDEX('JLR Labour'!$B:$B,MATCH($C362,'JLR Labour'!$A:$A,0)),"labour category "&amp;$C362&amp;" — from the machine tab"),""))),"NOT FOUND — check the code"))</f>
        <v/>
      </c>
      <c r="E362" t="str">
        <v>machine</v>
      </c>
    </row>
    <row r="363">
      <c r="A363" t="str">
        <v>press-1000t</v>
      </c>
      <c r="B363" t="str">
        <v>1000T Mechanical Press (general press shop)</v>
      </c>
      <c r="C363" t="str">
        <v/>
      </c>
      <c r="D363" t="str">
        <f>IF($C363="","",IFERROR(IF($E363="machine",INDEX('JLR Machines'!$B:$B,MATCH($C363,'JLR Machines'!$A:$A,0)),IF($E363="material",INDEX('JLR Materials'!$B:$B,MATCH($C363,'JLR Materials'!$A:$A,0)),IF($E363="labour",IFERROR(INDEX('JLR Labour'!$B:$B,MATCH($C363,'JLR Labour'!$A:$A,0)),"labour category "&amp;$C363&amp;" — from the machine tab"),""))),"NOT FOUND — check the code"))</f>
        <v/>
      </c>
      <c r="E363" t="str">
        <v>machine</v>
      </c>
    </row>
    <row r="364">
      <c r="A364" t="str">
        <v>press-1250t</v>
      </c>
      <c r="B364" t="str">
        <v>1250T Mechanical Press (general press shop)</v>
      </c>
      <c r="C364" t="str">
        <v/>
      </c>
      <c r="D364" t="str">
        <f>IF($C364="","",IFERROR(IF($E364="machine",INDEX('JLR Machines'!$B:$B,MATCH($C364,'JLR Machines'!$A:$A,0)),IF($E364="material",INDEX('JLR Materials'!$B:$B,MATCH($C364,'JLR Materials'!$A:$A,0)),IF($E364="labour",IFERROR(INDEX('JLR Labour'!$B:$B,MATCH($C364,'JLR Labour'!$A:$A,0)),"labour category "&amp;$C364&amp;" — from the machine tab"),""))),"NOT FOUND — check the code"))</f>
        <v/>
      </c>
      <c r="E364" t="str">
        <v>machine</v>
      </c>
    </row>
    <row r="365">
      <c r="A365" t="str">
        <v>press-fineblank-250t</v>
      </c>
      <c r="B365" t="str">
        <v>250T Fine-Blanking Press (triple-action)</v>
      </c>
      <c r="C365" t="str">
        <v/>
      </c>
      <c r="D365" t="str">
        <f>IF($C365="","",IFERROR(IF($E365="machine",INDEX('JLR Machines'!$B:$B,MATCH($C365,'JLR Machines'!$A:$A,0)),IF($E365="material",INDEX('JLR Materials'!$B:$B,MATCH($C365,'JLR Materials'!$A:$A,0)),IF($E365="labour",IFERROR(INDEX('JLR Labour'!$B:$B,MATCH($C365,'JLR Labour'!$A:$A,0)),"labour category "&amp;$C365&amp;" — from the machine tab"),""))),"NOT FOUND — check the code"))</f>
        <v/>
      </c>
      <c r="E365" t="str">
        <v>machine</v>
      </c>
    </row>
    <row r="366">
      <c r="A366" t="str">
        <v>press-hotstamp-1000t</v>
      </c>
      <c r="B366" t="str">
        <v>1000T Hot-Stamping Press (water-cooled dies)</v>
      </c>
      <c r="C366" t="str">
        <v/>
      </c>
      <c r="D366" t="str">
        <f>IF($C366="","",IFERROR(IF($E366="machine",INDEX('JLR Machines'!$B:$B,MATCH($C366,'JLR Machines'!$A:$A,0)),IF($E366="material",INDEX('JLR Materials'!$B:$B,MATCH($C366,'JLR Materials'!$A:$A,0)),IF($E366="labour",IFERROR(INDEX('JLR Labour'!$B:$B,MATCH($C366,'JLR Labour'!$A:$A,0)),"labour category "&amp;$C366&amp;" — from the machine tab"),""))),"NOT FOUND — check the code"))</f>
        <v/>
      </c>
      <c r="E366" t="str">
        <v>machine</v>
      </c>
    </row>
    <row r="367">
      <c r="A367" t="str">
        <v>furnace-roller-hearth</v>
      </c>
      <c r="B367" t="str">
        <v>Roller-Hearth Austenitising Furnace (hot stamping)</v>
      </c>
      <c r="C367" t="str">
        <v/>
      </c>
      <c r="D367" t="str">
        <f>IF($C367="","",IFERROR(IF($E367="machine",INDEX('JLR Machines'!$B:$B,MATCH($C367,'JLR Machines'!$A:$A,0)),IF($E367="material",INDEX('JLR Materials'!$B:$B,MATCH($C367,'JLR Materials'!$A:$A,0)),IF($E367="labour",IFERROR(INDEX('JLR Labour'!$B:$B,MATCH($C367,'JLR Labour'!$A:$A,0)),"labour category "&amp;$C367&amp;" — from the machine tab"),""))),"NOT FOUND — check the code"))</f>
        <v/>
      </c>
      <c r="E367" t="str">
        <v>machine</v>
      </c>
    </row>
    <row r="368">
      <c r="A368" t="str">
        <v>notching-machine</v>
      </c>
      <c r="B368" t="str">
        <v>CNC Notching Machine (laminations)</v>
      </c>
      <c r="C368" t="str">
        <v/>
      </c>
      <c r="D368" t="str">
        <f>IF($C368="","",IFERROR(IF($E368="machine",INDEX('JLR Machines'!$B:$B,MATCH($C368,'JLR Machines'!$A:$A,0)),IF($E368="material",INDEX('JLR Materials'!$B:$B,MATCH($C368,'JLR Materials'!$A:$A,0)),IF($E368="labour",IFERROR(INDEX('JLR Labour'!$B:$B,MATCH($C368,'JLR Labour'!$A:$A,0)),"labour category "&amp;$C368&amp;" — from the machine tab"),""))),"NOT FOUND — check the code"))</f>
        <v/>
      </c>
      <c r="E368" t="str">
        <v>machine</v>
      </c>
    </row>
    <row r="369">
      <c r="A369" t="str">
        <v>lamination-anneal-furnace</v>
      </c>
      <c r="B369" t="str">
        <v>Stress-Relief Annealing Furnace (laminations)</v>
      </c>
      <c r="C369" t="str">
        <v/>
      </c>
      <c r="D369" t="str">
        <f>IF($C369="","",IFERROR(IF($E369="machine",INDEX('JLR Machines'!$B:$B,MATCH($C369,'JLR Machines'!$A:$A,0)),IF($E369="material",INDEX('JLR Materials'!$B:$B,MATCH($C369,'JLR Materials'!$A:$A,0)),IF($E369="labour",IFERROR(INDEX('JLR Labour'!$B:$B,MATCH($C369,'JLR Labour'!$A:$A,0)),"labour category "&amp;$C369&amp;" — from the machine tab"),""))),"NOT FOUND — check the code"))</f>
        <v/>
      </c>
      <c r="E369" t="str">
        <v>machine</v>
      </c>
    </row>
    <row r="370">
      <c r="A370" t="str">
        <v>backlack-bonding-oven</v>
      </c>
      <c r="B370" t="str">
        <v>Backlack Bonding Oven/Press (self-bonded stacks)</v>
      </c>
      <c r="C370" t="str">
        <v/>
      </c>
      <c r="D370" t="str">
        <f>IF($C370="","",IFERROR(IF($E370="machine",INDEX('JLR Machines'!$B:$B,MATCH($C370,'JLR Machines'!$A:$A,0)),IF($E370="material",INDEX('JLR Materials'!$B:$B,MATCH($C370,'JLR Materials'!$A:$A,0)),IF($E370="labour",IFERROR(INDEX('JLR Labour'!$B:$B,MATCH($C370,'JLR Labour'!$A:$A,0)),"labour category "&amp;$C370&amp;" — from the machine tab"),""))),"NOT FOUND — check the code"))</f>
        <v/>
      </c>
      <c r="E370" t="str">
        <v>machine</v>
      </c>
    </row>
    <row r="371">
      <c r="A371" t="str">
        <v>laser-stack-welder</v>
      </c>
      <c r="B371" t="str">
        <v>Laser Stack Welder (stator OD welds)</v>
      </c>
      <c r="C371" t="str">
        <v/>
      </c>
      <c r="D371" t="str">
        <f>IF($C371="","",IFERROR(IF($E371="machine",INDEX('JLR Machines'!$B:$B,MATCH($C371,'JLR Machines'!$A:$A,0)),IF($E371="material",INDEX('JLR Materials'!$B:$B,MATCH($C371,'JLR Materials'!$A:$A,0)),IF($E371="labour",IFERROR(INDEX('JLR Labour'!$B:$B,MATCH($C371,'JLR Labour'!$A:$A,0)),"labour category "&amp;$C371&amp;" — from the machine tab"),""))),"NOT FOUND — check the code"))</f>
        <v/>
      </c>
      <c r="E371" t="str">
        <v>machine</v>
      </c>
    </row>
    <row r="372">
      <c r="A372" t="str">
        <v>imm-50t</v>
      </c>
      <c r="B372" t="str">
        <v>50T Injection Moulding Machine</v>
      </c>
      <c r="C372" t="str">
        <v/>
      </c>
      <c r="D372" t="str">
        <f>IF($C372="","",IFERROR(IF($E372="machine",INDEX('JLR Machines'!$B:$B,MATCH($C372,'JLR Machines'!$A:$A,0)),IF($E372="material",INDEX('JLR Materials'!$B:$B,MATCH($C372,'JLR Materials'!$A:$A,0)),IF($E372="labour",IFERROR(INDEX('JLR Labour'!$B:$B,MATCH($C372,'JLR Labour'!$A:$A,0)),"labour category "&amp;$C372&amp;" — from the machine tab"),""))),"NOT FOUND — check the code"))</f>
        <v/>
      </c>
      <c r="E372" t="str">
        <v>machine</v>
      </c>
    </row>
    <row r="373">
      <c r="A373" t="str">
        <v>imm-100t</v>
      </c>
      <c r="B373" t="str">
        <v>100T Injection Moulding Machine</v>
      </c>
      <c r="C373" t="str">
        <v/>
      </c>
      <c r="D373" t="str">
        <f>IF($C373="","",IFERROR(IF($E373="machine",INDEX('JLR Machines'!$B:$B,MATCH($C373,'JLR Machines'!$A:$A,0)),IF($E373="material",INDEX('JLR Materials'!$B:$B,MATCH($C373,'JLR Materials'!$A:$A,0)),IF($E373="labour",IFERROR(INDEX('JLR Labour'!$B:$B,MATCH($C373,'JLR Labour'!$A:$A,0)),"labour category "&amp;$C373&amp;" — from the machine tab"),""))),"NOT FOUND — check the code"))</f>
        <v/>
      </c>
      <c r="E373" t="str">
        <v>machine</v>
      </c>
    </row>
    <row r="374">
      <c r="A374" t="str">
        <v>imm-200t</v>
      </c>
      <c r="B374" t="str">
        <v>200T Injection Moulding Machine</v>
      </c>
      <c r="C374" t="str">
        <v/>
      </c>
      <c r="D374" t="str">
        <f>IF($C374="","",IFERROR(IF($E374="machine",INDEX('JLR Machines'!$B:$B,MATCH($C374,'JLR Machines'!$A:$A,0)),IF($E374="material",INDEX('JLR Materials'!$B:$B,MATCH($C374,'JLR Materials'!$A:$A,0)),IF($E374="labour",IFERROR(INDEX('JLR Labour'!$B:$B,MATCH($C374,'JLR Labour'!$A:$A,0)),"labour category "&amp;$C374&amp;" — from the machine tab"),""))),"NOT FOUND — check the code"))</f>
        <v/>
      </c>
      <c r="E374" t="str">
        <v>machine</v>
      </c>
    </row>
    <row r="375">
      <c r="A375" t="str">
        <v>imm-350t</v>
      </c>
      <c r="B375" t="str">
        <v>350T Injection Moulding Machine</v>
      </c>
      <c r="C375" t="str">
        <v/>
      </c>
      <c r="D375" t="str">
        <f>IF($C375="","",IFERROR(IF($E375="machine",INDEX('JLR Machines'!$B:$B,MATCH($C375,'JLR Machines'!$A:$A,0)),IF($E375="material",INDEX('JLR Materials'!$B:$B,MATCH($C375,'JLR Materials'!$A:$A,0)),IF($E375="labour",IFERROR(INDEX('JLR Labour'!$B:$B,MATCH($C375,'JLR Labour'!$A:$A,0)),"labour category "&amp;$C375&amp;" — from the machine tab"),""))),"NOT FOUND — check the code"))</f>
        <v/>
      </c>
      <c r="E375" t="str">
        <v>machine</v>
      </c>
    </row>
    <row r="376">
      <c r="A376" t="str">
        <v>imm-400t</v>
      </c>
      <c r="B376" t="str">
        <v>400T Injection Moulding Machine</v>
      </c>
      <c r="C376" t="str">
        <v/>
      </c>
      <c r="D376" t="str">
        <f>IF($C376="","",IFERROR(IF($E376="machine",INDEX('JLR Machines'!$B:$B,MATCH($C376,'JLR Machines'!$A:$A,0)),IF($E376="material",INDEX('JLR Materials'!$B:$B,MATCH($C376,'JLR Materials'!$A:$A,0)),IF($E376="labour",IFERROR(INDEX('JLR Labour'!$B:$B,MATCH($C376,'JLR Labour'!$A:$A,0)),"labour category "&amp;$C376&amp;" — from the machine tab"),""))),"NOT FOUND — check the code"))</f>
        <v/>
      </c>
      <c r="E376" t="str">
        <v>machine</v>
      </c>
    </row>
    <row r="377">
      <c r="A377" t="str">
        <v>imm-500t</v>
      </c>
      <c r="B377" t="str">
        <v>500T Injection Moulding Machine</v>
      </c>
      <c r="C377" t="str">
        <v/>
      </c>
      <c r="D377" t="str">
        <f>IF($C377="","",IFERROR(IF($E377="machine",INDEX('JLR Machines'!$B:$B,MATCH($C377,'JLR Machines'!$A:$A,0)),IF($E377="material",INDEX('JLR Materials'!$B:$B,MATCH($C377,'JLR Materials'!$A:$A,0)),IF($E377="labour",IFERROR(INDEX('JLR Labour'!$B:$B,MATCH($C377,'JLR Labour'!$A:$A,0)),"labour category "&amp;$C377&amp;" — from the machine tab"),""))),"NOT FOUND — check the code"))</f>
        <v/>
      </c>
      <c r="E377" t="str">
        <v>machine</v>
      </c>
    </row>
    <row r="378">
      <c r="A378" t="str">
        <v>imm-800t</v>
      </c>
      <c r="B378" t="str">
        <v>800T Injection Moulding Machine</v>
      </c>
      <c r="C378" t="str">
        <v/>
      </c>
      <c r="D378" t="str">
        <f>IF($C378="","",IFERROR(IF($E378="machine",INDEX('JLR Machines'!$B:$B,MATCH($C378,'JLR Machines'!$A:$A,0)),IF($E378="material",INDEX('JLR Materials'!$B:$B,MATCH($C378,'JLR Materials'!$A:$A,0)),IF($E378="labour",IFERROR(INDEX('JLR Labour'!$B:$B,MATCH($C378,'JLR Labour'!$A:$A,0)),"labour category "&amp;$C378&amp;" — from the machine tab"),""))),"NOT FOUND — check the code"))</f>
        <v/>
      </c>
      <c r="E378" t="str">
        <v>machine</v>
      </c>
    </row>
    <row r="379">
      <c r="A379" t="str">
        <v>imm-1200t</v>
      </c>
      <c r="B379" t="str">
        <v>1200T Injection Moulding Machine</v>
      </c>
      <c r="C379" t="str">
        <v/>
      </c>
      <c r="D379" t="str">
        <f>IF($C379="","",IFERROR(IF($E379="machine",INDEX('JLR Machines'!$B:$B,MATCH($C379,'JLR Machines'!$A:$A,0)),IF($E379="material",INDEX('JLR Materials'!$B:$B,MATCH($C379,'JLR Materials'!$A:$A,0)),IF($E379="labour",IFERROR(INDEX('JLR Labour'!$B:$B,MATCH($C379,'JLR Labour'!$A:$A,0)),"labour category "&amp;$C379&amp;" — from the machine tab"),""))),"NOT FOUND — check the code"))</f>
        <v/>
      </c>
      <c r="E379" t="str">
        <v>machine</v>
      </c>
    </row>
    <row r="380">
      <c r="A380" t="str">
        <v>imm-2000t</v>
      </c>
      <c r="B380" t="str">
        <v>2000T Injection Moulding Machine</v>
      </c>
      <c r="C380" t="str">
        <v/>
      </c>
      <c r="D380" t="str">
        <f>IF($C380="","",IFERROR(IF($E380="machine",INDEX('JLR Machines'!$B:$B,MATCH($C380,'JLR Machines'!$A:$A,0)),IF($E380="material",INDEX('JLR Materials'!$B:$B,MATCH($C380,'JLR Materials'!$A:$A,0)),IF($E380="labour",IFERROR(INDEX('JLR Labour'!$B:$B,MATCH($C380,'JLR Labour'!$A:$A,0)),"labour category "&amp;$C380&amp;" — from the machine tab"),""))),"NOT FOUND — check the code"))</f>
        <v/>
      </c>
      <c r="E380" t="str">
        <v>machine</v>
      </c>
    </row>
    <row r="381">
      <c r="A381" t="str">
        <v>imm-3500t</v>
      </c>
      <c r="B381" t="str">
        <v>3500T Injection Moulding Machine</v>
      </c>
      <c r="C381" t="str">
        <v/>
      </c>
      <c r="D381" t="str">
        <f>IF($C381="","",IFERROR(IF($E381="machine",INDEX('JLR Machines'!$B:$B,MATCH($C381,'JLR Machines'!$A:$A,0)),IF($E381="material",INDEX('JLR Materials'!$B:$B,MATCH($C381,'JLR Materials'!$A:$A,0)),IF($E381="labour",IFERROR(INDEX('JLR Labour'!$B:$B,MATCH($C381,'JLR Labour'!$A:$A,0)),"labour category "&amp;$C381&amp;" — from the machine tab"),""))),"NOT FOUND — check the code"))</f>
        <v/>
      </c>
      <c r="E381" t="str">
        <v>machine</v>
      </c>
    </row>
    <row r="382">
      <c r="A382" t="str">
        <v>hpdc-500t</v>
      </c>
      <c r="B382" t="str">
        <v>HPDC 500T</v>
      </c>
      <c r="C382" t="str">
        <v/>
      </c>
      <c r="D382" t="str">
        <f>IF($C382="","",IFERROR(IF($E382="machine",INDEX('JLR Machines'!$B:$B,MATCH($C382,'JLR Machines'!$A:$A,0)),IF($E382="material",INDEX('JLR Materials'!$B:$B,MATCH($C382,'JLR Materials'!$A:$A,0)),IF($E382="labour",IFERROR(INDEX('JLR Labour'!$B:$B,MATCH($C382,'JLR Labour'!$A:$A,0)),"labour category "&amp;$C382&amp;" — from the machine tab"),""))),"NOT FOUND — check the code"))</f>
        <v/>
      </c>
      <c r="E382" t="str">
        <v>machine</v>
      </c>
    </row>
    <row r="383">
      <c r="A383" t="str">
        <v>hpdc-800t</v>
      </c>
      <c r="B383" t="str">
        <v>HPDC 800T</v>
      </c>
      <c r="C383" t="str">
        <v/>
      </c>
      <c r="D383" t="str">
        <f>IF($C383="","",IFERROR(IF($E383="machine",INDEX('JLR Machines'!$B:$B,MATCH($C383,'JLR Machines'!$A:$A,0)),IF($E383="material",INDEX('JLR Materials'!$B:$B,MATCH($C383,'JLR Materials'!$A:$A,0)),IF($E383="labour",IFERROR(INDEX('JLR Labour'!$B:$B,MATCH($C383,'JLR Labour'!$A:$A,0)),"labour category "&amp;$C383&amp;" — from the machine tab"),""))),"NOT FOUND — check the code"))</f>
        <v/>
      </c>
      <c r="E383" t="str">
        <v>machine</v>
      </c>
    </row>
    <row r="384">
      <c r="A384" t="str">
        <v>hpdc-1600t</v>
      </c>
      <c r="B384" t="str">
        <v>HPDC 1600T</v>
      </c>
      <c r="C384" t="str">
        <v/>
      </c>
      <c r="D384" t="str">
        <f>IF($C384="","",IFERROR(IF($E384="machine",INDEX('JLR Machines'!$B:$B,MATCH($C384,'JLR Machines'!$A:$A,0)),IF($E384="material",INDEX('JLR Materials'!$B:$B,MATCH($C384,'JLR Materials'!$A:$A,0)),IF($E384="labour",IFERROR(INDEX('JLR Labour'!$B:$B,MATCH($C384,'JLR Labour'!$A:$A,0)),"labour category "&amp;$C384&amp;" — from the machine tab"),""))),"NOT FOUND — check the code"))</f>
        <v/>
      </c>
      <c r="E384" t="str">
        <v>machine</v>
      </c>
    </row>
    <row r="385">
      <c r="A385" t="str">
        <v>hpdc-giga-6100t</v>
      </c>
      <c r="B385" t="str">
        <v>Giga-Casting Press 6100T (megacasting)</v>
      </c>
      <c r="C385" t="str">
        <v/>
      </c>
      <c r="D385" t="str">
        <f>IF($C385="","",IFERROR(IF($E385="machine",INDEX('JLR Machines'!$B:$B,MATCH($C385,'JLR Machines'!$A:$A,0)),IF($E385="material",INDEX('JLR Materials'!$B:$B,MATCH($C385,'JLR Materials'!$A:$A,0)),IF($E385="labour",IFERROR(INDEX('JLR Labour'!$B:$B,MATCH($C385,'JLR Labour'!$A:$A,0)),"labour category "&amp;$C385&amp;" — from the machine tab"),""))),"NOT FOUND — check the code"))</f>
        <v/>
      </c>
      <c r="E385" t="str">
        <v>machine</v>
      </c>
    </row>
    <row r="386">
      <c r="A386" t="str">
        <v>hpdc-giga-9000t</v>
      </c>
      <c r="B386" t="str">
        <v>Giga-Casting Press 9000T (Xiaomi/Tesla-class)</v>
      </c>
      <c r="C386" t="str">
        <v/>
      </c>
      <c r="D386" t="str">
        <f>IF($C386="","",IFERROR(IF($E386="machine",INDEX('JLR Machines'!$B:$B,MATCH($C386,'JLR Machines'!$A:$A,0)),IF($E386="material",INDEX('JLR Materials'!$B:$B,MATCH($C386,'JLR Materials'!$A:$A,0)),IF($E386="labour",IFERROR(INDEX('JLR Labour'!$B:$B,MATCH($C386,'JLR Labour'!$A:$A,0)),"labour category "&amp;$C386&amp;" — from the machine tab"),""))),"NOT FOUND — check the code"))</f>
        <v/>
      </c>
      <c r="E386" t="str">
        <v>machine</v>
      </c>
    </row>
    <row r="387">
      <c r="A387" t="str">
        <v>sand-cast-line</v>
      </c>
      <c r="B387" t="str">
        <v>Sand Casting Moulding Line</v>
      </c>
      <c r="C387" t="str">
        <v/>
      </c>
      <c r="D387" t="str">
        <f>IF($C387="","",IFERROR(IF($E387="machine",INDEX('JLR Machines'!$B:$B,MATCH($C387,'JLR Machines'!$A:$A,0)),IF($E387="material",INDEX('JLR Materials'!$B:$B,MATCH($C387,'JLR Materials'!$A:$A,0)),IF($E387="labour",IFERROR(INDEX('JLR Labour'!$B:$B,MATCH($C387,'JLR Labour'!$A:$A,0)),"labour category "&amp;$C387&amp;" — from the machine tab"),""))),"NOT FOUND — check the code"))</f>
        <v/>
      </c>
      <c r="E387" t="str">
        <v>machine</v>
      </c>
    </row>
    <row r="388">
      <c r="A388" t="str">
        <v>hpdc-160t</v>
      </c>
      <c r="B388" t="str">
        <v>HPDC 160T (Zinc/Small Al)</v>
      </c>
      <c r="C388" t="str">
        <v/>
      </c>
      <c r="D388" t="str">
        <f>IF($C388="","",IFERROR(IF($E388="machine",INDEX('JLR Machines'!$B:$B,MATCH($C388,'JLR Machines'!$A:$A,0)),IF($E388="material",INDEX('JLR Materials'!$B:$B,MATCH($C388,'JLR Materials'!$A:$A,0)),IF($E388="labour",IFERROR(INDEX('JLR Labour'!$B:$B,MATCH($C388,'JLR Labour'!$A:$A,0)),"labour category "&amp;$C388&amp;" — from the machine tab"),""))),"NOT FOUND — check the code"))</f>
        <v/>
      </c>
      <c r="E388" t="str">
        <v>machine</v>
      </c>
    </row>
    <row r="389">
      <c r="A389" t="str">
        <v>forge-press-500t</v>
      </c>
      <c r="B389" t="str">
        <v>500T Mechanical Forge Press</v>
      </c>
      <c r="C389" t="str">
        <v/>
      </c>
      <c r="D389" t="str">
        <f>IF($C389="","",IFERROR(IF($E389="machine",INDEX('JLR Machines'!$B:$B,MATCH($C389,'JLR Machines'!$A:$A,0)),IF($E389="material",INDEX('JLR Materials'!$B:$B,MATCH($C389,'JLR Materials'!$A:$A,0)),IF($E389="labour",IFERROR(INDEX('JLR Labour'!$B:$B,MATCH($C389,'JLR Labour'!$A:$A,0)),"labour category "&amp;$C389&amp;" — from the machine tab"),""))),"NOT FOUND — check the code"))</f>
        <v/>
      </c>
      <c r="E389" t="str">
        <v>machine</v>
      </c>
    </row>
    <row r="390">
      <c r="A390" t="str">
        <v>forge-press-1600t</v>
      </c>
      <c r="B390" t="str">
        <v>1600T Mechanical Forge Press</v>
      </c>
      <c r="C390" t="str">
        <v/>
      </c>
      <c r="D390" t="str">
        <f>IF($C390="","",IFERROR(IF($E390="machine",INDEX('JLR Machines'!$B:$B,MATCH($C390,'JLR Machines'!$A:$A,0)),IF($E390="material",INDEX('JLR Materials'!$B:$B,MATCH($C390,'JLR Materials'!$A:$A,0)),IF($E390="labour",IFERROR(INDEX('JLR Labour'!$B:$B,MATCH($C390,'JLR Labour'!$A:$A,0)),"labour category "&amp;$C390&amp;" — from the machine tab"),""))),"NOT FOUND — check the code"))</f>
        <v/>
      </c>
      <c r="E390" t="str">
        <v>machine</v>
      </c>
    </row>
    <row r="391">
      <c r="A391" t="str">
        <v>forge-press-2500t</v>
      </c>
      <c r="B391" t="str">
        <v>2500T Mechanical Forge Press</v>
      </c>
      <c r="C391" t="str">
        <v/>
      </c>
      <c r="D391" t="str">
        <f>IF($C391="","",IFERROR(IF($E391="machine",INDEX('JLR Machines'!$B:$B,MATCH($C391,'JLR Machines'!$A:$A,0)),IF($E391="material",INDEX('JLR Materials'!$B:$B,MATCH($C391,'JLR Materials'!$A:$A,0)),IF($E391="labour",IFERROR(INDEX('JLR Labour'!$B:$B,MATCH($C391,'JLR Labour'!$A:$A,0)),"labour category "&amp;$C391&amp;" — from the machine tab"),""))),"NOT FOUND — check the code"))</f>
        <v/>
      </c>
      <c r="E391" t="str">
        <v>machine</v>
      </c>
    </row>
    <row r="392">
      <c r="A392" t="str">
        <v>forge-press-4000t</v>
      </c>
      <c r="B392" t="str">
        <v>4000T Hydraulic Forge Press</v>
      </c>
      <c r="C392" t="str">
        <v/>
      </c>
      <c r="D392" t="str">
        <f>IF($C392="","",IFERROR(IF($E392="machine",INDEX('JLR Machines'!$B:$B,MATCH($C392,'JLR Machines'!$A:$A,0)),IF($E392="material",INDEX('JLR Materials'!$B:$B,MATCH($C392,'JLR Materials'!$A:$A,0)),IF($E392="labour",IFERROR(INDEX('JLR Labour'!$B:$B,MATCH($C392,'JLR Labour'!$A:$A,0)),"labour category "&amp;$C392&amp;" — from the machine tab"),""))),"NOT FOUND — check the code"))</f>
        <v/>
      </c>
      <c r="E392" t="str">
        <v>machine</v>
      </c>
    </row>
    <row r="393">
      <c r="A393" t="str">
        <v>forge-press-8000t</v>
      </c>
      <c r="B393" t="str">
        <v>8000T Hydraulic Forge Press</v>
      </c>
      <c r="C393" t="str">
        <v/>
      </c>
      <c r="D393" t="str">
        <f>IF($C393="","",IFERROR(IF($E393="machine",INDEX('JLR Machines'!$B:$B,MATCH($C393,'JLR Machines'!$A:$A,0)),IF($E393="material",INDEX('JLR Materials'!$B:$B,MATCH($C393,'JLR Materials'!$A:$A,0)),IF($E393="labour",IFERROR(INDEX('JLR Labour'!$B:$B,MATCH($C393,'JLR Labour'!$A:$A,0)),"labour category "&amp;$C393&amp;" — from the machine tab"),""))),"NOT FOUND — check the code"))</f>
        <v/>
      </c>
      <c r="E393" t="str">
        <v>machine</v>
      </c>
    </row>
    <row r="394">
      <c r="A394" t="str">
        <v>forge-screw-1000t</v>
      </c>
      <c r="B394" t="str">
        <v>1000T Screw Press</v>
      </c>
      <c r="C394" t="str">
        <v/>
      </c>
      <c r="D394" t="str">
        <f>IF($C394="","",IFERROR(IF($E394="machine",INDEX('JLR Machines'!$B:$B,MATCH($C394,'JLR Machines'!$A:$A,0)),IF($E394="material",INDEX('JLR Materials'!$B:$B,MATCH($C394,'JLR Materials'!$A:$A,0)),IF($E394="labour",IFERROR(INDEX('JLR Labour'!$B:$B,MATCH($C394,'JLR Labour'!$A:$A,0)),"labour category "&amp;$C394&amp;" — from the machine tab"),""))),"NOT FOUND — check the code"))</f>
        <v/>
      </c>
      <c r="E394" t="str">
        <v>machine</v>
      </c>
    </row>
    <row r="395">
      <c r="A395" t="str">
        <v>forge-upsetter-1000t</v>
      </c>
      <c r="B395" t="str">
        <v>1000T Horizontal Upsetter</v>
      </c>
      <c r="C395" t="str">
        <v/>
      </c>
      <c r="D395" t="str">
        <f>IF($C395="","",IFERROR(IF($E395="machine",INDEX('JLR Machines'!$B:$B,MATCH($C395,'JLR Machines'!$A:$A,0)),IF($E395="material",INDEX('JLR Materials'!$B:$B,MATCH($C395,'JLR Materials'!$A:$A,0)),IF($E395="labour",IFERROR(INDEX('JLR Labour'!$B:$B,MATCH($C395,'JLR Labour'!$A:$A,0)),"labour category "&amp;$C395&amp;" — from the machine tab"),""))),"NOT FOUND — check the code"))</f>
        <v/>
      </c>
      <c r="E395" t="str">
        <v>machine</v>
      </c>
    </row>
    <row r="396">
      <c r="A396" t="str">
        <v>forge-hammer-2t</v>
      </c>
      <c r="B396" t="str">
        <v>2T Pneumatic Forge Hammer</v>
      </c>
      <c r="C396" t="str">
        <v/>
      </c>
      <c r="D396" t="str">
        <f>IF($C396="","",IFERROR(IF($E396="machine",INDEX('JLR Machines'!$B:$B,MATCH($C396,'JLR Machines'!$A:$A,0)),IF($E396="material",INDEX('JLR Materials'!$B:$B,MATCH($C396,'JLR Materials'!$A:$A,0)),IF($E396="labour",IFERROR(INDEX('JLR Labour'!$B:$B,MATCH($C396,'JLR Labour'!$A:$A,0)),"labour category "&amp;$C396&amp;" — from the machine tab"),""))),"NOT FOUND — check the code"))</f>
        <v/>
      </c>
      <c r="E396" t="str">
        <v>machine</v>
      </c>
    </row>
    <row r="397">
      <c r="A397" t="str">
        <v>forge-hammer-5t</v>
      </c>
      <c r="B397" t="str">
        <v>5T Pneumatic Forge Hammer</v>
      </c>
      <c r="C397" t="str">
        <v/>
      </c>
      <c r="D397" t="str">
        <f>IF($C397="","",IFERROR(IF($E397="machine",INDEX('JLR Machines'!$B:$B,MATCH($C397,'JLR Machines'!$A:$A,0)),IF($E397="material",INDEX('JLR Materials'!$B:$B,MATCH($C397,'JLR Materials'!$A:$A,0)),IF($E397="labour",IFERROR(INDEX('JLR Labour'!$B:$B,MATCH($C397,'JLR Labour'!$A:$A,0)),"labour category "&amp;$C397&amp;" — from the machine tab"),""))),"NOT FOUND — check the code"))</f>
        <v/>
      </c>
      <c r="E397" t="str">
        <v>machine</v>
      </c>
    </row>
    <row r="398">
      <c r="A398" t="str">
        <v>forge-hammer-10t</v>
      </c>
      <c r="B398" t="str">
        <v>10T Counterblow Forge Hammer</v>
      </c>
      <c r="C398" t="str">
        <v/>
      </c>
      <c r="D398" t="str">
        <f>IF($C398="","",IFERROR(IF($E398="machine",INDEX('JLR Machines'!$B:$B,MATCH($C398,'JLR Machines'!$A:$A,0)),IF($E398="material",INDEX('JLR Materials'!$B:$B,MATCH($C398,'JLR Materials'!$A:$A,0)),IF($E398="labour",IFERROR(INDEX('JLR Labour'!$B:$B,MATCH($C398,'JLR Labour'!$A:$A,0)),"labour category "&amp;$C398&amp;" — from the machine tab"),""))),"NOT FOUND — check the code"))</f>
        <v/>
      </c>
      <c r="E398" t="str">
        <v>machine</v>
      </c>
    </row>
    <row r="399">
      <c r="A399" t="str">
        <v>forge-ring-mill</v>
      </c>
      <c r="B399" t="str">
        <v>CNC Seamless Ring Rolling Mill</v>
      </c>
      <c r="C399" t="str">
        <v/>
      </c>
      <c r="D399" t="str">
        <f>IF($C399="","",IFERROR(IF($E399="machine",INDEX('JLR Machines'!$B:$B,MATCH($C399,'JLR Machines'!$A:$A,0)),IF($E399="material",INDEX('JLR Materials'!$B:$B,MATCH($C399,'JLR Materials'!$A:$A,0)),IF($E399="labour",IFERROR(INDEX('JLR Labour'!$B:$B,MATCH($C399,'JLR Labour'!$A:$A,0)),"labour category "&amp;$C399&amp;" — from the machine tab"),""))),"NOT FOUND — check the code"))</f>
        <v/>
      </c>
      <c r="E399" t="str">
        <v>machine</v>
      </c>
    </row>
    <row r="400">
      <c r="A400" t="str">
        <v>paint-line-std</v>
      </c>
      <c r="B400" t="str">
        <v>Standard Paint Line (E-coat + Topcoat)</v>
      </c>
      <c r="C400" t="str">
        <v/>
      </c>
      <c r="D400" t="str">
        <f>IF($C400="","",IFERROR(IF($E400="machine",INDEX('JLR Machines'!$B:$B,MATCH($C400,'JLR Machines'!$A:$A,0)),IF($E400="material",INDEX('JLR Materials'!$B:$B,MATCH($C400,'JLR Materials'!$A:$A,0)),IF($E400="labour",IFERROR(INDEX('JLR Labour'!$B:$B,MATCH($C400,'JLR Labour'!$A:$A,0)),"labour category "&amp;$C400&amp;" — from the machine tab"),""))),"NOT FOUND — check the code"))</f>
        <v/>
      </c>
      <c r="E400" t="str">
        <v>machine</v>
      </c>
    </row>
    <row r="401">
      <c r="A401" t="str">
        <v>plating-line-barrel</v>
      </c>
      <c r="B401" t="str">
        <v>Barrel Plating Line (zinc, high volume)</v>
      </c>
      <c r="C401" t="str">
        <v/>
      </c>
      <c r="D401" t="str">
        <f>IF($C401="","",IFERROR(IF($E401="machine",INDEX('JLR Machines'!$B:$B,MATCH($C401,'JLR Machines'!$A:$A,0)),IF($E401="material",INDEX('JLR Materials'!$B:$B,MATCH($C401,'JLR Materials'!$A:$A,0)),IF($E401="labour",IFERROR(INDEX('JLR Labour'!$B:$B,MATCH($C401,'JLR Labour'!$A:$A,0)),"labour category "&amp;$C401&amp;" — from the machine tab"),""))),"NOT FOUND — check the code"))</f>
        <v/>
      </c>
      <c r="E401" t="str">
        <v>machine</v>
      </c>
    </row>
    <row r="402">
      <c r="A402" t="str">
        <v>plating-line-rack</v>
      </c>
      <c r="B402" t="str">
        <v>Rack Plating / Anodising Line</v>
      </c>
      <c r="C402" t="str">
        <v/>
      </c>
      <c r="D402" t="str">
        <f>IF($C402="","",IFERROR(IF($E402="machine",INDEX('JLR Machines'!$B:$B,MATCH($C402,'JLR Machines'!$A:$A,0)),IF($E402="material",INDEX('JLR Materials'!$B:$B,MATCH($C402,'JLR Materials'!$A:$A,0)),IF($E402="labour",IFERROR(INDEX('JLR Labour'!$B:$B,MATCH($C402,'JLR Labour'!$A:$A,0)),"labour category "&amp;$C402&amp;" — from the machine tab"),""))),"NOT FOUND — check the code"))</f>
        <v/>
      </c>
      <c r="E402" t="str">
        <v>machine</v>
      </c>
    </row>
    <row r="403">
      <c r="A403" t="str">
        <v>blast-machine</v>
      </c>
      <c r="B403" t="str">
        <v>Shot Blast Machine (tumble / hanger)</v>
      </c>
      <c r="C403" t="str">
        <v/>
      </c>
      <c r="D403" t="str">
        <f>IF($C403="","",IFERROR(IF($E403="machine",INDEX('JLR Machines'!$B:$B,MATCH($C403,'JLR Machines'!$A:$A,0)),IF($E403="material",INDEX('JLR Materials'!$B:$B,MATCH($C403,'JLR Materials'!$A:$A,0)),IF($E403="labour",IFERROR(INDEX('JLR Labour'!$B:$B,MATCH($C403,'JLR Labour'!$A:$A,0)),"labour category "&amp;$C403&amp;" — from the machine tab"),""))),"NOT FOUND — check the code"))</f>
        <v/>
      </c>
      <c r="E403" t="str">
        <v>machine</v>
      </c>
    </row>
    <row r="404">
      <c r="A404" t="str">
        <v>mass-finish-bowl</v>
      </c>
      <c r="B404" t="str">
        <v>Vibratory / Mass Finishing Bowl</v>
      </c>
      <c r="C404" t="str">
        <v/>
      </c>
      <c r="D404" t="str">
        <f>IF($C404="","",IFERROR(IF($E404="machine",INDEX('JLR Machines'!$B:$B,MATCH($C404,'JLR Machines'!$A:$A,0)),IF($E404="material",INDEX('JLR Materials'!$B:$B,MATCH($C404,'JLR Materials'!$A:$A,0)),IF($E404="labour",IFERROR(INDEX('JLR Labour'!$B:$B,MATCH($C404,'JLR Labour'!$A:$A,0)),"labour category "&amp;$C404&amp;" — from the machine tab"),""))),"NOT FOUND — check the code"))</f>
        <v/>
      </c>
      <c r="E404" t="str">
        <v>machine</v>
      </c>
    </row>
    <row r="405">
      <c r="A405" t="str">
        <v>galvanising-kettle</v>
      </c>
      <c r="B405" t="str">
        <v>Hot Dip Galvanising Kettle (batch, EN ISO 1461)</v>
      </c>
      <c r="C405" t="str">
        <v/>
      </c>
      <c r="D405" t="str">
        <f>IF($C405="","",IFERROR(IF($E405="machine",INDEX('JLR Machines'!$B:$B,MATCH($C405,'JLR Machines'!$A:$A,0)),IF($E405="material",INDEX('JLR Materials'!$B:$B,MATCH($C405,'JLR Materials'!$A:$A,0)),IF($E405="labour",IFERROR(INDEX('JLR Labour'!$B:$B,MATCH($C405,'JLR Labour'!$A:$A,0)),"labour category "&amp;$C405&amp;" — from the machine tab"),""))),"NOT FOUND — check the code"))</f>
        <v/>
      </c>
      <c r="E405" t="str">
        <v>machine</v>
      </c>
    </row>
    <row r="406">
      <c r="A406" t="str">
        <v>impregnation-plant</v>
      </c>
      <c r="B406" t="str">
        <v>Vacuum Resin Impregnation Plant (casting porosity)</v>
      </c>
      <c r="C406" t="str">
        <v/>
      </c>
      <c r="D406" t="str">
        <f>IF($C406="","",IFERROR(IF($E406="machine",INDEX('JLR Machines'!$B:$B,MATCH($C406,'JLR Machines'!$A:$A,0)),IF($E406="material",INDEX('JLR Materials'!$B:$B,MATCH($C406,'JLR Materials'!$A:$A,0)),IF($E406="labour",IFERROR(INDEX('JLR Labour'!$B:$B,MATCH($C406,'JLR Labour'!$A:$A,0)),"labour category "&amp;$C406&amp;" — from the machine tab"),""))),"NOT FOUND — check the code"))</f>
        <v/>
      </c>
      <c r="E406" t="str">
        <v>machine</v>
      </c>
    </row>
    <row r="407">
      <c r="A407" t="str">
        <v>robot-weld-station</v>
      </c>
      <c r="B407" t="str">
        <v>Robot Welding Station</v>
      </c>
      <c r="C407" t="str">
        <v/>
      </c>
      <c r="D407" t="str">
        <f>IF($C407="","",IFERROR(IF($E407="machine",INDEX('JLR Machines'!$B:$B,MATCH($C407,'JLR Machines'!$A:$A,0)),IF($E407="material",INDEX('JLR Materials'!$B:$B,MATCH($C407,'JLR Materials'!$A:$A,0)),IF($E407="labour",IFERROR(INDEX('JLR Labour'!$B:$B,MATCH($C407,'JLR Labour'!$A:$A,0)),"labour category "&amp;$C407&amp;" — from the machine tab"),""))),"NOT FOUND — check the code"))</f>
        <v/>
      </c>
      <c r="E407" t="str">
        <v>machine</v>
      </c>
    </row>
    <row r="408">
      <c r="A408" t="str">
        <v>smt-line</v>
      </c>
      <c r="B408" t="str">
        <v>SMT Pick &amp; Place + Reflow Line</v>
      </c>
      <c r="C408" t="str">
        <v/>
      </c>
      <c r="D408" t="str">
        <f>IF($C408="","",IFERROR(IF($E408="machine",INDEX('JLR Machines'!$B:$B,MATCH($C408,'JLR Machines'!$A:$A,0)),IF($E408="material",INDEX('JLR Materials'!$B:$B,MATCH($C408,'JLR Materials'!$A:$A,0)),IF($E408="labour",IFERROR(INDEX('JLR Labour'!$B:$B,MATCH($C408,'JLR Labour'!$A:$A,0)),"labour category "&amp;$C408&amp;" — from the machine tab"),""))),"NOT FOUND — check the code"))</f>
        <v/>
      </c>
      <c r="E408" t="str">
        <v>machine</v>
      </c>
    </row>
    <row r="409">
      <c r="A409" t="str">
        <v>smt-high-speed-line</v>
      </c>
      <c r="B409" t="str">
        <v>High-Speed SMT Line (Fuji/Juki/ASM)</v>
      </c>
      <c r="C409" t="str">
        <v/>
      </c>
      <c r="D409" t="str">
        <f>IF($C409="","",IFERROR(IF($E409="machine",INDEX('JLR Machines'!$B:$B,MATCH($C409,'JLR Machines'!$A:$A,0)),IF($E409="material",INDEX('JLR Materials'!$B:$B,MATCH($C409,'JLR Materials'!$A:$A,0)),IF($E409="labour",IFERROR(INDEX('JLR Labour'!$B:$B,MATCH($C409,'JLR Labour'!$A:$A,0)),"labour category "&amp;$C409&amp;" — from the machine tab"),""))),"NOT FOUND — check the code"))</f>
        <v/>
      </c>
      <c r="E409" t="str">
        <v>machine</v>
      </c>
    </row>
    <row r="410">
      <c r="A410" t="str">
        <v>laser-drill-75um</v>
      </c>
      <c r="B410" t="str">
        <v>Laser Drill — 75 µm Microvia (CO₂/UV)</v>
      </c>
      <c r="C410" t="str">
        <v/>
      </c>
      <c r="D410" t="str">
        <f>IF($C410="","",IFERROR(IF($E410="machine",INDEX('JLR Machines'!$B:$B,MATCH($C410,'JLR Machines'!$A:$A,0)),IF($E410="material",INDEX('JLR Materials'!$B:$B,MATCH($C410,'JLR Materials'!$A:$A,0)),IF($E410="labour",IFERROR(INDEX('JLR Labour'!$B:$B,MATCH($C410,'JLR Labour'!$A:$A,0)),"labour category "&amp;$C410&amp;" — from the machine tab"),""))),"NOT FOUND — check the code"))</f>
        <v/>
      </c>
      <c r="E410" t="str">
        <v>machine</v>
      </c>
    </row>
    <row r="411">
      <c r="A411" t="str">
        <v>xray-bga-inspection</v>
      </c>
      <c r="B411" t="str">
        <v>X-Ray BGA Inspection Cell (2D/3D AXI)</v>
      </c>
      <c r="C411" t="str">
        <v/>
      </c>
      <c r="D411" t="str">
        <f>IF($C411="","",IFERROR(IF($E411="machine",INDEX('JLR Machines'!$B:$B,MATCH($C411,'JLR Machines'!$A:$A,0)),IF($E411="material",INDEX('JLR Materials'!$B:$B,MATCH($C411,'JLR Materials'!$A:$A,0)),IF($E411="labour",IFERROR(INDEX('JLR Labour'!$B:$B,MATCH($C411,'JLR Labour'!$A:$A,0)),"labour category "&amp;$C411&amp;" — from the machine tab"),""))),"NOT FOUND — check the code"))</f>
        <v/>
      </c>
      <c r="E411" t="str">
        <v>machine</v>
      </c>
    </row>
    <row r="412">
      <c r="A412" t="str">
        <v>ict-automotive</v>
      </c>
      <c r="B412" t="str">
        <v>ICT Bed-of-Nails Test System (Automotive)</v>
      </c>
      <c r="C412" t="str">
        <v/>
      </c>
      <c r="D412" t="str">
        <f>IF($C412="","",IFERROR(IF($E412="machine",INDEX('JLR Machines'!$B:$B,MATCH($C412,'JLR Machines'!$A:$A,0)),IF($E412="material",INDEX('JLR Materials'!$B:$B,MATCH($C412,'JLR Materials'!$A:$A,0)),IF($E412="labour",IFERROR(INDEX('JLR Labour'!$B:$B,MATCH($C412,'JLR Labour'!$A:$A,0)),"labour category "&amp;$C412&amp;" — from the machine tab"),""))),"NOT FOUND — check the code"))</f>
        <v/>
      </c>
      <c r="E412" t="str">
        <v>machine</v>
      </c>
    </row>
    <row r="413">
      <c r="A413" t="str">
        <v>blow-ebm-100l</v>
      </c>
      <c r="B413" t="str">
        <v>EBM Blow Moulder (up to 5L)</v>
      </c>
      <c r="C413" t="str">
        <v/>
      </c>
      <c r="D413" t="str">
        <f>IF($C413="","",IFERROR(IF($E413="machine",INDEX('JLR Machines'!$B:$B,MATCH($C413,'JLR Machines'!$A:$A,0)),IF($E413="material",INDEX('JLR Materials'!$B:$B,MATCH($C413,'JLR Materials'!$A:$A,0)),IF($E413="labour",IFERROR(INDEX('JLR Labour'!$B:$B,MATCH($C413,'JLR Labour'!$A:$A,0)),"labour category "&amp;$C413&amp;" — from the machine tab"),""))),"NOT FOUND — check the code"))</f>
        <v/>
      </c>
      <c r="E413" t="str">
        <v>machine</v>
      </c>
    </row>
    <row r="414">
      <c r="A414" t="str">
        <v>blow-ebm-500l</v>
      </c>
      <c r="B414" t="str">
        <v>EBM Blow Moulder (5–100L tanks/drums)</v>
      </c>
      <c r="C414" t="str">
        <v/>
      </c>
      <c r="D414" t="str">
        <f>IF($C414="","",IFERROR(IF($E414="machine",INDEX('JLR Machines'!$B:$B,MATCH($C414,'JLR Machines'!$A:$A,0)),IF($E414="material",INDEX('JLR Materials'!$B:$B,MATCH($C414,'JLR Materials'!$A:$A,0)),IF($E414="labour",IFERROR(INDEX('JLR Labour'!$B:$B,MATCH($C414,'JLR Labour'!$A:$A,0)),"labour category "&amp;$C414&amp;" — from the machine tab"),""))),"NOT FOUND — check the code"))</f>
        <v/>
      </c>
      <c r="E414" t="str">
        <v>machine</v>
      </c>
    </row>
    <row r="415">
      <c r="A415" t="str">
        <v>blow-ebm-2head</v>
      </c>
      <c r="B415" t="str">
        <v>EBM 2-Head (Bottles 1–5L)</v>
      </c>
      <c r="C415" t="str">
        <v/>
      </c>
      <c r="D415" t="str">
        <f>IF($C415="","",IFERROR(IF($E415="machine",INDEX('JLR Machines'!$B:$B,MATCH($C415,'JLR Machines'!$A:$A,0)),IF($E415="material",INDEX('JLR Materials'!$B:$B,MATCH($C415,'JLR Materials'!$A:$A,0)),IF($E415="labour",IFERROR(INDEX('JLR Labour'!$B:$B,MATCH($C415,'JLR Labour'!$A:$A,0)),"labour category "&amp;$C415&amp;" — from the machine tab"),""))),"NOT FOUND — check the code"))</f>
        <v/>
      </c>
      <c r="E415" t="str">
        <v>machine</v>
      </c>
    </row>
    <row r="416">
      <c r="A416" t="str">
        <v>blow-ebm-coex3</v>
      </c>
      <c r="B416" t="str">
        <v>3-Layer Co-Ex EBM</v>
      </c>
      <c r="C416" t="str">
        <v/>
      </c>
      <c r="D416" t="str">
        <f>IF($C416="","",IFERROR(IF($E416="machine",INDEX('JLR Machines'!$B:$B,MATCH($C416,'JLR Machines'!$A:$A,0)),IF($E416="material",INDEX('JLR Materials'!$B:$B,MATCH($C416,'JLR Materials'!$A:$A,0)),IF($E416="labour",IFERROR(INDEX('JLR Labour'!$B:$B,MATCH($C416,'JLR Labour'!$A:$A,0)),"labour category "&amp;$C416&amp;" — from the machine tab"),""))),"NOT FOUND — check the code"))</f>
        <v/>
      </c>
      <c r="E416" t="str">
        <v>machine</v>
      </c>
    </row>
    <row r="417">
      <c r="A417" t="str">
        <v>blow-ebm-coex5</v>
      </c>
      <c r="B417" t="str">
        <v>5-Layer Co-Ex EBM (High-Barrier)</v>
      </c>
      <c r="C417" t="str">
        <v/>
      </c>
      <c r="D417" t="str">
        <f>IF($C417="","",IFERROR(IF($E417="machine",INDEX('JLR Machines'!$B:$B,MATCH($C417,'JLR Machines'!$A:$A,0)),IF($E417="material",INDEX('JLR Materials'!$B:$B,MATCH($C417,'JLR Materials'!$A:$A,0)),IF($E417="labour",IFERROR(INDEX('JLR Labour'!$B:$B,MATCH($C417,'JLR Labour'!$A:$A,0)),"labour category "&amp;$C417&amp;" — from the machine tab"),""))),"NOT FOUND — check the code"))</f>
        <v/>
      </c>
      <c r="E417" t="str">
        <v>machine</v>
      </c>
    </row>
    <row r="418">
      <c r="A418" t="str">
        <v>blow-ebm-large</v>
      </c>
      <c r="B418" t="str">
        <v>Large EBM Accumulator Head (20–200L)</v>
      </c>
      <c r="C418" t="str">
        <v/>
      </c>
      <c r="D418" t="str">
        <f>IF($C418="","",IFERROR(IF($E418="machine",INDEX('JLR Machines'!$B:$B,MATCH($C418,'JLR Machines'!$A:$A,0)),IF($E418="material",INDEX('JLR Materials'!$B:$B,MATCH($C418,'JLR Materials'!$A:$A,0)),IF($E418="labour",IFERROR(INDEX('JLR Labour'!$B:$B,MATCH($C418,'JLR Labour'!$A:$A,0)),"labour category "&amp;$C418&amp;" — from the machine tab"),""))),"NOT FOUND — check the code"))</f>
        <v/>
      </c>
      <c r="E418" t="str">
        <v>machine</v>
      </c>
    </row>
    <row r="419">
      <c r="A419" t="str">
        <v>blow-ibm-rotary</v>
      </c>
      <c r="B419" t="str">
        <v>IBM Rotary Machine (Pharma/Cosmetics)</v>
      </c>
      <c r="C419" t="str">
        <v/>
      </c>
      <c r="D419" t="str">
        <f>IF($C419="","",IFERROR(IF($E419="machine",INDEX('JLR Machines'!$B:$B,MATCH($C419,'JLR Machines'!$A:$A,0)),IF($E419="material",INDEX('JLR Materials'!$B:$B,MATCH($C419,'JLR Materials'!$A:$A,0)),IF($E419="labour",IFERROR(INDEX('JLR Labour'!$B:$B,MATCH($C419,'JLR Labour'!$A:$A,0)),"labour category "&amp;$C419&amp;" — from the machine tab"),""))),"NOT FOUND — check the code"))</f>
        <v/>
      </c>
      <c r="E419" t="str">
        <v>machine</v>
      </c>
    </row>
    <row r="420">
      <c r="A420" t="str">
        <v>blow-ibm-linear</v>
      </c>
      <c r="B420" t="str">
        <v>IBM Linear Machine (Medium Volume)</v>
      </c>
      <c r="C420" t="str">
        <v/>
      </c>
      <c r="D420" t="str">
        <f>IF($C420="","",IFERROR(IF($E420="machine",INDEX('JLR Machines'!$B:$B,MATCH($C420,'JLR Machines'!$A:$A,0)),IF($E420="material",INDEX('JLR Materials'!$B:$B,MATCH($C420,'JLR Materials'!$A:$A,0)),IF($E420="labour",IFERROR(INDEX('JLR Labour'!$B:$B,MATCH($C420,'JLR Labour'!$A:$A,0)),"labour category "&amp;$C420&amp;" — from the machine tab"),""))),"NOT FOUND — check the code"))</f>
        <v/>
      </c>
      <c r="E420" t="str">
        <v>machine</v>
      </c>
    </row>
    <row r="421">
      <c r="A421" t="str">
        <v>blow-sbm-1stage</v>
      </c>
      <c r="B421" t="str">
        <v>SBM Single-Stage (Preform + Blow)</v>
      </c>
      <c r="C421" t="str">
        <v/>
      </c>
      <c r="D421" t="str">
        <f>IF($C421="","",IFERROR(IF($E421="machine",INDEX('JLR Machines'!$B:$B,MATCH($C421,'JLR Machines'!$A:$A,0)),IF($E421="material",INDEX('JLR Materials'!$B:$B,MATCH($C421,'JLR Materials'!$A:$A,0)),IF($E421="labour",IFERROR(INDEX('JLR Labour'!$B:$B,MATCH($C421,'JLR Labour'!$A:$A,0)),"labour category "&amp;$C421&amp;" — from the machine tab"),""))),"NOT FOUND — check the code"))</f>
        <v/>
      </c>
      <c r="E421" t="str">
        <v>machine</v>
      </c>
    </row>
    <row r="422">
      <c r="A422" t="str">
        <v>blow-sbm-2stage</v>
      </c>
      <c r="B422" t="str">
        <v>SBM Two-Stage Reheat (High-Speed PET)</v>
      </c>
      <c r="C422" t="str">
        <v/>
      </c>
      <c r="D422" t="str">
        <f>IF($C422="","",IFERROR(IF($E422="machine",INDEX('JLR Machines'!$B:$B,MATCH($C422,'JLR Machines'!$A:$A,0)),IF($E422="material",INDEX('JLR Materials'!$B:$B,MATCH($C422,'JLR Materials'!$A:$A,0)),IF($E422="labour",IFERROR(INDEX('JLR Labour'!$B:$B,MATCH($C422,'JLR Labour'!$A:$A,0)),"labour category "&amp;$C422&amp;" — from the machine tab"),""))),"NOT FOUND — check the code"))</f>
        <v/>
      </c>
      <c r="E422" t="str">
        <v>machine</v>
      </c>
    </row>
    <row r="423">
      <c r="A423" t="str">
        <v>blow-deflash-trimmer</v>
      </c>
      <c r="B423" t="str">
        <v>Deflash Trim Robot / Station</v>
      </c>
      <c r="C423" t="str">
        <v/>
      </c>
      <c r="D423" t="str">
        <f>IF($C423="","",IFERROR(IF($E423="machine",INDEX('JLR Machines'!$B:$B,MATCH($C423,'JLR Machines'!$A:$A,0)),IF($E423="material",INDEX('JLR Materials'!$B:$B,MATCH($C423,'JLR Materials'!$A:$A,0)),IF($E423="labour",IFERROR(INDEX('JLR Labour'!$B:$B,MATCH($C423,'JLR Labour'!$A:$A,0)),"labour category "&amp;$C423&amp;" — from the machine tab"),""))),"NOT FOUND — check the code"))</f>
        <v/>
      </c>
      <c r="E423" t="str">
        <v>machine</v>
      </c>
    </row>
    <row r="424">
      <c r="A424" t="str">
        <v>extruder-75mm</v>
      </c>
      <c r="B424" t="str">
        <v>Single Screw Extruder 75mm</v>
      </c>
      <c r="C424" t="str">
        <v/>
      </c>
      <c r="D424" t="str">
        <f>IF($C424="","",IFERROR(IF($E424="machine",INDEX('JLR Machines'!$B:$B,MATCH($C424,'JLR Machines'!$A:$A,0)),IF($E424="material",INDEX('JLR Materials'!$B:$B,MATCH($C424,'JLR Materials'!$A:$A,0)),IF($E424="labour",IFERROR(INDEX('JLR Labour'!$B:$B,MATCH($C424,'JLR Labour'!$A:$A,0)),"labour category "&amp;$C424&amp;" — from the machine tab"),""))),"NOT FOUND — check the code"))</f>
        <v/>
      </c>
      <c r="E424" t="str">
        <v>machine</v>
      </c>
    </row>
    <row r="425">
      <c r="A425" t="str">
        <v>extruder-150mm</v>
      </c>
      <c r="B425" t="str">
        <v>Twin Screw Compounding/Extrusion Line 150mm</v>
      </c>
      <c r="C425" t="str">
        <v/>
      </c>
      <c r="D425" t="str">
        <f>IF($C425="","",IFERROR(IF($E425="machine",INDEX('JLR Machines'!$B:$B,MATCH($C425,'JLR Machines'!$A:$A,0)),IF($E425="material",INDEX('JLR Materials'!$B:$B,MATCH($C425,'JLR Materials'!$A:$A,0)),IF($E425="labour",IFERROR(INDEX('JLR Labour'!$B:$B,MATCH($C425,'JLR Labour'!$A:$A,0)),"labour category "&amp;$C425&amp;" — from the machine tab"),""))),"NOT FOUND — check the code"))</f>
        <v/>
      </c>
      <c r="E425" t="str">
        <v>machine</v>
      </c>
    </row>
    <row r="426">
      <c r="A426" t="str">
        <v>extruder-pipe-line</v>
      </c>
      <c r="B426" t="str">
        <v>Pipe Extrusion Line 90mm (SSE + vacuum tank + haul-off + saw)</v>
      </c>
      <c r="C426" t="str">
        <v/>
      </c>
      <c r="D426" t="str">
        <f>IF($C426="","",IFERROR(IF($E426="machine",INDEX('JLR Machines'!$B:$B,MATCH($C426,'JLR Machines'!$A:$A,0)),IF($E426="material",INDEX('JLR Materials'!$B:$B,MATCH($C426,'JLR Materials'!$A:$A,0)),IF($E426="labour",IFERROR(INDEX('JLR Labour'!$B:$B,MATCH($C426,'JLR Labour'!$A:$A,0)),"labour category "&amp;$C426&amp;" — from the machine tab"),""))),"NOT FOUND — check the code"))</f>
        <v/>
      </c>
      <c r="E426" t="str">
        <v>machine</v>
      </c>
    </row>
    <row r="427">
      <c r="A427" t="str">
        <v>extruder-profile-line</v>
      </c>
      <c r="B427" t="str">
        <v>Profile Extrusion Line 75mm (SSE + calibration table + haul-off)</v>
      </c>
      <c r="C427" t="str">
        <v/>
      </c>
      <c r="D427" t="str">
        <f>IF($C427="","",IFERROR(IF($E427="machine",INDEX('JLR Machines'!$B:$B,MATCH($C427,'JLR Machines'!$A:$A,0)),IF($E427="material",INDEX('JLR Materials'!$B:$B,MATCH($C427,'JLR Materials'!$A:$A,0)),IF($E427="labour",IFERROR(INDEX('JLR Labour'!$B:$B,MATCH($C427,'JLR Labour'!$A:$A,0)),"labour category "&amp;$C427&amp;" — from the machine tab"),""))),"NOT FOUND — check the code"))</f>
        <v/>
      </c>
      <c r="E427" t="str">
        <v>machine</v>
      </c>
    </row>
    <row r="428">
      <c r="A428" t="str">
        <v>extruder-sheet-line</v>
      </c>
      <c r="B428" t="str">
        <v>Sheet Extrusion Line (die + 3-roll stack + winder)</v>
      </c>
      <c r="C428" t="str">
        <v/>
      </c>
      <c r="D428" t="str">
        <f>IF($C428="","",IFERROR(IF($E428="machine",INDEX('JLR Machines'!$B:$B,MATCH($C428,'JLR Machines'!$A:$A,0)),IF($E428="material",INDEX('JLR Materials'!$B:$B,MATCH($C428,'JLR Materials'!$A:$A,0)),IF($E428="labour",IFERROR(INDEX('JLR Labour'!$B:$B,MATCH($C428,'JLR Labour'!$A:$A,0)),"labour category "&amp;$C428&amp;" — from the machine tab"),""))),"NOT FOUND — check the code"))</f>
        <v/>
      </c>
      <c r="E428" t="str">
        <v>machine</v>
      </c>
    </row>
    <row r="429">
      <c r="A429" t="str">
        <v>extruder-cable-line</v>
      </c>
      <c r="B429" t="str">
        <v>Cable/Wire Line (crosshead + CV/cooling + capstan)</v>
      </c>
      <c r="C429" t="str">
        <v/>
      </c>
      <c r="D429" t="str">
        <f>IF($C429="","",IFERROR(IF($E429="machine",INDEX('JLR Machines'!$B:$B,MATCH($C429,'JLR Machines'!$A:$A,0)),IF($E429="material",INDEX('JLR Materials'!$B:$B,MATCH($C429,'JLR Materials'!$A:$A,0)),IF($E429="labour",IFERROR(INDEX('JLR Labour'!$B:$B,MATCH($C429,'JLR Labour'!$A:$A,0)),"labour category "&amp;$C429&amp;" — from the machine tab"),""))),"NOT FOUND — check the code"))</f>
        <v/>
      </c>
      <c r="E429" t="str">
        <v>machine</v>
      </c>
    </row>
    <row r="430">
      <c r="A430" t="str">
        <v>extruder-coex-3</v>
      </c>
      <c r="B430" t="str">
        <v>3-Layer Co-Extrusion Line (3 extruders + feed block/manifold die)</v>
      </c>
      <c r="C430" t="str">
        <v/>
      </c>
      <c r="D430" t="str">
        <f>IF($C430="","",IFERROR(IF($E430="machine",INDEX('JLR Machines'!$B:$B,MATCH($C430,'JLR Machines'!$A:$A,0)),IF($E430="material",INDEX('JLR Materials'!$B:$B,MATCH($C430,'JLR Materials'!$A:$A,0)),IF($E430="labour",IFERROR(INDEX('JLR Labour'!$B:$B,MATCH($C430,'JLR Labour'!$A:$A,0)),"labour category "&amp;$C430&amp;" — from the machine tab"),""))),"NOT FOUND — check the code"))</f>
        <v/>
      </c>
      <c r="E430" t="str">
        <v>machine</v>
      </c>
    </row>
    <row r="431">
      <c r="A431" t="str">
        <v>extruder-micro-tube</v>
      </c>
      <c r="B431" t="str">
        <v>Medical Micro-Tubing Line (precision + laser gauge + cleanroom-ready)</v>
      </c>
      <c r="C431" t="str">
        <v/>
      </c>
      <c r="D431" t="str">
        <f>IF($C431="","",IFERROR(IF($E431="machine",INDEX('JLR Machines'!$B:$B,MATCH($C431,'JLR Machines'!$A:$A,0)),IF($E431="material",INDEX('JLR Materials'!$B:$B,MATCH($C431,'JLR Materials'!$A:$A,0)),IF($E431="labour",IFERROR(INDEX('JLR Labour'!$B:$B,MATCH($C431,'JLR Labour'!$A:$A,0)),"labour category "&amp;$C431&amp;" — from the machine tab"),""))),"NOT FOUND — check the code"))</f>
        <v/>
      </c>
      <c r="E431" t="str">
        <v>machine</v>
      </c>
    </row>
    <row r="432">
      <c r="A432" t="str">
        <v>extrusion-finish-qa</v>
      </c>
      <c r="B432" t="str">
        <v>Cut-off, Coil &amp; Inspection Station</v>
      </c>
      <c r="C432" t="str">
        <v/>
      </c>
      <c r="D432" t="str">
        <f>IF($C432="","",IFERROR(IF($E432="machine",INDEX('JLR Machines'!$B:$B,MATCH($C432,'JLR Machines'!$A:$A,0)),IF($E432="material",INDEX('JLR Materials'!$B:$B,MATCH($C432,'JLR Materials'!$A:$A,0)),IF($E432="labour",IFERROR(INDEX('JLR Labour'!$B:$B,MATCH($C432,'JLR Labour'!$A:$A,0)),"labour category "&amp;$C432&amp;" — from the machine tab"),""))),"NOT FOUND — check the code"))</f>
        <v/>
      </c>
      <c r="E432" t="str">
        <v>machine</v>
      </c>
    </row>
    <row r="433">
      <c r="A433" t="str">
        <v>extrusion-leak-test</v>
      </c>
      <c r="B433" t="str">
        <v>Pipe/Tube Pressure &amp; Leak Test Rig</v>
      </c>
      <c r="C433" t="str">
        <v/>
      </c>
      <c r="D433" t="str">
        <f>IF($C433="","",IFERROR(IF($E433="machine",INDEX('JLR Machines'!$B:$B,MATCH($C433,'JLR Machines'!$A:$A,0)),IF($E433="material",INDEX('JLR Materials'!$B:$B,MATCH($C433,'JLR Materials'!$A:$A,0)),IF($E433="labour",IFERROR(INDEX('JLR Labour'!$B:$B,MATCH($C433,'JLR Labour'!$A:$A,0)),"labour category "&amp;$C433&amp;" — from the machine tab"),""))),"NOT FOUND — check the code"))</f>
        <v/>
      </c>
      <c r="E433" t="str">
        <v>machine</v>
      </c>
    </row>
    <row r="434">
      <c r="A434" t="str">
        <v>thermoform-small</v>
      </c>
      <c r="B434" t="str">
        <v>Thermoformer (Small/Single Station)</v>
      </c>
      <c r="C434" t="str">
        <v/>
      </c>
      <c r="D434" t="str">
        <f>IF($C434="","",IFERROR(IF($E434="machine",INDEX('JLR Machines'!$B:$B,MATCH($C434,'JLR Machines'!$A:$A,0)),IF($E434="material",INDEX('JLR Materials'!$B:$B,MATCH($C434,'JLR Materials'!$A:$A,0)),IF($E434="labour",IFERROR(INDEX('JLR Labour'!$B:$B,MATCH($C434,'JLR Labour'!$A:$A,0)),"labour category "&amp;$C434&amp;" — from the machine tab"),""))),"NOT FOUND — check the code"))</f>
        <v/>
      </c>
      <c r="E434" t="str">
        <v>machine</v>
      </c>
    </row>
    <row r="435">
      <c r="A435" t="str">
        <v>thermoform-large</v>
      </c>
      <c r="B435" t="str">
        <v>Thermoformer (Inline/Rotary, Large)</v>
      </c>
      <c r="C435" t="str">
        <v/>
      </c>
      <c r="D435" t="str">
        <f>IF($C435="","",IFERROR(IF($E435="machine",INDEX('JLR Machines'!$B:$B,MATCH($C435,'JLR Machines'!$A:$A,0)),IF($E435="material",INDEX('JLR Materials'!$B:$B,MATCH($C435,'JLR Materials'!$A:$A,0)),IF($E435="labour",IFERROR(INDEX('JLR Labour'!$B:$B,MATCH($C435,'JLR Labour'!$A:$A,0)),"labour category "&amp;$C435&amp;" — from the machine tab"),""))),"NOT FOUND — check the code"))</f>
        <v/>
      </c>
      <c r="E435" t="str">
        <v>machine</v>
      </c>
    </row>
    <row r="436">
      <c r="A436" t="str">
        <v>thermoform-pressure</v>
      </c>
      <c r="B436" t="str">
        <v>Pressure Former (3–6 bar, cut-sheet)</v>
      </c>
      <c r="C436" t="str">
        <v/>
      </c>
      <c r="D436" t="str">
        <f>IF($C436="","",IFERROR(IF($E436="machine",INDEX('JLR Machines'!$B:$B,MATCH($C436,'JLR Machines'!$A:$A,0)),IF($E436="material",INDEX('JLR Materials'!$B:$B,MATCH($C436,'JLR Materials'!$A:$A,0)),IF($E436="labour",IFERROR(INDEX('JLR Labour'!$B:$B,MATCH($C436,'JLR Labour'!$A:$A,0)),"labour category "&amp;$C436&amp;" — from the machine tab"),""))),"NOT FOUND — check the code"))</f>
        <v/>
      </c>
      <c r="E436" t="str">
        <v>machine</v>
      </c>
    </row>
    <row r="437">
      <c r="A437" t="str">
        <v>thermoform-twinsheet</v>
      </c>
      <c r="B437" t="str">
        <v>Twin-Sheet Thermoformer</v>
      </c>
      <c r="C437" t="str">
        <v/>
      </c>
      <c r="D437" t="str">
        <f>IF($C437="","",IFERROR(IF($E437="machine",INDEX('JLR Machines'!$B:$B,MATCH($C437,'JLR Machines'!$A:$A,0)),IF($E437="material",INDEX('JLR Materials'!$B:$B,MATCH($C437,'JLR Materials'!$A:$A,0)),IF($E437="labour",IFERROR(INDEX('JLR Labour'!$B:$B,MATCH($C437,'JLR Labour'!$A:$A,0)),"labour category "&amp;$C437&amp;" — from the machine tab"),""))),"NOT FOUND — check the code"))</f>
        <v/>
      </c>
      <c r="E437" t="str">
        <v>machine</v>
      </c>
    </row>
    <row r="438">
      <c r="A438" t="str">
        <v>thermoform-rollfed</v>
      </c>
      <c r="B438" t="str">
        <v>Roll-Fed Inline Thermoformer (packaging)</v>
      </c>
      <c r="C438" t="str">
        <v/>
      </c>
      <c r="D438" t="str">
        <f>IF($C438="","",IFERROR(IF($E438="machine",INDEX('JLR Machines'!$B:$B,MATCH($C438,'JLR Machines'!$A:$A,0)),IF($E438="material",INDEX('JLR Materials'!$B:$B,MATCH($C438,'JLR Materials'!$A:$A,0)),IF($E438="labour",IFERROR(INDEX('JLR Labour'!$B:$B,MATCH($C438,'JLR Labour'!$A:$A,0)),"labour category "&amp;$C438&amp;" — from the machine tab"),""))),"NOT FOUND — check the code"))</f>
        <v/>
      </c>
      <c r="E438" t="str">
        <v>machine</v>
      </c>
    </row>
    <row r="439">
      <c r="A439" t="str">
        <v>thermoform-oven</v>
      </c>
      <c r="B439" t="str">
        <v>Standalone Sheet Pre-Heat Oven</v>
      </c>
      <c r="C439" t="str">
        <v/>
      </c>
      <c r="D439" t="str">
        <f>IF($C439="","",IFERROR(IF($E439="machine",INDEX('JLR Machines'!$B:$B,MATCH($C439,'JLR Machines'!$A:$A,0)),IF($E439="material",INDEX('JLR Materials'!$B:$B,MATCH($C439,'JLR Materials'!$A:$A,0)),IF($E439="labour",IFERROR(INDEX('JLR Labour'!$B:$B,MATCH($C439,'JLR Labour'!$A:$A,0)),"labour category "&amp;$C439&amp;" — from the machine tab"),""))),"NOT FOUND — check the code"))</f>
        <v/>
      </c>
      <c r="E439" t="str">
        <v>machine</v>
      </c>
    </row>
    <row r="440">
      <c r="A440" t="str">
        <v>thermoform-trim-router</v>
      </c>
      <c r="B440" t="str">
        <v>CNC Trim Router / Trim Robot (5-axis)</v>
      </c>
      <c r="C440" t="str">
        <v/>
      </c>
      <c r="D440" t="str">
        <f>IF($C440="","",IFERROR(IF($E440="machine",INDEX('JLR Machines'!$B:$B,MATCH($C440,'JLR Machines'!$A:$A,0)),IF($E440="material",INDEX('JLR Materials'!$B:$B,MATCH($C440,'JLR Materials'!$A:$A,0)),IF($E440="labour",IFERROR(INDEX('JLR Labour'!$B:$B,MATCH($C440,'JLR Labour'!$A:$A,0)),"labour category "&amp;$C440&amp;" — from the machine tab"),""))),"NOT FOUND — check the code"))</f>
        <v/>
      </c>
      <c r="E440" t="str">
        <v>machine</v>
      </c>
    </row>
    <row r="441">
      <c r="A441" t="str">
        <v>rotomould-biaxial</v>
      </c>
      <c r="B441" t="str">
        <v>Biaxial Rotational Moulder (3-arm carousel)</v>
      </c>
      <c r="C441" t="str">
        <v/>
      </c>
      <c r="D441" t="str">
        <f>IF($C441="","",IFERROR(IF($E441="machine",INDEX('JLR Machines'!$B:$B,MATCH($C441,'JLR Machines'!$A:$A,0)),IF($E441="material",INDEX('JLR Materials'!$B:$B,MATCH($C441,'JLR Materials'!$A:$A,0)),IF($E441="labour",IFERROR(INDEX('JLR Labour'!$B:$B,MATCH($C441,'JLR Labour'!$A:$A,0)),"labour category "&amp;$C441&amp;" — from the machine tab"),""))),"NOT FOUND — check the code"))</f>
        <v/>
      </c>
      <c r="E441" t="str">
        <v>machine</v>
      </c>
    </row>
    <row r="442">
      <c r="A442" t="str">
        <v>rotomould-lab-1arm</v>
      </c>
      <c r="B442" t="str">
        <v>Single-Arm Rotational Moulder (small/lab)</v>
      </c>
      <c r="C442" t="str">
        <v/>
      </c>
      <c r="D442" t="str">
        <f>IF($C442="","",IFERROR(IF($E442="machine",INDEX('JLR Machines'!$B:$B,MATCH($C442,'JLR Machines'!$A:$A,0)),IF($E442="material",INDEX('JLR Materials'!$B:$B,MATCH($C442,'JLR Materials'!$A:$A,0)),IF($E442="labour",IFERROR(INDEX('JLR Labour'!$B:$B,MATCH($C442,'JLR Labour'!$A:$A,0)),"labour category "&amp;$C442&amp;" — from the machine tab"),""))),"NOT FOUND — check the code"))</f>
        <v/>
      </c>
      <c r="E442" t="str">
        <v>machine</v>
      </c>
    </row>
    <row r="443">
      <c r="A443" t="str">
        <v>rotomould-shuttle</v>
      </c>
      <c r="B443" t="str">
        <v>Shuttle Rotational Moulder (1–2 station)</v>
      </c>
      <c r="C443" t="str">
        <v/>
      </c>
      <c r="D443" t="str">
        <f>IF($C443="","",IFERROR(IF($E443="machine",INDEX('JLR Machines'!$B:$B,MATCH($C443,'JLR Machines'!$A:$A,0)),IF($E443="material",INDEX('JLR Materials'!$B:$B,MATCH($C443,'JLR Materials'!$A:$A,0)),IF($E443="labour",IFERROR(INDEX('JLR Labour'!$B:$B,MATCH($C443,'JLR Labour'!$A:$A,0)),"labour category "&amp;$C443&amp;" — from the machine tab"),""))),"NOT FOUND — check the code"))</f>
        <v/>
      </c>
      <c r="E443" t="str">
        <v>machine</v>
      </c>
    </row>
    <row r="444">
      <c r="A444" t="str">
        <v>rotomould-rocknroll</v>
      </c>
      <c r="B444" t="str">
        <v>Rock-and-Roll Rotational Moulder</v>
      </c>
      <c r="C444" t="str">
        <v/>
      </c>
      <c r="D444" t="str">
        <f>IF($C444="","",IFERROR(IF($E444="machine",INDEX('JLR Machines'!$B:$B,MATCH($C444,'JLR Machines'!$A:$A,0)),IF($E444="material",INDEX('JLR Materials'!$B:$B,MATCH($C444,'JLR Materials'!$A:$A,0)),IF($E444="labour",IFERROR(INDEX('JLR Labour'!$B:$B,MATCH($C444,'JLR Labour'!$A:$A,0)),"labour category "&amp;$C444&amp;" — from the machine tab"),""))),"NOT FOUND — check the code"))</f>
        <v/>
      </c>
      <c r="E444" t="str">
        <v>machine</v>
      </c>
    </row>
    <row r="445">
      <c r="A445" t="str">
        <v>rotomould-carousel-4arm</v>
      </c>
      <c r="B445" t="str">
        <v>4-Arm Fixed Carousel Rotational Moulder</v>
      </c>
      <c r="C445" t="str">
        <v/>
      </c>
      <c r="D445" t="str">
        <f>IF($C445="","",IFERROR(IF($E445="machine",INDEX('JLR Machines'!$B:$B,MATCH($C445,'JLR Machines'!$A:$A,0)),IF($E445="material",INDEX('JLR Materials'!$B:$B,MATCH($C445,'JLR Materials'!$A:$A,0)),IF($E445="labour",IFERROR(INDEX('JLR Labour'!$B:$B,MATCH($C445,'JLR Labour'!$A:$A,0)),"labour category "&amp;$C445&amp;" — from the machine tab"),""))),"NOT FOUND — check the code"))</f>
        <v/>
      </c>
      <c r="E445" t="str">
        <v>machine</v>
      </c>
    </row>
    <row r="446">
      <c r="A446" t="str">
        <v>ultrasonic-welder</v>
      </c>
      <c r="B446" t="str">
        <v>Ultrasonic Welder</v>
      </c>
      <c r="C446" t="str">
        <v/>
      </c>
      <c r="D446" t="str">
        <f>IF($C446="","",IFERROR(IF($E446="machine",INDEX('JLR Machines'!$B:$B,MATCH($C446,'JLR Machines'!$A:$A,0)),IF($E446="material",INDEX('JLR Materials'!$B:$B,MATCH($C446,'JLR Materials'!$A:$A,0)),IF($E446="labour",IFERROR(INDEX('JLR Labour'!$B:$B,MATCH($C446,'JLR Labour'!$A:$A,0)),"labour category "&amp;$C446&amp;" — from the machine tab"),""))),"NOT FOUND — check the code"))</f>
        <v/>
      </c>
      <c r="E446" t="str">
        <v>machine</v>
      </c>
    </row>
    <row r="447">
      <c r="A447" t="str">
        <v>hot-plate-welder</v>
      </c>
      <c r="B447" t="str">
        <v>Hot Plate Welder</v>
      </c>
      <c r="C447" t="str">
        <v/>
      </c>
      <c r="D447" t="str">
        <f>IF($C447="","",IFERROR(IF($E447="machine",INDEX('JLR Machines'!$B:$B,MATCH($C447,'JLR Machines'!$A:$A,0)),IF($E447="material",INDEX('JLR Materials'!$B:$B,MATCH($C447,'JLR Materials'!$A:$A,0)),IF($E447="labour",IFERROR(INDEX('JLR Labour'!$B:$B,MATCH($C447,'JLR Labour'!$A:$A,0)),"labour category "&amp;$C447&amp;" — from the machine tab"),""))),"NOT FOUND — check the code"))</f>
        <v/>
      </c>
      <c r="E447" t="str">
        <v>machine</v>
      </c>
    </row>
    <row r="448">
      <c r="A448" t="str">
        <v>vibration-welder</v>
      </c>
      <c r="B448" t="str">
        <v>Vibration Welder</v>
      </c>
      <c r="C448" t="str">
        <v/>
      </c>
      <c r="D448" t="str">
        <f>IF($C448="","",IFERROR(IF($E448="machine",INDEX('JLR Machines'!$B:$B,MATCH($C448,'JLR Machines'!$A:$A,0)),IF($E448="material",INDEX('JLR Materials'!$B:$B,MATCH($C448,'JLR Materials'!$A:$A,0)),IF($E448="labour",IFERROR(INDEX('JLR Labour'!$B:$B,MATCH($C448,'JLR Labour'!$A:$A,0)),"labour category "&amp;$C448&amp;" — from the machine tab"),""))),"NOT FOUND — check the code"))</f>
        <v/>
      </c>
      <c r="E448" t="str">
        <v>machine</v>
      </c>
    </row>
    <row r="449">
      <c r="A449" t="str">
        <v>laser-trumpf-3030</v>
      </c>
      <c r="B449" t="str">
        <v>Trumpf TruLaser 3030 (6kW Fiber)</v>
      </c>
      <c r="C449" t="str">
        <v/>
      </c>
      <c r="D449" t="str">
        <f>IF($C449="","",IFERROR(IF($E449="machine",INDEX('JLR Machines'!$B:$B,MATCH($C449,'JLR Machines'!$A:$A,0)),IF($E449="material",INDEX('JLR Materials'!$B:$B,MATCH($C449,'JLR Materials'!$A:$A,0)),IF($E449="labour",IFERROR(INDEX('JLR Labour'!$B:$B,MATCH($C449,'JLR Labour'!$A:$A,0)),"labour category "&amp;$C449&amp;" — from the machine tab"),""))),"NOT FOUND — check the code"))</f>
        <v/>
      </c>
      <c r="E449" t="str">
        <v>machine</v>
      </c>
    </row>
    <row r="450">
      <c r="A450" t="str">
        <v>laser-bystronic-3015</v>
      </c>
      <c r="B450" t="str">
        <v>Bystronic BySmart 3015 (4kW Fiber)</v>
      </c>
      <c r="C450" t="str">
        <v/>
      </c>
      <c r="D450" t="str">
        <f>IF($C450="","",IFERROR(IF($E450="machine",INDEX('JLR Machines'!$B:$B,MATCH($C450,'JLR Machines'!$A:$A,0)),IF($E450="material",INDEX('JLR Materials'!$B:$B,MATCH($C450,'JLR Materials'!$A:$A,0)),IF($E450="labour",IFERROR(INDEX('JLR Labour'!$B:$B,MATCH($C450,'JLR Labour'!$A:$A,0)),"labour category "&amp;$C450&amp;" — from the machine tab"),""))),"NOT FOUND — check the code"))</f>
        <v/>
      </c>
      <c r="E450" t="str">
        <v>machine</v>
      </c>
    </row>
    <row r="451">
      <c r="A451" t="str">
        <v>punch-amada-emz3610</v>
      </c>
      <c r="B451" t="str">
        <v>Amada EMZ 3610 Turret Punch (30T)</v>
      </c>
      <c r="C451" t="str">
        <v/>
      </c>
      <c r="D451" t="str">
        <f>IF($C451="","",IFERROR(IF($E451="machine",INDEX('JLR Machines'!$B:$B,MATCH($C451,'JLR Machines'!$A:$A,0)),IF($E451="material",INDEX('JLR Materials'!$B:$B,MATCH($C451,'JLR Materials'!$A:$A,0)),IF($E451="labour",IFERROR(INDEX('JLR Labour'!$B:$B,MATCH($C451,'JLR Labour'!$A:$A,0)),"labour category "&amp;$C451&amp;" — from the machine tab"),""))),"NOT FOUND — check the code"))</f>
        <v/>
      </c>
      <c r="E451" t="str">
        <v>machine</v>
      </c>
    </row>
    <row r="452">
      <c r="A452" t="str">
        <v>punch-trumpf-5000</v>
      </c>
      <c r="B452" t="str">
        <v>Trumpf TruPunch 5000 (30T)</v>
      </c>
      <c r="C452" t="str">
        <v/>
      </c>
      <c r="D452" t="str">
        <f>IF($C452="","",IFERROR(IF($E452="machine",INDEX('JLR Machines'!$B:$B,MATCH($C452,'JLR Machines'!$A:$A,0)),IF($E452="material",INDEX('JLR Materials'!$B:$B,MATCH($C452,'JLR Materials'!$A:$A,0)),IF($E452="labour",IFERROR(INDEX('JLR Labour'!$B:$B,MATCH($C452,'JLR Labour'!$A:$A,0)),"labour category "&amp;$C452&amp;" — from the machine tab"),""))),"NOT FOUND — check the code"))</f>
        <v/>
      </c>
      <c r="E452" t="str">
        <v>machine</v>
      </c>
    </row>
    <row r="453">
      <c r="A453" t="str">
        <v>brake-amada-hfe100</v>
      </c>
      <c r="B453" t="str">
        <v>Amada HFE 100T Press Brake (3m)</v>
      </c>
      <c r="C453" t="str">
        <v/>
      </c>
      <c r="D453" t="str">
        <f>IF($C453="","",IFERROR(IF($E453="machine",INDEX('JLR Machines'!$B:$B,MATCH($C453,'JLR Machines'!$A:$A,0)),IF($E453="material",INDEX('JLR Materials'!$B:$B,MATCH($C453,'JLR Materials'!$A:$A,0)),IF($E453="labour",IFERROR(INDEX('JLR Labour'!$B:$B,MATCH($C453,'JLR Labour'!$A:$A,0)),"labour category "&amp;$C453&amp;" — from the machine tab"),""))),"NOT FOUND — check the code"))</f>
        <v/>
      </c>
      <c r="E453" t="str">
        <v>machine</v>
      </c>
    </row>
    <row r="454">
      <c r="A454" t="str">
        <v>brake-trumpf-5230</v>
      </c>
      <c r="B454" t="str">
        <v>Trumpf TruBend 5230 (230T)</v>
      </c>
      <c r="C454" t="str">
        <v/>
      </c>
      <c r="D454" t="str">
        <f>IF($C454="","",IFERROR(IF($E454="machine",INDEX('JLR Machines'!$B:$B,MATCH($C454,'JLR Machines'!$A:$A,0)),IF($E454="material",INDEX('JLR Materials'!$B:$B,MATCH($C454,'JLR Materials'!$A:$A,0)),IF($E454="labour",IFERROR(INDEX('JLR Labour'!$B:$B,MATCH($C454,'JLR Labour'!$A:$A,0)),"labour category "&amp;$C454&amp;" — from the machine tab"),""))),"NOT FOUND — check the code"))</f>
        <v/>
      </c>
      <c r="E454" t="str">
        <v>machine</v>
      </c>
    </row>
    <row r="455">
      <c r="A455" t="str">
        <v>press-schuler-400t</v>
      </c>
      <c r="B455" t="str">
        <v>Schuler 400T Stamping Press</v>
      </c>
      <c r="C455" t="str">
        <v/>
      </c>
      <c r="D455" t="str">
        <f>IF($C455="","",IFERROR(IF($E455="machine",INDEX('JLR Machines'!$B:$B,MATCH($C455,'JLR Machines'!$A:$A,0)),IF($E455="material",INDEX('JLR Materials'!$B:$B,MATCH($C455,'JLR Materials'!$A:$A,0)),IF($E455="labour",IFERROR(INDEX('JLR Labour'!$B:$B,MATCH($C455,'JLR Labour'!$A:$A,0)),"labour category "&amp;$C455&amp;" — from the machine tab"),""))),"NOT FOUND — check the code"))</f>
        <v/>
      </c>
      <c r="E455" t="str">
        <v>machine</v>
      </c>
    </row>
    <row r="456">
      <c r="A456" t="str">
        <v>press-aida-200t</v>
      </c>
      <c r="B456" t="str">
        <v>AIDA 200T Stamping Press</v>
      </c>
      <c r="C456" t="str">
        <v/>
      </c>
      <c r="D456" t="str">
        <f>IF($C456="","",IFERROR(IF($E456="machine",INDEX('JLR Machines'!$B:$B,MATCH($C456,'JLR Machines'!$A:$A,0)),IF($E456="material",INDEX('JLR Materials'!$B:$B,MATCH($C456,'JLR Materials'!$A:$A,0)),IF($E456="labour",IFERROR(INDEX('JLR Labour'!$B:$B,MATCH($C456,'JLR Labour'!$A:$A,0)),"labour category "&amp;$C456&amp;" — from the machine tab"),""))),"NOT FOUND — check the code"))</f>
        <v/>
      </c>
      <c r="E456" t="str">
        <v>machine</v>
      </c>
    </row>
    <row r="457">
      <c r="A457" t="str">
        <v>rollform-dimeco-20st</v>
      </c>
      <c r="B457" t="str">
        <v>Dimeco Roll Forming Line (20 stations)</v>
      </c>
      <c r="C457" t="str">
        <v/>
      </c>
      <c r="D457" t="str">
        <f>IF($C457="","",IFERROR(IF($E457="machine",INDEX('JLR Machines'!$B:$B,MATCH($C457,'JLR Machines'!$A:$A,0)),IF($E457="material",INDEX('JLR Materials'!$B:$B,MATCH($C457,'JLR Materials'!$A:$A,0)),IF($E457="labour",IFERROR(INDEX('JLR Labour'!$B:$B,MATCH($C457,'JLR Labour'!$A:$A,0)),"labour category "&amp;$C457&amp;" — from the machine tab"),""))),"NOT FOUND — check the code"))</f>
        <v/>
      </c>
      <c r="E457" t="str">
        <v>machine</v>
      </c>
    </row>
    <row r="458">
      <c r="A458" t="str">
        <v>robot-spotweld-kuka</v>
      </c>
      <c r="B458" t="str">
        <v>KUKA Spot Welding Robot Cell</v>
      </c>
      <c r="C458" t="str">
        <v/>
      </c>
      <c r="D458" t="str">
        <f>IF($C458="","",IFERROR(IF($E458="machine",INDEX('JLR Machines'!$B:$B,MATCH($C458,'JLR Machines'!$A:$A,0)),IF($E458="material",INDEX('JLR Materials'!$B:$B,MATCH($C458,'JLR Materials'!$A:$A,0)),IF($E458="labour",IFERROR(INDEX('JLR Labour'!$B:$B,MATCH($C458,'JLR Labour'!$A:$A,0)),"labour category "&amp;$C458&amp;" — from the machine tab"),""))),"NOT FOUND — check the code"))</f>
        <v/>
      </c>
      <c r="E458" t="str">
        <v>machine</v>
      </c>
    </row>
    <row r="459">
      <c r="A459" t="str">
        <v>mig-welder-manual</v>
      </c>
      <c r="B459" t="str">
        <v>Manual MIG/MAG Welder Station</v>
      </c>
      <c r="C459" t="str">
        <v/>
      </c>
      <c r="D459" t="str">
        <f>IF($C459="","",IFERROR(IF($E459="machine",INDEX('JLR Machines'!$B:$B,MATCH($C459,'JLR Machines'!$A:$A,0)),IF($E459="material",INDEX('JLR Materials'!$B:$B,MATCH($C459,'JLR Materials'!$A:$A,0)),IF($E459="labour",IFERROR(INDEX('JLR Labour'!$B:$B,MATCH($C459,'JLR Labour'!$A:$A,0)),"labour category "&amp;$C459&amp;" — from the machine tab"),""))),"NOT FOUND — check the code"))</f>
        <v/>
      </c>
      <c r="E459" t="str">
        <v>machine</v>
      </c>
    </row>
    <row r="460">
      <c r="A460" t="str">
        <v>tig-welder-manual</v>
      </c>
      <c r="B460" t="str">
        <v>Manual TIG Welder Station</v>
      </c>
      <c r="C460" t="str">
        <v/>
      </c>
      <c r="D460" t="str">
        <f>IF($C460="","",IFERROR(IF($E460="machine",INDEX('JLR Machines'!$B:$B,MATCH($C460,'JLR Machines'!$A:$A,0)),IF($E460="material",INDEX('JLR Materials'!$B:$B,MATCH($C460,'JLR Materials'!$A:$A,0)),IF($E460="labour",IFERROR(INDEX('JLR Labour'!$B:$B,MATCH($C460,'JLR Labour'!$A:$A,0)),"labour category "&amp;$C460&amp;" — from the machine tab"),""))),"NOT FOUND — check the code"))</f>
        <v/>
      </c>
      <c r="E460" t="str">
        <v>machine</v>
      </c>
    </row>
    <row r="461">
      <c r="A461" t="str">
        <v>laser-trumpf-5030</v>
      </c>
      <c r="B461" t="str">
        <v>Trumpf TruLaser 5030 (10kW Fiber)</v>
      </c>
      <c r="C461" t="str">
        <v/>
      </c>
      <c r="D461" t="str">
        <f>IF($C461="","",IFERROR(IF($E461="machine",INDEX('JLR Machines'!$B:$B,MATCH($C461,'JLR Machines'!$A:$A,0)),IF($E461="material",INDEX('JLR Materials'!$B:$B,MATCH($C461,'JLR Materials'!$A:$A,0)),IF($E461="labour",IFERROR(INDEX('JLR Labour'!$B:$B,MATCH($C461,'JLR Labour'!$A:$A,0)),"labour category "&amp;$C461&amp;" — from the machine tab"),""))),"NOT FOUND — check the code"))</f>
        <v/>
      </c>
      <c r="E461" t="str">
        <v>machine</v>
      </c>
    </row>
    <row r="462">
      <c r="A462" t="str">
        <v>laser-amada-ensis-3015</v>
      </c>
      <c r="B462" t="str">
        <v>Amada ENSIS 3015 AJ (3kW Fiber)</v>
      </c>
      <c r="C462" t="str">
        <v/>
      </c>
      <c r="D462" t="str">
        <f>IF($C462="","",IFERROR(IF($E462="machine",INDEX('JLR Machines'!$B:$B,MATCH($C462,'JLR Machines'!$A:$A,0)),IF($E462="material",INDEX('JLR Materials'!$B:$B,MATCH($C462,'JLR Materials'!$A:$A,0)),IF($E462="labour",IFERROR(INDEX('JLR Labour'!$B:$B,MATCH($C462,'JLR Labour'!$A:$A,0)),"labour category "&amp;$C462&amp;" — from the machine tab"),""))),"NOT FOUND — check the code"))</f>
        <v/>
      </c>
      <c r="E462" t="str">
        <v>machine</v>
      </c>
    </row>
    <row r="463">
      <c r="A463" t="str">
        <v>plasma-hypertherm-xpr300</v>
      </c>
      <c r="B463" t="str">
        <v>Hypertherm XPR300 Plasma Table</v>
      </c>
      <c r="C463" t="str">
        <v/>
      </c>
      <c r="D463" t="str">
        <f>IF($C463="","",IFERROR(IF($E463="machine",INDEX('JLR Machines'!$B:$B,MATCH($C463,'JLR Machines'!$A:$A,0)),IF($E463="material",INDEX('JLR Materials'!$B:$B,MATCH($C463,'JLR Materials'!$A:$A,0)),IF($E463="labour",IFERROR(INDEX('JLR Labour'!$B:$B,MATCH($C463,'JLR Labour'!$A:$A,0)),"labour category "&amp;$C463&amp;" — from the machine tab"),""))),"NOT FOUND — check the code"))</f>
        <v/>
      </c>
      <c r="E463" t="str">
        <v>machine</v>
      </c>
    </row>
    <row r="464">
      <c r="A464" t="str">
        <v>plasma-kjellberg-hifocus280</v>
      </c>
      <c r="B464" t="str">
        <v>Kjellberg HiFocus 280i Plasma Table</v>
      </c>
      <c r="C464" t="str">
        <v/>
      </c>
      <c r="D464" t="str">
        <f>IF($C464="","",IFERROR(IF($E464="machine",INDEX('JLR Machines'!$B:$B,MATCH($C464,'JLR Machines'!$A:$A,0)),IF($E464="material",INDEX('JLR Materials'!$B:$B,MATCH($C464,'JLR Materials'!$A:$A,0)),IF($E464="labour",IFERROR(INDEX('JLR Labour'!$B:$B,MATCH($C464,'JLR Labour'!$A:$A,0)),"labour category "&amp;$C464&amp;" — from the machine tab"),""))),"NOT FOUND — check the code"))</f>
        <v/>
      </c>
      <c r="E464" t="str">
        <v>machine</v>
      </c>
    </row>
    <row r="465">
      <c r="A465" t="str">
        <v>waterjet-flow-mach500</v>
      </c>
      <c r="B465" t="str">
        <v>Flow Mach 500 Waterjet (60K psi)</v>
      </c>
      <c r="C465" t="str">
        <v/>
      </c>
      <c r="D465" t="str">
        <f>IF($C465="","",IFERROR(IF($E465="machine",INDEX('JLR Machines'!$B:$B,MATCH($C465,'JLR Machines'!$A:$A,0)),IF($E465="material",INDEX('JLR Materials'!$B:$B,MATCH($C465,'JLR Materials'!$A:$A,0)),IF($E465="labour",IFERROR(INDEX('JLR Labour'!$B:$B,MATCH($C465,'JLR Labour'!$A:$A,0)),"labour category "&amp;$C465&amp;" — from the machine tab"),""))),"NOT FOUND — check the code"))</f>
        <v/>
      </c>
      <c r="E465" t="str">
        <v>machine</v>
      </c>
    </row>
    <row r="466">
      <c r="A466" t="str">
        <v>waterjet-omax-80x</v>
      </c>
      <c r="B466" t="str">
        <v>Omax 80X Waterjet (60K psi)</v>
      </c>
      <c r="C466" t="str">
        <v/>
      </c>
      <c r="D466" t="str">
        <f>IF($C466="","",IFERROR(IF($E466="machine",INDEX('JLR Machines'!$B:$B,MATCH($C466,'JLR Machines'!$A:$A,0)),IF($E466="material",INDEX('JLR Materials'!$B:$B,MATCH($C466,'JLR Materials'!$A:$A,0)),IF($E466="labour",IFERROR(INDEX('JLR Labour'!$B:$B,MATCH($C466,'JLR Labour'!$A:$A,0)),"labour category "&amp;$C466&amp;" — from the machine tab"),""))),"NOT FOUND — check the code"))</f>
        <v/>
      </c>
      <c r="E466" t="str">
        <v>machine</v>
      </c>
    </row>
    <row r="467">
      <c r="A467" t="str">
        <v>shear-hydraulic-3m</v>
      </c>
      <c r="B467" t="str">
        <v>Hydraulic Guillotine Shear (3m × 6mm)</v>
      </c>
      <c r="C467" t="str">
        <v/>
      </c>
      <c r="D467" t="str">
        <f>IF($C467="","",IFERROR(IF($E467="machine",INDEX('JLR Machines'!$B:$B,MATCH($C467,'JLR Machines'!$A:$A,0)),IF($E467="material",INDEX('JLR Materials'!$B:$B,MATCH($C467,'JLR Materials'!$A:$A,0)),IF($E467="labour",IFERROR(INDEX('JLR Labour'!$B:$B,MATCH($C467,'JLR Labour'!$A:$A,0)),"labour category "&amp;$C467&amp;" — from the machine tab"),""))),"NOT FOUND — check the code"))</f>
        <v/>
      </c>
      <c r="E467" t="str">
        <v>machine</v>
      </c>
    </row>
    <row r="468">
      <c r="A468" t="str">
        <v>shear-guillotine-6mm</v>
      </c>
      <c r="B468" t="str">
        <v>Hydraulic Shear Heavy Duty (4m × 6mm)</v>
      </c>
      <c r="C468" t="str">
        <v/>
      </c>
      <c r="D468" t="str">
        <f>IF($C468="","",IFERROR(IF($E468="machine",INDEX('JLR Machines'!$B:$B,MATCH($C468,'JLR Machines'!$A:$A,0)),IF($E468="material",INDEX('JLR Materials'!$B:$B,MATCH($C468,'JLR Materials'!$A:$A,0)),IF($E468="labour",IFERROR(INDEX('JLR Labour'!$B:$B,MATCH($C468,'JLR Labour'!$A:$A,0)),"labour category "&amp;$C468&amp;" — from the machine tab"),""))),"NOT FOUND — check the code"))</f>
        <v/>
      </c>
      <c r="E468" t="str">
        <v>machine</v>
      </c>
    </row>
    <row r="469">
      <c r="A469" t="str">
        <v>brake-amada-hfe170</v>
      </c>
      <c r="B469" t="str">
        <v>Amada HFE3i 170T Press Brake (4m)</v>
      </c>
      <c r="C469" t="str">
        <v/>
      </c>
      <c r="D469" t="str">
        <f>IF($C469="","",IFERROR(IF($E469="machine",INDEX('JLR Machines'!$B:$B,MATCH($C469,'JLR Machines'!$A:$A,0)),IF($E469="material",INDEX('JLR Materials'!$B:$B,MATCH($C469,'JLR Materials'!$A:$A,0)),IF($E469="labour",IFERROR(INDEX('JLR Labour'!$B:$B,MATCH($C469,'JLR Labour'!$A:$A,0)),"labour category "&amp;$C469&amp;" — from the machine tab"),""))),"NOT FOUND — check the code"))</f>
        <v/>
      </c>
      <c r="E469" t="str">
        <v>machine</v>
      </c>
    </row>
    <row r="470">
      <c r="A470" t="str">
        <v>brake-trumpf-trubend3100</v>
      </c>
      <c r="B470" t="str">
        <v>Trumpf TruBend 3100 (100T)</v>
      </c>
      <c r="C470" t="str">
        <v/>
      </c>
      <c r="D470" t="str">
        <f>IF($C470="","",IFERROR(IF($E470="machine",INDEX('JLR Machines'!$B:$B,MATCH($C470,'JLR Machines'!$A:$A,0)),IF($E470="material",INDEX('JLR Materials'!$B:$B,MATCH($C470,'JLR Materials'!$A:$A,0)),IF($E470="labour",IFERROR(INDEX('JLR Labour'!$B:$B,MATCH($C470,'JLR Labour'!$A:$A,0)),"labour category "&amp;$C470&amp;" — from the machine tab"),""))),"NOT FOUND — check the code"))</f>
        <v/>
      </c>
      <c r="E470" t="str">
        <v>machine</v>
      </c>
    </row>
    <row r="471">
      <c r="A471" t="str">
        <v>brake-lvd-ppeb135</v>
      </c>
      <c r="B471" t="str">
        <v>LVD PPEB 135T/30 Press Brake</v>
      </c>
      <c r="C471" t="str">
        <v/>
      </c>
      <c r="D471" t="str">
        <f>IF($C471="","",IFERROR(IF($E471="machine",INDEX('JLR Machines'!$B:$B,MATCH($C471,'JLR Machines'!$A:$A,0)),IF($E471="material",INDEX('JLR Materials'!$B:$B,MATCH($C471,'JLR Materials'!$A:$A,0)),IF($E471="labour",IFERROR(INDEX('JLR Labour'!$B:$B,MATCH($C471,'JLR Labour'!$A:$A,0)),"labour category "&amp;$C471&amp;" — from the machine tab"),""))),"NOT FOUND — check the code"))</f>
        <v/>
      </c>
      <c r="E471" t="str">
        <v>machine</v>
      </c>
    </row>
    <row r="472">
      <c r="A472" t="str">
        <v>spotweld-gun-manual</v>
      </c>
      <c r="B472" t="str">
        <v>Pedestal Spot Welding Machine</v>
      </c>
      <c r="C472" t="str">
        <v/>
      </c>
      <c r="D472" t="str">
        <f>IF($C472="","",IFERROR(IF($E472="machine",INDEX('JLR Machines'!$B:$B,MATCH($C472,'JLR Machines'!$A:$A,0)),IF($E472="material",INDEX('JLR Materials'!$B:$B,MATCH($C472,'JLR Materials'!$A:$A,0)),IF($E472="labour",IFERROR(INDEX('JLR Labour'!$B:$B,MATCH($C472,'JLR Labour'!$A:$A,0)),"labour category "&amp;$C472&amp;" — from the machine tab"),""))),"NOT FOUND — check the code"))</f>
        <v/>
      </c>
      <c r="E472" t="str">
        <v>machine</v>
      </c>
    </row>
    <row r="473">
      <c r="A473" t="str">
        <v>robot-mig-cell</v>
      </c>
      <c r="B473" t="str">
        <v>Robotic MIG/MAG Welding Cell</v>
      </c>
      <c r="C473" t="str">
        <v/>
      </c>
      <c r="D473" t="str">
        <f>IF($C473="","",IFERROR(IF($E473="machine",INDEX('JLR Machines'!$B:$B,MATCH($C473,'JLR Machines'!$A:$A,0)),IF($E473="material",INDEX('JLR Materials'!$B:$B,MATCH($C473,'JLR Materials'!$A:$A,0)),IF($E473="labour",IFERROR(INDEX('JLR Labour'!$B:$B,MATCH($C473,'JLR Labour'!$A:$A,0)),"labour category "&amp;$C473&amp;" — from the machine tab"),""))),"NOT FOUND — check the code"))</f>
        <v/>
      </c>
      <c r="E473" t="str">
        <v>machine</v>
      </c>
    </row>
    <row r="474">
      <c r="A474" t="str">
        <v>compression-mould-std</v>
      </c>
      <c r="B474" t="str">
        <v>Compression Moulding Press 250T</v>
      </c>
      <c r="C474" t="str">
        <v/>
      </c>
      <c r="D474" t="str">
        <f>IF($C474="","",IFERROR(IF($E474="machine",INDEX('JLR Machines'!$B:$B,MATCH($C474,'JLR Machines'!$A:$A,0)),IF($E474="material",INDEX('JLR Materials'!$B:$B,MATCH($C474,'JLR Materials'!$A:$A,0)),IF($E474="labour",IFERROR(INDEX('JLR Labour'!$B:$B,MATCH($C474,'JLR Labour'!$A:$A,0)),"labour category "&amp;$C474&amp;" — from the machine tab"),""))),"NOT FOUND — check the code"))</f>
        <v/>
      </c>
      <c r="E474" t="str">
        <v>machine</v>
      </c>
    </row>
    <row r="475">
      <c r="A475" t="str">
        <v>transfer-mould-std</v>
      </c>
      <c r="B475" t="str">
        <v>Transfer Moulding Press 200T</v>
      </c>
      <c r="C475" t="str">
        <v/>
      </c>
      <c r="D475" t="str">
        <f>IF($C475="","",IFERROR(IF($E475="machine",INDEX('JLR Machines'!$B:$B,MATCH($C475,'JLR Machines'!$A:$A,0)),IF($E475="material",INDEX('JLR Materials'!$B:$B,MATCH($C475,'JLR Materials'!$A:$A,0)),IF($E475="labour",IFERROR(INDEX('JLR Labour'!$B:$B,MATCH($C475,'JLR Labour'!$A:$A,0)),"labour category "&amp;$C475&amp;" — from the machine tab"),""))),"NOT FOUND — check the code"))</f>
        <v/>
      </c>
      <c r="E475" t="str">
        <v>machine</v>
      </c>
    </row>
    <row r="476">
      <c r="A476" t="str">
        <v>lsr-injection-machine</v>
      </c>
      <c r="B476" t="str">
        <v>LSR Injection Moulding Machine</v>
      </c>
      <c r="C476" t="str">
        <v/>
      </c>
      <c r="D476" t="str">
        <f>IF($C476="","",IFERROR(IF($E476="machine",INDEX('JLR Machines'!$B:$B,MATCH($C476,'JLR Machines'!$A:$A,0)),IF($E476="material",INDEX('JLR Materials'!$B:$B,MATCH($C476,'JLR Materials'!$A:$A,0)),IF($E476="labour",IFERROR(INDEX('JLR Labour'!$B:$B,MATCH($C476,'JLR Labour'!$A:$A,0)),"labour category "&amp;$C476&amp;" — from the machine tab"),""))),"NOT FOUND — check the code"))</f>
        <v/>
      </c>
      <c r="E476" t="str">
        <v>machine</v>
      </c>
    </row>
    <row r="477">
      <c r="A477" t="str">
        <v>cure-oven-rubber</v>
      </c>
      <c r="B477" t="str">
        <v>Rubber Cure / Vulcanisation Oven</v>
      </c>
      <c r="C477" t="str">
        <v/>
      </c>
      <c r="D477" t="str">
        <f>IF($C477="","",IFERROR(IF($E477="machine",INDEX('JLR Machines'!$B:$B,MATCH($C477,'JLR Machines'!$A:$A,0)),IF($E477="material",INDEX('JLR Materials'!$B:$B,MATCH($C477,'JLR Materials'!$A:$A,0)),IF($E477="labour",IFERROR(INDEX('JLR Labour'!$B:$B,MATCH($C477,'JLR Labour'!$A:$A,0)),"labour category "&amp;$C477&amp;" — from the machine tab"),""))),"NOT FOUND — check the code"))</f>
        <v/>
      </c>
      <c r="E477" t="str">
        <v>machine</v>
      </c>
    </row>
    <row r="478">
      <c r="A478" t="str">
        <v>extruder-rubber-60mm</v>
      </c>
      <c r="B478" t="str">
        <v>Rubber Extruder 60mm (Cold-feed)</v>
      </c>
      <c r="C478" t="str">
        <v/>
      </c>
      <c r="D478" t="str">
        <f>IF($C478="","",IFERROR(IF($E478="machine",INDEX('JLR Machines'!$B:$B,MATCH($C478,'JLR Machines'!$A:$A,0)),IF($E478="material",INDEX('JLR Materials'!$B:$B,MATCH($C478,'JLR Materials'!$A:$A,0)),IF($E478="labour",IFERROR(INDEX('JLR Labour'!$B:$B,MATCH($C478,'JLR Labour'!$A:$A,0)),"labour category "&amp;$C478&amp;" — from the machine tab"),""))),"NOT FOUND — check the code"))</f>
        <v/>
      </c>
      <c r="E478" t="str">
        <v>machine</v>
      </c>
    </row>
    <row r="479">
      <c r="A479" t="str">
        <v>die-cut-press-rubber</v>
      </c>
      <c r="B479" t="str">
        <v>Hydraulic Die-Cutting Press 20T</v>
      </c>
      <c r="C479" t="str">
        <v/>
      </c>
      <c r="D479" t="str">
        <f>IF($C479="","",IFERROR(IF($E479="machine",INDEX('JLR Machines'!$B:$B,MATCH($C479,'JLR Machines'!$A:$A,0)),IF($E479="material",INDEX('JLR Materials'!$B:$B,MATCH($C479,'JLR Materials'!$A:$A,0)),IF($E479="labour",IFERROR(INDEX('JLR Labour'!$B:$B,MATCH($C479,'JLR Labour'!$A:$A,0)),"labour category "&amp;$C479&amp;" — from the machine tab"),""))),"NOT FOUND — check the code"))</f>
        <v/>
      </c>
      <c r="E479" t="str">
        <v>machine</v>
      </c>
    </row>
    <row r="480">
      <c r="A480" t="str">
        <v>autoclave-1200mm</v>
      </c>
      <c r="B480" t="str">
        <v>Production Autoclave 1200mm dia</v>
      </c>
      <c r="C480" t="str">
        <v/>
      </c>
      <c r="D480" t="str">
        <f>IF($C480="","",IFERROR(IF($E480="machine",INDEX('JLR Machines'!$B:$B,MATCH($C480,'JLR Machines'!$A:$A,0)),IF($E480="material",INDEX('JLR Materials'!$B:$B,MATCH($C480,'JLR Materials'!$A:$A,0)),IF($E480="labour",IFERROR(INDEX('JLR Labour'!$B:$B,MATCH($C480,'JLR Labour'!$A:$A,0)),"labour category "&amp;$C480&amp;" — from the machine tab"),""))),"NOT FOUND — check the code"))</f>
        <v/>
      </c>
      <c r="E480" t="str">
        <v>machine</v>
      </c>
    </row>
    <row r="481">
      <c r="A481" t="str">
        <v>oven-composite-cure</v>
      </c>
      <c r="B481" t="str">
        <v>Composite Cure Oven (Fan-Assisted)</v>
      </c>
      <c r="C481" t="str">
        <v/>
      </c>
      <c r="D481" t="str">
        <f>IF($C481="","",IFERROR(IF($E481="machine",INDEX('JLR Machines'!$B:$B,MATCH($C481,'JLR Machines'!$A:$A,0)),IF($E481="material",INDEX('JLR Materials'!$B:$B,MATCH($C481,'JLR Materials'!$A:$A,0)),IF($E481="labour",IFERROR(INDEX('JLR Labour'!$B:$B,MATCH($C481,'JLR Labour'!$A:$A,0)),"labour category "&amp;$C481&amp;" — from the machine tab"),""))),"NOT FOUND — check the code"))</f>
        <v/>
      </c>
      <c r="E481" t="str">
        <v>machine</v>
      </c>
    </row>
    <row r="482">
      <c r="A482" t="str">
        <v>rtm-press-std</v>
      </c>
      <c r="B482" t="str">
        <v>RTM / VARTM Injection Press</v>
      </c>
      <c r="C482" t="str">
        <v/>
      </c>
      <c r="D482" t="str">
        <f>IF($C482="","",IFERROR(IF($E482="machine",INDEX('JLR Machines'!$B:$B,MATCH($C482,'JLR Machines'!$A:$A,0)),IF($E482="material",INDEX('JLR Materials'!$B:$B,MATCH($C482,'JLR Materials'!$A:$A,0)),IF($E482="labour",IFERROR(INDEX('JLR Labour'!$B:$B,MATCH($C482,'JLR Labour'!$A:$A,0)),"labour category "&amp;$C482&amp;" — from the machine tab"),""))),"NOT FOUND — check the code"))</f>
        <v/>
      </c>
      <c r="E482" t="str">
        <v>machine</v>
      </c>
    </row>
    <row r="483">
      <c r="A483" t="str">
        <v>waterjet-5ax-composite</v>
      </c>
      <c r="B483" t="str">
        <v>5-Axis Waterjet Trim System</v>
      </c>
      <c r="C483" t="str">
        <v/>
      </c>
      <c r="D483" t="str">
        <f>IF($C483="","",IFERROR(IF($E483="machine",INDEX('JLR Machines'!$B:$B,MATCH($C483,'JLR Machines'!$A:$A,0)),IF($E483="material",INDEX('JLR Materials'!$B:$B,MATCH($C483,'JLR Materials'!$A:$A,0)),IF($E483="labour",IFERROR(INDEX('JLR Labour'!$B:$B,MATCH($C483,'JLR Labour'!$A:$A,0)),"labour category "&amp;$C483&amp;" — from the machine tab"),""))),"NOT FOUND — check the code"))</f>
        <v/>
      </c>
      <c r="E483" t="str">
        <v>machine</v>
      </c>
    </row>
    <row r="484">
      <c r="A484" t="str">
        <v>mach-afp-atl</v>
      </c>
      <c r="B484" t="str">
        <v>AFP/ATL Composite Cell</v>
      </c>
      <c r="C484" t="str">
        <v/>
      </c>
      <c r="D484" t="str">
        <f>IF($C484="","",IFERROR(IF($E484="machine",INDEX('JLR Machines'!$B:$B,MATCH($C484,'JLR Machines'!$A:$A,0)),IF($E484="material",INDEX('JLR Materials'!$B:$B,MATCH($C484,'JLR Materials'!$A:$A,0)),IF($E484="labour",IFERROR(INDEX('JLR Labour'!$B:$B,MATCH($C484,'JLR Labour'!$A:$A,0)),"labour category "&amp;$C484&amp;" — from the machine tab"),""))),"NOT FOUND — check the code"))</f>
        <v/>
      </c>
      <c r="E484" t="str">
        <v>machine</v>
      </c>
    </row>
    <row r="485">
      <c r="A485" t="str">
        <v>harness-test-sys</v>
      </c>
      <c r="B485" t="str">
        <v>Electrical Harness Test System (Continuity + HiPot)</v>
      </c>
      <c r="C485" t="str">
        <v/>
      </c>
      <c r="D485" t="str">
        <f>IF($C485="","",IFERROR(IF($E485="machine",INDEX('JLR Machines'!$B:$B,MATCH($C485,'JLR Machines'!$A:$A,0)),IF($E485="material",INDEX('JLR Materials'!$B:$B,MATCH($C485,'JLR Materials'!$A:$A,0)),IF($E485="labour",IFERROR(INDEX('JLR Labour'!$B:$B,MATCH($C485,'JLR Labour'!$A:$A,0)),"labour category "&amp;$C485&amp;" — from the machine tab"),""))),"NOT FOUND — check the code"))</f>
        <v/>
      </c>
      <c r="E485" t="str">
        <v>machine</v>
      </c>
    </row>
    <row r="486">
      <c r="A486" t="str">
        <v>mach-vmc3-cn</v>
      </c>
      <c r="B486" t="str">
        <v>VMC 3-axis CNC (China)</v>
      </c>
      <c r="C486" t="str">
        <v/>
      </c>
      <c r="D486" t="str">
        <f>IF($C486="","",IFERROR(IF($E486="machine",INDEX('JLR Machines'!$B:$B,MATCH($C486,'JLR Machines'!$A:$A,0)),IF($E486="material",INDEX('JLR Materials'!$B:$B,MATCH($C486,'JLR Materials'!$A:$A,0)),IF($E486="labour",IFERROR(INDEX('JLR Labour'!$B:$B,MATCH($C486,'JLR Labour'!$A:$A,0)),"labour category "&amp;$C486&amp;" — from the machine tab"),""))),"NOT FOUND — check the code"))</f>
        <v/>
      </c>
      <c r="E486" t="str">
        <v>machine</v>
      </c>
    </row>
    <row r="487">
      <c r="A487" t="str">
        <v>mach-vmc3-in</v>
      </c>
      <c r="B487" t="str">
        <v>VMC 3-axis CNC (India)</v>
      </c>
      <c r="C487" t="str">
        <v/>
      </c>
      <c r="D487" t="str">
        <f>IF($C487="","",IFERROR(IF($E487="machine",INDEX('JLR Machines'!$B:$B,MATCH($C487,'JLR Machines'!$A:$A,0)),IF($E487="material",INDEX('JLR Materials'!$B:$B,MATCH($C487,'JLR Materials'!$A:$A,0)),IF($E487="labour",IFERROR(INDEX('JLR Labour'!$B:$B,MATCH($C487,'JLR Labour'!$A:$A,0)),"labour category "&amp;$C487&amp;" — from the machine tab"),""))),"NOT FOUND — check the code"))</f>
        <v/>
      </c>
      <c r="E487" t="str">
        <v>machine</v>
      </c>
    </row>
    <row r="488">
      <c r="A488" t="str">
        <v>mach-vmc3-de</v>
      </c>
      <c r="B488" t="str">
        <v>VMC 3-axis CNC (Germany)</v>
      </c>
      <c r="C488" t="str">
        <v/>
      </c>
      <c r="D488" t="str">
        <f>IF($C488="","",IFERROR(IF($E488="machine",INDEX('JLR Machines'!$B:$B,MATCH($C488,'JLR Machines'!$A:$A,0)),IF($E488="material",INDEX('JLR Materials'!$B:$B,MATCH($C488,'JLR Materials'!$A:$A,0)),IF($E488="labour",IFERROR(INDEX('JLR Labour'!$B:$B,MATCH($C488,'JLR Labour'!$A:$A,0)),"labour category "&amp;$C488&amp;" — from the machine tab"),""))),"NOT FOUND — check the code"))</f>
        <v/>
      </c>
      <c r="E488" t="str">
        <v>machine</v>
      </c>
    </row>
    <row r="489">
      <c r="A489" t="str">
        <v>mach-vmc3-pl</v>
      </c>
      <c r="B489" t="str">
        <v>VMC 3-axis CNC (Poland)</v>
      </c>
      <c r="C489" t="str">
        <v/>
      </c>
      <c r="D489" t="str">
        <f>IF($C489="","",IFERROR(IF($E489="machine",INDEX('JLR Machines'!$B:$B,MATCH($C489,'JLR Machines'!$A:$A,0)),IF($E489="material",INDEX('JLR Materials'!$B:$B,MATCH($C489,'JLR Materials'!$A:$A,0)),IF($E489="labour",IFERROR(INDEX('JLR Labour'!$B:$B,MATCH($C489,'JLR Labour'!$A:$A,0)),"labour category "&amp;$C489&amp;" — from the machine tab"),""))),"NOT FOUND — check the code"))</f>
        <v/>
      </c>
      <c r="E489" t="str">
        <v>machine</v>
      </c>
    </row>
    <row r="490">
      <c r="A490" t="str">
        <v>mach-vmc3-mx</v>
      </c>
      <c r="B490" t="str">
        <v>VMC 3-axis CNC (Mexico)</v>
      </c>
      <c r="C490" t="str">
        <v/>
      </c>
      <c r="D490" t="str">
        <f>IF($C490="","",IFERROR(IF($E490="machine",INDEX('JLR Machines'!$B:$B,MATCH($C490,'JLR Machines'!$A:$A,0)),IF($E490="material",INDEX('JLR Materials'!$B:$B,MATCH($C490,'JLR Materials'!$A:$A,0)),IF($E490="labour",IFERROR(INDEX('JLR Labour'!$B:$B,MATCH($C490,'JLR Labour'!$A:$A,0)),"labour category "&amp;$C490&amp;" — from the machine tab"),""))),"NOT FOUND — check the code"))</f>
        <v/>
      </c>
      <c r="E490" t="str">
        <v>machine</v>
      </c>
    </row>
    <row r="491">
      <c r="A491" t="str">
        <v>imm-200t-cn</v>
      </c>
      <c r="B491" t="str">
        <v>Injection Moulding 200T (China)</v>
      </c>
      <c r="C491" t="str">
        <v/>
      </c>
      <c r="D491" t="str">
        <f>IF($C491="","",IFERROR(IF($E491="machine",INDEX('JLR Machines'!$B:$B,MATCH($C491,'JLR Machines'!$A:$A,0)),IF($E491="material",INDEX('JLR Materials'!$B:$B,MATCH($C491,'JLR Materials'!$A:$A,0)),IF($E491="labour",IFERROR(INDEX('JLR Labour'!$B:$B,MATCH($C491,'JLR Labour'!$A:$A,0)),"labour category "&amp;$C491&amp;" — from the machine tab"),""))),"NOT FOUND — check the code"))</f>
        <v/>
      </c>
      <c r="E491" t="str">
        <v>machine</v>
      </c>
    </row>
    <row r="492">
      <c r="A492" t="str">
        <v>imm-200t-in</v>
      </c>
      <c r="B492" t="str">
        <v>Injection Moulding 200T (India)</v>
      </c>
      <c r="C492" t="str">
        <v/>
      </c>
      <c r="D492" t="str">
        <f>IF($C492="","",IFERROR(IF($E492="machine",INDEX('JLR Machines'!$B:$B,MATCH($C492,'JLR Machines'!$A:$A,0)),IF($E492="material",INDEX('JLR Materials'!$B:$B,MATCH($C492,'JLR Materials'!$A:$A,0)),IF($E492="labour",IFERROR(INDEX('JLR Labour'!$B:$B,MATCH($C492,'JLR Labour'!$A:$A,0)),"labour category "&amp;$C492&amp;" — from the machine tab"),""))),"NOT FOUND — check the code"))</f>
        <v/>
      </c>
      <c r="E492" t="str">
        <v>machine</v>
      </c>
    </row>
    <row r="493">
      <c r="A493" t="str">
        <v>imm-200t-de</v>
      </c>
      <c r="B493" t="str">
        <v>Injection Moulding 200T (Germany)</v>
      </c>
      <c r="C493" t="str">
        <v/>
      </c>
      <c r="D493" t="str">
        <f>IF($C493="","",IFERROR(IF($E493="machine",INDEX('JLR Machines'!$B:$B,MATCH($C493,'JLR Machines'!$A:$A,0)),IF($E493="material",INDEX('JLR Materials'!$B:$B,MATCH($C493,'JLR Materials'!$A:$A,0)),IF($E493="labour",IFERROR(INDEX('JLR Labour'!$B:$B,MATCH($C493,'JLR Labour'!$A:$A,0)),"labour category "&amp;$C493&amp;" — from the machine tab"),""))),"NOT FOUND — check the code"))</f>
        <v/>
      </c>
      <c r="E493" t="str">
        <v>machine</v>
      </c>
    </row>
    <row r="494">
      <c r="A494" t="str">
        <v>imm-200t-pl</v>
      </c>
      <c r="B494" t="str">
        <v>Injection Moulding 200T (Poland)</v>
      </c>
      <c r="C494" t="str">
        <v/>
      </c>
      <c r="D494" t="str">
        <f>IF($C494="","",IFERROR(IF($E494="machine",INDEX('JLR Machines'!$B:$B,MATCH($C494,'JLR Machines'!$A:$A,0)),IF($E494="material",INDEX('JLR Materials'!$B:$B,MATCH($C494,'JLR Materials'!$A:$A,0)),IF($E494="labour",IFERROR(INDEX('JLR Labour'!$B:$B,MATCH($C494,'JLR Labour'!$A:$A,0)),"labour category "&amp;$C494&amp;" — from the machine tab"),""))),"NOT FOUND — check the code"))</f>
        <v/>
      </c>
      <c r="E494" t="str">
        <v>machine</v>
      </c>
    </row>
    <row r="495">
      <c r="A495" t="str">
        <v>imm-200t-mx</v>
      </c>
      <c r="B495" t="str">
        <v>Injection Moulding 200T (Mexico)</v>
      </c>
      <c r="C495" t="str">
        <v/>
      </c>
      <c r="D495" t="str">
        <f>IF($C495="","",IFERROR(IF($E495="machine",INDEX('JLR Machines'!$B:$B,MATCH($C495,'JLR Machines'!$A:$A,0)),IF($E495="material",INDEX('JLR Materials'!$B:$B,MATCH($C495,'JLR Materials'!$A:$A,0)),IF($E495="labour",IFERROR(INDEX('JLR Labour'!$B:$B,MATCH($C495,'JLR Labour'!$A:$A,0)),"labour category "&amp;$C495&amp;" — from the machine tab"),""))),"NOT FOUND — check the code"))</f>
        <v/>
      </c>
      <c r="E495" t="str">
        <v>machine</v>
      </c>
    </row>
    <row r="496">
      <c r="A496" t="str">
        <v>hpdc-500t-cn</v>
      </c>
      <c r="B496" t="str">
        <v>HPDC 500T (China)</v>
      </c>
      <c r="C496" t="str">
        <v/>
      </c>
      <c r="D496" t="str">
        <f>IF($C496="","",IFERROR(IF($E496="machine",INDEX('JLR Machines'!$B:$B,MATCH($C496,'JLR Machines'!$A:$A,0)),IF($E496="material",INDEX('JLR Materials'!$B:$B,MATCH($C496,'JLR Materials'!$A:$A,0)),IF($E496="labour",IFERROR(INDEX('JLR Labour'!$B:$B,MATCH($C496,'JLR Labour'!$A:$A,0)),"labour category "&amp;$C496&amp;" — from the machine tab"),""))),"NOT FOUND — check the code"))</f>
        <v/>
      </c>
      <c r="E496" t="str">
        <v>machine</v>
      </c>
    </row>
    <row r="497">
      <c r="A497" t="str">
        <v>hpdc-500t-in</v>
      </c>
      <c r="B497" t="str">
        <v>HPDC 500T (India)</v>
      </c>
      <c r="C497" t="str">
        <v/>
      </c>
      <c r="D497" t="str">
        <f>IF($C497="","",IFERROR(IF($E497="machine",INDEX('JLR Machines'!$B:$B,MATCH($C497,'JLR Machines'!$A:$A,0)),IF($E497="material",INDEX('JLR Materials'!$B:$B,MATCH($C497,'JLR Materials'!$A:$A,0)),IF($E497="labour",IFERROR(INDEX('JLR Labour'!$B:$B,MATCH($C497,'JLR Labour'!$A:$A,0)),"labour category "&amp;$C497&amp;" — from the machine tab"),""))),"NOT FOUND — check the code"))</f>
        <v/>
      </c>
      <c r="E497" t="str">
        <v>machine</v>
      </c>
    </row>
    <row r="498">
      <c r="A498" t="str">
        <v>hpdc-500t-mx</v>
      </c>
      <c r="B498" t="str">
        <v>HPDC 500T (Mexico)</v>
      </c>
      <c r="C498" t="str">
        <v/>
      </c>
      <c r="D498" t="str">
        <f>IF($C498="","",IFERROR(IF($E498="machine",INDEX('JLR Machines'!$B:$B,MATCH($C498,'JLR Machines'!$A:$A,0)),IF($E498="material",INDEX('JLR Materials'!$B:$B,MATCH($C498,'JLR Materials'!$A:$A,0)),IF($E498="labour",IFERROR(INDEX('JLR Labour'!$B:$B,MATCH($C498,'JLR Labour'!$A:$A,0)),"labour category "&amp;$C498&amp;" — from the machine tab"),""))),"NOT FOUND — check the code"))</f>
        <v/>
      </c>
      <c r="E498" t="str">
        <v>machine</v>
      </c>
    </row>
    <row r="499">
      <c r="A499" t="str">
        <v>press-400t-cn</v>
      </c>
      <c r="B499" t="str">
        <v>Stamping Press 400T (China)</v>
      </c>
      <c r="C499" t="str">
        <v/>
      </c>
      <c r="D499" t="str">
        <f>IF($C499="","",IFERROR(IF($E499="machine",INDEX('JLR Machines'!$B:$B,MATCH($C499,'JLR Machines'!$A:$A,0)),IF($E499="material",INDEX('JLR Materials'!$B:$B,MATCH($C499,'JLR Materials'!$A:$A,0)),IF($E499="labour",IFERROR(INDEX('JLR Labour'!$B:$B,MATCH($C499,'JLR Labour'!$A:$A,0)),"labour category "&amp;$C499&amp;" — from the machine tab"),""))),"NOT FOUND — check the code"))</f>
        <v/>
      </c>
      <c r="E499" t="str">
        <v>machine</v>
      </c>
    </row>
    <row r="500">
      <c r="A500" t="str">
        <v>press-400t-in</v>
      </c>
      <c r="B500" t="str">
        <v>Stamping Press 400T (India)</v>
      </c>
      <c r="C500" t="str">
        <v/>
      </c>
      <c r="D500" t="str">
        <f>IF($C500="","",IFERROR(IF($E500="machine",INDEX('JLR Machines'!$B:$B,MATCH($C500,'JLR Machines'!$A:$A,0)),IF($E500="material",INDEX('JLR Materials'!$B:$B,MATCH($C500,'JLR Materials'!$A:$A,0)),IF($E500="labour",IFERROR(INDEX('JLR Labour'!$B:$B,MATCH($C500,'JLR Labour'!$A:$A,0)),"labour category "&amp;$C500&amp;" — from the machine tab"),""))),"NOT FOUND — check the code"))</f>
        <v/>
      </c>
      <c r="E500" t="str">
        <v>machine</v>
      </c>
    </row>
    <row r="501">
      <c r="A501" t="str">
        <v>press-400t-pl</v>
      </c>
      <c r="B501" t="str">
        <v>Stamping Press 400T (Poland)</v>
      </c>
      <c r="C501" t="str">
        <v/>
      </c>
      <c r="D501" t="str">
        <f>IF($C501="","",IFERROR(IF($E501="machine",INDEX('JLR Machines'!$B:$B,MATCH($C501,'JLR Machines'!$A:$A,0)),IF($E501="material",INDEX('JLR Materials'!$B:$B,MATCH($C501,'JLR Materials'!$A:$A,0)),IF($E501="labour",IFERROR(INDEX('JLR Labour'!$B:$B,MATCH($C501,'JLR Labour'!$A:$A,0)),"labour category "&amp;$C501&amp;" — from the machine tab"),""))),"NOT FOUND — check the code"))</f>
        <v/>
      </c>
      <c r="E501" t="str">
        <v>machine</v>
      </c>
    </row>
    <row r="502">
      <c r="A502" t="str">
        <v>press-400t-mx</v>
      </c>
      <c r="B502" t="str">
        <v>Stamping Press 400T (Mexico)</v>
      </c>
      <c r="C502" t="str">
        <v/>
      </c>
      <c r="D502" t="str">
        <f>IF($C502="","",IFERROR(IF($E502="machine",INDEX('JLR Machines'!$B:$B,MATCH($C502,'JLR Machines'!$A:$A,0)),IF($E502="material",INDEX('JLR Materials'!$B:$B,MATCH($C502,'JLR Materials'!$A:$A,0)),IF($E502="labour",IFERROR(INDEX('JLR Labour'!$B:$B,MATCH($C502,'JLR Labour'!$A:$A,0)),"labour category "&amp;$C502&amp;" — from the machine tab"),""))),"NOT FOUND — check the code"))</f>
        <v/>
      </c>
      <c r="E502" t="str">
        <v>machine</v>
      </c>
    </row>
    <row r="503">
      <c r="A503" t="str">
        <v>bench-assembly-cn</v>
      </c>
      <c r="B503" t="str">
        <v>Manual Assembly Bench (China)</v>
      </c>
      <c r="C503" t="str">
        <v/>
      </c>
      <c r="D503" t="str">
        <f>IF($C503="","",IFERROR(IF($E503="machine",INDEX('JLR Machines'!$B:$B,MATCH($C503,'JLR Machines'!$A:$A,0)),IF($E503="material",INDEX('JLR Materials'!$B:$B,MATCH($C503,'JLR Materials'!$A:$A,0)),IF($E503="labour",IFERROR(INDEX('JLR Labour'!$B:$B,MATCH($C503,'JLR Labour'!$A:$A,0)),"labour category "&amp;$C503&amp;" — from the machine tab"),""))),"NOT FOUND — check the code"))</f>
        <v/>
      </c>
      <c r="E503" t="str">
        <v>machine</v>
      </c>
    </row>
    <row r="504">
      <c r="A504" t="str">
        <v>bench-assembly-in</v>
      </c>
      <c r="B504" t="str">
        <v>Manual Assembly Bench (India)</v>
      </c>
      <c r="C504" t="str">
        <v/>
      </c>
      <c r="D504" t="str">
        <f>IF($C504="","",IFERROR(IF($E504="machine",INDEX('JLR Machines'!$B:$B,MATCH($C504,'JLR Machines'!$A:$A,0)),IF($E504="material",INDEX('JLR Materials'!$B:$B,MATCH($C504,'JLR Materials'!$A:$A,0)),IF($E504="labour",IFERROR(INDEX('JLR Labour'!$B:$B,MATCH($C504,'JLR Labour'!$A:$A,0)),"labour category "&amp;$C504&amp;" — from the machine tab"),""))),"NOT FOUND — check the code"))</f>
        <v/>
      </c>
      <c r="E504" t="str">
        <v>machine</v>
      </c>
    </row>
    <row r="505">
      <c r="A505" t="str">
        <v>bench-assembly-mx</v>
      </c>
      <c r="B505" t="str">
        <v>Manual Assembly Bench (Mexico)</v>
      </c>
      <c r="C505" t="str">
        <v/>
      </c>
      <c r="D505" t="str">
        <f>IF($C505="","",IFERROR(IF($E505="machine",INDEX('JLR Machines'!$B:$B,MATCH($C505,'JLR Machines'!$A:$A,0)),IF($E505="material",INDEX('JLR Materials'!$B:$B,MATCH($C505,'JLR Materials'!$A:$A,0)),IF($E505="labour",IFERROR(INDEX('JLR Labour'!$B:$B,MATCH($C505,'JLR Labour'!$A:$A,0)),"labour category "&amp;$C505&amp;" — from the machine tab"),""))),"NOT FOUND — check the code"))</f>
        <v/>
      </c>
      <c r="E505" t="str">
        <v>machine</v>
      </c>
    </row>
    <row r="506">
      <c r="A506" t="str">
        <v>bench-assembly-vn</v>
      </c>
      <c r="B506" t="str">
        <v>Manual Assembly Bench (Vietnam)</v>
      </c>
      <c r="C506" t="str">
        <v/>
      </c>
      <c r="D506" t="str">
        <f>IF($C506="","",IFERROR(IF($E506="machine",INDEX('JLR Machines'!$B:$B,MATCH($C506,'JLR Machines'!$A:$A,0)),IF($E506="material",INDEX('JLR Materials'!$B:$B,MATCH($C506,'JLR Materials'!$A:$A,0)),IF($E506="labour",IFERROR(INDEX('JLR Labour'!$B:$B,MATCH($C506,'JLR Labour'!$A:$A,0)),"labour category "&amp;$C506&amp;" — from the machine tab"),""))),"NOT FOUND — check the code"))</f>
        <v/>
      </c>
      <c r="E506" t="str">
        <v>machine</v>
      </c>
    </row>
    <row r="507">
      <c r="A507" t="str">
        <v>bench-assembly-pl</v>
      </c>
      <c r="B507" t="str">
        <v>Manual Assembly Bench (Poland)</v>
      </c>
      <c r="C507" t="str">
        <v/>
      </c>
      <c r="D507" t="str">
        <f>IF($C507="","",IFERROR(IF($E507="machine",INDEX('JLR Machines'!$B:$B,MATCH($C507,'JLR Machines'!$A:$A,0)),IF($E507="material",INDEX('JLR Materials'!$B:$B,MATCH($C507,'JLR Materials'!$A:$A,0)),IF($E507="labour",IFERROR(INDEX('JLR Labour'!$B:$B,MATCH($C507,'JLR Labour'!$A:$A,0)),"labour category "&amp;$C507&amp;" — from the machine tab"),""))),"NOT FOUND — check the code"))</f>
        <v/>
      </c>
      <c r="E507" t="str">
        <v>machine</v>
      </c>
    </row>
    <row r="508">
      <c r="A508" t="str">
        <v>lab-uk-skilled</v>
      </c>
      <c r="B508" t="str">
        <v>Skilled Machinist</v>
      </c>
      <c r="C508" t="str">
        <v/>
      </c>
      <c r="D508" t="str">
        <f>IF($C508="","",IFERROR(IF($E508="machine",INDEX('JLR Machines'!$B:$B,MATCH($C508,'JLR Machines'!$A:$A,0)),IF($E508="material",INDEX('JLR Materials'!$B:$B,MATCH($C508,'JLR Materials'!$A:$A,0)),IF($E508="labour",IFERROR(INDEX('JLR Labour'!$B:$B,MATCH($C508,'JLR Labour'!$A:$A,0)),"labour category "&amp;$C508&amp;" — from the machine tab"),""))),"NOT FOUND — check the code"))</f>
        <v/>
      </c>
      <c r="E508" t="str">
        <v>labour</v>
      </c>
    </row>
    <row r="509">
      <c r="A509" t="str">
        <v>lab-uk-semiskilled</v>
      </c>
      <c r="B509" t="str">
        <v>Semi-skilled Operator</v>
      </c>
      <c r="C509" t="str">
        <v/>
      </c>
      <c r="D509" t="str">
        <f>IF($C509="","",IFERROR(IF($E509="machine",INDEX('JLR Machines'!$B:$B,MATCH($C509,'JLR Machines'!$A:$A,0)),IF($E509="material",INDEX('JLR Materials'!$B:$B,MATCH($C509,'JLR Materials'!$A:$A,0)),IF($E509="labour",IFERROR(INDEX('JLR Labour'!$B:$B,MATCH($C509,'JLR Labour'!$A:$A,0)),"labour category "&amp;$C509&amp;" — from the machine tab"),""))),"NOT FOUND — check the code"))</f>
        <v/>
      </c>
      <c r="E509" t="str">
        <v>labour</v>
      </c>
    </row>
    <row r="510">
      <c r="A510" t="str">
        <v>lab-uk-engineer</v>
      </c>
      <c r="B510" t="str">
        <v>Process Engineer</v>
      </c>
      <c r="C510" t="str">
        <v/>
      </c>
      <c r="D510" t="str">
        <f>IF($C510="","",IFERROR(IF($E510="machine",INDEX('JLR Machines'!$B:$B,MATCH($C510,'JLR Machines'!$A:$A,0)),IF($E510="material",INDEX('JLR Materials'!$B:$B,MATCH($C510,'JLR Materials'!$A:$A,0)),IF($E510="labour",IFERROR(INDEX('JLR Labour'!$B:$B,MATCH($C510,'JLR Labour'!$A:$A,0)),"labour category "&amp;$C510&amp;" — from the machine tab"),""))),"NOT FOUND — check the code"))</f>
        <v/>
      </c>
      <c r="E510" t="str">
        <v>labour</v>
      </c>
    </row>
    <row r="511">
      <c r="A511" t="str">
        <v>lab-in-skilled</v>
      </c>
      <c r="B511" t="str">
        <v>Skilled Machinist</v>
      </c>
      <c r="C511" t="str">
        <v/>
      </c>
      <c r="D511" t="str">
        <f>IF($C511="","",IFERROR(IF($E511="machine",INDEX('JLR Machines'!$B:$B,MATCH($C511,'JLR Machines'!$A:$A,0)),IF($E511="material",INDEX('JLR Materials'!$B:$B,MATCH($C511,'JLR Materials'!$A:$A,0)),IF($E511="labour",IFERROR(INDEX('JLR Labour'!$B:$B,MATCH($C511,'JLR Labour'!$A:$A,0)),"labour category "&amp;$C511&amp;" — from the machine tab"),""))),"NOT FOUND — check the code"))</f>
        <v/>
      </c>
      <c r="E511" t="str">
        <v>labour</v>
      </c>
    </row>
    <row r="512">
      <c r="A512" t="str">
        <v>lab-cn-skilled</v>
      </c>
      <c r="B512" t="str">
        <v>Skilled Machinist</v>
      </c>
      <c r="C512" t="str">
        <v/>
      </c>
      <c r="D512" t="str">
        <f>IF($C512="","",IFERROR(IF($E512="machine",INDEX('JLR Machines'!$B:$B,MATCH($C512,'JLR Machines'!$A:$A,0)),IF($E512="material",INDEX('JLR Materials'!$B:$B,MATCH($C512,'JLR Materials'!$A:$A,0)),IF($E512="labour",IFERROR(INDEX('JLR Labour'!$B:$B,MATCH($C512,'JLR Labour'!$A:$A,0)),"labour category "&amp;$C512&amp;" — from the machine tab"),""))),"NOT FOUND — check the code"))</f>
        <v/>
      </c>
      <c r="E512" t="str">
        <v>labour</v>
      </c>
    </row>
    <row r="513">
      <c r="A513" t="str">
        <v>lab-uk-foundry</v>
      </c>
      <c r="B513" t="str">
        <v>Foundry Operative</v>
      </c>
      <c r="C513" t="str">
        <v/>
      </c>
      <c r="D513" t="str">
        <f>IF($C513="","",IFERROR(IF($E513="machine",INDEX('JLR Machines'!$B:$B,MATCH($C513,'JLR Machines'!$A:$A,0)),IF($E513="material",INDEX('JLR Materials'!$B:$B,MATCH($C513,'JLR Materials'!$A:$A,0)),IF($E513="labour",IFERROR(INDEX('JLR Labour'!$B:$B,MATCH($C513,'JLR Labour'!$A:$A,0)),"labour category "&amp;$C513&amp;" — from the machine tab"),""))),"NOT FOUND — check the code"))</f>
        <v/>
      </c>
      <c r="E513" t="str">
        <v>labour</v>
      </c>
    </row>
    <row r="514">
      <c r="A514" t="str">
        <v>lab-uk-inspector</v>
      </c>
      <c r="B514" t="str">
        <v>CMM / Quality Inspector</v>
      </c>
      <c r="C514" t="str">
        <v/>
      </c>
      <c r="D514" t="str">
        <f>IF($C514="","",IFERROR(IF($E514="machine",INDEX('JLR Machines'!$B:$B,MATCH($C514,'JLR Machines'!$A:$A,0)),IF($E514="material",INDEX('JLR Materials'!$B:$B,MATCH($C514,'JLR Materials'!$A:$A,0)),IF($E514="labour",IFERROR(INDEX('JLR Labour'!$B:$B,MATCH($C514,'JLR Labour'!$A:$A,0)),"labour category "&amp;$C514&amp;" — from the machine tab"),""))),"NOT FOUND — check the code"))</f>
        <v/>
      </c>
      <c r="E514" t="str">
        <v>labour</v>
      </c>
    </row>
    <row r="515">
      <c r="A515" t="str">
        <v>lab-uk-technician</v>
      </c>
      <c r="B515" t="str">
        <v>Maintenance / Mould-Setter Technician</v>
      </c>
      <c r="C515" t="str">
        <v/>
      </c>
      <c r="D515" t="str">
        <f>IF($C515="","",IFERROR(IF($E515="machine",INDEX('JLR Machines'!$B:$B,MATCH($C515,'JLR Machines'!$A:$A,0)),IF($E515="material",INDEX('JLR Materials'!$B:$B,MATCH($C515,'JLR Materials'!$A:$A,0)),IF($E515="labour",IFERROR(INDEX('JLR Labour'!$B:$B,MATCH($C515,'JLR Labour'!$A:$A,0)),"labour category "&amp;$C515&amp;" — from the machine tab"),""))),"NOT FOUND — check the code"))</f>
        <v/>
      </c>
      <c r="E515" t="str">
        <v>labour</v>
      </c>
    </row>
    <row r="516">
      <c r="A516" t="str">
        <v>lab-uk-supervisor</v>
      </c>
      <c r="B516" t="str">
        <v>Shift / Production Supervisor</v>
      </c>
      <c r="C516" t="str">
        <v/>
      </c>
      <c r="D516" t="str">
        <f>IF($C516="","",IFERROR(IF($E516="machine",INDEX('JLR Machines'!$B:$B,MATCH($C516,'JLR Machines'!$A:$A,0)),IF($E516="material",INDEX('JLR Materials'!$B:$B,MATCH($C516,'JLR Materials'!$A:$A,0)),IF($E516="labour",IFERROR(INDEX('JLR Labour'!$B:$B,MATCH($C516,'JLR Labour'!$A:$A,0)),"labour category "&amp;$C516&amp;" — from the machine tab"),""))),"NOT FOUND — check the code"))</f>
        <v/>
      </c>
      <c r="E516" t="str">
        <v>labour</v>
      </c>
    </row>
    <row r="517">
      <c r="A517" t="str">
        <v>lab-uk-forge</v>
      </c>
      <c r="B517" t="str">
        <v>Forge Operator / Hammer-man</v>
      </c>
      <c r="C517" t="str">
        <v/>
      </c>
      <c r="D517" t="str">
        <f>IF($C517="","",IFERROR(IF($E517="machine",INDEX('JLR Machines'!$B:$B,MATCH($C517,'JLR Machines'!$A:$A,0)),IF($E517="material",INDEX('JLR Materials'!$B:$B,MATCH($C517,'JLR Materials'!$A:$A,0)),IF($E517="labour",IFERROR(INDEX('JLR Labour'!$B:$B,MATCH($C517,'JLR Labour'!$A:$A,0)),"labour category "&amp;$C517&amp;" — from the machine tab"),""))),"NOT FOUND — check the code"))</f>
        <v/>
      </c>
      <c r="E517" t="str">
        <v>labour</v>
      </c>
    </row>
    <row r="518">
      <c r="A518" t="str">
        <v>lab-uk-furnace</v>
      </c>
      <c r="B518" t="str">
        <v>Furnace / Heat Operator</v>
      </c>
      <c r="C518" t="str">
        <v/>
      </c>
      <c r="D518" t="str">
        <f>IF($C518="","",IFERROR(IF($E518="machine",INDEX('JLR Machines'!$B:$B,MATCH($C518,'JLR Machines'!$A:$A,0)),IF($E518="material",INDEX('JLR Materials'!$B:$B,MATCH($C518,'JLR Materials'!$A:$A,0)),IF($E518="labour",IFERROR(INDEX('JLR Labour'!$B:$B,MATCH($C518,'JLR Labour'!$A:$A,0)),"labour category "&amp;$C518&amp;" — from the machine tab"),""))),"NOT FOUND — check the code"))</f>
        <v/>
      </c>
      <c r="E518" t="str">
        <v>labour</v>
      </c>
    </row>
    <row r="519">
      <c r="A519" t="str">
        <v>lab-uk-blow</v>
      </c>
      <c r="B519" t="str">
        <v>Blow Moulding Operator</v>
      </c>
      <c r="C519" t="str">
        <v/>
      </c>
      <c r="D519" t="str">
        <f>IF($C519="","",IFERROR(IF($E519="machine",INDEX('JLR Machines'!$B:$B,MATCH($C519,'JLR Machines'!$A:$A,0)),IF($E519="material",INDEX('JLR Materials'!$B:$B,MATCH($C519,'JLR Materials'!$A:$A,0)),IF($E519="labour",IFERROR(INDEX('JLR Labour'!$B:$B,MATCH($C519,'JLR Labour'!$A:$A,0)),"labour category "&amp;$C519&amp;" — from the machine tab"),""))),"NOT FOUND — check the code"))</f>
        <v/>
      </c>
      <c r="E519" t="str">
        <v>labour</v>
      </c>
    </row>
    <row r="520">
      <c r="A520" t="str">
        <v>lab-uk-roto</v>
      </c>
      <c r="B520" t="str">
        <v>Rotational Moulding Operator</v>
      </c>
      <c r="C520" t="str">
        <v/>
      </c>
      <c r="D520" t="str">
        <f>IF($C520="","",IFERROR(IF($E520="machine",INDEX('JLR Machines'!$B:$B,MATCH($C520,'JLR Machines'!$A:$A,0)),IF($E520="material",INDEX('JLR Materials'!$B:$B,MATCH($C520,'JLR Materials'!$A:$A,0)),IF($E520="labour",IFERROR(INDEX('JLR Labour'!$B:$B,MATCH($C520,'JLR Labour'!$A:$A,0)),"labour category "&amp;$C520&amp;" — from the machine tab"),""))),"NOT FOUND — check the code"))</f>
        <v/>
      </c>
      <c r="E520" t="str">
        <v>labour</v>
      </c>
    </row>
    <row r="521">
      <c r="A521" t="str">
        <v>lab-uk-thermoform</v>
      </c>
      <c r="B521" t="str">
        <v>Thermoforming Operator</v>
      </c>
      <c r="C521" t="str">
        <v/>
      </c>
      <c r="D521" t="str">
        <f>IF($C521="","",IFERROR(IF($E521="machine",INDEX('JLR Machines'!$B:$B,MATCH($C521,'JLR Machines'!$A:$A,0)),IF($E521="material",INDEX('JLR Materials'!$B:$B,MATCH($C521,'JLR Materials'!$A:$A,0)),IF($E521="labour",IFERROR(INDEX('JLR Labour'!$B:$B,MATCH($C521,'JLR Labour'!$A:$A,0)),"labour category "&amp;$C521&amp;" — from the machine tab"),""))),"NOT FOUND — check the code"))</f>
        <v/>
      </c>
      <c r="E521" t="str">
        <v>labour</v>
      </c>
    </row>
    <row r="522">
      <c r="A522" t="str">
        <v>lab-uk-trim-router</v>
      </c>
      <c r="B522" t="str">
        <v>CNC Trim / Router Operator</v>
      </c>
      <c r="C522" t="str">
        <v/>
      </c>
      <c r="D522" t="str">
        <f>IF($C522="","",IFERROR(IF($E522="machine",INDEX('JLR Machines'!$B:$B,MATCH($C522,'JLR Machines'!$A:$A,0)),IF($E522="material",INDEX('JLR Materials'!$B:$B,MATCH($C522,'JLR Materials'!$A:$A,0)),IF($E522="labour",IFERROR(INDEX('JLR Labour'!$B:$B,MATCH($C522,'JLR Labour'!$A:$A,0)),"labour category "&amp;$C522&amp;" — from the machine tab"),""))),"NOT FOUND — check the code"))</f>
        <v/>
      </c>
      <c r="E522" t="str">
        <v>labour</v>
      </c>
    </row>
    <row r="523">
      <c r="A523" t="str">
        <v>lab-de-skilled</v>
      </c>
      <c r="B523" t="str">
        <v>Skilled Machinist</v>
      </c>
      <c r="C523" t="str">
        <v/>
      </c>
      <c r="D523" t="str">
        <f>IF($C523="","",IFERROR(IF($E523="machine",INDEX('JLR Machines'!$B:$B,MATCH($C523,'JLR Machines'!$A:$A,0)),IF($E523="material",INDEX('JLR Materials'!$B:$B,MATCH($C523,'JLR Materials'!$A:$A,0)),IF($E523="labour",IFERROR(INDEX('JLR Labour'!$B:$B,MATCH($C523,'JLR Labour'!$A:$A,0)),"labour category "&amp;$C523&amp;" — from the machine tab"),""))),"NOT FOUND — check the code"))</f>
        <v/>
      </c>
      <c r="E523" t="str">
        <v>labour</v>
      </c>
    </row>
    <row r="524">
      <c r="A524" t="str">
        <v>lab-pl-skilled</v>
      </c>
      <c r="B524" t="str">
        <v>Skilled Machinist</v>
      </c>
      <c r="C524" t="str">
        <v/>
      </c>
      <c r="D524" t="str">
        <f>IF($C524="","",IFERROR(IF($E524="machine",INDEX('JLR Machines'!$B:$B,MATCH($C524,'JLR Machines'!$A:$A,0)),IF($E524="material",INDEX('JLR Materials'!$B:$B,MATCH($C524,'JLR Materials'!$A:$A,0)),IF($E524="labour",IFERROR(INDEX('JLR Labour'!$B:$B,MATCH($C524,'JLR Labour'!$A:$A,0)),"labour category "&amp;$C524&amp;" — from the machine tab"),""))),"NOT FOUND — check the code"))</f>
        <v/>
      </c>
      <c r="E524" t="str">
        <v>labour</v>
      </c>
    </row>
    <row r="525">
      <c r="A525" t="str">
        <v>lab-mx-skilled</v>
      </c>
      <c r="B525" t="str">
        <v>Skilled Machinist</v>
      </c>
      <c r="C525" t="str">
        <v/>
      </c>
      <c r="D525" t="str">
        <f>IF($C525="","",IFERROR(IF($E525="machine",INDEX('JLR Machines'!$B:$B,MATCH($C525,'JLR Machines'!$A:$A,0)),IF($E525="material",INDEX('JLR Materials'!$B:$B,MATCH($C525,'JLR Materials'!$A:$A,0)),IF($E525="labour",IFERROR(INDEX('JLR Labour'!$B:$B,MATCH($C525,'JLR Labour'!$A:$A,0)),"labour category "&amp;$C525&amp;" — from the machine tab"),""))),"NOT FOUND — check the code"))</f>
        <v/>
      </c>
      <c r="E525" t="str">
        <v>labour</v>
      </c>
    </row>
    <row r="526">
      <c r="A526" t="str">
        <v>lab-uk-electronics</v>
      </c>
      <c r="B526" t="str">
        <v>SMT / Electronics Operator</v>
      </c>
      <c r="C526" t="str">
        <v/>
      </c>
      <c r="D526" t="str">
        <f>IF($C526="","",IFERROR(IF($E526="machine",INDEX('JLR Machines'!$B:$B,MATCH($C526,'JLR Machines'!$A:$A,0)),IF($E526="material",INDEX('JLR Materials'!$B:$B,MATCH($C526,'JLR Materials'!$A:$A,0)),IF($E526="labour",IFERROR(INDEX('JLR Labour'!$B:$B,MATCH($C526,'JLR Labour'!$A:$A,0)),"labour category "&amp;$C526&amp;" — from the machine tab"),""))),"NOT FOUND — check the code"))</f>
        <v/>
      </c>
      <c r="E526" t="str">
        <v>labour</v>
      </c>
    </row>
    <row r="527">
      <c r="A527" t="str">
        <v>lab-de-semiskilled</v>
      </c>
      <c r="B527" t="str">
        <v>Semi-skilled Operator</v>
      </c>
      <c r="C527" t="str">
        <v/>
      </c>
      <c r="D527" t="str">
        <f>IF($C527="","",IFERROR(IF($E527="machine",INDEX('JLR Machines'!$B:$B,MATCH($C527,'JLR Machines'!$A:$A,0)),IF($E527="material",INDEX('JLR Materials'!$B:$B,MATCH($C527,'JLR Materials'!$A:$A,0)),IF($E527="labour",IFERROR(INDEX('JLR Labour'!$B:$B,MATCH($C527,'JLR Labour'!$A:$A,0)),"labour category "&amp;$C527&amp;" — from the machine tab"),""))),"NOT FOUND — check the code"))</f>
        <v/>
      </c>
      <c r="E527" t="str">
        <v>labour</v>
      </c>
    </row>
    <row r="528">
      <c r="A528" t="str">
        <v>lab-de-foundry</v>
      </c>
      <c r="B528" t="str">
        <v>Foundry Operative</v>
      </c>
      <c r="C528" t="str">
        <v/>
      </c>
      <c r="D528" t="str">
        <f>IF($C528="","",IFERROR(IF($E528="machine",INDEX('JLR Machines'!$B:$B,MATCH($C528,'JLR Machines'!$A:$A,0)),IF($E528="material",INDEX('JLR Materials'!$B:$B,MATCH($C528,'JLR Materials'!$A:$A,0)),IF($E528="labour",IFERROR(INDEX('JLR Labour'!$B:$B,MATCH($C528,'JLR Labour'!$A:$A,0)),"labour category "&amp;$C528&amp;" — from the machine tab"),""))),"NOT FOUND — check the code"))</f>
        <v/>
      </c>
      <c r="E528" t="str">
        <v>labour</v>
      </c>
    </row>
    <row r="529">
      <c r="A529" t="str">
        <v>lab-de-electronics</v>
      </c>
      <c r="B529" t="str">
        <v>SMT / Electronics Operator</v>
      </c>
      <c r="C529" t="str">
        <v/>
      </c>
      <c r="D529" t="str">
        <f>IF($C529="","",IFERROR(IF($E529="machine",INDEX('JLR Machines'!$B:$B,MATCH($C529,'JLR Machines'!$A:$A,0)),IF($E529="material",INDEX('JLR Materials'!$B:$B,MATCH($C529,'JLR Materials'!$A:$A,0)),IF($E529="labour",IFERROR(INDEX('JLR Labour'!$B:$B,MATCH($C529,'JLR Labour'!$A:$A,0)),"labour category "&amp;$C529&amp;" — from the machine tab"),""))),"NOT FOUND — check the code"))</f>
        <v/>
      </c>
      <c r="E529" t="str">
        <v>labour</v>
      </c>
    </row>
    <row r="530">
      <c r="A530" t="str">
        <v>lab-de-engineer</v>
      </c>
      <c r="B530" t="str">
        <v>Process Engineer</v>
      </c>
      <c r="C530" t="str">
        <v/>
      </c>
      <c r="D530" t="str">
        <f>IF($C530="","",IFERROR(IF($E530="machine",INDEX('JLR Machines'!$B:$B,MATCH($C530,'JLR Machines'!$A:$A,0)),IF($E530="material",INDEX('JLR Materials'!$B:$B,MATCH($C530,'JLR Materials'!$A:$A,0)),IF($E530="labour",IFERROR(INDEX('JLR Labour'!$B:$B,MATCH($C530,'JLR Labour'!$A:$A,0)),"labour category "&amp;$C530&amp;" — from the machine tab"),""))),"NOT FOUND — check the code"))</f>
        <v/>
      </c>
      <c r="E530" t="str">
        <v>labour</v>
      </c>
    </row>
    <row r="531">
      <c r="A531" t="str">
        <v>lab-pl-semiskilled</v>
      </c>
      <c r="B531" t="str">
        <v>Semi-skilled Operator</v>
      </c>
      <c r="C531" t="str">
        <v/>
      </c>
      <c r="D531" t="str">
        <f>IF($C531="","",IFERROR(IF($E531="machine",INDEX('JLR Machines'!$B:$B,MATCH($C531,'JLR Machines'!$A:$A,0)),IF($E531="material",INDEX('JLR Materials'!$B:$B,MATCH($C531,'JLR Materials'!$A:$A,0)),IF($E531="labour",IFERROR(INDEX('JLR Labour'!$B:$B,MATCH($C531,'JLR Labour'!$A:$A,0)),"labour category "&amp;$C531&amp;" — from the machine tab"),""))),"NOT FOUND — check the code"))</f>
        <v/>
      </c>
      <c r="E531" t="str">
        <v>labour</v>
      </c>
    </row>
    <row r="532">
      <c r="A532" t="str">
        <v>lab-pl-electronics</v>
      </c>
      <c r="B532" t="str">
        <v>SMT / Electronics Operator</v>
      </c>
      <c r="C532" t="str">
        <v/>
      </c>
      <c r="D532" t="str">
        <f>IF($C532="","",IFERROR(IF($E532="machine",INDEX('JLR Machines'!$B:$B,MATCH($C532,'JLR Machines'!$A:$A,0)),IF($E532="material",INDEX('JLR Materials'!$B:$B,MATCH($C532,'JLR Materials'!$A:$A,0)),IF($E532="labour",IFERROR(INDEX('JLR Labour'!$B:$B,MATCH($C532,'JLR Labour'!$A:$A,0)),"labour category "&amp;$C532&amp;" — from the machine tab"),""))),"NOT FOUND — check the code"))</f>
        <v/>
      </c>
      <c r="E532" t="str">
        <v>labour</v>
      </c>
    </row>
    <row r="533">
      <c r="A533" t="str">
        <v>lab-pl-foundry</v>
      </c>
      <c r="B533" t="str">
        <v>Foundry Operative</v>
      </c>
      <c r="C533" t="str">
        <v/>
      </c>
      <c r="D533" t="str">
        <f>IF($C533="","",IFERROR(IF($E533="machine",INDEX('JLR Machines'!$B:$B,MATCH($C533,'JLR Machines'!$A:$A,0)),IF($E533="material",INDEX('JLR Materials'!$B:$B,MATCH($C533,'JLR Materials'!$A:$A,0)),IF($E533="labour",IFERROR(INDEX('JLR Labour'!$B:$B,MATCH($C533,'JLR Labour'!$A:$A,0)),"labour category "&amp;$C533&amp;" — from the machine tab"),""))),"NOT FOUND — check the code"))</f>
        <v/>
      </c>
      <c r="E533" t="str">
        <v>labour</v>
      </c>
    </row>
    <row r="534">
      <c r="A534" t="str">
        <v>lab-cn-semiskilled</v>
      </c>
      <c r="B534" t="str">
        <v>Semi-skilled Operator</v>
      </c>
      <c r="C534" t="str">
        <v/>
      </c>
      <c r="D534" t="str">
        <f>IF($C534="","",IFERROR(IF($E534="machine",INDEX('JLR Machines'!$B:$B,MATCH($C534,'JLR Machines'!$A:$A,0)),IF($E534="material",INDEX('JLR Materials'!$B:$B,MATCH($C534,'JLR Materials'!$A:$A,0)),IF($E534="labour",IFERROR(INDEX('JLR Labour'!$B:$B,MATCH($C534,'JLR Labour'!$A:$A,0)),"labour category "&amp;$C534&amp;" — from the machine tab"),""))),"NOT FOUND — check the code"))</f>
        <v/>
      </c>
      <c r="E534" t="str">
        <v>labour</v>
      </c>
    </row>
    <row r="535">
      <c r="A535" t="str">
        <v>lab-cn-electronics</v>
      </c>
      <c r="B535" t="str">
        <v>SMT / Electronics Operator</v>
      </c>
      <c r="C535" t="str">
        <v/>
      </c>
      <c r="D535" t="str">
        <f>IF($C535="","",IFERROR(IF($E535="machine",INDEX('JLR Machines'!$B:$B,MATCH($C535,'JLR Machines'!$A:$A,0)),IF($E535="material",INDEX('JLR Materials'!$B:$B,MATCH($C535,'JLR Materials'!$A:$A,0)),IF($E535="labour",IFERROR(INDEX('JLR Labour'!$B:$B,MATCH($C535,'JLR Labour'!$A:$A,0)),"labour category "&amp;$C535&amp;" — from the machine tab"),""))),"NOT FOUND — check the code"))</f>
        <v/>
      </c>
      <c r="E535" t="str">
        <v>labour</v>
      </c>
    </row>
    <row r="536">
      <c r="A536" t="str">
        <v>lab-cn-engineer</v>
      </c>
      <c r="B536" t="str">
        <v>Process Engineer</v>
      </c>
      <c r="C536" t="str">
        <v/>
      </c>
      <c r="D536" t="str">
        <f>IF($C536="","",IFERROR(IF($E536="machine",INDEX('JLR Machines'!$B:$B,MATCH($C536,'JLR Machines'!$A:$A,0)),IF($E536="material",INDEX('JLR Materials'!$B:$B,MATCH($C536,'JLR Materials'!$A:$A,0)),IF($E536="labour",IFERROR(INDEX('JLR Labour'!$B:$B,MATCH($C536,'JLR Labour'!$A:$A,0)),"labour category "&amp;$C536&amp;" — from the machine tab"),""))),"NOT FOUND — check the code"))</f>
        <v/>
      </c>
      <c r="E536" t="str">
        <v>labour</v>
      </c>
    </row>
    <row r="537">
      <c r="A537" t="str">
        <v>lab-in-semiskilled</v>
      </c>
      <c r="B537" t="str">
        <v>Semi-skilled Operator</v>
      </c>
      <c r="C537" t="str">
        <v/>
      </c>
      <c r="D537" t="str">
        <f>IF($C537="","",IFERROR(IF($E537="machine",INDEX('JLR Machines'!$B:$B,MATCH($C537,'JLR Machines'!$A:$A,0)),IF($E537="material",INDEX('JLR Materials'!$B:$B,MATCH($C537,'JLR Materials'!$A:$A,0)),IF($E537="labour",IFERROR(INDEX('JLR Labour'!$B:$B,MATCH($C537,'JLR Labour'!$A:$A,0)),"labour category "&amp;$C537&amp;" — from the machine tab"),""))),"NOT FOUND — check the code"))</f>
        <v/>
      </c>
      <c r="E537" t="str">
        <v>labour</v>
      </c>
    </row>
    <row r="538">
      <c r="A538" t="str">
        <v>lab-in-electronics</v>
      </c>
      <c r="B538" t="str">
        <v>SMT / Electronics Operator</v>
      </c>
      <c r="C538" t="str">
        <v/>
      </c>
      <c r="D538" t="str">
        <f>IF($C538="","",IFERROR(IF($E538="machine",INDEX('JLR Machines'!$B:$B,MATCH($C538,'JLR Machines'!$A:$A,0)),IF($E538="material",INDEX('JLR Materials'!$B:$B,MATCH($C538,'JLR Materials'!$A:$A,0)),IF($E538="labour",IFERROR(INDEX('JLR Labour'!$B:$B,MATCH($C538,'JLR Labour'!$A:$A,0)),"labour category "&amp;$C538&amp;" — from the machine tab"),""))),"NOT FOUND — check the code"))</f>
        <v/>
      </c>
      <c r="E538" t="str">
        <v>labour</v>
      </c>
    </row>
    <row r="539">
      <c r="A539" t="str">
        <v>lab-in-engineer</v>
      </c>
      <c r="B539" t="str">
        <v>Process Engineer</v>
      </c>
      <c r="C539" t="str">
        <v/>
      </c>
      <c r="D539" t="str">
        <f>IF($C539="","",IFERROR(IF($E539="machine",INDEX('JLR Machines'!$B:$B,MATCH($C539,'JLR Machines'!$A:$A,0)),IF($E539="material",INDEX('JLR Materials'!$B:$B,MATCH($C539,'JLR Materials'!$A:$A,0)),IF($E539="labour",IFERROR(INDEX('JLR Labour'!$B:$B,MATCH($C539,'JLR Labour'!$A:$A,0)),"labour category "&amp;$C539&amp;" — from the machine tab"),""))),"NOT FOUND — check the code"))</f>
        <v/>
      </c>
      <c r="E539" t="str">
        <v>labour</v>
      </c>
    </row>
    <row r="540">
      <c r="A540" t="str">
        <v>lab-mx-semiskilled</v>
      </c>
      <c r="B540" t="str">
        <v>Semi-skilled Operator</v>
      </c>
      <c r="C540" t="str">
        <v/>
      </c>
      <c r="D540" t="str">
        <f>IF($C540="","",IFERROR(IF($E540="machine",INDEX('JLR Machines'!$B:$B,MATCH($C540,'JLR Machines'!$A:$A,0)),IF($E540="material",INDEX('JLR Materials'!$B:$B,MATCH($C540,'JLR Materials'!$A:$A,0)),IF($E540="labour",IFERROR(INDEX('JLR Labour'!$B:$B,MATCH($C540,'JLR Labour'!$A:$A,0)),"labour category "&amp;$C540&amp;" — from the machine tab"),""))),"NOT FOUND — check the code"))</f>
        <v/>
      </c>
      <c r="E540" t="str">
        <v>labour</v>
      </c>
    </row>
    <row r="541">
      <c r="A541" t="str">
        <v>lab-mx-electronics</v>
      </c>
      <c r="B541" t="str">
        <v>SMT / Electronics Operator</v>
      </c>
      <c r="C541" t="str">
        <v/>
      </c>
      <c r="D541" t="str">
        <f>IF($C541="","",IFERROR(IF($E541="machine",INDEX('JLR Machines'!$B:$B,MATCH($C541,'JLR Machines'!$A:$A,0)),IF($E541="material",INDEX('JLR Materials'!$B:$B,MATCH($C541,'JLR Materials'!$A:$A,0)),IF($E541="labour",IFERROR(INDEX('JLR Labour'!$B:$B,MATCH($C541,'JLR Labour'!$A:$A,0)),"labour category "&amp;$C541&amp;" — from the machine tab"),""))),"NOT FOUND — check the code"))</f>
        <v/>
      </c>
      <c r="E541" t="str">
        <v>labour</v>
      </c>
    </row>
    <row r="542">
      <c r="A542" t="str">
        <v>lab-tr-skilled</v>
      </c>
      <c r="B542" t="str">
        <v>Skilled Machinist</v>
      </c>
      <c r="C542" t="str">
        <v/>
      </c>
      <c r="D542" t="str">
        <f>IF($C542="","",IFERROR(IF($E542="machine",INDEX('JLR Machines'!$B:$B,MATCH($C542,'JLR Machines'!$A:$A,0)),IF($E542="material",INDEX('JLR Materials'!$B:$B,MATCH($C542,'JLR Materials'!$A:$A,0)),IF($E542="labour",IFERROR(INDEX('JLR Labour'!$B:$B,MATCH($C542,'JLR Labour'!$A:$A,0)),"labour category "&amp;$C542&amp;" — from the machine tab"),""))),"NOT FOUND — check the code"))</f>
        <v/>
      </c>
      <c r="E542" t="str">
        <v>labour</v>
      </c>
    </row>
    <row r="543">
      <c r="A543" t="str">
        <v>lab-tr-semiskilled</v>
      </c>
      <c r="B543" t="str">
        <v>Semi-skilled Operator</v>
      </c>
      <c r="C543" t="str">
        <v/>
      </c>
      <c r="D543" t="str">
        <f>IF($C543="","",IFERROR(IF($E543="machine",INDEX('JLR Machines'!$B:$B,MATCH($C543,'JLR Machines'!$A:$A,0)),IF($E543="material",INDEX('JLR Materials'!$B:$B,MATCH($C543,'JLR Materials'!$A:$A,0)),IF($E543="labour",IFERROR(INDEX('JLR Labour'!$B:$B,MATCH($C543,'JLR Labour'!$A:$A,0)),"labour category "&amp;$C543&amp;" — from the machine tab"),""))),"NOT FOUND — check the code"))</f>
        <v/>
      </c>
      <c r="E543" t="str">
        <v>labour</v>
      </c>
    </row>
    <row r="544">
      <c r="A544" t="str">
        <v>lab-vn-skilled</v>
      </c>
      <c r="B544" t="str">
        <v>Skilled Machinist</v>
      </c>
      <c r="C544" t="str">
        <v/>
      </c>
      <c r="D544" t="str">
        <f>IF($C544="","",IFERROR(IF($E544="machine",INDEX('JLR Machines'!$B:$B,MATCH($C544,'JLR Machines'!$A:$A,0)),IF($E544="material",INDEX('JLR Materials'!$B:$B,MATCH($C544,'JLR Materials'!$A:$A,0)),IF($E544="labour",IFERROR(INDEX('JLR Labour'!$B:$B,MATCH($C544,'JLR Labour'!$A:$A,0)),"labour category "&amp;$C544&amp;" — from the machine tab"),""))),"NOT FOUND — check the code"))</f>
        <v/>
      </c>
      <c r="E544" t="str">
        <v>labour</v>
      </c>
    </row>
    <row r="545">
      <c r="A545" t="str">
        <v>lab-vn-semiskilled</v>
      </c>
      <c r="B545" t="str">
        <v>Semi-skilled Operator</v>
      </c>
      <c r="C545" t="str">
        <v/>
      </c>
      <c r="D545" t="str">
        <f>IF($C545="","",IFERROR(IF($E545="machine",INDEX('JLR Machines'!$B:$B,MATCH($C545,'JLR Machines'!$A:$A,0)),IF($E545="material",INDEX('JLR Materials'!$B:$B,MATCH($C545,'JLR Materials'!$A:$A,0)),IF($E545="labour",IFERROR(INDEX('JLR Labour'!$B:$B,MATCH($C545,'JLR Labour'!$A:$A,0)),"labour category "&amp;$C545&amp;" — from the machine tab"),""))),"NOT FOUND — check the code"))</f>
        <v/>
      </c>
      <c r="E545" t="str">
        <v>labour</v>
      </c>
    </row>
    <row r="546">
      <c r="A546" t="str">
        <v>lab-kr-skilled</v>
      </c>
      <c r="B546" t="str">
        <v>Skilled Machinist</v>
      </c>
      <c r="C546" t="str">
        <v/>
      </c>
      <c r="D546" t="str">
        <f>IF($C546="","",IFERROR(IF($E546="machine",INDEX('JLR Machines'!$B:$B,MATCH($C546,'JLR Machines'!$A:$A,0)),IF($E546="material",INDEX('JLR Materials'!$B:$B,MATCH($C546,'JLR Materials'!$A:$A,0)),IF($E546="labour",IFERROR(INDEX('JLR Labour'!$B:$B,MATCH($C546,'JLR Labour'!$A:$A,0)),"labour category "&amp;$C546&amp;" — from the machine tab"),""))),"NOT FOUND — check the code"))</f>
        <v/>
      </c>
      <c r="E546" t="str">
        <v>labour</v>
      </c>
    </row>
    <row r="547">
      <c r="A547" t="str">
        <v>lab-kr-electronics</v>
      </c>
      <c r="B547" t="str">
        <v>SMT / Electronics Operator</v>
      </c>
      <c r="C547" t="str">
        <v/>
      </c>
      <c r="D547" t="str">
        <f>IF($C547="","",IFERROR(IF($E547="machine",INDEX('JLR Machines'!$B:$B,MATCH($C547,'JLR Machines'!$A:$A,0)),IF($E547="material",INDEX('JLR Materials'!$B:$B,MATCH($C547,'JLR Materials'!$A:$A,0)),IF($E547="labour",IFERROR(INDEX('JLR Labour'!$B:$B,MATCH($C547,'JLR Labour'!$A:$A,0)),"labour category "&amp;$C547&amp;" — from the machine tab"),""))),"NOT FOUND — check the code"))</f>
        <v/>
      </c>
      <c r="E547" t="str">
        <v>labour</v>
      </c>
    </row>
    <row r="548">
      <c r="A548" t="str">
        <v>lab-ro-skilled</v>
      </c>
      <c r="B548" t="str">
        <v>Skilled Machinist</v>
      </c>
      <c r="C548" t="str">
        <v/>
      </c>
      <c r="D548" t="str">
        <f>IF($C548="","",IFERROR(IF($E548="machine",INDEX('JLR Machines'!$B:$B,MATCH($C548,'JLR Machines'!$A:$A,0)),IF($E548="material",INDEX('JLR Materials'!$B:$B,MATCH($C548,'JLR Materials'!$A:$A,0)),IF($E548="labour",IFERROR(INDEX('JLR Labour'!$B:$B,MATCH($C548,'JLR Labour'!$A:$A,0)),"labour category "&amp;$C548&amp;" — from the machine tab"),""))),"NOT FOUND — check the code"))</f>
        <v/>
      </c>
      <c r="E548" t="str">
        <v>labour</v>
      </c>
    </row>
    <row r="549">
      <c r="A549" t="str">
        <v>lab-ro-semiskilled</v>
      </c>
      <c r="B549" t="str">
        <v>Semi-skilled Operator</v>
      </c>
      <c r="C549" t="str">
        <v/>
      </c>
      <c r="D549" t="str">
        <f>IF($C549="","",IFERROR(IF($E549="machine",INDEX('JLR Machines'!$B:$B,MATCH($C549,'JLR Machines'!$A:$A,0)),IF($E549="material",INDEX('JLR Materials'!$B:$B,MATCH($C549,'JLR Materials'!$A:$A,0)),IF($E549="labour",IFERROR(INDEX('JLR Labour'!$B:$B,MATCH($C549,'JLR Labour'!$A:$A,0)),"labour category "&amp;$C549&amp;" — from the machine tab"),""))),"NOT FOUND — check the code"))</f>
        <v/>
      </c>
      <c r="E549" t="str">
        <v>labour</v>
      </c>
    </row>
    <row r="550">
      <c r="A550" t="str">
        <v>energy-uk</v>
      </c>
      <c r="B550" t="str">
        <v>Energy — UK</v>
      </c>
      <c r="C550" t="str">
        <v/>
      </c>
      <c r="D550" t="str">
        <f>IF($C550="","",IFERROR(IF($E550="machine",INDEX('JLR Machines'!$B:$B,MATCH($C550,'JLR Machines'!$A:$A,0)),IF($E550="material",INDEX('JLR Materials'!$B:$B,MATCH($C550,'JLR Materials'!$A:$A,0)),IF($E550="labour",IFERROR(INDEX('JLR Labour'!$B:$B,MATCH($C550,'JLR Labour'!$A:$A,0)),"labour category "&amp;$C550&amp;" — from the machine tab"),""))),"NOT FOUND — check the code"))</f>
        <v/>
      </c>
      <c r="E550" t="str">
        <v>energy</v>
      </c>
    </row>
    <row r="551">
      <c r="A551" t="str">
        <v>energy-eu</v>
      </c>
      <c r="B551" t="str">
        <v>Energy — EU</v>
      </c>
      <c r="C551" t="str">
        <v/>
      </c>
      <c r="D551" t="str">
        <f>IF($C551="","",IFERROR(IF($E551="machine",INDEX('JLR Machines'!$B:$B,MATCH($C551,'JLR Machines'!$A:$A,0)),IF($E551="material",INDEX('JLR Materials'!$B:$B,MATCH($C551,'JLR Materials'!$A:$A,0)),IF($E551="labour",IFERROR(INDEX('JLR Labour'!$B:$B,MATCH($C551,'JLR Labour'!$A:$A,0)),"labour category "&amp;$C551&amp;" — from the machine tab"),""))),"NOT FOUND — check the code"))</f>
        <v/>
      </c>
      <c r="E551" t="str">
        <v>energy</v>
      </c>
    </row>
    <row r="552">
      <c r="A552" t="str">
        <v>energy-de</v>
      </c>
      <c r="B552" t="str">
        <v>Energy — Germany</v>
      </c>
      <c r="C552" t="str">
        <v/>
      </c>
      <c r="D552" t="str">
        <f>IF($C552="","",IFERROR(IF($E552="machine",INDEX('JLR Machines'!$B:$B,MATCH($C552,'JLR Machines'!$A:$A,0)),IF($E552="material",INDEX('JLR Materials'!$B:$B,MATCH($C552,'JLR Materials'!$A:$A,0)),IF($E552="labour",IFERROR(INDEX('JLR Labour'!$B:$B,MATCH($C552,'JLR Labour'!$A:$A,0)),"labour category "&amp;$C552&amp;" — from the machine tab"),""))),"NOT FOUND — check the code"))</f>
        <v/>
      </c>
      <c r="E552" t="str">
        <v>energy</v>
      </c>
    </row>
    <row r="553">
      <c r="A553" t="str">
        <v>energy-pl</v>
      </c>
      <c r="B553" t="str">
        <v>Energy — Poland</v>
      </c>
      <c r="C553" t="str">
        <v/>
      </c>
      <c r="D553" t="str">
        <f>IF($C553="","",IFERROR(IF($E553="machine",INDEX('JLR Machines'!$B:$B,MATCH($C553,'JLR Machines'!$A:$A,0)),IF($E553="material",INDEX('JLR Materials'!$B:$B,MATCH($C553,'JLR Materials'!$A:$A,0)),IF($E553="labour",IFERROR(INDEX('JLR Labour'!$B:$B,MATCH($C553,'JLR Labour'!$A:$A,0)),"labour category "&amp;$C553&amp;" — from the machine tab"),""))),"NOT FOUND — check the code"))</f>
        <v/>
      </c>
      <c r="E553" t="str">
        <v>energy</v>
      </c>
    </row>
    <row r="554">
      <c r="A554" t="str">
        <v>energy-cn</v>
      </c>
      <c r="B554" t="str">
        <v>Energy — China</v>
      </c>
      <c r="C554" t="str">
        <v/>
      </c>
      <c r="D554" t="str">
        <f>IF($C554="","",IFERROR(IF($E554="machine",INDEX('JLR Machines'!$B:$B,MATCH($C554,'JLR Machines'!$A:$A,0)),IF($E554="material",INDEX('JLR Materials'!$B:$B,MATCH($C554,'JLR Materials'!$A:$A,0)),IF($E554="labour",IFERROR(INDEX('JLR Labour'!$B:$B,MATCH($C554,'JLR Labour'!$A:$A,0)),"labour category "&amp;$C554&amp;" — from the machine tab"),""))),"NOT FOUND — check the code"))</f>
        <v/>
      </c>
      <c r="E554" t="str">
        <v>energy</v>
      </c>
    </row>
    <row r="555">
      <c r="A555" t="str">
        <v>energy-in</v>
      </c>
      <c r="B555" t="str">
        <v>Energy — India</v>
      </c>
      <c r="C555" t="str">
        <v/>
      </c>
      <c r="D555" t="str">
        <f>IF($C555="","",IFERROR(IF($E555="machine",INDEX('JLR Machines'!$B:$B,MATCH($C555,'JLR Machines'!$A:$A,0)),IF($E555="material",INDEX('JLR Materials'!$B:$B,MATCH($C555,'JLR Materials'!$A:$A,0)),IF($E555="labour",IFERROR(INDEX('JLR Labour'!$B:$B,MATCH($C555,'JLR Labour'!$A:$A,0)),"labour category "&amp;$C555&amp;" — from the machine tab"),""))),"NOT FOUND — check the code"))</f>
        <v/>
      </c>
      <c r="E555" t="str">
        <v>energy</v>
      </c>
    </row>
    <row r="556">
      <c r="A556" t="str">
        <v>energy-mx</v>
      </c>
      <c r="B556" t="str">
        <v>Energy — Mexico</v>
      </c>
      <c r="C556" t="str">
        <v/>
      </c>
      <c r="D556" t="str">
        <f>IF($C556="","",IFERROR(IF($E556="machine",INDEX('JLR Machines'!$B:$B,MATCH($C556,'JLR Machines'!$A:$A,0)),IF($E556="material",INDEX('JLR Materials'!$B:$B,MATCH($C556,'JLR Materials'!$A:$A,0)),IF($E556="labour",IFERROR(INDEX('JLR Labour'!$B:$B,MATCH($C556,'JLR Labour'!$A:$A,0)),"labour category "&amp;$C556&amp;" — from the machine tab"),""))),"NOT FOUND — check the code"))</f>
        <v/>
      </c>
      <c r="E556" t="str">
        <v>energy</v>
      </c>
    </row>
    <row r="557">
      <c r="A557" t="str">
        <v>energy-tr</v>
      </c>
      <c r="B557" t="str">
        <v>Energy — Turkey</v>
      </c>
      <c r="C557" t="str">
        <v/>
      </c>
      <c r="D557" t="str">
        <f>IF($C557="","",IFERROR(IF($E557="machine",INDEX('JLR Machines'!$B:$B,MATCH($C557,'JLR Machines'!$A:$A,0)),IF($E557="material",INDEX('JLR Materials'!$B:$B,MATCH($C557,'JLR Materials'!$A:$A,0)),IF($E557="labour",IFERROR(INDEX('JLR Labour'!$B:$B,MATCH($C557,'JLR Labour'!$A:$A,0)),"labour category "&amp;$C557&amp;" — from the machine tab"),""))),"NOT FOUND — check the code"))</f>
        <v/>
      </c>
      <c r="E557" t="str">
        <v>energy</v>
      </c>
    </row>
    <row r="558">
      <c r="A558" t="str">
        <v>energy-kr</v>
      </c>
      <c r="B558" t="str">
        <v>Energy — South Korea</v>
      </c>
      <c r="C558" t="str">
        <v/>
      </c>
      <c r="D558" t="str">
        <f>IF($C558="","",IFERROR(IF($E558="machine",INDEX('JLR Machines'!$B:$B,MATCH($C558,'JLR Machines'!$A:$A,0)),IF($E558="material",INDEX('JLR Materials'!$B:$B,MATCH($C558,'JLR Materials'!$A:$A,0)),IF($E558="labour",IFERROR(INDEX('JLR Labour'!$B:$B,MATCH($C558,'JLR Labour'!$A:$A,0)),"labour category "&amp;$C558&amp;" — from the machine tab"),""))),"NOT FOUND — check the code"))</f>
        <v/>
      </c>
      <c r="E558" t="str">
        <v>energy</v>
      </c>
    </row>
    <row r="559">
      <c r="A559" t="str">
        <v>energy-vn</v>
      </c>
      <c r="B559" t="str">
        <v>Energy — Vietnam</v>
      </c>
      <c r="C559" t="str">
        <v/>
      </c>
      <c r="D559" t="str">
        <f>IF($C559="","",IFERROR(IF($E559="machine",INDEX('JLR Machines'!$B:$B,MATCH($C559,'JLR Machines'!$A:$A,0)),IF($E559="material",INDEX('JLR Materials'!$B:$B,MATCH($C559,'JLR Materials'!$A:$A,0)),IF($E559="labour",IFERROR(INDEX('JLR Labour'!$B:$B,MATCH($C559,'JLR Labour'!$A:$A,0)),"labour category "&amp;$C559&amp;" — from the machine tab"),""))),"NOT FOUND — check the code"))</f>
        <v/>
      </c>
      <c r="E559" t="str">
        <v>energy</v>
      </c>
    </row>
    <row r="560">
      <c r="A560" t="str">
        <v>energy-ro</v>
      </c>
      <c r="B560" t="str">
        <v>Energy — Romania</v>
      </c>
      <c r="C560" t="str">
        <v/>
      </c>
      <c r="D560" t="str">
        <f>IF($C560="","",IFERROR(IF($E560="machine",INDEX('JLR Machines'!$B:$B,MATCH($C560,'JLR Machines'!$A:$A,0)),IF($E560="material",INDEX('JLR Materials'!$B:$B,MATCH($C560,'JLR Materials'!$A:$A,0)),IF($E560="labour",IFERROR(INDEX('JLR Labour'!$B:$B,MATCH($C560,'JLR Labour'!$A:$A,0)),"labour category "&amp;$C560&amp;" — from the machine tab"),""))),"NOT FOUND — check the code"))</f>
        <v/>
      </c>
      <c r="E560" t="str">
        <v>energy</v>
      </c>
    </row>
    <row r="561">
      <c r="A561" t="str">
        <v>fx-gbp-eur</v>
      </c>
      <c r="B561" t="str">
        <v>GBP to EUR</v>
      </c>
      <c r="C561" t="str">
        <v/>
      </c>
      <c r="D561" t="str">
        <f>IF($C561="","",IFERROR(IF($E561="machine",INDEX('JLR Machines'!$B:$B,MATCH($C561,'JLR Machines'!$A:$A,0)),IF($E561="material",INDEX('JLR Materials'!$B:$B,MATCH($C561,'JLR Materials'!$A:$A,0)),IF($E561="labour",IFERROR(INDEX('JLR Labour'!$B:$B,MATCH($C561,'JLR Labour'!$A:$A,0)),"labour category "&amp;$C561&amp;" — from the machine tab"),""))),"NOT FOUND — check the code"))</f>
        <v/>
      </c>
      <c r="E561" t="str">
        <v>fx</v>
      </c>
    </row>
    <row r="562">
      <c r="A562" t="str">
        <v>fx-gbp-usd</v>
      </c>
      <c r="B562" t="str">
        <v>GBP to USD</v>
      </c>
      <c r="C562" t="str">
        <v/>
      </c>
      <c r="D562" t="str">
        <f>IF($C562="","",IFERROR(IF($E562="machine",INDEX('JLR Machines'!$B:$B,MATCH($C562,'JLR Machines'!$A:$A,0)),IF($E562="material",INDEX('JLR Materials'!$B:$B,MATCH($C562,'JLR Materials'!$A:$A,0)),IF($E562="labour",IFERROR(INDEX('JLR Labour'!$B:$B,MATCH($C562,'JLR Labour'!$A:$A,0)),"labour category "&amp;$C562&amp;" — from the machine tab"),""))),"NOT FOUND — check the code"))</f>
        <v/>
      </c>
      <c r="E562" t="str">
        <v>fx</v>
      </c>
    </row>
    <row r="563">
      <c r="A563" t="str">
        <v>fx-gbp-inr</v>
      </c>
      <c r="B563" t="str">
        <v>GBP to INR</v>
      </c>
      <c r="C563" t="str">
        <v/>
      </c>
      <c r="D563" t="str">
        <f>IF($C563="","",IFERROR(IF($E563="machine",INDEX('JLR Machines'!$B:$B,MATCH($C563,'JLR Machines'!$A:$A,0)),IF($E563="material",INDEX('JLR Materials'!$B:$B,MATCH($C563,'JLR Materials'!$A:$A,0)),IF($E563="labour",IFERROR(INDEX('JLR Labour'!$B:$B,MATCH($C563,'JLR Labour'!$A:$A,0)),"labour category "&amp;$C563&amp;" — from the machine tab"),""))),"NOT FOUND — check the code"))</f>
        <v/>
      </c>
      <c r="E563" t="str">
        <v>fx</v>
      </c>
    </row>
    <row r="564">
      <c r="A564" t="str">
        <v>fx-gbp-cny</v>
      </c>
      <c r="B564" t="str">
        <v>GBP to CNY</v>
      </c>
      <c r="C564" t="str">
        <v/>
      </c>
      <c r="D564" t="str">
        <f>IF($C564="","",IFERROR(IF($E564="machine",INDEX('JLR Machines'!$B:$B,MATCH($C564,'JLR Machines'!$A:$A,0)),IF($E564="material",INDEX('JLR Materials'!$B:$B,MATCH($C564,'JLR Materials'!$A:$A,0)),IF($E564="labour",IFERROR(INDEX('JLR Labour'!$B:$B,MATCH($C564,'JLR Labour'!$A:$A,0)),"labour category "&amp;$C564&amp;" — from the machine tab"),""))),"NOT FOUND — check the code"))</f>
        <v/>
      </c>
      <c r="E564" t="str">
        <v>fx</v>
      </c>
    </row>
    <row r="565">
      <c r="A565" t="str">
        <v>fx-gbp-mxn</v>
      </c>
      <c r="B565" t="str">
        <v>GBP to MXN</v>
      </c>
      <c r="C565" t="str">
        <v/>
      </c>
      <c r="D565" t="str">
        <f>IF($C565="","",IFERROR(IF($E565="machine",INDEX('JLR Machines'!$B:$B,MATCH($C565,'JLR Machines'!$A:$A,0)),IF($E565="material",INDEX('JLR Materials'!$B:$B,MATCH($C565,'JLR Materials'!$A:$A,0)),IF($E565="labour",IFERROR(INDEX('JLR Labour'!$B:$B,MATCH($C565,'JLR Labour'!$A:$A,0)),"labour category "&amp;$C565&amp;" — from the machine tab"),""))),"NOT FOUND — check the code"))</f>
        <v/>
      </c>
      <c r="E565" t="str">
        <v>fx</v>
      </c>
    </row>
    <row r="566">
      <c r="A566" t="str">
        <v>fx-gbp-thb</v>
      </c>
      <c r="B566" t="str">
        <v>GBP to THB</v>
      </c>
      <c r="C566" t="str">
        <v/>
      </c>
      <c r="D566" t="str">
        <f>IF($C566="","",IFERROR(IF($E566="machine",INDEX('JLR Machines'!$B:$B,MATCH($C566,'JLR Machines'!$A:$A,0)),IF($E566="material",INDEX('JLR Materials'!$B:$B,MATCH($C566,'JLR Materials'!$A:$A,0)),IF($E566="labour",IFERROR(INDEX('JLR Labour'!$B:$B,MATCH($C566,'JLR Labour'!$A:$A,0)),"labour category "&amp;$C566&amp;" — from the machine tab"),""))),"NOT FOUND — check the code"))</f>
        <v/>
      </c>
      <c r="E566" t="str">
        <v>fx</v>
      </c>
    </row>
    <row r="567">
      <c r="A567" t="str">
        <v>fx-gbp-vnd</v>
      </c>
      <c r="B567" t="str">
        <v>GBP to VND</v>
      </c>
      <c r="C567" t="str">
        <v/>
      </c>
      <c r="D567" t="str">
        <f>IF($C567="","",IFERROR(IF($E567="machine",INDEX('JLR Machines'!$B:$B,MATCH($C567,'JLR Machines'!$A:$A,0)),IF($E567="material",INDEX('JLR Materials'!$B:$B,MATCH($C567,'JLR Materials'!$A:$A,0)),IF($E567="labour",IFERROR(INDEX('JLR Labour'!$B:$B,MATCH($C567,'JLR Labour'!$A:$A,0)),"labour category "&amp;$C567&amp;" — from the machine tab"),""))),"NOT FOUND — check the code"))</f>
        <v/>
      </c>
      <c r="E567" t="str">
        <v>fx</v>
      </c>
    </row>
    <row r="568">
      <c r="A568" t="str">
        <v>fx-gbp-brl</v>
      </c>
      <c r="B568" t="str">
        <v>GBP to BRL</v>
      </c>
      <c r="C568" t="str">
        <v/>
      </c>
      <c r="D568" t="str">
        <f>IF($C568="","",IFERROR(IF($E568="machine",INDEX('JLR Machines'!$B:$B,MATCH($C568,'JLR Machines'!$A:$A,0)),IF($E568="material",INDEX('JLR Materials'!$B:$B,MATCH($C568,'JLR Materials'!$A:$A,0)),IF($E568="labour",IFERROR(INDEX('JLR Labour'!$B:$B,MATCH($C568,'JLR Labour'!$A:$A,0)),"labour category "&amp;$C568&amp;" — from the machine tab"),""))),"NOT FOUND — check the code"))</f>
        <v/>
      </c>
      <c r="E568" t="str">
        <v>fx</v>
      </c>
    </row>
    <row r="569">
      <c r="A569" t="str">
        <v>fx-gbp-krw</v>
      </c>
      <c r="B569" t="str">
        <v>GBP to KRW</v>
      </c>
      <c r="C569" t="str">
        <v/>
      </c>
      <c r="D569" t="str">
        <f>IF($C569="","",IFERROR(IF($E569="machine",INDEX('JLR Machines'!$B:$B,MATCH($C569,'JLR Machines'!$A:$A,0)),IF($E569="material",INDEX('JLR Materials'!$B:$B,MATCH($C569,'JLR Materials'!$A:$A,0)),IF($E569="labour",IFERROR(INDEX('JLR Labour'!$B:$B,MATCH($C569,'JLR Labour'!$A:$A,0)),"labour category "&amp;$C569&amp;" — from the machine tab"),""))),"NOT FOUND — check the code"))</f>
        <v/>
      </c>
      <c r="E569" t="str">
        <v>fx</v>
      </c>
    </row>
    <row r="570">
      <c r="A570" t="str">
        <v>oh-machining-t2</v>
      </c>
      <c r="B570" t="str">
        <v>machining — Tier 2</v>
      </c>
      <c r="C570" t="str">
        <v/>
      </c>
      <c r="D570" t="str">
        <f>IF($C570="","",IFERROR(IF($E570="machine",INDEX('JLR Machines'!$B:$B,MATCH($C570,'JLR Machines'!$A:$A,0)),IF($E570="material",INDEX('JLR Materials'!$B:$B,MATCH($C570,'JLR Materials'!$A:$A,0)),IF($E570="labour",IFERROR(INDEX('JLR Labour'!$B:$B,MATCH($C570,'JLR Labour'!$A:$A,0)),"labour category "&amp;$C570&amp;" — from the machine tab"),""))),"NOT FOUND — check the code"))</f>
        <v/>
      </c>
      <c r="E570" t="str">
        <v>overhead</v>
      </c>
    </row>
    <row r="571">
      <c r="A571" t="str">
        <v>oh-machining-t1</v>
      </c>
      <c r="B571" t="str">
        <v>machining — Tier 1</v>
      </c>
      <c r="C571" t="str">
        <v/>
      </c>
      <c r="D571" t="str">
        <f>IF($C571="","",IFERROR(IF($E571="machine",INDEX('JLR Machines'!$B:$B,MATCH($C571,'JLR Machines'!$A:$A,0)),IF($E571="material",INDEX('JLR Materials'!$B:$B,MATCH($C571,'JLR Materials'!$A:$A,0)),IF($E571="labour",IFERROR(INDEX('JLR Labour'!$B:$B,MATCH($C571,'JLR Labour'!$A:$A,0)),"labour category "&amp;$C571&amp;" — from the machine tab"),""))),"NOT FOUND — check the code"))</f>
        <v/>
      </c>
      <c r="E571" t="str">
        <v>overhead</v>
      </c>
    </row>
    <row r="572">
      <c r="A572" t="str">
        <v>oh-sheet-metal-t2</v>
      </c>
      <c r="B572" t="str">
        <v>sheet_metal — Tier 2</v>
      </c>
      <c r="C572" t="str">
        <v/>
      </c>
      <c r="D572" t="str">
        <f>IF($C572="","",IFERROR(IF($E572="machine",INDEX('JLR Machines'!$B:$B,MATCH($C572,'JLR Machines'!$A:$A,0)),IF($E572="material",INDEX('JLR Materials'!$B:$B,MATCH($C572,'JLR Materials'!$A:$A,0)),IF($E572="labour",IFERROR(INDEX('JLR Labour'!$B:$B,MATCH($C572,'JLR Labour'!$A:$A,0)),"labour category "&amp;$C572&amp;" — from the machine tab"),""))),"NOT FOUND — check the code"))</f>
        <v/>
      </c>
      <c r="E572" t="str">
        <v>overhead</v>
      </c>
    </row>
    <row r="573">
      <c r="A573" t="str">
        <v>oh-injection-moulding-t2</v>
      </c>
      <c r="B573" t="str">
        <v>injection_moulding — Tier 2</v>
      </c>
      <c r="C573" t="str">
        <v/>
      </c>
      <c r="D573" t="str">
        <f>IF($C573="","",IFERROR(IF($E573="machine",INDEX('JLR Machines'!$B:$B,MATCH($C573,'JLR Machines'!$A:$A,0)),IF($E573="material",INDEX('JLR Materials'!$B:$B,MATCH($C573,'JLR Materials'!$A:$A,0)),IF($E573="labour",IFERROR(INDEX('JLR Labour'!$B:$B,MATCH($C573,'JLR Labour'!$A:$A,0)),"labour category "&amp;$C573&amp;" — from the machine tab"),""))),"NOT FOUND — check the code"))</f>
        <v/>
      </c>
      <c r="E573" t="str">
        <v>overhead</v>
      </c>
    </row>
    <row r="574">
      <c r="A574" t="str">
        <v>oh-casting-t2</v>
      </c>
      <c r="B574" t="str">
        <v>casting — Tier 2</v>
      </c>
      <c r="C574" t="str">
        <v/>
      </c>
      <c r="D574" t="str">
        <f>IF($C574="","",IFERROR(IF($E574="machine",INDEX('JLR Machines'!$B:$B,MATCH($C574,'JLR Machines'!$A:$A,0)),IF($E574="material",INDEX('JLR Materials'!$B:$B,MATCH($C574,'JLR Materials'!$A:$A,0)),IF($E574="labour",IFERROR(INDEX('JLR Labour'!$B:$B,MATCH($C574,'JLR Labour'!$A:$A,0)),"labour category "&amp;$C574&amp;" — from the machine tab"),""))),"NOT FOUND — check the code"))</f>
        <v/>
      </c>
      <c r="E574" t="str">
        <v>overhead</v>
      </c>
    </row>
    <row r="575">
      <c r="A575" t="str">
        <v>oh-forging-t2</v>
      </c>
      <c r="B575" t="str">
        <v>forging — Tier 2</v>
      </c>
      <c r="C575" t="str">
        <v/>
      </c>
      <c r="D575" t="str">
        <f>IF($C575="","",IFERROR(IF($E575="machine",INDEX('JLR Machines'!$B:$B,MATCH($C575,'JLR Machines'!$A:$A,0)),IF($E575="material",INDEX('JLR Materials'!$B:$B,MATCH($C575,'JLR Materials'!$A:$A,0)),IF($E575="labour",IFERROR(INDEX('JLR Labour'!$B:$B,MATCH($C575,'JLR Labour'!$A:$A,0)),"labour category "&amp;$C575&amp;" — from the machine tab"),""))),"NOT FOUND — check the code"))</f>
        <v/>
      </c>
      <c r="E575" t="str">
        <v>overhead</v>
      </c>
    </row>
    <row r="576">
      <c r="A576" t="str">
        <v>oh-painting-t2</v>
      </c>
      <c r="B576" t="str">
        <v>painting — Tier 2</v>
      </c>
      <c r="C576" t="str">
        <v/>
      </c>
      <c r="D576" t="str">
        <f>IF($C576="","",IFERROR(IF($E576="machine",INDEX('JLR Machines'!$B:$B,MATCH($C576,'JLR Machines'!$A:$A,0)),IF($E576="material",INDEX('JLR Materials'!$B:$B,MATCH($C576,'JLR Materials'!$A:$A,0)),IF($E576="labour",IFERROR(INDEX('JLR Labour'!$B:$B,MATCH($C576,'JLR Labour'!$A:$A,0)),"labour category "&amp;$C576&amp;" — from the machine tab"),""))),"NOT FOUND — check the code"))</f>
        <v/>
      </c>
      <c r="E576" t="str">
        <v>overhead</v>
      </c>
    </row>
    <row r="577">
      <c r="A577" t="str">
        <v>oh-biw-t2</v>
      </c>
      <c r="B577" t="str">
        <v>biw_assembly — Tier 2</v>
      </c>
      <c r="C577" t="str">
        <v/>
      </c>
      <c r="D577" t="str">
        <f>IF($C577="","",IFERROR(IF($E577="machine",INDEX('JLR Machines'!$B:$B,MATCH($C577,'JLR Machines'!$A:$A,0)),IF($E577="material",INDEX('JLR Materials'!$B:$B,MATCH($C577,'JLR Materials'!$A:$A,0)),IF($E577="labour",IFERROR(INDEX('JLR Labour'!$B:$B,MATCH($C577,'JLR Labour'!$A:$A,0)),"labour category "&amp;$C577&amp;" — from the machine tab"),""))),"NOT FOUND — check the code"))</f>
        <v/>
      </c>
      <c r="E577" t="str">
        <v>overhead</v>
      </c>
    </row>
    <row r="578">
      <c r="A578" t="str">
        <v>oh-pcb-fab-t2</v>
      </c>
      <c r="B578" t="str">
        <v>pcb_fab — Tier 2</v>
      </c>
      <c r="C578" t="str">
        <v/>
      </c>
      <c r="D578" t="str">
        <f>IF($C578="","",IFERROR(IF($E578="machine",INDEX('JLR Machines'!$B:$B,MATCH($C578,'JLR Machines'!$A:$A,0)),IF($E578="material",INDEX('JLR Materials'!$B:$B,MATCH($C578,'JLR Materials'!$A:$A,0)),IF($E578="labour",IFERROR(INDEX('JLR Labour'!$B:$B,MATCH($C578,'JLR Labour'!$A:$A,0)),"labour category "&amp;$C578&amp;" — from the machine tab"),""))),"NOT FOUND — check the code"))</f>
        <v/>
      </c>
      <c r="E578" t="str">
        <v>overhead</v>
      </c>
    </row>
    <row r="579">
      <c r="A579" t="str">
        <v>oh-pcba-t2</v>
      </c>
      <c r="B579" t="str">
        <v>pcba — Tier 2</v>
      </c>
      <c r="C579" t="str">
        <v/>
      </c>
      <c r="D579" t="str">
        <f>IF($C579="","",IFERROR(IF($E579="machine",INDEX('JLR Machines'!$B:$B,MATCH($C579,'JLR Machines'!$A:$A,0)),IF($E579="material",INDEX('JLR Materials'!$B:$B,MATCH($C579,'JLR Materials'!$A:$A,0)),IF($E579="labour",IFERROR(INDEX('JLR Labour'!$B:$B,MATCH($C579,'JLR Labour'!$A:$A,0)),"labour category "&amp;$C579&amp;" — from the machine tab"),""))),"NOT FOUND — check the code"))</f>
        <v/>
      </c>
      <c r="E579" t="str">
        <v>overhead</v>
      </c>
    </row>
    <row r="580">
      <c r="A580" t="str">
        <v>oh-cast-and-machine-t2</v>
      </c>
      <c r="B580" t="str">
        <v>cast_and_machine — Tier 2</v>
      </c>
      <c r="C580" t="str">
        <v/>
      </c>
      <c r="D580" t="str">
        <f>IF($C580="","",IFERROR(IF($E580="machine",INDEX('JLR Machines'!$B:$B,MATCH($C580,'JLR Machines'!$A:$A,0)),IF($E580="material",INDEX('JLR Materials'!$B:$B,MATCH($C580,'JLR Materials'!$A:$A,0)),IF($E580="labour",IFERROR(INDEX('JLR Labour'!$B:$B,MATCH($C580,'JLR Labour'!$A:$A,0)),"labour category "&amp;$C580&amp;" — from the machine tab"),""))),"NOT FOUND — check the code"))</f>
        <v/>
      </c>
      <c r="E580" t="str">
        <v>overhead</v>
      </c>
    </row>
    <row r="581">
      <c r="A581" t="str">
        <v>oh-blow-moulding-t2</v>
      </c>
      <c r="B581" t="str">
        <v>blow_moulding — Tier 2</v>
      </c>
      <c r="C581" t="str">
        <v/>
      </c>
      <c r="D581" t="str">
        <f>IF($C581="","",IFERROR(IF($E581="machine",INDEX('JLR Machines'!$B:$B,MATCH($C581,'JLR Machines'!$A:$A,0)),IF($E581="material",INDEX('JLR Materials'!$B:$B,MATCH($C581,'JLR Materials'!$A:$A,0)),IF($E581="labour",IFERROR(INDEX('JLR Labour'!$B:$B,MATCH($C581,'JLR Labour'!$A:$A,0)),"labour category "&amp;$C581&amp;" — from the machine tab"),""))),"NOT FOUND — check the code"))</f>
        <v/>
      </c>
      <c r="E581" t="str">
        <v>overhead</v>
      </c>
    </row>
    <row r="582">
      <c r="A582" t="str">
        <v>oh-extrusion-t1</v>
      </c>
      <c r="B582" t="str">
        <v>extrusion — Tier 1</v>
      </c>
      <c r="C582" t="str">
        <v/>
      </c>
      <c r="D582" t="str">
        <f>IF($C582="","",IFERROR(IF($E582="machine",INDEX('JLR Machines'!$B:$B,MATCH($C582,'JLR Machines'!$A:$A,0)),IF($E582="material",INDEX('JLR Materials'!$B:$B,MATCH($C582,'JLR Materials'!$A:$A,0)),IF($E582="labour",IFERROR(INDEX('JLR Labour'!$B:$B,MATCH($C582,'JLR Labour'!$A:$A,0)),"labour category "&amp;$C582&amp;" — from the machine tab"),""))),"NOT FOUND — check the code"))</f>
        <v/>
      </c>
      <c r="E582" t="str">
        <v>overhead</v>
      </c>
    </row>
    <row r="583">
      <c r="A583" t="str">
        <v>oh-extrusion-t2</v>
      </c>
      <c r="B583" t="str">
        <v>extrusion — Tier 2</v>
      </c>
      <c r="C583" t="str">
        <v/>
      </c>
      <c r="D583" t="str">
        <f>IF($C583="","",IFERROR(IF($E583="machine",INDEX('JLR Machines'!$B:$B,MATCH($C583,'JLR Machines'!$A:$A,0)),IF($E583="material",INDEX('JLR Materials'!$B:$B,MATCH($C583,'JLR Materials'!$A:$A,0)),IF($E583="labour",IFERROR(INDEX('JLR Labour'!$B:$B,MATCH($C583,'JLR Labour'!$A:$A,0)),"labour category "&amp;$C583&amp;" — from the machine tab"),""))),"NOT FOUND — check the code"))</f>
        <v/>
      </c>
      <c r="E583" t="str">
        <v>overhead</v>
      </c>
    </row>
    <row r="584">
      <c r="A584" t="str">
        <v>oh-extrusion-t3</v>
      </c>
      <c r="B584" t="str">
        <v>extrusion — Tier 3</v>
      </c>
      <c r="C584" t="str">
        <v/>
      </c>
      <c r="D584" t="str">
        <f>IF($C584="","",IFERROR(IF($E584="machine",INDEX('JLR Machines'!$B:$B,MATCH($C584,'JLR Machines'!$A:$A,0)),IF($E584="material",INDEX('JLR Materials'!$B:$B,MATCH($C584,'JLR Materials'!$A:$A,0)),IF($E584="labour",IFERROR(INDEX('JLR Labour'!$B:$B,MATCH($C584,'JLR Labour'!$A:$A,0)),"labour category "&amp;$C584&amp;" — from the machine tab"),""))),"NOT FOUND — check the code"))</f>
        <v/>
      </c>
      <c r="E584" t="str">
        <v>overhead</v>
      </c>
    </row>
    <row r="585">
      <c r="A585" t="str">
        <v>oh-thermoforming-t1</v>
      </c>
      <c r="B585" t="str">
        <v>thermoforming — Tier 1</v>
      </c>
      <c r="C585" t="str">
        <v/>
      </c>
      <c r="D585" t="str">
        <f>IF($C585="","",IFERROR(IF($E585="machine",INDEX('JLR Machines'!$B:$B,MATCH($C585,'JLR Machines'!$A:$A,0)),IF($E585="material",INDEX('JLR Materials'!$B:$B,MATCH($C585,'JLR Materials'!$A:$A,0)),IF($E585="labour",IFERROR(INDEX('JLR Labour'!$B:$B,MATCH($C585,'JLR Labour'!$A:$A,0)),"labour category "&amp;$C585&amp;" — from the machine tab"),""))),"NOT FOUND — check the code"))</f>
        <v/>
      </c>
      <c r="E585" t="str">
        <v>overhead</v>
      </c>
    </row>
    <row r="586">
      <c r="A586" t="str">
        <v>oh-thermoforming-t2</v>
      </c>
      <c r="B586" t="str">
        <v>thermoforming — Tier 2</v>
      </c>
      <c r="C586" t="str">
        <v/>
      </c>
      <c r="D586" t="str">
        <f>IF($C586="","",IFERROR(IF($E586="machine",INDEX('JLR Machines'!$B:$B,MATCH($C586,'JLR Machines'!$A:$A,0)),IF($E586="material",INDEX('JLR Materials'!$B:$B,MATCH($C586,'JLR Materials'!$A:$A,0)),IF($E586="labour",IFERROR(INDEX('JLR Labour'!$B:$B,MATCH($C586,'JLR Labour'!$A:$A,0)),"labour category "&amp;$C586&amp;" — from the machine tab"),""))),"NOT FOUND — check the code"))</f>
        <v/>
      </c>
      <c r="E586" t="str">
        <v>overhead</v>
      </c>
    </row>
    <row r="587">
      <c r="A587" t="str">
        <v>oh-thermoforming-t3</v>
      </c>
      <c r="B587" t="str">
        <v>thermoforming — Tier 3</v>
      </c>
      <c r="C587" t="str">
        <v/>
      </c>
      <c r="D587" t="str">
        <f>IF($C587="","",IFERROR(IF($E587="machine",INDEX('JLR Machines'!$B:$B,MATCH($C587,'JLR Machines'!$A:$A,0)),IF($E587="material",INDEX('JLR Materials'!$B:$B,MATCH($C587,'JLR Materials'!$A:$A,0)),IF($E587="labour",IFERROR(INDEX('JLR Labour'!$B:$B,MATCH($C587,'JLR Labour'!$A:$A,0)),"labour category "&amp;$C587&amp;" — from the machine tab"),""))),"NOT FOUND — check the code"))</f>
        <v/>
      </c>
      <c r="E587" t="str">
        <v>overhead</v>
      </c>
    </row>
    <row r="588">
      <c r="A588" t="str">
        <v>oh-rotomoulding-t2</v>
      </c>
      <c r="B588" t="str">
        <v>rotational_moulding — Tier 2</v>
      </c>
      <c r="C588" t="str">
        <v/>
      </c>
      <c r="D588" t="str">
        <f>IF($C588="","",IFERROR(IF($E588="machine",INDEX('JLR Machines'!$B:$B,MATCH($C588,'JLR Machines'!$A:$A,0)),IF($E588="material",INDEX('JLR Materials'!$B:$B,MATCH($C588,'JLR Materials'!$A:$A,0)),IF($E588="labour",IFERROR(INDEX('JLR Labour'!$B:$B,MATCH($C588,'JLR Labour'!$A:$A,0)),"labour category "&amp;$C588&amp;" — from the machine tab"),""))),"NOT FOUND — check the code"))</f>
        <v/>
      </c>
      <c r="E588" t="str">
        <v>overhead</v>
      </c>
    </row>
    <row r="589">
      <c r="A589" t="str">
        <v>oh-sheet-metal-fab-t2</v>
      </c>
      <c r="B589" t="str">
        <v>sheet_metal_fab — Tier 2</v>
      </c>
      <c r="C589" t="str">
        <v/>
      </c>
      <c r="D589" t="str">
        <f>IF($C589="","",IFERROR(IF($E589="machine",INDEX('JLR Machines'!$B:$B,MATCH($C589,'JLR Machines'!$A:$A,0)),IF($E589="material",INDEX('JLR Materials'!$B:$B,MATCH($C589,'JLR Materials'!$A:$A,0)),IF($E589="labour",IFERROR(INDEX('JLR Labour'!$B:$B,MATCH($C589,'JLR Labour'!$A:$A,0)),"labour category "&amp;$C589&amp;" — from the machine tab"),""))),"NOT FOUND — check the code"))</f>
        <v/>
      </c>
      <c r="E589" t="str">
        <v>overhead</v>
      </c>
    </row>
    <row r="590">
      <c r="A590" t="str">
        <v>oh-rubber-t2</v>
      </c>
      <c r="B590" t="str">
        <v>rubber — Tier 2</v>
      </c>
      <c r="C590" t="str">
        <v/>
      </c>
      <c r="D590" t="str">
        <f>IF($C590="","",IFERROR(IF($E590="machine",INDEX('JLR Machines'!$B:$B,MATCH($C590,'JLR Machines'!$A:$A,0)),IF($E590="material",INDEX('JLR Materials'!$B:$B,MATCH($C590,'JLR Materials'!$A:$A,0)),IF($E590="labour",IFERROR(INDEX('JLR Labour'!$B:$B,MATCH($C590,'JLR Labour'!$A:$A,0)),"labour category "&amp;$C590&amp;" — from the machine tab"),""))),"NOT FOUND — check the code"))</f>
        <v/>
      </c>
      <c r="E590" t="str">
        <v>overhead</v>
      </c>
    </row>
    <row r="591">
      <c r="A591" t="str">
        <v>oh-composites-t2</v>
      </c>
      <c r="B591" t="str">
        <v>composites — Tier 2</v>
      </c>
      <c r="C591" t="str">
        <v/>
      </c>
      <c r="D591" t="str">
        <f>IF($C591="","",IFERROR(IF($E591="machine",INDEX('JLR Machines'!$B:$B,MATCH($C591,'JLR Machines'!$A:$A,0)),IF($E591="material",INDEX('JLR Materials'!$B:$B,MATCH($C591,'JLR Materials'!$A:$A,0)),IF($E591="labour",IFERROR(INDEX('JLR Labour'!$B:$B,MATCH($C591,'JLR Labour'!$A:$A,0)),"labour category "&amp;$C591&amp;" — from the machine tab"),""))),"NOT FOUND — check the code"))</f>
        <v/>
      </c>
      <c r="E591" t="str">
        <v>overhead</v>
      </c>
    </row>
    <row r="592">
      <c r="A592" t="str">
        <v>oh-wiring-harness-t2</v>
      </c>
      <c r="B592" t="str">
        <v>wiring_harness — Tier 2</v>
      </c>
      <c r="C592" t="str">
        <v/>
      </c>
      <c r="D592" t="str">
        <f>IF($C592="","",IFERROR(IF($E592="machine",INDEX('JLR Machines'!$B:$B,MATCH($C592,'JLR Machines'!$A:$A,0)),IF($E592="material",INDEX('JLR Materials'!$B:$B,MATCH($C592,'JLR Materials'!$A:$A,0)),IF($E592="labour",IFERROR(INDEX('JLR Labour'!$B:$B,MATCH($C592,'JLR Labour'!$A:$A,0)),"labour category "&amp;$C592&amp;" — from the machine tab"),""))),"NOT FOUND — check the code"))</f>
        <v/>
      </c>
      <c r="E592" t="str">
        <v>overhead</v>
      </c>
    </row>
  </sheetData>
  <ignoredErrors>
    <ignoredError numberStoredAsText="1" sqref="A1:E59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C549"/>
  <sheetViews>
    <sheetView workbookViewId="0"/>
  </sheetViews>
  <cols>
    <col min="1" max="1" width="24.83203125" customWidth="1"/>
    <col min="2" max="2" width="14.83203125" customWidth="1"/>
    <col min="3" max="3" width="14.83203125" customWidth="1"/>
  </cols>
  <sheetData>
    <row r="1">
      <c r="A1" t="str">
        <v>id</v>
      </c>
      <c r="B1" t="str">
        <v>v1</v>
      </c>
      <c r="C1" t="str">
        <v>v2</v>
      </c>
    </row>
    <row r="2">
      <c r="A2" t="str">
        <v>mat-al6061</v>
      </c>
      <c r="B2">
        <v>3.62</v>
      </c>
      <c r="C2">
        <v>0.55</v>
      </c>
    </row>
    <row r="3">
      <c r="A3" t="str">
        <v>mat-steel1045</v>
      </c>
      <c r="B3">
        <v>0.95</v>
      </c>
      <c r="C3">
        <v>0.22</v>
      </c>
    </row>
    <row r="4">
      <c r="A4" t="str">
        <v>mat-ss316l</v>
      </c>
      <c r="B4">
        <v>3.82</v>
      </c>
      <c r="C4">
        <v>0.85</v>
      </c>
    </row>
    <row r="5">
      <c r="A5" t="str">
        <v>mat-steel4140</v>
      </c>
      <c r="B5">
        <v>1.21</v>
      </c>
      <c r="C5">
        <v>0.22</v>
      </c>
    </row>
    <row r="6">
      <c r="A6" t="str">
        <v>mat-ti6al4v</v>
      </c>
      <c r="B6">
        <v>47.5</v>
      </c>
      <c r="C6">
        <v>16</v>
      </c>
    </row>
    <row r="7">
      <c r="A7" t="str">
        <v>mat-virtual</v>
      </c>
      <c r="B7">
        <v>1</v>
      </c>
      <c r="C7">
        <v>0</v>
      </c>
    </row>
    <row r="8">
      <c r="A8" t="str">
        <v>mat-en8</v>
      </c>
      <c r="B8">
        <v>0.98</v>
      </c>
      <c r="C8">
        <v>0.22</v>
      </c>
    </row>
    <row r="9">
      <c r="A9" t="str">
        <v>mat-ss304-bar</v>
      </c>
      <c r="B9">
        <v>3.4</v>
      </c>
      <c r="C9">
        <v>0.8</v>
      </c>
    </row>
    <row r="10">
      <c r="A10" t="str">
        <v>mat-ss303</v>
      </c>
      <c r="B10">
        <v>3.7</v>
      </c>
      <c r="C10">
        <v>0.8</v>
      </c>
    </row>
    <row r="11">
      <c r="A11" t="str">
        <v>mat-al6082-bar</v>
      </c>
      <c r="B11">
        <v>3.55</v>
      </c>
      <c r="C11">
        <v>0.55</v>
      </c>
    </row>
    <row r="12">
      <c r="A12" t="str">
        <v>mat-al2011</v>
      </c>
      <c r="B12">
        <v>3.95</v>
      </c>
      <c r="C12">
        <v>0.55</v>
      </c>
    </row>
    <row r="13">
      <c r="A13" t="str">
        <v>mat-brass-cz121</v>
      </c>
      <c r="B13">
        <v>7</v>
      </c>
      <c r="C13">
        <v>3</v>
      </c>
    </row>
    <row r="14">
      <c r="A14" t="str">
        <v>mat-bronze-pb1</v>
      </c>
      <c r="B14">
        <v>9.2</v>
      </c>
      <c r="C14">
        <v>2.8</v>
      </c>
    </row>
    <row r="15">
      <c r="A15" t="str">
        <v>mat-pom-c</v>
      </c>
      <c r="B15">
        <v>3.1</v>
      </c>
      <c r="C15">
        <v>0.1</v>
      </c>
    </row>
    <row r="16">
      <c r="A16" t="str">
        <v>mat-pa6-cast</v>
      </c>
      <c r="B16">
        <v>4.2</v>
      </c>
      <c r="C16">
        <v>0.1</v>
      </c>
    </row>
    <row r="17">
      <c r="A17" t="str">
        <v>mat-ptfe</v>
      </c>
      <c r="B17">
        <v>12.5</v>
      </c>
      <c r="C17">
        <v>0.2</v>
      </c>
    </row>
    <row r="18">
      <c r="A18" t="str">
        <v>mat-peek-stock</v>
      </c>
      <c r="B18">
        <v>95</v>
      </c>
      <c r="C18">
        <v>0.5</v>
      </c>
    </row>
    <row r="19">
      <c r="A19" t="str">
        <v>mat-acrylic-cast</v>
      </c>
      <c r="B19">
        <v>4.8</v>
      </c>
      <c r="C19">
        <v>0.05</v>
      </c>
    </row>
    <row r="20">
      <c r="A20" t="str">
        <v>mat-uhmwpe</v>
      </c>
      <c r="B20">
        <v>3.4</v>
      </c>
      <c r="C20">
        <v>0.08</v>
      </c>
    </row>
    <row r="21">
      <c r="A21" t="str">
        <v>mat-dc01</v>
      </c>
      <c r="B21">
        <v>0.86</v>
      </c>
      <c r="C21">
        <v>0.2</v>
      </c>
    </row>
    <row r="22">
      <c r="A22" t="str">
        <v>mat-dc01-gi</v>
      </c>
      <c r="B22">
        <v>1.06</v>
      </c>
      <c r="C22">
        <v>0.2</v>
      </c>
    </row>
    <row r="23">
      <c r="A23" t="str">
        <v>mat-dc03-ga</v>
      </c>
      <c r="B23">
        <v>1.1</v>
      </c>
      <c r="C23">
        <v>0.2</v>
      </c>
    </row>
    <row r="24">
      <c r="A24" t="str">
        <v>mat-dp600</v>
      </c>
      <c r="B24">
        <v>1.25</v>
      </c>
      <c r="C24">
        <v>0.22</v>
      </c>
    </row>
    <row r="25">
      <c r="A25" t="str">
        <v>mat-hsla340</v>
      </c>
      <c r="B25">
        <v>1.14</v>
      </c>
      <c r="C25">
        <v>0.21</v>
      </c>
    </row>
    <row r="26">
      <c r="A26" t="str">
        <v>mat-22mnb5</v>
      </c>
      <c r="B26">
        <v>1.74</v>
      </c>
      <c r="C26">
        <v>0.22</v>
      </c>
    </row>
    <row r="27">
      <c r="A27" t="str">
        <v>mat-aa5182</v>
      </c>
      <c r="B27">
        <v>3.25</v>
      </c>
      <c r="C27">
        <v>0.5</v>
      </c>
    </row>
    <row r="28">
      <c r="A28" t="str">
        <v>mat-ss304-sheet</v>
      </c>
      <c r="B28">
        <v>3.36</v>
      </c>
      <c r="C28">
        <v>0.8</v>
      </c>
    </row>
    <row r="29">
      <c r="A29" t="str">
        <v>mat-aa5052</v>
      </c>
      <c r="B29">
        <v>3.25</v>
      </c>
      <c r="C29">
        <v>0.5</v>
      </c>
    </row>
    <row r="30">
      <c r="A30" t="str">
        <v>mat-aa5083</v>
      </c>
      <c r="B30">
        <v>3.46</v>
      </c>
      <c r="C30">
        <v>0.5</v>
      </c>
    </row>
    <row r="31">
      <c r="A31" t="str">
        <v>mat-aa6082-sheet</v>
      </c>
      <c r="B31">
        <v>3.62</v>
      </c>
      <c r="C31">
        <v>0.5</v>
      </c>
    </row>
    <row r="32">
      <c r="A32" t="str">
        <v>mat-aisi430</v>
      </c>
      <c r="B32">
        <v>2.94</v>
      </c>
      <c r="C32">
        <v>0.7</v>
      </c>
    </row>
    <row r="33">
      <c r="A33" t="str">
        <v>mat-ss316-sheet</v>
      </c>
      <c r="B33">
        <v>4.41</v>
      </c>
      <c r="C33">
        <v>0.9</v>
      </c>
    </row>
    <row r="34">
      <c r="A34" t="str">
        <v>mat-dc01-ze</v>
      </c>
      <c r="B34">
        <v>0.93</v>
      </c>
      <c r="C34">
        <v>0.2</v>
      </c>
    </row>
    <row r="35">
      <c r="A35" t="str">
        <v>mat-hsla420</v>
      </c>
      <c r="B35">
        <v>1.24</v>
      </c>
      <c r="C35">
        <v>0.22</v>
      </c>
    </row>
    <row r="36">
      <c r="A36" t="str">
        <v>mat-hrpo</v>
      </c>
      <c r="B36">
        <v>0.72</v>
      </c>
      <c r="C36">
        <v>0.18</v>
      </c>
    </row>
    <row r="37">
      <c r="A37" t="str">
        <v>mat-aa5754-sheet</v>
      </c>
      <c r="B37">
        <v>3.38</v>
      </c>
      <c r="C37">
        <v>0.5</v>
      </c>
    </row>
    <row r="38">
      <c r="A38" t="str">
        <v>mat-aa6061-sheet</v>
      </c>
      <c r="B38">
        <v>3.72</v>
      </c>
      <c r="C38">
        <v>0.5</v>
      </c>
    </row>
    <row r="39">
      <c r="A39" t="str">
        <v>mat-aa6063-sheet</v>
      </c>
      <c r="B39">
        <v>3.55</v>
      </c>
      <c r="C39">
        <v>0.5</v>
      </c>
    </row>
    <row r="40">
      <c r="A40" t="str">
        <v>mat-aa3003-sheet</v>
      </c>
      <c r="B40">
        <v>3.05</v>
      </c>
      <c r="C40">
        <v>0.48</v>
      </c>
    </row>
    <row r="41">
      <c r="A41" t="str">
        <v>mat-c110-copper</v>
      </c>
      <c r="B41">
        <v>9.85</v>
      </c>
      <c r="C41">
        <v>5.5</v>
      </c>
    </row>
    <row r="42">
      <c r="A42" t="str">
        <v>mat-cz108-brass</v>
      </c>
      <c r="B42">
        <v>7.42</v>
      </c>
      <c r="C42">
        <v>4.2</v>
      </c>
    </row>
    <row r="43">
      <c r="A43" t="str">
        <v>mat-dp780</v>
      </c>
      <c r="B43">
        <v>1.32</v>
      </c>
      <c r="C43">
        <v>0.22</v>
      </c>
    </row>
    <row r="44">
      <c r="A44" t="str">
        <v>mat-dp980</v>
      </c>
      <c r="B44">
        <v>1.45</v>
      </c>
      <c r="C44">
        <v>0.22</v>
      </c>
    </row>
    <row r="45">
      <c r="A45" t="str">
        <v>mat-dp1000</v>
      </c>
      <c r="B45">
        <v>1.52</v>
      </c>
      <c r="C45">
        <v>0.22</v>
      </c>
    </row>
    <row r="46">
      <c r="A46" t="str">
        <v>mat-trip780</v>
      </c>
      <c r="B46">
        <v>1.4</v>
      </c>
      <c r="C46">
        <v>0.22</v>
      </c>
    </row>
    <row r="47">
      <c r="A47" t="str">
        <v>mat-cp800</v>
      </c>
      <c r="B47">
        <v>1.38</v>
      </c>
      <c r="C47">
        <v>0.22</v>
      </c>
    </row>
    <row r="48">
      <c r="A48" t="str">
        <v>mat-ms1200</v>
      </c>
      <c r="B48">
        <v>1.55</v>
      </c>
      <c r="C48">
        <v>0.22</v>
      </c>
    </row>
    <row r="49">
      <c r="A49" t="str">
        <v>mat-ms1500</v>
      </c>
      <c r="B49">
        <v>1.72</v>
      </c>
      <c r="C49">
        <v>0.22</v>
      </c>
    </row>
    <row r="50">
      <c r="A50" t="str">
        <v>mat-usibor1500</v>
      </c>
      <c r="B50">
        <v>1.95</v>
      </c>
      <c r="C50">
        <v>0.22</v>
      </c>
    </row>
    <row r="51">
      <c r="A51" t="str">
        <v>mat-usibor2000</v>
      </c>
      <c r="B51">
        <v>2.35</v>
      </c>
      <c r="C51">
        <v>0.22</v>
      </c>
    </row>
    <row r="52">
      <c r="A52" t="str">
        <v>mat-ms1300</v>
      </c>
      <c r="B52">
        <v>1.62</v>
      </c>
      <c r="C52">
        <v>0.22</v>
      </c>
    </row>
    <row r="53">
      <c r="A53" t="str">
        <v>mat-qp980</v>
      </c>
      <c r="B53">
        <v>1.68</v>
      </c>
      <c r="C53">
        <v>0.22</v>
      </c>
    </row>
    <row r="54">
      <c r="A54" t="str">
        <v>mat-medmn1180</v>
      </c>
      <c r="B54">
        <v>1.75</v>
      </c>
      <c r="C54">
        <v>0.22</v>
      </c>
    </row>
    <row r="55">
      <c r="A55" t="str">
        <v>mat-hsla550</v>
      </c>
      <c r="B55">
        <v>1.34</v>
      </c>
      <c r="C55">
        <v>0.22</v>
      </c>
    </row>
    <row r="56">
      <c r="A56" t="str">
        <v>mat-bh260</v>
      </c>
      <c r="B56">
        <v>1.05</v>
      </c>
      <c r="C56">
        <v>0.21</v>
      </c>
    </row>
    <row r="57">
      <c r="A57" t="str">
        <v>mat-if-dx56</v>
      </c>
      <c r="B57">
        <v>0.95</v>
      </c>
      <c r="C57">
        <v>0.2</v>
      </c>
    </row>
    <row r="58">
      <c r="A58" t="str">
        <v>mat-if-hs260</v>
      </c>
      <c r="B58">
        <v>1.08</v>
      </c>
      <c r="C58">
        <v>0.21</v>
      </c>
    </row>
    <row r="59">
      <c r="A59" t="str">
        <v>mat-dc04</v>
      </c>
      <c r="B59">
        <v>0.72</v>
      </c>
      <c r="C59">
        <v>0.19</v>
      </c>
    </row>
    <row r="60">
      <c r="A60" t="str">
        <v>mat-dc05</v>
      </c>
      <c r="B60">
        <v>0.75</v>
      </c>
      <c r="C60">
        <v>0.19</v>
      </c>
    </row>
    <row r="61">
      <c r="A61" t="str">
        <v>mat-dc06</v>
      </c>
      <c r="B61">
        <v>0.8</v>
      </c>
      <c r="C61">
        <v>0.19</v>
      </c>
    </row>
    <row r="62">
      <c r="A62" t="str">
        <v>mat-nogo-m270-35a</v>
      </c>
      <c r="B62">
        <v>1.55</v>
      </c>
      <c r="C62">
        <v>0.25</v>
      </c>
    </row>
    <row r="63">
      <c r="A63" t="str">
        <v>mat-nogo-m400-50a</v>
      </c>
      <c r="B63">
        <v>1.25</v>
      </c>
      <c r="C63">
        <v>0.25</v>
      </c>
    </row>
    <row r="64">
      <c r="A64" t="str">
        <v>mat-go-m105-30p</v>
      </c>
      <c r="B64">
        <v>2.9</v>
      </c>
      <c r="C64">
        <v>0.3</v>
      </c>
    </row>
    <row r="65">
      <c r="A65" t="str">
        <v>mat-m235-35a</v>
      </c>
      <c r="B65">
        <v>1.95</v>
      </c>
      <c r="C65">
        <v>0.25</v>
      </c>
    </row>
    <row r="66">
      <c r="A66" t="str">
        <v>mat-m330-35a</v>
      </c>
      <c r="B66">
        <v>1.7</v>
      </c>
      <c r="C66">
        <v>0.25</v>
      </c>
    </row>
    <row r="67">
      <c r="A67" t="str">
        <v>mat-m250-50a</v>
      </c>
      <c r="B67">
        <v>1.42</v>
      </c>
      <c r="C67">
        <v>0.25</v>
      </c>
    </row>
    <row r="68">
      <c r="A68" t="str">
        <v>mat-m470-50a</v>
      </c>
      <c r="B68">
        <v>1.2</v>
      </c>
      <c r="C68">
        <v>0.25</v>
      </c>
    </row>
    <row r="69">
      <c r="A69" t="str">
        <v>mat-m600-50a</v>
      </c>
      <c r="B69">
        <v>1.15</v>
      </c>
      <c r="C69">
        <v>0.25</v>
      </c>
    </row>
    <row r="70">
      <c r="A70" t="str">
        <v>mat-m700-65a</v>
      </c>
      <c r="B70">
        <v>1.1</v>
      </c>
      <c r="C70">
        <v>0.25</v>
      </c>
    </row>
    <row r="71">
      <c r="A71" t="str">
        <v>mat-no27-27a</v>
      </c>
      <c r="B71">
        <v>2.4</v>
      </c>
      <c r="C71">
        <v>0.28</v>
      </c>
    </row>
    <row r="72">
      <c r="A72" t="str">
        <v>mat-no25-25a</v>
      </c>
      <c r="B72">
        <v>2.7</v>
      </c>
      <c r="C72">
        <v>0.28</v>
      </c>
    </row>
    <row r="73">
      <c r="A73" t="str">
        <v>mat-no20-20a</v>
      </c>
      <c r="B73">
        <v>3.4</v>
      </c>
      <c r="C73">
        <v>0.3</v>
      </c>
    </row>
    <row r="74">
      <c r="A74" t="str">
        <v>mat-cgo-m120-27</v>
      </c>
      <c r="B74">
        <v>2.55</v>
      </c>
      <c r="C74">
        <v>0.3</v>
      </c>
    </row>
    <row r="75">
      <c r="A75" t="str">
        <v>mat-hgo-m090-23</v>
      </c>
      <c r="B75">
        <v>3.4</v>
      </c>
      <c r="C75">
        <v>0.3</v>
      </c>
    </row>
    <row r="76">
      <c r="A76" t="str">
        <v>mat-cofe-hiperco50</v>
      </c>
      <c r="B76">
        <v>58</v>
      </c>
      <c r="C76">
        <v>4</v>
      </c>
    </row>
    <row r="77">
      <c r="A77" t="str">
        <v>mat-nife-permalloy80</v>
      </c>
      <c r="B77">
        <v>24</v>
      </c>
      <c r="C77">
        <v>2</v>
      </c>
    </row>
    <row r="78">
      <c r="A78" t="str">
        <v>mat-amorphous-2605sa1</v>
      </c>
      <c r="B78">
        <v>8.5</v>
      </c>
      <c r="C78">
        <v>0.5</v>
      </c>
    </row>
    <row r="79">
      <c r="A79" t="str">
        <v>mat-no-semiproc-50</v>
      </c>
      <c r="B79">
        <v>1.05</v>
      </c>
      <c r="C79">
        <v>0.24</v>
      </c>
    </row>
    <row r="80">
      <c r="A80" t="str">
        <v>mat-hsno-rotor-700</v>
      </c>
      <c r="B80">
        <v>2.6</v>
      </c>
      <c r="C80">
        <v>0.28</v>
      </c>
    </row>
    <row r="81">
      <c r="A81" t="str">
        <v>mat-hsno-rotor-960</v>
      </c>
      <c r="B81">
        <v>3.2</v>
      </c>
      <c r="C81">
        <v>0.3</v>
      </c>
    </row>
    <row r="82">
      <c r="A82" t="str">
        <v>mat-no15-15a</v>
      </c>
      <c r="B82">
        <v>3.9</v>
      </c>
      <c r="C82">
        <v>0.3</v>
      </c>
    </row>
    <row r="83">
      <c r="A83" t="str">
        <v>mat-no10-10a</v>
      </c>
      <c r="B83">
        <v>5.5</v>
      </c>
      <c r="C83">
        <v>0.35</v>
      </c>
    </row>
    <row r="84">
      <c r="A84" t="str">
        <v>mat-si65-jnex-10</v>
      </c>
      <c r="B84">
        <v>6.8</v>
      </c>
      <c r="C84">
        <v>0.35</v>
      </c>
    </row>
    <row r="85">
      <c r="A85" t="str">
        <v>mat-uhsno-1100</v>
      </c>
      <c r="B85">
        <v>3.6</v>
      </c>
      <c r="C85">
        <v>0.32</v>
      </c>
    </row>
    <row r="86">
      <c r="A86" t="str">
        <v>mat-cofe-thin-010</v>
      </c>
      <c r="B86">
        <v>72</v>
      </c>
      <c r="C86">
        <v>4.5</v>
      </c>
    </row>
    <row r="87">
      <c r="A87" t="str">
        <v>mat-cu-hairpin</v>
      </c>
      <c r="B87">
        <v>13.2</v>
      </c>
      <c r="C87">
        <v>6</v>
      </c>
    </row>
    <row r="88">
      <c r="A88" t="str">
        <v>mat-al-hairpin</v>
      </c>
      <c r="B88">
        <v>4.8</v>
      </c>
      <c r="C88">
        <v>1.1</v>
      </c>
    </row>
    <row r="89">
      <c r="A89" t="str">
        <v>mat-al-busbar</v>
      </c>
      <c r="B89">
        <v>3.8</v>
      </c>
      <c r="C89">
        <v>1</v>
      </c>
    </row>
    <row r="90">
      <c r="A90" t="str">
        <v>mat-c67s-spring</v>
      </c>
      <c r="B90">
        <v>1.55</v>
      </c>
      <c r="C90">
        <v>0.22</v>
      </c>
    </row>
    <row r="91">
      <c r="A91" t="str">
        <v>mat-ss301-spring</v>
      </c>
      <c r="B91">
        <v>4.4</v>
      </c>
      <c r="C91">
        <v>0.9</v>
      </c>
    </row>
    <row r="92">
      <c r="A92" t="str">
        <v>mat-znni-eg</v>
      </c>
      <c r="B92">
        <v>1.18</v>
      </c>
      <c r="C92">
        <v>0.2</v>
      </c>
    </row>
    <row r="93">
      <c r="A93" t="str">
        <v>mat-zm-coated</v>
      </c>
      <c r="B93">
        <v>1.15</v>
      </c>
      <c r="C93">
        <v>0.2</v>
      </c>
    </row>
    <row r="94">
      <c r="A94" t="str">
        <v>mat-tinplate-etp</v>
      </c>
      <c r="B94">
        <v>1.3</v>
      </c>
      <c r="C94">
        <v>0.2</v>
      </c>
    </row>
    <row r="95">
      <c r="A95" t="str">
        <v>mat-aa6016-t4</v>
      </c>
      <c r="B95">
        <v>3.55</v>
      </c>
      <c r="C95">
        <v>0.5</v>
      </c>
    </row>
    <row r="96">
      <c r="A96" t="str">
        <v>mat-aa6111-t4</v>
      </c>
      <c r="B96">
        <v>3.7</v>
      </c>
      <c r="C96">
        <v>0.5</v>
      </c>
    </row>
    <row r="97">
      <c r="A97" t="str">
        <v>mat-aa7075-t6</v>
      </c>
      <c r="B97">
        <v>6.8</v>
      </c>
      <c r="C97">
        <v>0.55</v>
      </c>
    </row>
    <row r="98">
      <c r="A98" t="str">
        <v>mat-greensteel-dc01</v>
      </c>
      <c r="B98">
        <v>1.05</v>
      </c>
      <c r="C98">
        <v>0.2</v>
      </c>
    </row>
    <row r="99">
      <c r="A99" t="str">
        <v>mat-al-recycled-5xxx</v>
      </c>
      <c r="B99">
        <v>2.6</v>
      </c>
      <c r="C99">
        <v>0.5</v>
      </c>
    </row>
    <row r="100">
      <c r="A100" t="str">
        <v>mat-pp</v>
      </c>
      <c r="B100">
        <v>1.12</v>
      </c>
      <c r="C100">
        <v>0.1</v>
      </c>
    </row>
    <row r="101">
      <c r="A101" t="str">
        <v>mat-abs</v>
      </c>
      <c r="B101">
        <v>1.68</v>
      </c>
      <c r="C101">
        <v>0.1</v>
      </c>
    </row>
    <row r="102">
      <c r="A102" t="str">
        <v>mat-pa66gf30</v>
      </c>
      <c r="B102">
        <v>3.1</v>
      </c>
      <c r="C102">
        <v>0.05</v>
      </c>
    </row>
    <row r="103">
      <c r="A103" t="str">
        <v>mat-pc</v>
      </c>
      <c r="B103">
        <v>2.52</v>
      </c>
      <c r="C103">
        <v>0.08</v>
      </c>
    </row>
    <row r="104">
      <c r="A104" t="str">
        <v>mat-hdpe</v>
      </c>
      <c r="B104">
        <v>1.06</v>
      </c>
      <c r="C104">
        <v>0.12</v>
      </c>
    </row>
    <row r="105">
      <c r="A105" t="str">
        <v>mat-pom</v>
      </c>
      <c r="B105">
        <v>2.05</v>
      </c>
      <c r="C105">
        <v>0.05</v>
      </c>
    </row>
    <row r="106">
      <c r="A106" t="str">
        <v>mat-pbt-gf30</v>
      </c>
      <c r="B106">
        <v>3.1</v>
      </c>
      <c r="C106">
        <v>0.05</v>
      </c>
    </row>
    <row r="107">
      <c r="A107" t="str">
        <v>mat-tpu-shore85</v>
      </c>
      <c r="B107">
        <v>2.52</v>
      </c>
      <c r="C107">
        <v>0.05</v>
      </c>
    </row>
    <row r="108">
      <c r="A108" t="str">
        <v>mat-ldpe</v>
      </c>
      <c r="B108">
        <v>0.87</v>
      </c>
      <c r="C108">
        <v>0.08</v>
      </c>
    </row>
    <row r="109">
      <c r="A109" t="str">
        <v>mat-lldpe</v>
      </c>
      <c r="B109">
        <v>0.93</v>
      </c>
      <c r="C109">
        <v>0.08</v>
      </c>
    </row>
    <row r="110">
      <c r="A110" t="str">
        <v>mat-pp-homo</v>
      </c>
      <c r="B110">
        <v>0.96</v>
      </c>
      <c r="C110">
        <v>0.1</v>
      </c>
    </row>
    <row r="111">
      <c r="A111" t="str">
        <v>mat-pp-impact</v>
      </c>
      <c r="B111">
        <v>1.01</v>
      </c>
      <c r="C111">
        <v>0.1</v>
      </c>
    </row>
    <row r="112">
      <c r="A112" t="str">
        <v>mat-pp-gf30</v>
      </c>
      <c r="B112">
        <v>1.85</v>
      </c>
      <c r="C112">
        <v>0.08</v>
      </c>
    </row>
    <row r="113">
      <c r="A113" t="str">
        <v>mat-pet-bg</v>
      </c>
      <c r="B113">
        <v>1.21</v>
      </c>
      <c r="C113">
        <v>0.08</v>
      </c>
    </row>
    <row r="114">
      <c r="A114" t="str">
        <v>mat-pet-gf30</v>
      </c>
      <c r="B114">
        <v>3.05</v>
      </c>
      <c r="C114">
        <v>0.05</v>
      </c>
    </row>
    <row r="115">
      <c r="A115" t="str">
        <v>mat-upvc</v>
      </c>
      <c r="B115">
        <v>0.83</v>
      </c>
      <c r="C115">
        <v>0.05</v>
      </c>
    </row>
    <row r="116">
      <c r="A116" t="str">
        <v>mat-fpvc</v>
      </c>
      <c r="B116">
        <v>1.16</v>
      </c>
      <c r="C116">
        <v>0.05</v>
      </c>
    </row>
    <row r="117">
      <c r="A117" t="str">
        <v>mat-gpps</v>
      </c>
      <c r="B117">
        <v>1</v>
      </c>
      <c r="C117">
        <v>0.08</v>
      </c>
    </row>
    <row r="118">
      <c r="A118" t="str">
        <v>mat-hips</v>
      </c>
      <c r="B118">
        <v>0.97</v>
      </c>
      <c r="C118">
        <v>0.08</v>
      </c>
    </row>
    <row r="119">
      <c r="A119" t="str">
        <v>mat-pc-abs</v>
      </c>
      <c r="B119">
        <v>1.95</v>
      </c>
      <c r="C119">
        <v>0.08</v>
      </c>
    </row>
    <row r="120">
      <c r="A120" t="str">
        <v>mat-pa6</v>
      </c>
      <c r="B120">
        <v>1.68</v>
      </c>
      <c r="C120">
        <v>0.06</v>
      </c>
    </row>
    <row r="121">
      <c r="A121" t="str">
        <v>mat-pa6-gf30</v>
      </c>
      <c r="B121">
        <v>2.52</v>
      </c>
      <c r="C121">
        <v>0.05</v>
      </c>
    </row>
    <row r="122">
      <c r="A122" t="str">
        <v>mat-pa66</v>
      </c>
      <c r="B122">
        <v>1.89</v>
      </c>
      <c r="C122">
        <v>0.06</v>
      </c>
    </row>
    <row r="123">
      <c r="A123" t="str">
        <v>mat-peek</v>
      </c>
      <c r="B123">
        <v>76</v>
      </c>
      <c r="C123">
        <v>5</v>
      </c>
    </row>
    <row r="124">
      <c r="A124" t="str">
        <v>mat-peek-gf30</v>
      </c>
      <c r="B124">
        <v>93</v>
      </c>
      <c r="C124">
        <v>5</v>
      </c>
    </row>
    <row r="125">
      <c r="A125" t="str">
        <v>mat-asa</v>
      </c>
      <c r="B125">
        <v>2.3</v>
      </c>
      <c r="C125">
        <v>0.1</v>
      </c>
    </row>
    <row r="126">
      <c r="A126" t="str">
        <v>mat-san</v>
      </c>
      <c r="B126">
        <v>1.75</v>
      </c>
      <c r="C126">
        <v>0.08</v>
      </c>
    </row>
    <row r="127">
      <c r="A127" t="str">
        <v>mat-pp-t20</v>
      </c>
      <c r="B127">
        <v>1.25</v>
      </c>
      <c r="C127">
        <v>0.1</v>
      </c>
    </row>
    <row r="128">
      <c r="A128" t="str">
        <v>mat-pp-t30</v>
      </c>
      <c r="B128">
        <v>1.35</v>
      </c>
      <c r="C128">
        <v>0.1</v>
      </c>
    </row>
    <row r="129">
      <c r="A129" t="str">
        <v>mat-pp-lgf30</v>
      </c>
      <c r="B129">
        <v>2.6</v>
      </c>
      <c r="C129">
        <v>0.08</v>
      </c>
    </row>
    <row r="130">
      <c r="A130" t="str">
        <v>mat-tpo</v>
      </c>
      <c r="B130">
        <v>1.85</v>
      </c>
      <c r="C130">
        <v>0.1</v>
      </c>
    </row>
    <row r="131">
      <c r="A131" t="str">
        <v>mat-tpv</v>
      </c>
      <c r="B131">
        <v>3.2</v>
      </c>
      <c r="C131">
        <v>0.05</v>
      </c>
    </row>
    <row r="132">
      <c r="A132" t="str">
        <v>mat-pmma</v>
      </c>
      <c r="B132">
        <v>2.4</v>
      </c>
      <c r="C132">
        <v>0.08</v>
      </c>
    </row>
    <row r="133">
      <c r="A133" t="str">
        <v>mat-pps-gf40</v>
      </c>
      <c r="B133">
        <v>5.5</v>
      </c>
      <c r="C133">
        <v>0.2</v>
      </c>
    </row>
    <row r="134">
      <c r="A134" t="str">
        <v>mat-ppa-gf35</v>
      </c>
      <c r="B134">
        <v>6.8</v>
      </c>
      <c r="C134">
        <v>0.15</v>
      </c>
    </row>
    <row r="135">
      <c r="A135" t="str">
        <v>mat-pei</v>
      </c>
      <c r="B135">
        <v>12.5</v>
      </c>
      <c r="C135">
        <v>0.5</v>
      </c>
    </row>
    <row r="136">
      <c r="A136" t="str">
        <v>mat-pei-gf30</v>
      </c>
      <c r="B136">
        <v>14</v>
      </c>
      <c r="C136">
        <v>0.5</v>
      </c>
    </row>
    <row r="137">
      <c r="A137" t="str">
        <v>mat-lcp-gf30</v>
      </c>
      <c r="B137">
        <v>11</v>
      </c>
      <c r="C137">
        <v>0.3</v>
      </c>
    </row>
    <row r="138">
      <c r="A138" t="str">
        <v>mat-pa66-gf35</v>
      </c>
      <c r="B138">
        <v>3.3</v>
      </c>
      <c r="C138">
        <v>0.05</v>
      </c>
    </row>
    <row r="139">
      <c r="A139" t="str">
        <v>mat-pa66-gf50</v>
      </c>
      <c r="B139">
        <v>3.55</v>
      </c>
      <c r="C139">
        <v>0.05</v>
      </c>
    </row>
    <row r="140">
      <c r="A140" t="str">
        <v>mat-pa66-min</v>
      </c>
      <c r="B140">
        <v>3</v>
      </c>
      <c r="C140">
        <v>0.05</v>
      </c>
    </row>
    <row r="141">
      <c r="A141" t="str">
        <v>mat-pa12</v>
      </c>
      <c r="B141">
        <v>8.5</v>
      </c>
      <c r="C141">
        <v>0.1</v>
      </c>
    </row>
    <row r="142">
      <c r="A142" t="str">
        <v>mat-pc-pbt</v>
      </c>
      <c r="B142">
        <v>3.2</v>
      </c>
      <c r="C142">
        <v>0.08</v>
      </c>
    </row>
    <row r="143">
      <c r="A143" t="str">
        <v>mat-mppe</v>
      </c>
      <c r="B143">
        <v>3.4</v>
      </c>
      <c r="C143">
        <v>0.08</v>
      </c>
    </row>
    <row r="144">
      <c r="A144" t="str">
        <v>mat-pc-fr</v>
      </c>
      <c r="B144">
        <v>3.6</v>
      </c>
      <c r="C144">
        <v>0.08</v>
      </c>
    </row>
    <row r="145">
      <c r="A145" t="str">
        <v>mat-pa66-gf25-fr</v>
      </c>
      <c r="B145">
        <v>4.2</v>
      </c>
      <c r="C145">
        <v>0.05</v>
      </c>
    </row>
    <row r="146">
      <c r="A146" t="str">
        <v>mat-pcr-pp</v>
      </c>
      <c r="B146">
        <v>0.95</v>
      </c>
      <c r="C146">
        <v>0.1</v>
      </c>
    </row>
    <row r="147">
      <c r="A147" t="str">
        <v>mat-bio-pa610</v>
      </c>
      <c r="B147">
        <v>5.5</v>
      </c>
      <c r="C147">
        <v>0.1</v>
      </c>
    </row>
    <row r="148">
      <c r="A148" t="str">
        <v>mat-pc-glazing</v>
      </c>
      <c r="B148">
        <v>4.2</v>
      </c>
      <c r="C148">
        <v>0.08</v>
      </c>
    </row>
    <row r="149">
      <c r="A149" t="str">
        <v>mat-adc12</v>
      </c>
      <c r="B149">
        <v>2.78</v>
      </c>
      <c r="C149">
        <v>0.55</v>
      </c>
    </row>
    <row r="150">
      <c r="A150" t="str">
        <v>mat-a380</v>
      </c>
      <c r="B150">
        <v>2.83</v>
      </c>
      <c r="C150">
        <v>0.55</v>
      </c>
    </row>
    <row r="151">
      <c r="A151" t="str">
        <v>mat-gjl250</v>
      </c>
      <c r="B151">
        <v>0.64</v>
      </c>
      <c r="C151">
        <v>0.12</v>
      </c>
    </row>
    <row r="152">
      <c r="A152" t="str">
        <v>mat-lm25</v>
      </c>
      <c r="B152">
        <v>3.04</v>
      </c>
      <c r="C152">
        <v>0.55</v>
      </c>
    </row>
    <row r="153">
      <c r="A153" t="str">
        <v>mat-gjl350</v>
      </c>
      <c r="B153">
        <v>0.74</v>
      </c>
      <c r="C153">
        <v>0.12</v>
      </c>
    </row>
    <row r="154">
      <c r="A154" t="str">
        <v>mat-bronze-c905</v>
      </c>
      <c r="B154">
        <v>8.9</v>
      </c>
      <c r="C154">
        <v>2.8</v>
      </c>
    </row>
    <row r="155">
      <c r="A155" t="str">
        <v>mat-mag-az91</v>
      </c>
      <c r="B155">
        <v>3.99</v>
      </c>
      <c r="C155">
        <v>0.8</v>
      </c>
    </row>
    <row r="156">
      <c r="A156" t="str">
        <v>mat-ss304-cast</v>
      </c>
      <c r="B156">
        <v>5.04</v>
      </c>
      <c r="C156">
        <v>1.2</v>
      </c>
    </row>
    <row r="157">
      <c r="A157" t="str">
        <v>mat-adc12-secondary</v>
      </c>
      <c r="B157">
        <v>2.05</v>
      </c>
      <c r="C157">
        <v>0.45</v>
      </c>
    </row>
    <row r="158">
      <c r="A158" t="str">
        <v>mat-alsi10mg</v>
      </c>
      <c r="B158">
        <v>2.94</v>
      </c>
      <c r="C158">
        <v>0.55</v>
      </c>
    </row>
    <row r="159">
      <c r="A159" t="str">
        <v>mat-a365</v>
      </c>
      <c r="B159">
        <v>2.83</v>
      </c>
      <c r="C159">
        <v>0.52</v>
      </c>
    </row>
    <row r="160">
      <c r="A160" t="str">
        <v>mat-zamak3</v>
      </c>
      <c r="B160">
        <v>2.47</v>
      </c>
      <c r="C160">
        <v>1.2</v>
      </c>
    </row>
    <row r="161">
      <c r="A161" t="str">
        <v>mat-zamak5</v>
      </c>
      <c r="B161">
        <v>2.52</v>
      </c>
      <c r="C161">
        <v>1.2</v>
      </c>
    </row>
    <row r="162">
      <c r="A162" t="str">
        <v>mat-gjs400</v>
      </c>
      <c r="B162">
        <v>0.82</v>
      </c>
      <c r="C162">
        <v>0.15</v>
      </c>
    </row>
    <row r="163">
      <c r="A163" t="str">
        <v>mat-gjs600</v>
      </c>
      <c r="B163">
        <v>0.9</v>
      </c>
      <c r="C163">
        <v>0.15</v>
      </c>
    </row>
    <row r="164">
      <c r="A164" t="str">
        <v>mat-aural5</v>
      </c>
      <c r="B164">
        <v>3.12</v>
      </c>
      <c r="C164">
        <v>0.58</v>
      </c>
    </row>
    <row r="165">
      <c r="A165" t="str">
        <v>mat-silafont36</v>
      </c>
      <c r="B165">
        <v>3.15</v>
      </c>
      <c r="C165">
        <v>0.58</v>
      </c>
    </row>
    <row r="166">
      <c r="A166" t="str">
        <v>mat-castasil37</v>
      </c>
      <c r="B166">
        <v>3.08</v>
      </c>
      <c r="C166">
        <v>0.58</v>
      </c>
    </row>
    <row r="167">
      <c r="A167" t="str">
        <v>mat-magsimal59</v>
      </c>
      <c r="B167">
        <v>3.22</v>
      </c>
      <c r="C167">
        <v>0.58</v>
      </c>
    </row>
    <row r="168">
      <c r="A168" t="str">
        <v>mat-al-hpdc-lowco2</v>
      </c>
      <c r="B168">
        <v>3.05</v>
      </c>
      <c r="C168">
        <v>0.6</v>
      </c>
    </row>
    <row r="169">
      <c r="A169" t="str">
        <v>mat-htf-gigacast</v>
      </c>
      <c r="B169">
        <v>3.35</v>
      </c>
      <c r="C169">
        <v>0.6</v>
      </c>
    </row>
    <row r="170">
      <c r="A170" t="str">
        <v>mat-a413</v>
      </c>
      <c r="B170">
        <v>2.8</v>
      </c>
      <c r="C170">
        <v>0.54</v>
      </c>
    </row>
    <row r="171">
      <c r="A171" t="str">
        <v>mat-a319</v>
      </c>
      <c r="B171">
        <v>2.76</v>
      </c>
      <c r="C171">
        <v>0.54</v>
      </c>
    </row>
    <row r="172">
      <c r="A172" t="str">
        <v>mat-a390</v>
      </c>
      <c r="B172">
        <v>3.32</v>
      </c>
      <c r="C172">
        <v>0.55</v>
      </c>
    </row>
    <row r="173">
      <c r="A173" t="str">
        <v>mat-a357</v>
      </c>
      <c r="B173">
        <v>3.26</v>
      </c>
      <c r="C173">
        <v>0.56</v>
      </c>
    </row>
    <row r="174">
      <c r="A174" t="str">
        <v>mat-gjl200</v>
      </c>
      <c r="B174">
        <v>0.6</v>
      </c>
      <c r="C174">
        <v>0.12</v>
      </c>
    </row>
    <row r="175">
      <c r="A175" t="str">
        <v>mat-gjl300</v>
      </c>
      <c r="B175">
        <v>0.7</v>
      </c>
      <c r="C175">
        <v>0.12</v>
      </c>
    </row>
    <row r="176">
      <c r="A176" t="str">
        <v>mat-gjs500</v>
      </c>
      <c r="B176">
        <v>0.86</v>
      </c>
      <c r="C176">
        <v>0.15</v>
      </c>
    </row>
    <row r="177">
      <c r="A177" t="str">
        <v>mat-gjs700</v>
      </c>
      <c r="B177">
        <v>0.95</v>
      </c>
      <c r="C177">
        <v>0.15</v>
      </c>
    </row>
    <row r="178">
      <c r="A178" t="str">
        <v>mat-gjv450</v>
      </c>
      <c r="B178">
        <v>1.12</v>
      </c>
      <c r="C178">
        <v>0.16</v>
      </c>
    </row>
    <row r="179">
      <c r="A179" t="str">
        <v>mat-simo</v>
      </c>
      <c r="B179">
        <v>1.35</v>
      </c>
      <c r="C179">
        <v>0.16</v>
      </c>
    </row>
    <row r="180">
      <c r="A180" t="str">
        <v>mat-adi</v>
      </c>
      <c r="B180">
        <v>1.58</v>
      </c>
      <c r="C180">
        <v>0.16</v>
      </c>
    </row>
    <row r="181">
      <c r="A181" t="str">
        <v>mat-mag-am60</v>
      </c>
      <c r="B181">
        <v>3.85</v>
      </c>
      <c r="C181">
        <v>0.8</v>
      </c>
    </row>
    <row r="182">
      <c r="A182" t="str">
        <v>mat-mag-am50</v>
      </c>
      <c r="B182">
        <v>3.9</v>
      </c>
      <c r="C182">
        <v>0.8</v>
      </c>
    </row>
    <row r="183">
      <c r="A183" t="str">
        <v>mat-mag-ae44</v>
      </c>
      <c r="B183">
        <v>5.2</v>
      </c>
      <c r="C183">
        <v>0.9</v>
      </c>
    </row>
    <row r="184">
      <c r="A184" t="str">
        <v>mat-za8</v>
      </c>
      <c r="B184">
        <v>2.82</v>
      </c>
      <c r="C184">
        <v>1.25</v>
      </c>
    </row>
    <row r="185">
      <c r="A185" t="str">
        <v>mat-za27</v>
      </c>
      <c r="B185">
        <v>3.1</v>
      </c>
      <c r="C185">
        <v>1.15</v>
      </c>
    </row>
    <row r="186">
      <c r="A186" t="str">
        <v>mat-gs-c25</v>
      </c>
      <c r="B186">
        <v>2.1</v>
      </c>
      <c r="C186">
        <v>0.28</v>
      </c>
    </row>
    <row r="187">
      <c r="A187" t="str">
        <v>mat-17-4ph-cast</v>
      </c>
      <c r="B187">
        <v>9.5</v>
      </c>
      <c r="C187">
        <v>1.5</v>
      </c>
    </row>
    <row r="188">
      <c r="A188" t="str">
        <v>mat-inconel718-cast</v>
      </c>
      <c r="B188">
        <v>42</v>
      </c>
      <c r="C188">
        <v>8</v>
      </c>
    </row>
    <row r="189">
      <c r="A189" t="str">
        <v>mat-steel1020</v>
      </c>
      <c r="B189">
        <v>0.82</v>
      </c>
      <c r="C189">
        <v>0.19</v>
      </c>
    </row>
    <row r="190">
      <c r="A190" t="str">
        <v>mat-steel4340</v>
      </c>
      <c r="B190">
        <v>1.45</v>
      </c>
      <c r="C190">
        <v>0.22</v>
      </c>
    </row>
    <row r="191">
      <c r="A191" t="str">
        <v>mat-steel1141</v>
      </c>
      <c r="B191">
        <v>1.05</v>
      </c>
      <c r="C191">
        <v>0.19</v>
      </c>
    </row>
    <row r="192">
      <c r="A192" t="str">
        <v>mat-steel-38mnvs6</v>
      </c>
      <c r="B192">
        <v>1.15</v>
      </c>
      <c r="C192">
        <v>0.2</v>
      </c>
    </row>
    <row r="193">
      <c r="A193" t="str">
        <v>mat-steel4130</v>
      </c>
      <c r="B193">
        <v>1.6</v>
      </c>
      <c r="C193">
        <v>0.22</v>
      </c>
    </row>
    <row r="194">
      <c r="A194" t="str">
        <v>mat-steel8620</v>
      </c>
      <c r="B194">
        <v>1.5</v>
      </c>
      <c r="C194">
        <v>0.22</v>
      </c>
    </row>
    <row r="195">
      <c r="A195" t="str">
        <v>mat-steel-20mncr5</v>
      </c>
      <c r="B195">
        <v>1.48</v>
      </c>
      <c r="C195">
        <v>0.22</v>
      </c>
    </row>
    <row r="196">
      <c r="A196" t="str">
        <v>mat-steel-52100</v>
      </c>
      <c r="B196">
        <v>1.7</v>
      </c>
      <c r="C196">
        <v>0.22</v>
      </c>
    </row>
    <row r="197">
      <c r="A197" t="str">
        <v>mat-steel-300m</v>
      </c>
      <c r="B197">
        <v>3.8</v>
      </c>
      <c r="C197">
        <v>0.3</v>
      </c>
    </row>
    <row r="198">
      <c r="A198" t="str">
        <v>mat-ss410-bar</v>
      </c>
      <c r="B198">
        <v>3.6</v>
      </c>
      <c r="C198">
        <v>0.9</v>
      </c>
    </row>
    <row r="199">
      <c r="A199" t="str">
        <v>mat-ss304l-bar</v>
      </c>
      <c r="B199">
        <v>4.6</v>
      </c>
      <c r="C199">
        <v>1.2</v>
      </c>
    </row>
    <row r="200">
      <c r="A200" t="str">
        <v>mat-ss316l-bar</v>
      </c>
      <c r="B200">
        <v>6.2</v>
      </c>
      <c r="C200">
        <v>1.4</v>
      </c>
    </row>
    <row r="201">
      <c r="A201" t="str">
        <v>mat-ss17-4ph-bar</v>
      </c>
      <c r="B201">
        <v>9.2</v>
      </c>
      <c r="C201">
        <v>1.6</v>
      </c>
    </row>
    <row r="202">
      <c r="A202" t="str">
        <v>mat-ss15-5ph-bar</v>
      </c>
      <c r="B202">
        <v>9.8</v>
      </c>
      <c r="C202">
        <v>1.6</v>
      </c>
    </row>
    <row r="203">
      <c r="A203" t="str">
        <v>mat-al6061-forge</v>
      </c>
      <c r="B203">
        <v>3.4</v>
      </c>
      <c r="C203">
        <v>0.55</v>
      </c>
    </row>
    <row r="204">
      <c r="A204" t="str">
        <v>mat-al6082-forge</v>
      </c>
      <c r="B204">
        <v>3.3</v>
      </c>
      <c r="C204">
        <v>0.55</v>
      </c>
    </row>
    <row r="205">
      <c r="A205" t="str">
        <v>mat-al7075-forge</v>
      </c>
      <c r="B205">
        <v>4.6</v>
      </c>
      <c r="C205">
        <v>0.55</v>
      </c>
    </row>
    <row r="206">
      <c r="A206" t="str">
        <v>mat-al2618-forge</v>
      </c>
      <c r="B206">
        <v>5.2</v>
      </c>
      <c r="C206">
        <v>0.55</v>
      </c>
    </row>
    <row r="207">
      <c r="A207" t="str">
        <v>mat-ti-cp-gr2</v>
      </c>
      <c r="B207">
        <v>26</v>
      </c>
      <c r="C207">
        <v>4</v>
      </c>
    </row>
    <row r="208">
      <c r="A208" t="str">
        <v>mat-ti-6al4v-forge</v>
      </c>
      <c r="B208">
        <v>38</v>
      </c>
      <c r="C208">
        <v>5.5</v>
      </c>
    </row>
    <row r="209">
      <c r="A209" t="str">
        <v>mat-inconel718-forge</v>
      </c>
      <c r="B209">
        <v>44</v>
      </c>
      <c r="C209">
        <v>8</v>
      </c>
    </row>
    <row r="210">
      <c r="A210" t="str">
        <v>mat-waspaloy-forge</v>
      </c>
      <c r="B210">
        <v>70</v>
      </c>
      <c r="C210">
        <v>12</v>
      </c>
    </row>
    <row r="211">
      <c r="A211" t="str">
        <v>mat-inconel625-forge</v>
      </c>
      <c r="B211">
        <v>38</v>
      </c>
      <c r="C211">
        <v>7</v>
      </c>
    </row>
    <row r="212">
      <c r="A212" t="str">
        <v>mat-hastelloy-c276-forge</v>
      </c>
      <c r="B212">
        <v>55</v>
      </c>
      <c r="C212">
        <v>9</v>
      </c>
    </row>
    <row r="213">
      <c r="A213" t="str">
        <v>mat-monel400-forge</v>
      </c>
      <c r="B213">
        <v>28</v>
      </c>
      <c r="C213">
        <v>5</v>
      </c>
    </row>
    <row r="214">
      <c r="A214" t="str">
        <v>mat-ti-6242-forge</v>
      </c>
      <c r="B214">
        <v>52</v>
      </c>
      <c r="C214">
        <v>6.5</v>
      </c>
    </row>
    <row r="215">
      <c r="A215" t="str">
        <v>mat-al7050-forge</v>
      </c>
      <c r="B215">
        <v>8.5</v>
      </c>
      <c r="C215">
        <v>1.1</v>
      </c>
    </row>
    <row r="216">
      <c r="A216" t="str">
        <v>mat-mg-az31-forge</v>
      </c>
      <c r="B216">
        <v>6.5</v>
      </c>
      <c r="C216">
        <v>0.9</v>
      </c>
    </row>
    <row r="217">
      <c r="A217" t="str">
        <v>mat-brass-cz122-forge</v>
      </c>
      <c r="B217">
        <v>7.2</v>
      </c>
      <c r="C217">
        <v>3</v>
      </c>
    </row>
    <row r="218">
      <c r="A218" t="str">
        <v>mat-paint-ecoat</v>
      </c>
      <c r="B218">
        <v>3.68</v>
      </c>
      <c r="C218">
        <v>0</v>
      </c>
    </row>
    <row r="219">
      <c r="A219" t="str">
        <v>mat-paint-primer</v>
      </c>
      <c r="B219">
        <v>6.1</v>
      </c>
      <c r="C219">
        <v>0</v>
      </c>
    </row>
    <row r="220">
      <c r="A220" t="str">
        <v>mat-paint-basecoat</v>
      </c>
      <c r="B220">
        <v>8.62</v>
      </c>
      <c r="C220">
        <v>0</v>
      </c>
    </row>
    <row r="221">
      <c r="A221" t="str">
        <v>mat-paint-clearcoat</v>
      </c>
      <c r="B221">
        <v>9.98</v>
      </c>
      <c r="C221">
        <v>0</v>
      </c>
    </row>
    <row r="222">
      <c r="A222" t="str">
        <v>mat-paint-powder</v>
      </c>
      <c r="B222">
        <v>3.36</v>
      </c>
      <c r="C222">
        <v>0.5</v>
      </c>
    </row>
    <row r="223">
      <c r="A223" t="str">
        <v>mat-paint-1k-primer</v>
      </c>
      <c r="B223">
        <v>5.4</v>
      </c>
      <c r="C223">
        <v>0</v>
      </c>
    </row>
    <row r="224">
      <c r="A224" t="str">
        <v>mat-paint-sb-basecoat</v>
      </c>
      <c r="B224">
        <v>9.2</v>
      </c>
      <c r="C224">
        <v>0</v>
      </c>
    </row>
    <row r="225">
      <c r="A225" t="str">
        <v>mat-paint-uv-clear</v>
      </c>
      <c r="B225">
        <v>14.5</v>
      </c>
      <c r="C225">
        <v>0</v>
      </c>
    </row>
    <row r="226">
      <c r="A226" t="str">
        <v>mat-paint-pvc-underbody</v>
      </c>
      <c r="B226">
        <v>2.6</v>
      </c>
      <c r="C226">
        <v>0</v>
      </c>
    </row>
    <row r="227">
      <c r="A227" t="str">
        <v>mat-pp-bm</v>
      </c>
      <c r="B227">
        <v>1.08</v>
      </c>
      <c r="C227">
        <v>0.1</v>
      </c>
    </row>
    <row r="228">
      <c r="A228" t="str">
        <v>mat-petg-bm</v>
      </c>
      <c r="B228">
        <v>2.18</v>
      </c>
      <c r="C228">
        <v>0.08</v>
      </c>
    </row>
    <row r="229">
      <c r="A229" t="str">
        <v>mat-pvc-bm</v>
      </c>
      <c r="B229">
        <v>0.92</v>
      </c>
      <c r="C229">
        <v>0.05</v>
      </c>
    </row>
    <row r="230">
      <c r="A230" t="str">
        <v>mat-tpe-bm</v>
      </c>
      <c r="B230">
        <v>2.48</v>
      </c>
      <c r="C230">
        <v>0.12</v>
      </c>
    </row>
    <row r="231">
      <c r="A231" t="str">
        <v>mat-eva-bm</v>
      </c>
      <c r="B231">
        <v>1.68</v>
      </c>
      <c r="C231">
        <v>0.08</v>
      </c>
    </row>
    <row r="232">
      <c r="A232" t="str">
        <v>mat-hdpe-bm</v>
      </c>
      <c r="B232">
        <v>1.15</v>
      </c>
      <c r="C232">
        <v>0.12</v>
      </c>
    </row>
    <row r="233">
      <c r="A233" t="str">
        <v>mat-hdpe-fuel-coex</v>
      </c>
      <c r="B233">
        <v>1.55</v>
      </c>
      <c r="C233">
        <v>0.1</v>
      </c>
    </row>
    <row r="234">
      <c r="A234" t="str">
        <v>mat-pa6-bm</v>
      </c>
      <c r="B234">
        <v>3.1</v>
      </c>
      <c r="C234">
        <v>0.1</v>
      </c>
    </row>
    <row r="235">
      <c r="A235" t="str">
        <v>mat-pc-bm</v>
      </c>
      <c r="B235">
        <v>3.9</v>
      </c>
      <c r="C235">
        <v>0.08</v>
      </c>
    </row>
    <row r="236">
      <c r="A236" t="str">
        <v>mat-ldpe-bm</v>
      </c>
      <c r="B236">
        <v>0.98</v>
      </c>
      <c r="C236">
        <v>0.1</v>
      </c>
    </row>
    <row r="237">
      <c r="A237" t="str">
        <v>mat-lldpe-bm</v>
      </c>
      <c r="B237">
        <v>1.05</v>
      </c>
      <c r="C237">
        <v>0.1</v>
      </c>
    </row>
    <row r="238">
      <c r="A238" t="str">
        <v>mat-pet-preform</v>
      </c>
      <c r="B238">
        <v>1.25</v>
      </c>
      <c r="C238">
        <v>0.1</v>
      </c>
    </row>
    <row r="239">
      <c r="A239" t="str">
        <v>mat-tritan-bm</v>
      </c>
      <c r="B239">
        <v>6.5</v>
      </c>
      <c r="C239">
        <v>0.15</v>
      </c>
    </row>
    <row r="240">
      <c r="A240" t="str">
        <v>mat-biope-bm</v>
      </c>
      <c r="B240">
        <v>2.2</v>
      </c>
      <c r="C240">
        <v>0.12</v>
      </c>
    </row>
    <row r="241">
      <c r="A241" t="str">
        <v>mat-rhdpe-bm</v>
      </c>
      <c r="B241">
        <v>0.95</v>
      </c>
      <c r="C241">
        <v>0.12</v>
      </c>
    </row>
    <row r="242">
      <c r="A242" t="str">
        <v>mat-rpp-bm</v>
      </c>
      <c r="B242">
        <v>0.9</v>
      </c>
      <c r="C242">
        <v>0.1</v>
      </c>
    </row>
    <row r="243">
      <c r="A243" t="str">
        <v>mat-pe100-pipe</v>
      </c>
      <c r="B243">
        <v>1.35</v>
      </c>
      <c r="C243">
        <v>0.12</v>
      </c>
    </row>
    <row r="244">
      <c r="A244" t="str">
        <v>mat-pe80-pipe</v>
      </c>
      <c r="B244">
        <v>1.28</v>
      </c>
      <c r="C244">
        <v>0.12</v>
      </c>
    </row>
    <row r="245">
      <c r="A245" t="str">
        <v>mat-upvc-pipe</v>
      </c>
      <c r="B245">
        <v>0.9</v>
      </c>
      <c r="C245">
        <v>0.05</v>
      </c>
    </row>
    <row r="246">
      <c r="A246" t="str">
        <v>mat-pvc-cable</v>
      </c>
      <c r="B246">
        <v>1.35</v>
      </c>
      <c r="C246">
        <v>0.05</v>
      </c>
    </row>
    <row r="247">
      <c r="A247" t="str">
        <v>mat-xlpe-cable</v>
      </c>
      <c r="B247">
        <v>2.1</v>
      </c>
      <c r="C247">
        <v>0</v>
      </c>
    </row>
    <row r="248">
      <c r="A248" t="str">
        <v>mat-gpps-ext</v>
      </c>
      <c r="B248">
        <v>1.3</v>
      </c>
      <c r="C248">
        <v>0.08</v>
      </c>
    </row>
    <row r="249">
      <c r="A249" t="str">
        <v>mat-abs-ext-sheet</v>
      </c>
      <c r="B249">
        <v>1.85</v>
      </c>
      <c r="C249">
        <v>0.1</v>
      </c>
    </row>
    <row r="250">
      <c r="A250" t="str">
        <v>mat-pmma-ext-sheet</v>
      </c>
      <c r="B250">
        <v>2.6</v>
      </c>
      <c r="C250">
        <v>0.08</v>
      </c>
    </row>
    <row r="251">
      <c r="A251" t="str">
        <v>mat-pc-ext-sheet</v>
      </c>
      <c r="B251">
        <v>3.2</v>
      </c>
      <c r="C251">
        <v>0.08</v>
      </c>
    </row>
    <row r="252">
      <c r="A252" t="str">
        <v>mat-pvc-medical-tube</v>
      </c>
      <c r="B252">
        <v>1.95</v>
      </c>
      <c r="C252">
        <v>0</v>
      </c>
    </row>
    <row r="253">
      <c r="A253" t="str">
        <v>mat-tpu-medical-tube</v>
      </c>
      <c r="B253">
        <v>6.5</v>
      </c>
      <c r="C253">
        <v>0</v>
      </c>
    </row>
    <row r="254">
      <c r="A254" t="str">
        <v>mat-tpe-profile</v>
      </c>
      <c r="B254">
        <v>2.4</v>
      </c>
      <c r="C254">
        <v>0.08</v>
      </c>
    </row>
    <row r="255">
      <c r="A255" t="str">
        <v>mat-pvc-foam</v>
      </c>
      <c r="B255">
        <v>1.15</v>
      </c>
      <c r="C255">
        <v>0.03</v>
      </c>
    </row>
    <row r="256">
      <c r="A256" t="str">
        <v>mat-pp-ext-sheet</v>
      </c>
      <c r="B256">
        <v>1.15</v>
      </c>
      <c r="C256">
        <v>0.1</v>
      </c>
    </row>
    <row r="257">
      <c r="A257" t="str">
        <v>mat-pa12-ext-tube</v>
      </c>
      <c r="B257">
        <v>6.2</v>
      </c>
      <c r="C257">
        <v>0.1</v>
      </c>
    </row>
    <row r="258">
      <c r="A258" t="str">
        <v>mat-mb-colour</v>
      </c>
      <c r="B258">
        <v>4.5</v>
      </c>
      <c r="C258">
        <v>0</v>
      </c>
    </row>
    <row r="259">
      <c r="A259" t="str">
        <v>mat-mb-white-tio2</v>
      </c>
      <c r="B259">
        <v>3.2</v>
      </c>
      <c r="C259">
        <v>0</v>
      </c>
    </row>
    <row r="260">
      <c r="A260" t="str">
        <v>mat-mb-black</v>
      </c>
      <c r="B260">
        <v>2.1</v>
      </c>
      <c r="C260">
        <v>0</v>
      </c>
    </row>
    <row r="261">
      <c r="A261" t="str">
        <v>mat-add-uv</v>
      </c>
      <c r="B261">
        <v>6.8</v>
      </c>
      <c r="C261">
        <v>0</v>
      </c>
    </row>
    <row r="262">
      <c r="A262" t="str">
        <v>mat-add-antistat</v>
      </c>
      <c r="B262">
        <v>5.5</v>
      </c>
      <c r="C262">
        <v>0</v>
      </c>
    </row>
    <row r="263">
      <c r="A263" t="str">
        <v>mat-add-fr</v>
      </c>
      <c r="B263">
        <v>4.2</v>
      </c>
      <c r="C263">
        <v>0</v>
      </c>
    </row>
    <row r="264">
      <c r="A264" t="str">
        <v>mat-add-impact</v>
      </c>
      <c r="B264">
        <v>3.1</v>
      </c>
      <c r="C264">
        <v>0</v>
      </c>
    </row>
    <row r="265">
      <c r="A265" t="str">
        <v>mat-add-procaid</v>
      </c>
      <c r="B265">
        <v>8.5</v>
      </c>
      <c r="C265">
        <v>0</v>
      </c>
    </row>
    <row r="266">
      <c r="A266" t="str">
        <v>mat-hips-tf</v>
      </c>
      <c r="B266">
        <v>1.05</v>
      </c>
      <c r="C266">
        <v>0.3</v>
      </c>
    </row>
    <row r="267">
      <c r="A267" t="str">
        <v>mat-abs-tf</v>
      </c>
      <c r="B267">
        <v>2</v>
      </c>
      <c r="C267">
        <v>0.45</v>
      </c>
    </row>
    <row r="268">
      <c r="A268" t="str">
        <v>mat-petg-tf</v>
      </c>
      <c r="B268">
        <v>1.85</v>
      </c>
      <c r="C268">
        <v>0.45</v>
      </c>
    </row>
    <row r="269">
      <c r="A269" t="str">
        <v>mat-apet-tf</v>
      </c>
      <c r="B269">
        <v>1.55</v>
      </c>
      <c r="C269">
        <v>0.4</v>
      </c>
    </row>
    <row r="270">
      <c r="A270" t="str">
        <v>mat-cpet-tf</v>
      </c>
      <c r="B270">
        <v>1.75</v>
      </c>
      <c r="C270">
        <v>0.35</v>
      </c>
    </row>
    <row r="271">
      <c r="A271" t="str">
        <v>mat-rpvc-tf</v>
      </c>
      <c r="B271">
        <v>1.35</v>
      </c>
      <c r="C271">
        <v>0.2</v>
      </c>
    </row>
    <row r="272">
      <c r="A272" t="str">
        <v>mat-pp-tf</v>
      </c>
      <c r="B272">
        <v>1.3</v>
      </c>
      <c r="C272">
        <v>0.3</v>
      </c>
    </row>
    <row r="273">
      <c r="A273" t="str">
        <v>mat-hdpe-tf</v>
      </c>
      <c r="B273">
        <v>1.25</v>
      </c>
      <c r="C273">
        <v>0.35</v>
      </c>
    </row>
    <row r="274">
      <c r="A274" t="str">
        <v>mat-ldpe-tf</v>
      </c>
      <c r="B274">
        <v>1.3</v>
      </c>
      <c r="C274">
        <v>0.3</v>
      </c>
    </row>
    <row r="275">
      <c r="A275" t="str">
        <v>mat-ps-foam-tf</v>
      </c>
      <c r="B275">
        <v>1.6</v>
      </c>
      <c r="C275">
        <v>0.15</v>
      </c>
    </row>
    <row r="276">
      <c r="A276" t="str">
        <v>mat-pmma-tf</v>
      </c>
      <c r="B276">
        <v>2.9</v>
      </c>
      <c r="C276">
        <v>0.35</v>
      </c>
    </row>
    <row r="277">
      <c r="A277" t="str">
        <v>mat-pc-tf</v>
      </c>
      <c r="B277">
        <v>3.4</v>
      </c>
      <c r="C277">
        <v>0.35</v>
      </c>
    </row>
    <row r="278">
      <c r="A278" t="str">
        <v>mat-pei-tf</v>
      </c>
      <c r="B278">
        <v>28</v>
      </c>
      <c r="C278">
        <v>1</v>
      </c>
    </row>
    <row r="279">
      <c r="A279" t="str">
        <v>mat-pps-tf</v>
      </c>
      <c r="B279">
        <v>14</v>
      </c>
      <c r="C279">
        <v>0.5</v>
      </c>
    </row>
    <row r="280">
      <c r="A280" t="str">
        <v>mat-abs-pmma-tf</v>
      </c>
      <c r="B280">
        <v>2.6</v>
      </c>
      <c r="C280">
        <v>0.15</v>
      </c>
    </row>
    <row r="281">
      <c r="A281" t="str">
        <v>mat-abs-pc-tf</v>
      </c>
      <c r="B281">
        <v>3.1</v>
      </c>
      <c r="C281">
        <v>0.15</v>
      </c>
    </row>
    <row r="282">
      <c r="A282" t="str">
        <v>mat-pp-tpo-tf</v>
      </c>
      <c r="B282">
        <v>1.9</v>
      </c>
      <c r="C282">
        <v>0.2</v>
      </c>
    </row>
    <row r="283">
      <c r="A283" t="str">
        <v>mat-petg-barrier-tf</v>
      </c>
      <c r="B283">
        <v>2.4</v>
      </c>
      <c r="C283">
        <v>0.1</v>
      </c>
    </row>
    <row r="284">
      <c r="A284" t="str">
        <v>mat-lldpe-roto</v>
      </c>
      <c r="B284">
        <v>1.35</v>
      </c>
      <c r="C284">
        <v>0.1</v>
      </c>
    </row>
    <row r="285">
      <c r="A285" t="str">
        <v>mat-hdpe-roto</v>
      </c>
      <c r="B285">
        <v>1.3</v>
      </c>
      <c r="C285">
        <v>0.1</v>
      </c>
    </row>
    <row r="286">
      <c r="A286" t="str">
        <v>mat-pp-roto</v>
      </c>
      <c r="B286">
        <v>1.45</v>
      </c>
      <c r="C286">
        <v>0.1</v>
      </c>
    </row>
    <row r="287">
      <c r="A287" t="str">
        <v>mat-xlpe-roto</v>
      </c>
      <c r="B287">
        <v>1.75</v>
      </c>
      <c r="C287">
        <v>0.05</v>
      </c>
    </row>
    <row r="288">
      <c r="A288" t="str">
        <v>mat-pa12-roto</v>
      </c>
      <c r="B288">
        <v>9.5</v>
      </c>
      <c r="C288">
        <v>0.2</v>
      </c>
    </row>
    <row r="289">
      <c r="A289" t="str">
        <v>mat-fr-pe-roto</v>
      </c>
      <c r="B289">
        <v>2.6</v>
      </c>
      <c r="C289">
        <v>0.05</v>
      </c>
    </row>
    <row r="290">
      <c r="A290" t="str">
        <v>mat-foam-pe-roto</v>
      </c>
      <c r="B290">
        <v>1.9</v>
      </c>
      <c r="C290">
        <v>0.05</v>
      </c>
    </row>
    <row r="291">
      <c r="A291" t="str">
        <v>mat-cond-pe-roto</v>
      </c>
      <c r="B291">
        <v>2.4</v>
      </c>
      <c r="C291">
        <v>0.05</v>
      </c>
    </row>
    <row r="292">
      <c r="A292" t="str">
        <v>mat-rpe-roto</v>
      </c>
      <c r="B292">
        <v>0.95</v>
      </c>
      <c r="C292">
        <v>0.1</v>
      </c>
    </row>
    <row r="293">
      <c r="A293" t="str">
        <v>mat-epdm</v>
      </c>
      <c r="B293">
        <v>1.9</v>
      </c>
      <c r="C293">
        <v>0.05</v>
      </c>
    </row>
    <row r="294">
      <c r="A294" t="str">
        <v>mat-nbr</v>
      </c>
      <c r="B294">
        <v>2.32</v>
      </c>
      <c r="C294">
        <v>0.05</v>
      </c>
    </row>
    <row r="295">
      <c r="A295" t="str">
        <v>mat-silicone-hcr</v>
      </c>
      <c r="B295">
        <v>8.92</v>
      </c>
      <c r="C295">
        <v>0.1</v>
      </c>
    </row>
    <row r="296">
      <c r="A296" t="str">
        <v>mat-lsr</v>
      </c>
      <c r="B296">
        <v>15.75</v>
      </c>
      <c r="C296">
        <v>0.1</v>
      </c>
    </row>
    <row r="297">
      <c r="A297" t="str">
        <v>mat-nr</v>
      </c>
      <c r="B297">
        <v>1.72</v>
      </c>
      <c r="C297">
        <v>0.05</v>
      </c>
    </row>
    <row r="298">
      <c r="A298" t="str">
        <v>mat-viton-fkm</v>
      </c>
      <c r="B298">
        <v>23.1</v>
      </c>
      <c r="C298">
        <v>0.2</v>
      </c>
    </row>
    <row r="299">
      <c r="A299" t="str">
        <v>mat-sbr</v>
      </c>
      <c r="B299">
        <v>1.45</v>
      </c>
      <c r="C299">
        <v>0.03</v>
      </c>
    </row>
    <row r="300">
      <c r="A300" t="str">
        <v>mat-cr</v>
      </c>
      <c r="B300">
        <v>3.82</v>
      </c>
      <c r="C300">
        <v>0.05</v>
      </c>
    </row>
    <row r="301">
      <c r="A301" t="str">
        <v>mat-hnbr</v>
      </c>
      <c r="B301">
        <v>5.65</v>
      </c>
      <c r="C301">
        <v>0.08</v>
      </c>
    </row>
    <row r="302">
      <c r="A302" t="str">
        <v>mat-iir</v>
      </c>
      <c r="B302">
        <v>2.18</v>
      </c>
      <c r="C302">
        <v>0.03</v>
      </c>
    </row>
    <row r="303">
      <c r="A303" t="str">
        <v>mat-pu-elastomer</v>
      </c>
      <c r="B303">
        <v>4.25</v>
      </c>
      <c r="C303">
        <v>0.1</v>
      </c>
    </row>
    <row r="304">
      <c r="A304" t="str">
        <v>mat-fvmq</v>
      </c>
      <c r="B304">
        <v>34</v>
      </c>
      <c r="C304">
        <v>0.15</v>
      </c>
    </row>
    <row r="305">
      <c r="A305" t="str">
        <v>mat-acm</v>
      </c>
      <c r="B305">
        <v>6.8</v>
      </c>
      <c r="C305">
        <v>0.08</v>
      </c>
    </row>
    <row r="306">
      <c r="A306" t="str">
        <v>mat-aem</v>
      </c>
      <c r="B306">
        <v>9.5</v>
      </c>
      <c r="C306">
        <v>0.1</v>
      </c>
    </row>
    <row r="307">
      <c r="A307" t="str">
        <v>mat-eco</v>
      </c>
      <c r="B307">
        <v>5.9</v>
      </c>
      <c r="C307">
        <v>0.08</v>
      </c>
    </row>
    <row r="308">
      <c r="A308" t="str">
        <v>mat-csm</v>
      </c>
      <c r="B308">
        <v>6.2</v>
      </c>
      <c r="C308">
        <v>0.08</v>
      </c>
    </row>
    <row r="309">
      <c r="A309" t="str">
        <v>mat-br</v>
      </c>
      <c r="B309">
        <v>1.75</v>
      </c>
      <c r="C309">
        <v>0.04</v>
      </c>
    </row>
    <row r="310">
      <c r="A310" t="str">
        <v>mat-bromobutyl</v>
      </c>
      <c r="B310">
        <v>2.85</v>
      </c>
      <c r="C310">
        <v>0.04</v>
      </c>
    </row>
    <row r="311">
      <c r="A311" t="str">
        <v>mat-chlorobutyl</v>
      </c>
      <c r="B311">
        <v>2.75</v>
      </c>
      <c r="C311">
        <v>0.04</v>
      </c>
    </row>
    <row r="312">
      <c r="A312" t="str">
        <v>mat-ffkm</v>
      </c>
      <c r="B312">
        <v>320</v>
      </c>
      <c r="C312">
        <v>0</v>
      </c>
    </row>
    <row r="313">
      <c r="A313" t="str">
        <v>mat-nbr-high-acn</v>
      </c>
      <c r="B313">
        <v>2.55</v>
      </c>
      <c r="C313">
        <v>0.05</v>
      </c>
    </row>
    <row r="314">
      <c r="A314" t="str">
        <v>mat-epdm-peroxide</v>
      </c>
      <c r="B314">
        <v>2.15</v>
      </c>
      <c r="C314">
        <v>0.05</v>
      </c>
    </row>
    <row r="315">
      <c r="A315" t="str">
        <v>mat-silicone-medical</v>
      </c>
      <c r="B315">
        <v>16.5</v>
      </c>
      <c r="C315">
        <v>0</v>
      </c>
    </row>
    <row r="316">
      <c r="A316" t="str">
        <v>mat-cfrp-prepreg-t700</v>
      </c>
      <c r="B316">
        <v>33.6</v>
      </c>
      <c r="C316">
        <v>0.5</v>
      </c>
    </row>
    <row r="317">
      <c r="A317" t="str">
        <v>mat-gfrp-prepreg-e</v>
      </c>
      <c r="B317">
        <v>7.88</v>
      </c>
      <c r="C317">
        <v>0.1</v>
      </c>
    </row>
    <row r="318">
      <c r="A318" t="str">
        <v>mat-cf-dry-3k</v>
      </c>
      <c r="B318">
        <v>25.2</v>
      </c>
      <c r="C318">
        <v>0.5</v>
      </c>
    </row>
    <row r="319">
      <c r="A319" t="str">
        <v>mat-gf-dry-e</v>
      </c>
      <c r="B319">
        <v>3.99</v>
      </c>
      <c r="C319">
        <v>0.05</v>
      </c>
    </row>
    <row r="320">
      <c r="A320" t="str">
        <v>mat-epoxy-infusion</v>
      </c>
      <c r="B320">
        <v>13.65</v>
      </c>
      <c r="C320">
        <v>0</v>
      </c>
    </row>
    <row r="321">
      <c r="A321" t="str">
        <v>mat-vinylester-rtm</v>
      </c>
      <c r="B321">
        <v>5.46</v>
      </c>
      <c r="C321">
        <v>0</v>
      </c>
    </row>
    <row r="322">
      <c r="A322" t="str">
        <v>mat-aramid-k49</v>
      </c>
      <c r="B322">
        <v>31.5</v>
      </c>
      <c r="C322">
        <v>0.5</v>
      </c>
    </row>
    <row r="323">
      <c r="A323" t="str">
        <v>mat-cf-uni-t800</v>
      </c>
      <c r="B323">
        <v>46</v>
      </c>
      <c r="C323">
        <v>0.5</v>
      </c>
    </row>
    <row r="324">
      <c r="A324" t="str">
        <v>mat-smc-gf</v>
      </c>
      <c r="B324">
        <v>2.85</v>
      </c>
      <c r="C324">
        <v>0.1</v>
      </c>
    </row>
    <row r="325">
      <c r="A325" t="str">
        <v>mat-bmc</v>
      </c>
      <c r="B325">
        <v>3.1</v>
      </c>
      <c r="C325">
        <v>0.1</v>
      </c>
    </row>
    <row r="326">
      <c r="A326" t="str">
        <v>mat-csm-gf</v>
      </c>
      <c r="B326">
        <v>3.2</v>
      </c>
      <c r="C326">
        <v>0.05</v>
      </c>
    </row>
    <row r="327">
      <c r="A327" t="str">
        <v>mat-cf-peek-organo</v>
      </c>
      <c r="B327">
        <v>62</v>
      </c>
      <c r="C327">
        <v>1</v>
      </c>
    </row>
    <row r="328">
      <c r="A328" t="str">
        <v>mat-nomex-honeycomb</v>
      </c>
      <c r="B328">
        <v>42</v>
      </c>
      <c r="C328">
        <v>0</v>
      </c>
    </row>
    <row r="329">
      <c r="A329" t="str">
        <v>mat-pet-foam-core</v>
      </c>
      <c r="B329">
        <v>9.5</v>
      </c>
      <c r="C329">
        <v>0</v>
      </c>
    </row>
    <row r="330">
      <c r="A330" t="str">
        <v>mach-lathe-cnc</v>
      </c>
      <c r="B330">
        <v>40</v>
      </c>
      <c r="C330" t="str">
        <v/>
      </c>
    </row>
    <row r="331">
      <c r="A331" t="str">
        <v>mach-vmc3</v>
      </c>
      <c r="B331">
        <v>55</v>
      </c>
      <c r="C331" t="str">
        <v/>
      </c>
    </row>
    <row r="332">
      <c r="A332" t="str">
        <v>mach-vmc5</v>
      </c>
      <c r="B332">
        <v>85</v>
      </c>
      <c r="C332" t="str">
        <v/>
      </c>
    </row>
    <row r="333">
      <c r="A333" t="str">
        <v>mach-drill</v>
      </c>
      <c r="B333">
        <v>30</v>
      </c>
      <c r="C333" t="str">
        <v/>
      </c>
    </row>
    <row r="334">
      <c r="A334" t="str">
        <v>mach-grind</v>
      </c>
      <c r="B334">
        <v>55</v>
      </c>
      <c r="C334" t="str">
        <v/>
      </c>
    </row>
    <row r="335">
      <c r="A335" t="str">
        <v>gear-hob-small</v>
      </c>
      <c r="B335">
        <v>56.875</v>
      </c>
      <c r="C335" t="str">
        <v/>
      </c>
    </row>
    <row r="336">
      <c r="A336" t="str">
        <v>gear-hob-medium</v>
      </c>
      <c r="B336">
        <v>78.0448717948718</v>
      </c>
      <c r="C336" t="str">
        <v/>
      </c>
    </row>
    <row r="337">
      <c r="A337" t="str">
        <v>gear-hob-large</v>
      </c>
      <c r="B337">
        <v>144.3609022556391</v>
      </c>
      <c r="C337" t="str">
        <v/>
      </c>
    </row>
    <row r="338">
      <c r="A338" t="str">
        <v>gear-shaper-small</v>
      </c>
      <c r="B338">
        <v>56.89102564102564</v>
      </c>
      <c r="C338" t="str">
        <v/>
      </c>
    </row>
    <row r="339">
      <c r="A339" t="str">
        <v>gear-shaper-large</v>
      </c>
      <c r="B339">
        <v>94.5945945945946</v>
      </c>
      <c r="C339" t="str">
        <v/>
      </c>
    </row>
    <row r="340">
      <c r="A340" t="str">
        <v>gear-skive-small</v>
      </c>
      <c r="B340">
        <v>84.6875</v>
      </c>
      <c r="C340" t="str">
        <v/>
      </c>
    </row>
    <row r="341">
      <c r="A341" t="str">
        <v>gear-skive-medium</v>
      </c>
      <c r="B341">
        <v>117.94871794871794</v>
      </c>
      <c r="C341" t="str">
        <v/>
      </c>
    </row>
    <row r="342">
      <c r="A342" t="str">
        <v>gear-broach</v>
      </c>
      <c r="B342">
        <v>62.94117647058823</v>
      </c>
      <c r="C342" t="str">
        <v/>
      </c>
    </row>
    <row r="343">
      <c r="A343" t="str">
        <v>gear-grind-generating</v>
      </c>
      <c r="B343">
        <v>129.16666666666666</v>
      </c>
      <c r="C343" t="str">
        <v/>
      </c>
    </row>
    <row r="344">
      <c r="A344" t="str">
        <v>gear-grind-profile</v>
      </c>
      <c r="B344">
        <v>169.5906432748538</v>
      </c>
      <c r="C344" t="str">
        <v/>
      </c>
    </row>
    <row r="345">
      <c r="A345" t="str">
        <v>gear-shave</v>
      </c>
      <c r="B345">
        <v>46.25</v>
      </c>
      <c r="C345" t="str">
        <v/>
      </c>
    </row>
    <row r="346">
      <c r="A346" t="str">
        <v>gear-hone</v>
      </c>
      <c r="B346">
        <v>79.16666666666667</v>
      </c>
      <c r="C346" t="str">
        <v/>
      </c>
    </row>
    <row r="347">
      <c r="A347" t="str">
        <v>gear-deburr</v>
      </c>
      <c r="B347">
        <v>26.524390243902438</v>
      </c>
      <c r="C347" t="str">
        <v/>
      </c>
    </row>
    <row r="348">
      <c r="A348" t="str">
        <v>gear-induction</v>
      </c>
      <c r="B348">
        <v>54.375</v>
      </c>
      <c r="C348" t="str">
        <v/>
      </c>
    </row>
    <row r="349">
      <c r="A349" t="str">
        <v>gear-checker</v>
      </c>
      <c r="B349">
        <v>56.53846153846154</v>
      </c>
      <c r="C349" t="str">
        <v/>
      </c>
    </row>
    <row r="350">
      <c r="A350" t="str">
        <v>bench-assembly</v>
      </c>
      <c r="B350">
        <v>0.6911764705882353</v>
      </c>
      <c r="C350" t="str">
        <v/>
      </c>
    </row>
    <row r="351">
      <c r="A351" t="str">
        <v>mach-haas-vf2</v>
      </c>
      <c r="B351">
        <v>45</v>
      </c>
      <c r="C351" t="str">
        <v/>
      </c>
    </row>
    <row r="352">
      <c r="A352" t="str">
        <v>mach-dmg-dmu50</v>
      </c>
      <c r="B352">
        <v>95</v>
      </c>
      <c r="C352" t="str">
        <v/>
      </c>
    </row>
    <row r="353">
      <c r="A353" t="str">
        <v>mach-haas-umc500</v>
      </c>
      <c r="B353">
        <v>75</v>
      </c>
      <c r="C353" t="str">
        <v/>
      </c>
    </row>
    <row r="354">
      <c r="A354" t="str">
        <v>mach-mazak-qt200</v>
      </c>
      <c r="B354">
        <v>50</v>
      </c>
      <c r="C354" t="str">
        <v/>
      </c>
    </row>
    <row r="355">
      <c r="A355" t="str">
        <v>grav-die-cast-std</v>
      </c>
      <c r="B355">
        <v>38</v>
      </c>
      <c r="C355" t="str">
        <v/>
      </c>
    </row>
    <row r="356">
      <c r="A356" t="str">
        <v>invest-cast-furnace</v>
      </c>
      <c r="B356">
        <v>41.666666666666664</v>
      </c>
      <c r="C356" t="str">
        <v/>
      </c>
    </row>
    <row r="357">
      <c r="A357" t="str">
        <v>heat-treat-furnace</v>
      </c>
      <c r="B357">
        <v>17.5</v>
      </c>
      <c r="C357" t="str">
        <v/>
      </c>
    </row>
    <row r="358">
      <c r="A358" t="str">
        <v>press-100t</v>
      </c>
      <c r="B358">
        <v>15.446428571428571</v>
      </c>
      <c r="C358" t="str">
        <v/>
      </c>
    </row>
    <row r="359">
      <c r="A359" t="str">
        <v>press-200t</v>
      </c>
      <c r="B359">
        <v>23.75</v>
      </c>
      <c r="C359" t="str">
        <v/>
      </c>
    </row>
    <row r="360">
      <c r="A360" t="str">
        <v>press-400t</v>
      </c>
      <c r="B360">
        <v>38.660714285714285</v>
      </c>
      <c r="C360" t="str">
        <v/>
      </c>
    </row>
    <row r="361">
      <c r="A361" t="str">
        <v>press-630t</v>
      </c>
      <c r="B361">
        <v>59.84432234432234</v>
      </c>
      <c r="C361" t="str">
        <v/>
      </c>
    </row>
    <row r="362">
      <c r="A362" t="str">
        <v>press-800t</v>
      </c>
      <c r="B362">
        <v>71.52014652014653</v>
      </c>
      <c r="C362" t="str">
        <v/>
      </c>
    </row>
    <row r="363">
      <c r="A363" t="str">
        <v>press-1000t</v>
      </c>
      <c r="B363">
        <v>89.88095238095238</v>
      </c>
      <c r="C363" t="str">
        <v/>
      </c>
    </row>
    <row r="364">
      <c r="A364" t="str">
        <v>press-1250t</v>
      </c>
      <c r="B364">
        <v>111.76739926739927</v>
      </c>
      <c r="C364" t="str">
        <v/>
      </c>
    </row>
    <row r="365">
      <c r="A365" t="str">
        <v>press-fineblank-250t</v>
      </c>
      <c r="B365">
        <v>46.607142857142854</v>
      </c>
      <c r="C365" t="str">
        <v/>
      </c>
    </row>
    <row r="366">
      <c r="A366" t="str">
        <v>press-hotstamp-1000t</v>
      </c>
      <c r="B366">
        <v>137.71428571428572</v>
      </c>
      <c r="C366" t="str">
        <v/>
      </c>
    </row>
    <row r="367">
      <c r="A367" t="str">
        <v>furnace-roller-hearth</v>
      </c>
      <c r="B367">
        <v>52.34375</v>
      </c>
      <c r="C367" t="str">
        <v/>
      </c>
    </row>
    <row r="368">
      <c r="A368" t="str">
        <v>notching-machine</v>
      </c>
      <c r="B368">
        <v>30.666666666666668</v>
      </c>
      <c r="C368" t="str">
        <v/>
      </c>
    </row>
    <row r="369">
      <c r="A369" t="str">
        <v>lamination-anneal-furnace</v>
      </c>
      <c r="B369">
        <v>38.28125</v>
      </c>
      <c r="C369" t="str">
        <v/>
      </c>
    </row>
    <row r="370">
      <c r="A370" t="str">
        <v>backlack-bonding-oven</v>
      </c>
      <c r="B370">
        <v>37.70032051282051</v>
      </c>
      <c r="C370" t="str">
        <v/>
      </c>
    </row>
    <row r="371">
      <c r="A371" t="str">
        <v>laser-stack-welder</v>
      </c>
      <c r="B371">
        <v>54.765625</v>
      </c>
      <c r="C371" t="str">
        <v/>
      </c>
    </row>
    <row r="372">
      <c r="A372" t="str">
        <v>imm-50t</v>
      </c>
      <c r="B372">
        <v>9.4140625</v>
      </c>
      <c r="C372" t="str">
        <v/>
      </c>
    </row>
    <row r="373">
      <c r="A373" t="str">
        <v>imm-100t</v>
      </c>
      <c r="B373">
        <v>15.390625</v>
      </c>
      <c r="C373" t="str">
        <v/>
      </c>
    </row>
    <row r="374">
      <c r="A374" t="str">
        <v>imm-200t</v>
      </c>
      <c r="B374">
        <v>25.078125</v>
      </c>
      <c r="C374" t="str">
        <v/>
      </c>
    </row>
    <row r="375">
      <c r="A375" t="str">
        <v>imm-350t</v>
      </c>
      <c r="B375">
        <v>37.359375</v>
      </c>
      <c r="C375" t="str">
        <v/>
      </c>
    </row>
    <row r="376">
      <c r="A376" t="str">
        <v>imm-400t</v>
      </c>
      <c r="B376">
        <v>43.4375</v>
      </c>
      <c r="C376" t="str">
        <v/>
      </c>
    </row>
    <row r="377">
      <c r="A377" t="str">
        <v>imm-500t</v>
      </c>
      <c r="B377">
        <v>53.046875</v>
      </c>
      <c r="C377" t="str">
        <v/>
      </c>
    </row>
    <row r="378">
      <c r="A378" t="str">
        <v>imm-800t</v>
      </c>
      <c r="B378">
        <v>78.125</v>
      </c>
      <c r="C378" t="str">
        <v/>
      </c>
    </row>
    <row r="379">
      <c r="A379" t="str">
        <v>imm-1200t</v>
      </c>
      <c r="B379">
        <v>111.69871794871794</v>
      </c>
      <c r="C379" t="str">
        <v/>
      </c>
    </row>
    <row r="380">
      <c r="A380" t="str">
        <v>imm-2000t</v>
      </c>
      <c r="B380">
        <v>178.53618421052633</v>
      </c>
      <c r="C380" t="str">
        <v/>
      </c>
    </row>
    <row r="381">
      <c r="A381" t="str">
        <v>imm-3500t</v>
      </c>
      <c r="B381">
        <v>306.12331081081084</v>
      </c>
      <c r="C381" t="str">
        <v/>
      </c>
    </row>
    <row r="382">
      <c r="A382" t="str">
        <v>hpdc-500t</v>
      </c>
      <c r="B382">
        <v>52.472527472527474</v>
      </c>
      <c r="C382" t="str">
        <v/>
      </c>
    </row>
    <row r="383">
      <c r="A383" t="str">
        <v>hpdc-800t</v>
      </c>
      <c r="B383">
        <v>79.12087912087912</v>
      </c>
      <c r="C383" t="str">
        <v/>
      </c>
    </row>
    <row r="384">
      <c r="A384" t="str">
        <v>hpdc-1600t</v>
      </c>
      <c r="B384">
        <v>137.54578754578753</v>
      </c>
      <c r="C384" t="str">
        <v/>
      </c>
    </row>
    <row r="385">
      <c r="A385" t="str">
        <v>hpdc-giga-6100t</v>
      </c>
      <c r="B385">
        <v>423.4375</v>
      </c>
      <c r="C385" t="str">
        <v/>
      </c>
    </row>
    <row r="386">
      <c r="A386" t="str">
        <v>hpdc-giga-9000t</v>
      </c>
      <c r="B386">
        <v>636.71875</v>
      </c>
      <c r="C386" t="str">
        <v/>
      </c>
    </row>
    <row r="387">
      <c r="A387" t="str">
        <v>sand-cast-line</v>
      </c>
      <c r="B387">
        <v>31.666666666666668</v>
      </c>
      <c r="C387" t="str">
        <v/>
      </c>
    </row>
    <row r="388">
      <c r="A388" t="str">
        <v>hpdc-160t</v>
      </c>
      <c r="B388">
        <v>18.660714285714285</v>
      </c>
      <c r="C388" t="str">
        <v/>
      </c>
    </row>
    <row r="389">
      <c r="A389" t="str">
        <v>forge-press-500t</v>
      </c>
      <c r="B389">
        <v>54.80769230769231</v>
      </c>
      <c r="C389" t="str">
        <v/>
      </c>
    </row>
    <row r="390">
      <c r="A390" t="str">
        <v>forge-press-1600t</v>
      </c>
      <c r="B390">
        <v>97.52747252747253</v>
      </c>
      <c r="C390" t="str">
        <v/>
      </c>
    </row>
    <row r="391">
      <c r="A391" t="str">
        <v>forge-press-2500t</v>
      </c>
      <c r="B391">
        <v>139.28571428571428</v>
      </c>
      <c r="C391" t="str">
        <v/>
      </c>
    </row>
    <row r="392">
      <c r="A392" t="str">
        <v>forge-press-4000t</v>
      </c>
      <c r="B392">
        <v>208.7912087912088</v>
      </c>
      <c r="C392" t="str">
        <v/>
      </c>
    </row>
    <row r="393">
      <c r="A393" t="str">
        <v>forge-press-8000t</v>
      </c>
      <c r="B393">
        <v>404.76190476190476</v>
      </c>
      <c r="C393" t="str">
        <v/>
      </c>
    </row>
    <row r="394">
      <c r="A394" t="str">
        <v>forge-screw-1000t</v>
      </c>
      <c r="B394">
        <v>73.53479853479854</v>
      </c>
      <c r="C394" t="str">
        <v/>
      </c>
    </row>
    <row r="395">
      <c r="A395" t="str">
        <v>forge-upsetter-1000t</v>
      </c>
      <c r="B395">
        <v>59.15750915750916</v>
      </c>
      <c r="C395" t="str">
        <v/>
      </c>
    </row>
    <row r="396">
      <c r="A396" t="str">
        <v>forge-hammer-2t</v>
      </c>
      <c r="B396">
        <v>28.021978021978022</v>
      </c>
      <c r="C396" t="str">
        <v/>
      </c>
    </row>
    <row r="397">
      <c r="A397" t="str">
        <v>forge-hammer-5t</v>
      </c>
      <c r="B397">
        <v>46.29120879120879</v>
      </c>
      <c r="C397" t="str">
        <v/>
      </c>
    </row>
    <row r="398">
      <c r="A398" t="str">
        <v>forge-hammer-10t</v>
      </c>
      <c r="B398">
        <v>74.9084249084249</v>
      </c>
      <c r="C398" t="str">
        <v/>
      </c>
    </row>
    <row r="399">
      <c r="A399" t="str">
        <v>forge-ring-mill</v>
      </c>
      <c r="B399">
        <v>122.71062271062272</v>
      </c>
      <c r="C399" t="str">
        <v/>
      </c>
    </row>
    <row r="400">
      <c r="A400" t="str">
        <v>paint-line-std</v>
      </c>
      <c r="B400">
        <v>102.13414634146342</v>
      </c>
      <c r="C400" t="str">
        <v/>
      </c>
    </row>
    <row r="401">
      <c r="A401" t="str">
        <v>plating-line-barrel</v>
      </c>
      <c r="B401">
        <v>46.25</v>
      </c>
      <c r="C401" t="str">
        <v/>
      </c>
    </row>
    <row r="402">
      <c r="A402" t="str">
        <v>plating-line-rack</v>
      </c>
      <c r="B402">
        <v>67.3076923076923</v>
      </c>
      <c r="C402" t="str">
        <v/>
      </c>
    </row>
    <row r="403">
      <c r="A403" t="str">
        <v>blast-machine</v>
      </c>
      <c r="B403">
        <v>25.78125</v>
      </c>
      <c r="C403" t="str">
        <v/>
      </c>
    </row>
    <row r="404">
      <c r="A404" t="str">
        <v>mass-finish-bowl</v>
      </c>
      <c r="B404">
        <v>15.8</v>
      </c>
      <c r="C404" t="str">
        <v/>
      </c>
    </row>
    <row r="405">
      <c r="A405" t="str">
        <v>galvanising-kettle</v>
      </c>
      <c r="B405">
        <v>173.5</v>
      </c>
      <c r="C405" t="str">
        <v/>
      </c>
    </row>
    <row r="406">
      <c r="A406" t="str">
        <v>impregnation-plant</v>
      </c>
      <c r="B406">
        <v>25.384615384615383</v>
      </c>
      <c r="C406" t="str">
        <v/>
      </c>
    </row>
    <row r="407">
      <c r="A407" t="str">
        <v>robot-weld-station</v>
      </c>
      <c r="B407">
        <v>22.67530487804878</v>
      </c>
      <c r="C407" t="str">
        <v/>
      </c>
    </row>
    <row r="408">
      <c r="A408" t="str">
        <v>smt-line</v>
      </c>
      <c r="B408">
        <v>53.353658536585364</v>
      </c>
      <c r="C408" t="str">
        <v/>
      </c>
    </row>
    <row r="409">
      <c r="A409" t="str">
        <v>smt-high-speed-line</v>
      </c>
      <c r="B409">
        <v>150</v>
      </c>
      <c r="C409" t="str">
        <v/>
      </c>
    </row>
    <row r="410">
      <c r="A410" t="str">
        <v>laser-drill-75um</v>
      </c>
      <c r="B410">
        <v>120</v>
      </c>
      <c r="C410" t="str">
        <v/>
      </c>
    </row>
    <row r="411">
      <c r="A411" t="str">
        <v>xray-bga-inspection</v>
      </c>
      <c r="B411">
        <v>90</v>
      </c>
      <c r="C411" t="str">
        <v/>
      </c>
    </row>
    <row r="412">
      <c r="A412" t="str">
        <v>ict-automotive</v>
      </c>
      <c r="B412">
        <v>110.2439024390244</v>
      </c>
      <c r="C412" t="str">
        <v/>
      </c>
    </row>
    <row r="413">
      <c r="A413" t="str">
        <v>blow-ebm-100l</v>
      </c>
      <c r="B413">
        <v>21.6015625</v>
      </c>
      <c r="C413" t="str">
        <v/>
      </c>
    </row>
    <row r="414">
      <c r="A414" t="str">
        <v>blow-ebm-500l</v>
      </c>
      <c r="B414">
        <v>38.0078125</v>
      </c>
      <c r="C414" t="str">
        <v/>
      </c>
    </row>
    <row r="415">
      <c r="A415" t="str">
        <v>blow-ebm-2head</v>
      </c>
      <c r="B415">
        <v>25.228658536585368</v>
      </c>
      <c r="C415" t="str">
        <v/>
      </c>
    </row>
    <row r="416">
      <c r="A416" t="str">
        <v>blow-ebm-coex3</v>
      </c>
      <c r="B416">
        <v>48.55769230769231</v>
      </c>
      <c r="C416" t="str">
        <v/>
      </c>
    </row>
    <row r="417">
      <c r="A417" t="str">
        <v>blow-ebm-coex5</v>
      </c>
      <c r="B417">
        <v>80.16666666666667</v>
      </c>
      <c r="C417" t="str">
        <v/>
      </c>
    </row>
    <row r="418">
      <c r="A418" t="str">
        <v>blow-ebm-large</v>
      </c>
      <c r="B418">
        <v>61.607142857142854</v>
      </c>
      <c r="C418" t="str">
        <v/>
      </c>
    </row>
    <row r="419">
      <c r="A419" t="str">
        <v>blow-ibm-rotary</v>
      </c>
      <c r="B419">
        <v>39.54545454545455</v>
      </c>
      <c r="C419" t="str">
        <v/>
      </c>
    </row>
    <row r="420">
      <c r="A420" t="str">
        <v>blow-ibm-linear</v>
      </c>
      <c r="B420">
        <v>32.64705882352941</v>
      </c>
      <c r="C420" t="str">
        <v/>
      </c>
    </row>
    <row r="421">
      <c r="A421" t="str">
        <v>blow-sbm-1stage</v>
      </c>
      <c r="B421">
        <v>44.201388888888886</v>
      </c>
      <c r="C421" t="str">
        <v/>
      </c>
    </row>
    <row r="422">
      <c r="A422" t="str">
        <v>blow-sbm-2stage</v>
      </c>
      <c r="B422">
        <v>38.93518518518518</v>
      </c>
      <c r="C422" t="str">
        <v/>
      </c>
    </row>
    <row r="423">
      <c r="A423" t="str">
        <v>blow-deflash-trimmer</v>
      </c>
      <c r="B423">
        <v>11.727941176470589</v>
      </c>
      <c r="C423" t="str">
        <v/>
      </c>
    </row>
    <row r="424">
      <c r="A424" t="str">
        <v>extruder-75mm</v>
      </c>
      <c r="B424">
        <v>18.170731707317074</v>
      </c>
      <c r="C424" t="str">
        <v/>
      </c>
    </row>
    <row r="425">
      <c r="A425" t="str">
        <v>extruder-150mm</v>
      </c>
      <c r="B425">
        <v>55</v>
      </c>
      <c r="C425" t="str">
        <v/>
      </c>
    </row>
    <row r="426">
      <c r="A426" t="str">
        <v>extruder-pipe-line</v>
      </c>
      <c r="B426">
        <v>27.84313725490196</v>
      </c>
      <c r="C426" t="str">
        <v/>
      </c>
    </row>
    <row r="427">
      <c r="A427" t="str">
        <v>extruder-profile-line</v>
      </c>
      <c r="B427">
        <v>22.954545454545453</v>
      </c>
      <c r="C427" t="str">
        <v/>
      </c>
    </row>
    <row r="428">
      <c r="A428" t="str">
        <v>extruder-sheet-line</v>
      </c>
      <c r="B428">
        <v>51.6260162601626</v>
      </c>
      <c r="C428" t="str">
        <v/>
      </c>
    </row>
    <row r="429">
      <c r="A429" t="str">
        <v>extruder-cable-line</v>
      </c>
      <c r="B429">
        <v>22.081447963800905</v>
      </c>
      <c r="C429" t="str">
        <v/>
      </c>
    </row>
    <row r="430">
      <c r="A430" t="str">
        <v>extruder-coex-3</v>
      </c>
      <c r="B430">
        <v>64.79166666666667</v>
      </c>
      <c r="C430" t="str">
        <v/>
      </c>
    </row>
    <row r="431">
      <c r="A431" t="str">
        <v>extruder-micro-tube</v>
      </c>
      <c r="B431">
        <v>36</v>
      </c>
      <c r="C431" t="str">
        <v/>
      </c>
    </row>
    <row r="432">
      <c r="A432" t="str">
        <v>extrusion-finish-qa</v>
      </c>
      <c r="B432">
        <v>4.21875</v>
      </c>
      <c r="C432" t="str">
        <v/>
      </c>
    </row>
    <row r="433">
      <c r="A433" t="str">
        <v>extrusion-leak-test</v>
      </c>
      <c r="B433">
        <v>5.642857142857143</v>
      </c>
      <c r="C433" t="str">
        <v/>
      </c>
    </row>
    <row r="434">
      <c r="A434" t="str">
        <v>thermoform-small</v>
      </c>
      <c r="B434">
        <v>13.0859375</v>
      </c>
      <c r="C434" t="str">
        <v/>
      </c>
    </row>
    <row r="435">
      <c r="A435" t="str">
        <v>thermoform-large</v>
      </c>
      <c r="B435">
        <v>35.2515243902439</v>
      </c>
      <c r="C435" t="str">
        <v/>
      </c>
    </row>
    <row r="436">
      <c r="A436" t="str">
        <v>thermoform-pressure</v>
      </c>
      <c r="B436">
        <v>26.5625</v>
      </c>
      <c r="C436" t="str">
        <v/>
      </c>
    </row>
    <row r="437">
      <c r="A437" t="str">
        <v>thermoform-twinsheet</v>
      </c>
      <c r="B437">
        <v>50.48076923076923</v>
      </c>
      <c r="C437" t="str">
        <v/>
      </c>
    </row>
    <row r="438">
      <c r="A438" t="str">
        <v>thermoform-rollfed</v>
      </c>
      <c r="B438">
        <v>51.8235294117647</v>
      </c>
      <c r="C438" t="str">
        <v/>
      </c>
    </row>
    <row r="439">
      <c r="A439" t="str">
        <v>thermoform-oven</v>
      </c>
      <c r="B439">
        <v>10.9765625</v>
      </c>
      <c r="C439" t="str">
        <v/>
      </c>
    </row>
    <row r="440">
      <c r="A440" t="str">
        <v>thermoform-trim-router</v>
      </c>
      <c r="B440">
        <v>16.171875</v>
      </c>
      <c r="C440" t="str">
        <v/>
      </c>
    </row>
    <row r="441">
      <c r="A441" t="str">
        <v>rotomould-biaxial</v>
      </c>
      <c r="B441">
        <v>44.095238095238095</v>
      </c>
      <c r="C441" t="str">
        <v/>
      </c>
    </row>
    <row r="442">
      <c r="A442" t="str">
        <v>rotomould-lab-1arm</v>
      </c>
      <c r="B442">
        <v>19.560439560439562</v>
      </c>
      <c r="C442" t="str">
        <v/>
      </c>
    </row>
    <row r="443">
      <c r="A443" t="str">
        <v>rotomould-shuttle</v>
      </c>
      <c r="B443">
        <v>40.17857142857143</v>
      </c>
      <c r="C443" t="str">
        <v/>
      </c>
    </row>
    <row r="444">
      <c r="A444" t="str">
        <v>rotomould-rocknroll</v>
      </c>
      <c r="B444">
        <v>34.02777777777778</v>
      </c>
      <c r="C444" t="str">
        <v/>
      </c>
    </row>
    <row r="445">
      <c r="A445" t="str">
        <v>rotomould-carousel-4arm</v>
      </c>
      <c r="B445">
        <v>62.5</v>
      </c>
      <c r="C445" t="str">
        <v/>
      </c>
    </row>
    <row r="446">
      <c r="A446" t="str">
        <v>ultrasonic-welder</v>
      </c>
      <c r="B446">
        <v>5.46875</v>
      </c>
      <c r="C446" t="str">
        <v/>
      </c>
    </row>
    <row r="447">
      <c r="A447" t="str">
        <v>hot-plate-welder</v>
      </c>
      <c r="B447">
        <v>8.125</v>
      </c>
      <c r="C447" t="str">
        <v/>
      </c>
    </row>
    <row r="448">
      <c r="A448" t="str">
        <v>vibration-welder</v>
      </c>
      <c r="B448">
        <v>12.265625</v>
      </c>
      <c r="C448" t="str">
        <v/>
      </c>
    </row>
    <row r="449">
      <c r="A449" t="str">
        <v>laser-trumpf-3030</v>
      </c>
      <c r="B449">
        <v>85</v>
      </c>
      <c r="C449" t="str">
        <v/>
      </c>
    </row>
    <row r="450">
      <c r="A450" t="str">
        <v>laser-bystronic-3015</v>
      </c>
      <c r="B450">
        <v>70</v>
      </c>
      <c r="C450" t="str">
        <v/>
      </c>
    </row>
    <row r="451">
      <c r="A451" t="str">
        <v>punch-amada-emz3610</v>
      </c>
      <c r="B451">
        <v>65.2014652014652</v>
      </c>
      <c r="C451" t="str">
        <v/>
      </c>
    </row>
    <row r="452">
      <c r="A452" t="str">
        <v>punch-trumpf-5000</v>
      </c>
      <c r="B452">
        <v>76.92307692307692</v>
      </c>
      <c r="C452" t="str">
        <v/>
      </c>
    </row>
    <row r="453">
      <c r="A453" t="str">
        <v>brake-amada-hfe100</v>
      </c>
      <c r="B453">
        <v>55.23809523809524</v>
      </c>
      <c r="C453" t="str">
        <v/>
      </c>
    </row>
    <row r="454">
      <c r="A454" t="str">
        <v>brake-trumpf-5230</v>
      </c>
      <c r="B454">
        <v>70.0952380952381</v>
      </c>
      <c r="C454" t="str">
        <v/>
      </c>
    </row>
    <row r="455">
      <c r="A455" t="str">
        <v>press-schuler-400t</v>
      </c>
      <c r="B455">
        <v>150</v>
      </c>
      <c r="C455" t="str">
        <v/>
      </c>
    </row>
    <row r="456">
      <c r="A456" t="str">
        <v>press-aida-200t</v>
      </c>
      <c r="B456">
        <v>120.14652014652015</v>
      </c>
      <c r="C456" t="str">
        <v/>
      </c>
    </row>
    <row r="457">
      <c r="A457" t="str">
        <v>rollform-dimeco-20st</v>
      </c>
      <c r="B457">
        <v>111.25</v>
      </c>
      <c r="C457" t="str">
        <v/>
      </c>
    </row>
    <row r="458">
      <c r="A458" t="str">
        <v>robot-spotweld-kuka</v>
      </c>
      <c r="B458">
        <v>90</v>
      </c>
      <c r="C458" t="str">
        <v/>
      </c>
    </row>
    <row r="459">
      <c r="A459" t="str">
        <v>mig-welder-manual</v>
      </c>
      <c r="B459">
        <v>4.833333333333333</v>
      </c>
      <c r="C459" t="str">
        <v/>
      </c>
    </row>
    <row r="460">
      <c r="A460" t="str">
        <v>tig-welder-manual</v>
      </c>
      <c r="B460">
        <v>5.233333333333333</v>
      </c>
      <c r="C460" t="str">
        <v/>
      </c>
    </row>
    <row r="461">
      <c r="A461" t="str">
        <v>laser-trumpf-5030</v>
      </c>
      <c r="B461">
        <v>119.23076923076923</v>
      </c>
      <c r="C461" t="str">
        <v/>
      </c>
    </row>
    <row r="462">
      <c r="A462" t="str">
        <v>laser-amada-ensis-3015</v>
      </c>
      <c r="B462">
        <v>67.76315789473684</v>
      </c>
      <c r="C462" t="str">
        <v/>
      </c>
    </row>
    <row r="463">
      <c r="A463" t="str">
        <v>plasma-hypertherm-xpr300</v>
      </c>
      <c r="B463">
        <v>39.84375</v>
      </c>
      <c r="C463" t="str">
        <v/>
      </c>
    </row>
    <row r="464">
      <c r="A464" t="str">
        <v>plasma-kjellberg-hifocus280</v>
      </c>
      <c r="B464">
        <v>35.15625</v>
      </c>
      <c r="C464" t="str">
        <v/>
      </c>
    </row>
    <row r="465">
      <c r="A465" t="str">
        <v>waterjet-flow-mach500</v>
      </c>
      <c r="B465">
        <v>50</v>
      </c>
      <c r="C465" t="str">
        <v/>
      </c>
    </row>
    <row r="466">
      <c r="A466" t="str">
        <v>waterjet-omax-80x</v>
      </c>
      <c r="B466">
        <v>43.166666666666664</v>
      </c>
      <c r="C466" t="str">
        <v/>
      </c>
    </row>
    <row r="467">
      <c r="A467" t="str">
        <v>shear-hydraulic-3m</v>
      </c>
      <c r="B467">
        <v>14.464285714285714</v>
      </c>
      <c r="C467" t="str">
        <v/>
      </c>
    </row>
    <row r="468">
      <c r="A468" t="str">
        <v>shear-guillotine-6mm</v>
      </c>
      <c r="B468">
        <v>19.821428571428573</v>
      </c>
      <c r="C468" t="str">
        <v/>
      </c>
    </row>
    <row r="469">
      <c r="A469" t="str">
        <v>brake-amada-hfe170</v>
      </c>
      <c r="B469">
        <v>68.57142857142857</v>
      </c>
      <c r="C469" t="str">
        <v/>
      </c>
    </row>
    <row r="470">
      <c r="A470" t="str">
        <v>brake-trumpf-trubend3100</v>
      </c>
      <c r="B470">
        <v>51.42857142857143</v>
      </c>
      <c r="C470" t="str">
        <v/>
      </c>
    </row>
    <row r="471">
      <c r="A471" t="str">
        <v>brake-lvd-ppeb135</v>
      </c>
      <c r="B471">
        <v>59.42857142857143</v>
      </c>
      <c r="C471" t="str">
        <v/>
      </c>
    </row>
    <row r="472">
      <c r="A472" t="str">
        <v>spotweld-gun-manual</v>
      </c>
      <c r="B472">
        <v>6.875</v>
      </c>
      <c r="C472" t="str">
        <v/>
      </c>
    </row>
    <row r="473">
      <c r="A473" t="str">
        <v>robot-mig-cell</v>
      </c>
      <c r="B473">
        <v>67.6829268292683</v>
      </c>
      <c r="C473" t="str">
        <v/>
      </c>
    </row>
    <row r="474">
      <c r="A474" t="str">
        <v>compression-mould-std</v>
      </c>
      <c r="B474">
        <v>16.875</v>
      </c>
      <c r="C474" t="str">
        <v/>
      </c>
    </row>
    <row r="475">
      <c r="A475" t="str">
        <v>transfer-mould-std</v>
      </c>
      <c r="B475">
        <v>21.153846153846153</v>
      </c>
      <c r="C475" t="str">
        <v/>
      </c>
    </row>
    <row r="476">
      <c r="A476" t="str">
        <v>lsr-injection-machine</v>
      </c>
      <c r="B476">
        <v>27.3046875</v>
      </c>
      <c r="C476" t="str">
        <v/>
      </c>
    </row>
    <row r="477">
      <c r="A477" t="str">
        <v>cure-oven-rubber</v>
      </c>
      <c r="B477">
        <v>12.012195121951219</v>
      </c>
      <c r="C477" t="str">
        <v/>
      </c>
    </row>
    <row r="478">
      <c r="A478" t="str">
        <v>extruder-rubber-60mm</v>
      </c>
      <c r="B478">
        <v>12.09375</v>
      </c>
      <c r="C478" t="str">
        <v/>
      </c>
    </row>
    <row r="479">
      <c r="A479" t="str">
        <v>die-cut-press-rubber</v>
      </c>
      <c r="B479">
        <v>6.617647058823529</v>
      </c>
      <c r="C479" t="str">
        <v/>
      </c>
    </row>
    <row r="480">
      <c r="A480" t="str">
        <v>autoclave-1200mm</v>
      </c>
      <c r="B480">
        <v>63.392857142857146</v>
      </c>
      <c r="C480" t="str">
        <v/>
      </c>
    </row>
    <row r="481">
      <c r="A481" t="str">
        <v>oven-composite-cure</v>
      </c>
      <c r="B481">
        <v>19.533333333333335</v>
      </c>
      <c r="C481" t="str">
        <v/>
      </c>
    </row>
    <row r="482">
      <c r="A482" t="str">
        <v>rtm-press-std</v>
      </c>
      <c r="B482">
        <v>21.886446886446887</v>
      </c>
      <c r="C482" t="str">
        <v/>
      </c>
    </row>
    <row r="483">
      <c r="A483" t="str">
        <v>waterjet-5ax-composite</v>
      </c>
      <c r="B483">
        <v>31.791666666666668</v>
      </c>
      <c r="C483" t="str">
        <v/>
      </c>
    </row>
    <row r="484">
      <c r="A484" t="str">
        <v>mach-afp-atl</v>
      </c>
      <c r="B484">
        <v>280</v>
      </c>
      <c r="C484" t="str">
        <v/>
      </c>
    </row>
    <row r="485">
      <c r="A485" t="str">
        <v>harness-test-sys</v>
      </c>
      <c r="B485">
        <v>11.640625</v>
      </c>
      <c r="C485" t="str">
        <v/>
      </c>
    </row>
    <row r="486">
      <c r="A486" t="str">
        <v>mach-vmc3-cn</v>
      </c>
      <c r="B486">
        <v>10.095588235294118</v>
      </c>
      <c r="C486" t="str">
        <v/>
      </c>
    </row>
    <row r="487">
      <c r="A487" t="str">
        <v>mach-vmc3-in</v>
      </c>
      <c r="B487">
        <v>9.838235294117647</v>
      </c>
      <c r="C487" t="str">
        <v/>
      </c>
    </row>
    <row r="488">
      <c r="A488" t="str">
        <v>mach-vmc3-de</v>
      </c>
      <c r="B488">
        <v>16.29310344827586</v>
      </c>
      <c r="C488" t="str">
        <v/>
      </c>
    </row>
    <row r="489">
      <c r="A489" t="str">
        <v>mach-vmc3-pl</v>
      </c>
      <c r="B489">
        <v>11.367647058823529</v>
      </c>
      <c r="C489" t="str">
        <v/>
      </c>
    </row>
    <row r="490">
      <c r="A490" t="str">
        <v>mach-vmc3-mx</v>
      </c>
      <c r="B490">
        <v>10.338235294117647</v>
      </c>
      <c r="C490" t="str">
        <v/>
      </c>
    </row>
    <row r="491">
      <c r="A491" t="str">
        <v>imm-200t-cn</v>
      </c>
      <c r="B491">
        <v>10.91764705882353</v>
      </c>
      <c r="C491" t="str">
        <v/>
      </c>
    </row>
    <row r="492">
      <c r="A492" t="str">
        <v>imm-200t-in</v>
      </c>
      <c r="B492">
        <v>11.108433734939759</v>
      </c>
      <c r="C492" t="str">
        <v/>
      </c>
    </row>
    <row r="493">
      <c r="A493" t="str">
        <v>imm-200t-de</v>
      </c>
      <c r="B493">
        <v>21.085057471264367</v>
      </c>
      <c r="C493" t="str">
        <v/>
      </c>
    </row>
    <row r="494">
      <c r="A494" t="str">
        <v>imm-200t-pl</v>
      </c>
      <c r="B494">
        <v>13.604705882352942</v>
      </c>
      <c r="C494" t="str">
        <v/>
      </c>
    </row>
    <row r="495">
      <c r="A495" t="str">
        <v>imm-200t-mx</v>
      </c>
      <c r="B495">
        <v>11.628571428571428</v>
      </c>
      <c r="C495" t="str">
        <v/>
      </c>
    </row>
    <row r="496">
      <c r="A496" t="str">
        <v>hpdc-500t-cn</v>
      </c>
      <c r="B496">
        <v>28.84375</v>
      </c>
      <c r="C496" t="str">
        <v/>
      </c>
    </row>
    <row r="497">
      <c r="A497" t="str">
        <v>hpdc-500t-in</v>
      </c>
      <c r="B497">
        <v>29.246794871794872</v>
      </c>
      <c r="C497" t="str">
        <v/>
      </c>
    </row>
    <row r="498">
      <c r="A498" t="str">
        <v>hpdc-500t-mx</v>
      </c>
      <c r="B498">
        <v>30.296875</v>
      </c>
      <c r="C498" t="str">
        <v/>
      </c>
    </row>
    <row r="499">
      <c r="A499" t="str">
        <v>press-400t-cn</v>
      </c>
      <c r="B499">
        <v>19.451219512195124</v>
      </c>
      <c r="C499" t="str">
        <v/>
      </c>
    </row>
    <row r="500">
      <c r="A500" t="str">
        <v>press-400t-in</v>
      </c>
      <c r="B500">
        <v>19.625</v>
      </c>
      <c r="C500" t="str">
        <v/>
      </c>
    </row>
    <row r="501">
      <c r="A501" t="str">
        <v>press-400t-pl</v>
      </c>
      <c r="B501">
        <v>22.95731707317073</v>
      </c>
      <c r="C501" t="str">
        <v/>
      </c>
    </row>
    <row r="502">
      <c r="A502" t="str">
        <v>press-400t-mx</v>
      </c>
      <c r="B502">
        <v>20.548780487804876</v>
      </c>
      <c r="C502" t="str">
        <v/>
      </c>
    </row>
    <row r="503">
      <c r="A503" t="str">
        <v>bench-assembly-cn</v>
      </c>
      <c r="B503">
        <v>1.4592592592592593</v>
      </c>
      <c r="C503" t="str">
        <v/>
      </c>
    </row>
    <row r="504">
      <c r="A504" t="str">
        <v>bench-assembly-in</v>
      </c>
      <c r="B504">
        <v>1.3580246913580247</v>
      </c>
      <c r="C504" t="str">
        <v/>
      </c>
    </row>
    <row r="505">
      <c r="A505" t="str">
        <v>bench-assembly-mx</v>
      </c>
      <c r="B505">
        <v>1.5407407407407407</v>
      </c>
      <c r="C505" t="str">
        <v/>
      </c>
    </row>
    <row r="506">
      <c r="A506" t="str">
        <v>bench-assembly-vn</v>
      </c>
      <c r="B506">
        <v>1.1689311594202898</v>
      </c>
      <c r="C506" t="str">
        <v/>
      </c>
    </row>
    <row r="507">
      <c r="A507" t="str">
        <v>bench-assembly-pl</v>
      </c>
      <c r="B507">
        <v>1.7837037037037038</v>
      </c>
      <c r="C507" t="str">
        <v/>
      </c>
    </row>
    <row r="508">
      <c r="A508" t="str">
        <v>lab-uk-skilled</v>
      </c>
      <c r="B508">
        <v>26</v>
      </c>
      <c r="C508" t="str">
        <v/>
      </c>
    </row>
    <row r="509">
      <c r="A509" t="str">
        <v>lab-uk-semiskilled</v>
      </c>
      <c r="B509">
        <v>19.8</v>
      </c>
      <c r="C509" t="str">
        <v/>
      </c>
    </row>
    <row r="510">
      <c r="A510" t="str">
        <v>lab-uk-engineer</v>
      </c>
      <c r="B510">
        <v>42.5</v>
      </c>
      <c r="C510" t="str">
        <v/>
      </c>
    </row>
    <row r="511">
      <c r="A511" t="str">
        <v>lab-in-skilled</v>
      </c>
      <c r="B511">
        <v>5.1</v>
      </c>
      <c r="C511" t="str">
        <v/>
      </c>
    </row>
    <row r="512">
      <c r="A512" t="str">
        <v>lab-cn-skilled</v>
      </c>
      <c r="B512">
        <v>7.9</v>
      </c>
      <c r="C512" t="str">
        <v/>
      </c>
    </row>
    <row r="513">
      <c r="A513" t="str">
        <v>lab-uk-foundry</v>
      </c>
      <c r="B513">
        <v>18.5</v>
      </c>
      <c r="C513" t="str">
        <v/>
      </c>
    </row>
    <row r="514">
      <c r="A514" t="str">
        <v>lab-uk-inspector</v>
      </c>
      <c r="B514">
        <v>27.5</v>
      </c>
      <c r="C514" t="str">
        <v/>
      </c>
    </row>
    <row r="515">
      <c r="A515" t="str">
        <v>lab-uk-technician</v>
      </c>
      <c r="B515">
        <v>28.6</v>
      </c>
      <c r="C515" t="str">
        <v/>
      </c>
    </row>
    <row r="516">
      <c r="A516" t="str">
        <v>lab-uk-supervisor</v>
      </c>
      <c r="B516">
        <v>35.1</v>
      </c>
      <c r="C516" t="str">
        <v/>
      </c>
    </row>
    <row r="517">
      <c r="A517" t="str">
        <v>lab-uk-forge</v>
      </c>
      <c r="B517">
        <v>24</v>
      </c>
      <c r="C517" t="str">
        <v/>
      </c>
    </row>
    <row r="518">
      <c r="A518" t="str">
        <v>lab-uk-furnace</v>
      </c>
      <c r="B518">
        <v>22</v>
      </c>
      <c r="C518" t="str">
        <v/>
      </c>
    </row>
    <row r="519">
      <c r="A519" t="str">
        <v>lab-uk-blow</v>
      </c>
      <c r="B519">
        <v>20.5</v>
      </c>
      <c r="C519" t="str">
        <v/>
      </c>
    </row>
    <row r="520">
      <c r="A520" t="str">
        <v>lab-uk-roto</v>
      </c>
      <c r="B520">
        <v>20</v>
      </c>
      <c r="C520" t="str">
        <v/>
      </c>
    </row>
    <row r="521">
      <c r="A521" t="str">
        <v>lab-uk-thermoform</v>
      </c>
      <c r="B521">
        <v>19.5</v>
      </c>
      <c r="C521" t="str">
        <v/>
      </c>
    </row>
    <row r="522">
      <c r="A522" t="str">
        <v>lab-uk-trim-router</v>
      </c>
      <c r="B522">
        <v>22.5</v>
      </c>
      <c r="C522" t="str">
        <v/>
      </c>
    </row>
    <row r="523">
      <c r="A523" t="str">
        <v>lab-de-skilled</v>
      </c>
      <c r="B523">
        <v>40.5</v>
      </c>
      <c r="C523" t="str">
        <v/>
      </c>
    </row>
    <row r="524">
      <c r="A524" t="str">
        <v>lab-pl-skilled</v>
      </c>
      <c r="B524">
        <v>12</v>
      </c>
      <c r="C524" t="str">
        <v/>
      </c>
    </row>
    <row r="525">
      <c r="A525" t="str">
        <v>lab-mx-skilled</v>
      </c>
      <c r="B525">
        <v>7.5</v>
      </c>
      <c r="C525" t="str">
        <v/>
      </c>
    </row>
    <row r="526">
      <c r="A526" t="str">
        <v>lab-uk-electronics</v>
      </c>
      <c r="B526">
        <v>17.5</v>
      </c>
      <c r="C526" t="str">
        <v/>
      </c>
    </row>
    <row r="527">
      <c r="A527" t="str">
        <v>lab-de-semiskilled</v>
      </c>
      <c r="B527">
        <v>32</v>
      </c>
      <c r="C527" t="str">
        <v/>
      </c>
    </row>
    <row r="528">
      <c r="A528" t="str">
        <v>lab-de-foundry</v>
      </c>
      <c r="B528">
        <v>35</v>
      </c>
      <c r="C528" t="str">
        <v/>
      </c>
    </row>
    <row r="529">
      <c r="A529" t="str">
        <v>lab-de-electronics</v>
      </c>
      <c r="B529">
        <v>30</v>
      </c>
      <c r="C529" t="str">
        <v/>
      </c>
    </row>
    <row r="530">
      <c r="A530" t="str">
        <v>lab-de-engineer</v>
      </c>
      <c r="B530">
        <v>65</v>
      </c>
      <c r="C530" t="str">
        <v/>
      </c>
    </row>
    <row r="531">
      <c r="A531" t="str">
        <v>lab-pl-semiskilled</v>
      </c>
      <c r="B531">
        <v>9</v>
      </c>
      <c r="C531" t="str">
        <v/>
      </c>
    </row>
    <row r="532">
      <c r="A532" t="str">
        <v>lab-pl-electronics</v>
      </c>
      <c r="B532">
        <v>10.5</v>
      </c>
      <c r="C532" t="str">
        <v/>
      </c>
    </row>
    <row r="533">
      <c r="A533" t="str">
        <v>lab-pl-foundry</v>
      </c>
      <c r="B533">
        <v>10</v>
      </c>
      <c r="C533" t="str">
        <v/>
      </c>
    </row>
    <row r="534">
      <c r="A534" t="str">
        <v>lab-cn-semiskilled</v>
      </c>
      <c r="B534">
        <v>5.5</v>
      </c>
      <c r="C534" t="str">
        <v/>
      </c>
    </row>
    <row r="535">
      <c r="A535" t="str">
        <v>lab-cn-electronics</v>
      </c>
      <c r="B535">
        <v>6.5</v>
      </c>
      <c r="C535" t="str">
        <v/>
      </c>
    </row>
    <row r="536">
      <c r="A536" t="str">
        <v>lab-cn-engineer</v>
      </c>
      <c r="B536">
        <v>18</v>
      </c>
      <c r="C536" t="str">
        <v/>
      </c>
    </row>
    <row r="537">
      <c r="A537" t="str">
        <v>lab-in-semiskilled</v>
      </c>
      <c r="B537">
        <v>3.5</v>
      </c>
      <c r="C537" t="str">
        <v/>
      </c>
    </row>
    <row r="538">
      <c r="A538" t="str">
        <v>lab-in-electronics</v>
      </c>
      <c r="B538">
        <v>4.5</v>
      </c>
      <c r="C538" t="str">
        <v/>
      </c>
    </row>
    <row r="539">
      <c r="A539" t="str">
        <v>lab-in-engineer</v>
      </c>
      <c r="B539">
        <v>12</v>
      </c>
      <c r="C539" t="str">
        <v/>
      </c>
    </row>
    <row r="540">
      <c r="A540" t="str">
        <v>lab-mx-semiskilled</v>
      </c>
      <c r="B540">
        <v>5.8</v>
      </c>
      <c r="C540" t="str">
        <v/>
      </c>
    </row>
    <row r="541">
      <c r="A541" t="str">
        <v>lab-mx-electronics</v>
      </c>
      <c r="B541">
        <v>6.5</v>
      </c>
      <c r="C541" t="str">
        <v/>
      </c>
    </row>
    <row r="542">
      <c r="A542" t="str">
        <v>lab-tr-skilled</v>
      </c>
      <c r="B542">
        <v>8.5</v>
      </c>
      <c r="C542" t="str">
        <v/>
      </c>
    </row>
    <row r="543">
      <c r="A543" t="str">
        <v>lab-tr-semiskilled</v>
      </c>
      <c r="B543">
        <v>6</v>
      </c>
      <c r="C543" t="str">
        <v/>
      </c>
    </row>
    <row r="544">
      <c r="A544" t="str">
        <v>lab-vn-skilled</v>
      </c>
      <c r="B544">
        <v>4</v>
      </c>
      <c r="C544" t="str">
        <v/>
      </c>
    </row>
    <row r="545">
      <c r="A545" t="str">
        <v>lab-vn-semiskilled</v>
      </c>
      <c r="B545">
        <v>2.8</v>
      </c>
      <c r="C545" t="str">
        <v/>
      </c>
    </row>
    <row r="546">
      <c r="A546" t="str">
        <v>lab-kr-skilled</v>
      </c>
      <c r="B546">
        <v>22</v>
      </c>
      <c r="C546" t="str">
        <v/>
      </c>
    </row>
    <row r="547">
      <c r="A547" t="str">
        <v>lab-kr-electronics</v>
      </c>
      <c r="B547">
        <v>18.5</v>
      </c>
      <c r="C547" t="str">
        <v/>
      </c>
    </row>
    <row r="548">
      <c r="A548" t="str">
        <v>lab-ro-skilled</v>
      </c>
      <c r="B548">
        <v>8</v>
      </c>
      <c r="C548" t="str">
        <v/>
      </c>
    </row>
    <row r="549">
      <c r="A549" t="str">
        <v>lab-ro-semiskilled</v>
      </c>
      <c r="B549">
        <v>6.5</v>
      </c>
      <c r="C549" t="str">
        <v/>
      </c>
    </row>
  </sheetData>
  <ignoredErrors>
    <ignoredError numberStoredAsText="1" sqref="A1:C54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P329"/>
  <sheetViews>
    <sheetView workbookViewId="0"/>
  </sheetViews>
  <cols>
    <col min="1" max="1" width="22.83203125" customWidth="1"/>
    <col min="2" max="2" width="24.83203125" customWidth="1"/>
    <col min="3" max="3" width="16.83203125" customWidth="1"/>
    <col min="4" max="4" width="12.83203125" customWidth="1"/>
    <col min="5" max="5" width="22.83203125" customWidth="1"/>
    <col min="6" max="6" width="14.83203125" customWidth="1"/>
    <col min="7" max="7" width="10.83203125" customWidth="1"/>
    <col min="8" max="8" width="14.83203125" customWidth="1"/>
    <col min="9" max="9" width="40.83203125" customWidth="1"/>
    <col min="10" max="10" width="12.83203125" customWidth="1"/>
    <col min="11" max="11" width="12.83203125" customWidth="1"/>
    <col min="12" max="12" width="12.83203125" customWidth="1"/>
    <col min="13" max="13" width="14.83203125" customWidth="1"/>
    <col min="14" max="14" width="16.83203125" customWidth="1"/>
    <col min="15" max="15" width="12.83203125" customWidth="1"/>
    <col min="16" max="16" width="18.83203125" customWidth="1"/>
  </cols>
  <sheetData>
    <row r="1">
      <c r="A1" t="str">
        <v>id</v>
      </c>
      <c r="B1" t="str">
        <v>grade</v>
      </c>
      <c r="C1" t="str">
        <v>category</v>
      </c>
      <c r="D1" t="str">
        <v>pricePerKg</v>
      </c>
      <c r="E1" t="str">
        <v>scrapRecoveryPricePerKg</v>
      </c>
      <c r="F1" t="str">
        <v>densityKgPerM3</v>
      </c>
      <c r="G1" t="str">
        <v>region</v>
      </c>
      <c r="H1" t="str">
        <v>effectiveDate</v>
      </c>
      <c r="I1" t="str">
        <v>sourceNote</v>
      </c>
      <c r="J1" t="str">
        <v>confidence</v>
      </c>
      <c r="K1" t="str">
        <v>JLR code</v>
      </c>
      <c r="L1" t="str">
        <v>rows matched</v>
      </c>
      <c r="M1" t="str">
        <v>MATERIAL_RATE</v>
      </c>
      <c r="N1" t="str">
        <v>MATERIAL_RECLAIM</v>
      </c>
      <c r="O1" t="str">
        <v>scrap £/kg</v>
      </c>
      <c r="P1" t="str">
        <v>CO2 (reference only)</v>
      </c>
    </row>
    <row r="2">
      <c r="A2" t="str">
        <v>mat-al6061</v>
      </c>
      <c r="B2" t="str">
        <v>6061-T6</v>
      </c>
      <c r="C2" t="str">
        <v>Aluminium</v>
      </c>
      <c r="D2">
        <f>IF($M2&gt;0,$M2,3.62)</f>
        <v>3.62</v>
      </c>
      <c r="E2">
        <f>IF($O2&gt;0,$O2,0.55)</f>
        <v>0.55</v>
      </c>
      <c r="F2">
        <v>2700</v>
      </c>
      <c r="G2" t="str">
        <v>UK</v>
      </c>
      <c r="H2" t="str">
        <f>IF($M2&gt;0,IF($L2&lt;&gt;1,"2026-07",IFERROR(INDEX('JLR Materials'!$D:$D,MATCH($K2,'JLR Materials'!$A:$A,0)),"2026-07")),"2026-07")</f>
        <v>2026-07</v>
      </c>
      <c r="I2" t="str">
        <f>IF($M2&gt;0,"JLR rate card — material code "&amp;$K2,"LME + UK processor premium, Jun 2026. Index-anchored 2026-07 refresh.")</f>
        <v>LME + UK processor premium, Jun 2026. Index-anchored 2026-07 refresh.</v>
      </c>
      <c r="J2" t="str">
        <v>Medium</v>
      </c>
      <c r="K2" t="str">
        <f>IFERROR(INDEX(Mapping!$C:$C,MATCH($A2,Mapping!$A:$A,0)),"")</f>
        <v/>
      </c>
      <c r="L2">
        <f>IF($K2="",0,COUNTIFS('JLR Materials'!$A:$A,$K2,'JLR Materials'!$C:$C,IF(Settings!$B$2="","&lt;&gt;",Settings!$B$2),'JLR Materials'!$D:$D,IF(Settings!$B$4="","&lt;&gt;",Settings!$B$4)))</f>
        <v>0</v>
      </c>
      <c r="M2">
        <f>IF($L2&lt;&gt;1,0,SUMIFS('JLR Materials'!$E:$E,'JLR Materials'!$A:$A,$K2,'JLR Materials'!$C:$C,IF(Settings!$B$2="","&lt;&gt;",Settings!$B$2),'JLR Materials'!$D:$D,IF(Settings!$B$4="","&lt;&gt;",Settings!$B$4)))</f>
        <v>0</v>
      </c>
      <c r="N2">
        <f>IF($L2&lt;&gt;1,0,SUMIFS('JLR Materials'!$F:$F,'JLR Materials'!$A:$A,$K2,'JLR Materials'!$C:$C,IF(Settings!$B$2="","&lt;&gt;",Settings!$B$2),'JLR Materials'!$D:$D,IF(Settings!$B$4="","&lt;&gt;",Settings!$B$4)))</f>
        <v>0</v>
      </c>
      <c r="O2">
        <f>IF($N2=0,0,IF(Settings!$B$5="percent",$M2*$N2/100,$N2))</f>
        <v>0</v>
      </c>
      <c r="P2">
        <f>IF($L2&lt;&gt;1,0,SUMIFS('JLR Materials'!$G:$G,'JLR Materials'!$A:$A,$K2,'JLR Materials'!$C:$C,IF(Settings!$B$2="","&lt;&gt;",Settings!$B$2),'JLR Materials'!$D:$D,IF(Settings!$B$4="","&lt;&gt;",Settings!$B$4)))</f>
        <v>0</v>
      </c>
    </row>
    <row r="3">
      <c r="A3" t="str">
        <v>mat-steel1045</v>
      </c>
      <c r="B3" t="str">
        <v>1045 / C45 / 080M46 (Medium-Carbon Steel)</v>
      </c>
      <c r="C3" t="str">
        <v>Carbon Steel</v>
      </c>
      <c r="D3">
        <f>IF($M3&gt;0,$M3,0.95)</f>
        <v>0.95</v>
      </c>
      <c r="E3">
        <f>IF($O3&gt;0,$O3,0.22)</f>
        <v>0.22</v>
      </c>
      <c r="F3">
        <v>7850</v>
      </c>
      <c r="G3" t="str">
        <v>UK</v>
      </c>
      <c r="H3" t="str">
        <f>IF($M3&gt;0,IF($L3&lt;&gt;1,"2026-07",IFERROR(INDEX('JLR Materials'!$D:$D,MATCH($K3,'JLR Materials'!$A:$A,0)),"2026-07")),"2026-07")</f>
        <v>2026-07</v>
      </c>
      <c r="I3" t="str">
        <f>IF($M3&gt;0,"JLR rate card — material code "&amp;$K3,"UK steel stockholder, Jun 2026. Index-anchored 2026-07 refresh.")</f>
        <v>UK steel stockholder, Jun 2026. Index-anchored 2026-07 refresh.</v>
      </c>
      <c r="J3" t="str">
        <v>Medium</v>
      </c>
      <c r="K3" t="str">
        <f>IFERROR(INDEX(Mapping!$C:$C,MATCH($A3,Mapping!$A:$A,0)),"")</f>
        <v/>
      </c>
      <c r="L3">
        <f>IF($K3="",0,COUNTIFS('JLR Materials'!$A:$A,$K3,'JLR Materials'!$C:$C,IF(Settings!$B$2="","&lt;&gt;",Settings!$B$2),'JLR Materials'!$D:$D,IF(Settings!$B$4="","&lt;&gt;",Settings!$B$4)))</f>
        <v>0</v>
      </c>
      <c r="M3">
        <f>IF($L3&lt;&gt;1,0,SUMIFS('JLR Materials'!$E:$E,'JLR Materials'!$A:$A,$K3,'JLR Materials'!$C:$C,IF(Settings!$B$2="","&lt;&gt;",Settings!$B$2),'JLR Materials'!$D:$D,IF(Settings!$B$4="","&lt;&gt;",Settings!$B$4)))</f>
        <v>0</v>
      </c>
      <c r="N3">
        <f>IF($L3&lt;&gt;1,0,SUMIFS('JLR Materials'!$F:$F,'JLR Materials'!$A:$A,$K3,'JLR Materials'!$C:$C,IF(Settings!$B$2="","&lt;&gt;",Settings!$B$2),'JLR Materials'!$D:$D,IF(Settings!$B$4="","&lt;&gt;",Settings!$B$4)))</f>
        <v>0</v>
      </c>
      <c r="O3">
        <f>IF($N3=0,0,IF(Settings!$B$5="percent",$M3*$N3/100,$N3))</f>
        <v>0</v>
      </c>
      <c r="P3">
        <f>IF($L3&lt;&gt;1,0,SUMIFS('JLR Materials'!$G:$G,'JLR Materials'!$A:$A,$K3,'JLR Materials'!$C:$C,IF(Settings!$B$2="","&lt;&gt;",Settings!$B$2),'JLR Materials'!$D:$D,IF(Settings!$B$4="","&lt;&gt;",Settings!$B$4)))</f>
        <v>0</v>
      </c>
    </row>
    <row r="4">
      <c r="A4" t="str">
        <v>mat-ss316l</v>
      </c>
      <c r="B4" t="str">
        <v>316L</v>
      </c>
      <c r="C4" t="str">
        <v>Stainless Steel</v>
      </c>
      <c r="D4">
        <f>IF($M4&gt;0,$M4,3.82)</f>
        <v>3.82</v>
      </c>
      <c r="E4">
        <f>IF($O4&gt;0,$O4,0.85)</f>
        <v>0.85</v>
      </c>
      <c r="F4">
        <v>7990</v>
      </c>
      <c r="G4" t="str">
        <v>UK</v>
      </c>
      <c r="H4" t="str">
        <f>IF($M4&gt;0,IF($L4&lt;&gt;1,"2026-07",IFERROR(INDEX('JLR Materials'!$D:$D,MATCH($K4,'JLR Materials'!$A:$A,0)),"2026-07")),"2026-07")</f>
        <v>2026-07</v>
      </c>
      <c r="I4" t="str">
        <f>IF($M4&gt;0,"JLR rate card — material code "&amp;$K4,"UK stainless distributor, Jun 2026. Index-anchored 2026-07 refresh.")</f>
        <v>UK stainless distributor, Jun 2026. Index-anchored 2026-07 refresh.</v>
      </c>
      <c r="J4" t="str">
        <v>Medium</v>
      </c>
      <c r="K4" t="str">
        <f>IFERROR(INDEX(Mapping!$C:$C,MATCH($A4,Mapping!$A:$A,0)),"")</f>
        <v/>
      </c>
      <c r="L4">
        <f>IF($K4="",0,COUNTIFS('JLR Materials'!$A:$A,$K4,'JLR Materials'!$C:$C,IF(Settings!$B$2="","&lt;&gt;",Settings!$B$2),'JLR Materials'!$D:$D,IF(Settings!$B$4="","&lt;&gt;",Settings!$B$4)))</f>
        <v>0</v>
      </c>
      <c r="M4">
        <f>IF($L4&lt;&gt;1,0,SUMIFS('JLR Materials'!$E:$E,'JLR Materials'!$A:$A,$K4,'JLR Materials'!$C:$C,IF(Settings!$B$2="","&lt;&gt;",Settings!$B$2),'JLR Materials'!$D:$D,IF(Settings!$B$4="","&lt;&gt;",Settings!$B$4)))</f>
        <v>0</v>
      </c>
      <c r="N4">
        <f>IF($L4&lt;&gt;1,0,SUMIFS('JLR Materials'!$F:$F,'JLR Materials'!$A:$A,$K4,'JLR Materials'!$C:$C,IF(Settings!$B$2="","&lt;&gt;",Settings!$B$2),'JLR Materials'!$D:$D,IF(Settings!$B$4="","&lt;&gt;",Settings!$B$4)))</f>
        <v>0</v>
      </c>
      <c r="O4">
        <f>IF($N4=0,0,IF(Settings!$B$5="percent",$M4*$N4/100,$N4))</f>
        <v>0</v>
      </c>
      <c r="P4">
        <f>IF($L4&lt;&gt;1,0,SUMIFS('JLR Materials'!$G:$G,'JLR Materials'!$A:$A,$K4,'JLR Materials'!$C:$C,IF(Settings!$B$2="","&lt;&gt;",Settings!$B$2),'JLR Materials'!$D:$D,IF(Settings!$B$4="","&lt;&gt;",Settings!$B$4)))</f>
        <v>0</v>
      </c>
    </row>
    <row r="5">
      <c r="A5" t="str">
        <v>mat-steel4140</v>
      </c>
      <c r="B5" t="str">
        <v>4140 / 42CrMo4 / EN19 (Chromoly Alloy Steel)</v>
      </c>
      <c r="C5" t="str">
        <v>Alloy Steel</v>
      </c>
      <c r="D5">
        <f>IF($M5&gt;0,$M5,1.21)</f>
        <v>1.21</v>
      </c>
      <c r="E5">
        <f>IF($O5&gt;0,$O5,0.22)</f>
        <v>0.22</v>
      </c>
      <c r="F5">
        <v>7850</v>
      </c>
      <c r="G5" t="str">
        <v>UK</v>
      </c>
      <c r="H5" t="str">
        <f>IF($M5&gt;0,IF($L5&lt;&gt;1,"2026-07",IFERROR(INDEX('JLR Materials'!$D:$D,MATCH($K5,'JLR Materials'!$A:$A,0)),"2026-07")),"2026-07")</f>
        <v>2026-07</v>
      </c>
      <c r="I5" t="str">
        <f>IF($M5&gt;0,"JLR rate card — material code "&amp;$K5,"UK steel stockholder, Jun 2026. Index-anchored 2026-07 refresh.")</f>
        <v>UK steel stockholder, Jun 2026. Index-anchored 2026-07 refresh.</v>
      </c>
      <c r="J5" t="str">
        <v>Medium</v>
      </c>
      <c r="K5" t="str">
        <f>IFERROR(INDEX(Mapping!$C:$C,MATCH($A5,Mapping!$A:$A,0)),"")</f>
        <v/>
      </c>
      <c r="L5">
        <f>IF($K5="",0,COUNTIFS('JLR Materials'!$A:$A,$K5,'JLR Materials'!$C:$C,IF(Settings!$B$2="","&lt;&gt;",Settings!$B$2),'JLR Materials'!$D:$D,IF(Settings!$B$4="","&lt;&gt;",Settings!$B$4)))</f>
        <v>0</v>
      </c>
      <c r="M5">
        <f>IF($L5&lt;&gt;1,0,SUMIFS('JLR Materials'!$E:$E,'JLR Materials'!$A:$A,$K5,'JLR Materials'!$C:$C,IF(Settings!$B$2="","&lt;&gt;",Settings!$B$2),'JLR Materials'!$D:$D,IF(Settings!$B$4="","&lt;&gt;",Settings!$B$4)))</f>
        <v>0</v>
      </c>
      <c r="N5">
        <f>IF($L5&lt;&gt;1,0,SUMIFS('JLR Materials'!$F:$F,'JLR Materials'!$A:$A,$K5,'JLR Materials'!$C:$C,IF(Settings!$B$2="","&lt;&gt;",Settings!$B$2),'JLR Materials'!$D:$D,IF(Settings!$B$4="","&lt;&gt;",Settings!$B$4)))</f>
        <v>0</v>
      </c>
      <c r="O5">
        <f>IF($N5=0,0,IF(Settings!$B$5="percent",$M5*$N5/100,$N5))</f>
        <v>0</v>
      </c>
      <c r="P5">
        <f>IF($L5&lt;&gt;1,0,SUMIFS('JLR Materials'!$G:$G,'JLR Materials'!$A:$A,$K5,'JLR Materials'!$C:$C,IF(Settings!$B$2="","&lt;&gt;",Settings!$B$2),'JLR Materials'!$D:$D,IF(Settings!$B$4="","&lt;&gt;",Settings!$B$4)))</f>
        <v>0</v>
      </c>
    </row>
    <row r="6">
      <c r="A6" t="str">
        <v>mat-ti6al4v</v>
      </c>
      <c r="B6" t="str">
        <v>Ti-6Al-4V</v>
      </c>
      <c r="C6" t="str">
        <v>Titanium</v>
      </c>
      <c r="D6">
        <f>IF($M6&gt;0,$M6,47.5)</f>
        <v>47.5</v>
      </c>
      <c r="E6">
        <f>IF($O6&gt;0,$O6,16)</f>
        <v>16</v>
      </c>
      <c r="F6">
        <v>4430</v>
      </c>
      <c r="G6" t="str">
        <v>UK</v>
      </c>
      <c r="H6" t="str">
        <f>IF($M6&gt;0,IF($L6&lt;&gt;1,"2026-07",IFERROR(INDEX('JLR Materials'!$D:$D,MATCH($K6,'JLR Materials'!$A:$A,0)),"2026-07")),"2026-07")</f>
        <v>2026-07</v>
      </c>
      <c r="I6" t="str">
        <f>IF($M6&gt;0,"JLR rate card — material code "&amp;$K6,"Titanium distributor UK, Jun 2026. Index-anchored 2026-07 refresh.")</f>
        <v>Titanium distributor UK, Jun 2026. Index-anchored 2026-07 refresh.</v>
      </c>
      <c r="J6" t="str">
        <v>Low</v>
      </c>
      <c r="K6" t="str">
        <f>IFERROR(INDEX(Mapping!$C:$C,MATCH($A6,Mapping!$A:$A,0)),"")</f>
        <v/>
      </c>
      <c r="L6">
        <f>IF($K6="",0,COUNTIFS('JLR Materials'!$A:$A,$K6,'JLR Materials'!$C:$C,IF(Settings!$B$2="","&lt;&gt;",Settings!$B$2),'JLR Materials'!$D:$D,IF(Settings!$B$4="","&lt;&gt;",Settings!$B$4)))</f>
        <v>0</v>
      </c>
      <c r="M6">
        <f>IF($L6&lt;&gt;1,0,SUMIFS('JLR Materials'!$E:$E,'JLR Materials'!$A:$A,$K6,'JLR Materials'!$C:$C,IF(Settings!$B$2="","&lt;&gt;",Settings!$B$2),'JLR Materials'!$D:$D,IF(Settings!$B$4="","&lt;&gt;",Settings!$B$4)))</f>
        <v>0</v>
      </c>
      <c r="N6">
        <f>IF($L6&lt;&gt;1,0,SUMIFS('JLR Materials'!$F:$F,'JLR Materials'!$A:$A,$K6,'JLR Materials'!$C:$C,IF(Settings!$B$2="","&lt;&gt;",Settings!$B$2),'JLR Materials'!$D:$D,IF(Settings!$B$4="","&lt;&gt;",Settings!$B$4)))</f>
        <v>0</v>
      </c>
      <c r="O6">
        <f>IF($N6=0,0,IF(Settings!$B$5="percent",$M6*$N6/100,$N6))</f>
        <v>0</v>
      </c>
      <c r="P6">
        <f>IF($L6&lt;&gt;1,0,SUMIFS('JLR Materials'!$G:$G,'JLR Materials'!$A:$A,$K6,'JLR Materials'!$C:$C,IF(Settings!$B$2="","&lt;&gt;",Settings!$B$2),'JLR Materials'!$D:$D,IF(Settings!$B$4="","&lt;&gt;",Settings!$B$4)))</f>
        <v>0</v>
      </c>
    </row>
    <row r="7">
      <c r="A7" t="str">
        <v>mat-virtual</v>
      </c>
      <c r="B7" t="str">
        <v>Virtual / Pass-through</v>
      </c>
      <c r="C7" t="str">
        <v>Virtual</v>
      </c>
      <c r="D7">
        <f>IF($M7&gt;0,$M7,1)</f>
        <v>1</v>
      </c>
      <c r="E7">
        <f>IF($O7&gt;0,$O7,0)</f>
        <v>0</v>
      </c>
      <c r="F7">
        <v>1000</v>
      </c>
      <c r="G7" t="str">
        <v>UK</v>
      </c>
      <c r="H7" t="str">
        <f>IF($M7&gt;0,IF($L7&lt;&gt;1,"2026-06-14",IFERROR(INDEX('JLR Materials'!$D:$D,MATCH($K7,'JLR Materials'!$A:$A,0)),"2026-06-14")),"2026-06-14")</f>
        <v>2026-06-14</v>
      </c>
      <c r="I7" t="str">
        <f>IF($M7&gt;0,"JLR rate card — material code "&amp;$K7,"Placeholder for directCost modules (painting, BIW, PCB, PCBA). Price is irrelevant — directCost overrides.")</f>
        <v>Placeholder for directCost modules (painting, BIW, PCB, PCBA). Price is irrelevant — directCost overrides.</v>
      </c>
      <c r="J7" t="str">
        <v>Medium</v>
      </c>
      <c r="K7" t="str">
        <f>IFERROR(INDEX(Mapping!$C:$C,MATCH($A7,Mapping!$A:$A,0)),"")</f>
        <v/>
      </c>
      <c r="L7">
        <f>IF($K7="",0,COUNTIFS('JLR Materials'!$A:$A,$K7,'JLR Materials'!$C:$C,IF(Settings!$B$2="","&lt;&gt;",Settings!$B$2),'JLR Materials'!$D:$D,IF(Settings!$B$4="","&lt;&gt;",Settings!$B$4)))</f>
        <v>0</v>
      </c>
      <c r="M7">
        <f>IF($L7&lt;&gt;1,0,SUMIFS('JLR Materials'!$E:$E,'JLR Materials'!$A:$A,$K7,'JLR Materials'!$C:$C,IF(Settings!$B$2="","&lt;&gt;",Settings!$B$2),'JLR Materials'!$D:$D,IF(Settings!$B$4="","&lt;&gt;",Settings!$B$4)))</f>
        <v>0</v>
      </c>
      <c r="N7">
        <f>IF($L7&lt;&gt;1,0,SUMIFS('JLR Materials'!$F:$F,'JLR Materials'!$A:$A,$K7,'JLR Materials'!$C:$C,IF(Settings!$B$2="","&lt;&gt;",Settings!$B$2),'JLR Materials'!$D:$D,IF(Settings!$B$4="","&lt;&gt;",Settings!$B$4)))</f>
        <v>0</v>
      </c>
      <c r="O7">
        <f>IF($N7=0,0,IF(Settings!$B$5="percent",$M7*$N7/100,$N7))</f>
        <v>0</v>
      </c>
      <c r="P7">
        <f>IF($L7&lt;&gt;1,0,SUMIFS('JLR Materials'!$G:$G,'JLR Materials'!$A:$A,$K7,'JLR Materials'!$C:$C,IF(Settings!$B$2="","&lt;&gt;",Settings!$B$2),'JLR Materials'!$D:$D,IF(Settings!$B$4="","&lt;&gt;",Settings!$B$4)))</f>
        <v>0</v>
      </c>
    </row>
    <row r="8">
      <c r="A8" t="str">
        <v>mat-en8</v>
      </c>
      <c r="B8" t="str">
        <v>EN8 / 080M40 (Medium Carbon)</v>
      </c>
      <c r="C8" t="str">
        <v>Carbon Steel</v>
      </c>
      <c r="D8">
        <f>IF($M8&gt;0,$M8,0.98)</f>
        <v>0.98</v>
      </c>
      <c r="E8">
        <f>IF($O8&gt;0,$O8,0.22)</f>
        <v>0.22</v>
      </c>
      <c r="F8">
        <v>7850</v>
      </c>
      <c r="G8" t="str">
        <v>UK</v>
      </c>
      <c r="H8" t="str">
        <f>IF($M8&gt;0,IF($L8&lt;&gt;1,"2026-07",IFERROR(INDEX('JLR Materials'!$D:$D,MATCH($K8,'JLR Materials'!$A:$A,0)),"2026-07")),"2026-07")</f>
        <v>2026-07</v>
      </c>
      <c r="I8" t="str">
        <f>IF($M8&gt;0,"JLR rate card — material code "&amp;$K8,"Index-anchored 2026-07 refresh. General medium-carbon machining bar — shafts, studs, general engineering.")</f>
        <v>Index-anchored 2026-07 refresh. General medium-carbon machining bar — shafts, studs, general engineering.</v>
      </c>
      <c r="J8" t="str">
        <v>Medium</v>
      </c>
      <c r="K8" t="str">
        <f>IFERROR(INDEX(Mapping!$C:$C,MATCH($A8,Mapping!$A:$A,0)),"")</f>
        <v/>
      </c>
      <c r="L8">
        <f>IF($K8="",0,COUNTIFS('JLR Materials'!$A:$A,$K8,'JLR Materials'!$C:$C,IF(Settings!$B$2="","&lt;&gt;",Settings!$B$2),'JLR Materials'!$D:$D,IF(Settings!$B$4="","&lt;&gt;",Settings!$B$4)))</f>
        <v>0</v>
      </c>
      <c r="M8">
        <f>IF($L8&lt;&gt;1,0,SUMIFS('JLR Materials'!$E:$E,'JLR Materials'!$A:$A,$K8,'JLR Materials'!$C:$C,IF(Settings!$B$2="","&lt;&gt;",Settings!$B$2),'JLR Materials'!$D:$D,IF(Settings!$B$4="","&lt;&gt;",Settings!$B$4)))</f>
        <v>0</v>
      </c>
      <c r="N8">
        <f>IF($L8&lt;&gt;1,0,SUMIFS('JLR Materials'!$F:$F,'JLR Materials'!$A:$A,$K8,'JLR Materials'!$C:$C,IF(Settings!$B$2="","&lt;&gt;",Settings!$B$2),'JLR Materials'!$D:$D,IF(Settings!$B$4="","&lt;&gt;",Settings!$B$4)))</f>
        <v>0</v>
      </c>
      <c r="O8">
        <f>IF($N8=0,0,IF(Settings!$B$5="percent",$M8*$N8/100,$N8))</f>
        <v>0</v>
      </c>
      <c r="P8">
        <f>IF($L8&lt;&gt;1,0,SUMIFS('JLR Materials'!$G:$G,'JLR Materials'!$A:$A,$K8,'JLR Materials'!$C:$C,IF(Settings!$B$2="","&lt;&gt;",Settings!$B$2),'JLR Materials'!$D:$D,IF(Settings!$B$4="","&lt;&gt;",Settings!$B$4)))</f>
        <v>0</v>
      </c>
    </row>
    <row r="9">
      <c r="A9" t="str">
        <v>mat-ss304-bar</v>
      </c>
      <c r="B9" t="str">
        <v>304 Stainless Bar</v>
      </c>
      <c r="C9" t="str">
        <v>Stainless Steel</v>
      </c>
      <c r="D9">
        <f>IF($M9&gt;0,$M9,3.4)</f>
        <v>3.4</v>
      </c>
      <c r="E9">
        <f>IF($O9&gt;0,$O9,0.8)</f>
        <v>0.8</v>
      </c>
      <c r="F9">
        <v>8000</v>
      </c>
      <c r="G9" t="str">
        <v>UK</v>
      </c>
      <c r="H9" t="str">
        <f>IF($M9&gt;0,IF($L9&lt;&gt;1,"2026-07",IFERROR(INDEX('JLR Materials'!$D:$D,MATCH($K9,'JLR Materials'!$A:$A,0)),"2026-07")),"2026-07")</f>
        <v>2026-07</v>
      </c>
      <c r="I9" t="str">
        <f>IF($M9&gt;0,"JLR rate card — material code "&amp;$K9,"Index-anchored 2026-07 refresh. General austenitic machining bar — fittings, shafts, food/chemical.")</f>
        <v>Index-anchored 2026-07 refresh. General austenitic machining bar — fittings, shafts, food/chemical.</v>
      </c>
      <c r="J9" t="str">
        <v>Medium</v>
      </c>
      <c r="K9" t="str">
        <f>IFERROR(INDEX(Mapping!$C:$C,MATCH($A9,Mapping!$A:$A,0)),"")</f>
        <v/>
      </c>
      <c r="L9">
        <f>IF($K9="",0,COUNTIFS('JLR Materials'!$A:$A,$K9,'JLR Materials'!$C:$C,IF(Settings!$B$2="","&lt;&gt;",Settings!$B$2),'JLR Materials'!$D:$D,IF(Settings!$B$4="","&lt;&gt;",Settings!$B$4)))</f>
        <v>0</v>
      </c>
      <c r="M9">
        <f>IF($L9&lt;&gt;1,0,SUMIFS('JLR Materials'!$E:$E,'JLR Materials'!$A:$A,$K9,'JLR Materials'!$C:$C,IF(Settings!$B$2="","&lt;&gt;",Settings!$B$2),'JLR Materials'!$D:$D,IF(Settings!$B$4="","&lt;&gt;",Settings!$B$4)))</f>
        <v>0</v>
      </c>
      <c r="N9">
        <f>IF($L9&lt;&gt;1,0,SUMIFS('JLR Materials'!$F:$F,'JLR Materials'!$A:$A,$K9,'JLR Materials'!$C:$C,IF(Settings!$B$2="","&lt;&gt;",Settings!$B$2),'JLR Materials'!$D:$D,IF(Settings!$B$4="","&lt;&gt;",Settings!$B$4)))</f>
        <v>0</v>
      </c>
      <c r="O9">
        <f>IF($N9=0,0,IF(Settings!$B$5="percent",$M9*$N9/100,$N9))</f>
        <v>0</v>
      </c>
      <c r="P9">
        <f>IF($L9&lt;&gt;1,0,SUMIFS('JLR Materials'!$G:$G,'JLR Materials'!$A:$A,$K9,'JLR Materials'!$C:$C,IF(Settings!$B$2="","&lt;&gt;",Settings!$B$2),'JLR Materials'!$D:$D,IF(Settings!$B$4="","&lt;&gt;",Settings!$B$4)))</f>
        <v>0</v>
      </c>
    </row>
    <row r="10">
      <c r="A10" t="str">
        <v>mat-ss303</v>
      </c>
      <c r="B10" t="str">
        <v>303 Free-Machining Stainless Bar</v>
      </c>
      <c r="C10" t="str">
        <v>Stainless Steel</v>
      </c>
      <c r="D10">
        <f>IF($M10&gt;0,$M10,3.7)</f>
        <v>3.7</v>
      </c>
      <c r="E10">
        <f>IF($O10&gt;0,$O10,0.8)</f>
        <v>0.8</v>
      </c>
      <c r="F10">
        <v>8000</v>
      </c>
      <c r="G10" t="str">
        <v>UK</v>
      </c>
      <c r="H10" t="str">
        <f>IF($M10&gt;0,IF($L10&lt;&gt;1,"2026-07",IFERROR(INDEX('JLR Materials'!$D:$D,MATCH($K10,'JLR Materials'!$A:$A,0)),"2026-07")),"2026-07")</f>
        <v>2026-07</v>
      </c>
      <c r="I10" t="str">
        <f>IF($M10&gt;0,"JLR rate card — material code "&amp;$K10,"Index-anchored 2026-07 refresh. Sulphur-added free-machining austenitic — high-volume turned parts, fasteners.")</f>
        <v>Index-anchored 2026-07 refresh. Sulphur-added free-machining austenitic — high-volume turned parts, fasteners.</v>
      </c>
      <c r="J10" t="str">
        <v>Medium</v>
      </c>
      <c r="K10" t="str">
        <f>IFERROR(INDEX(Mapping!$C:$C,MATCH($A10,Mapping!$A:$A,0)),"")</f>
        <v/>
      </c>
      <c r="L10">
        <f>IF($K10="",0,COUNTIFS('JLR Materials'!$A:$A,$K10,'JLR Materials'!$C:$C,IF(Settings!$B$2="","&lt;&gt;",Settings!$B$2),'JLR Materials'!$D:$D,IF(Settings!$B$4="","&lt;&gt;",Settings!$B$4)))</f>
        <v>0</v>
      </c>
      <c r="M10">
        <f>IF($L10&lt;&gt;1,0,SUMIFS('JLR Materials'!$E:$E,'JLR Materials'!$A:$A,$K10,'JLR Materials'!$C:$C,IF(Settings!$B$2="","&lt;&gt;",Settings!$B$2),'JLR Materials'!$D:$D,IF(Settings!$B$4="","&lt;&gt;",Settings!$B$4)))</f>
        <v>0</v>
      </c>
      <c r="N10">
        <f>IF($L10&lt;&gt;1,0,SUMIFS('JLR Materials'!$F:$F,'JLR Materials'!$A:$A,$K10,'JLR Materials'!$C:$C,IF(Settings!$B$2="","&lt;&gt;",Settings!$B$2),'JLR Materials'!$D:$D,IF(Settings!$B$4="","&lt;&gt;",Settings!$B$4)))</f>
        <v>0</v>
      </c>
      <c r="O10">
        <f>IF($N10=0,0,IF(Settings!$B$5="percent",$M10*$N10/100,$N10))</f>
        <v>0</v>
      </c>
      <c r="P10">
        <f>IF($L10&lt;&gt;1,0,SUMIFS('JLR Materials'!$G:$G,'JLR Materials'!$A:$A,$K10,'JLR Materials'!$C:$C,IF(Settings!$B$2="","&lt;&gt;",Settings!$B$2),'JLR Materials'!$D:$D,IF(Settings!$B$4="","&lt;&gt;",Settings!$B$4)))</f>
        <v>0</v>
      </c>
    </row>
    <row r="11">
      <c r="A11" t="str">
        <v>mat-al6082-bar</v>
      </c>
      <c r="B11" t="str">
        <v>6082-T6 Aluminium Bar</v>
      </c>
      <c r="C11" t="str">
        <v>Aluminium</v>
      </c>
      <c r="D11">
        <f>IF($M11&gt;0,$M11,3.55)</f>
        <v>3.55</v>
      </c>
      <c r="E11">
        <f>IF($O11&gt;0,$O11,0.55)</f>
        <v>0.55</v>
      </c>
      <c r="F11">
        <v>2700</v>
      </c>
      <c r="G11" t="str">
        <v>UK</v>
      </c>
      <c r="H11" t="str">
        <f>IF($M11&gt;0,IF($L11&lt;&gt;1,"2026-07",IFERROR(INDEX('JLR Materials'!$D:$D,MATCH($K11,'JLR Materials'!$A:$A,0)),"2026-07")),"2026-07")</f>
        <v>2026-07</v>
      </c>
      <c r="I11" t="str">
        <f>IF($M11&gt;0,"JLR rate card — material code "&amp;$K11,"Index-anchored 2026-07 refresh. Structural 6xxx machining bar/plate — brackets, jigs, structural parts.")</f>
        <v>Index-anchored 2026-07 refresh. Structural 6xxx machining bar/plate — brackets, jigs, structural parts.</v>
      </c>
      <c r="J11" t="str">
        <v>Medium</v>
      </c>
      <c r="K11" t="str">
        <f>IFERROR(INDEX(Mapping!$C:$C,MATCH($A11,Mapping!$A:$A,0)),"")</f>
        <v/>
      </c>
      <c r="L11">
        <f>IF($K11="",0,COUNTIFS('JLR Materials'!$A:$A,$K11,'JLR Materials'!$C:$C,IF(Settings!$B$2="","&lt;&gt;",Settings!$B$2),'JLR Materials'!$D:$D,IF(Settings!$B$4="","&lt;&gt;",Settings!$B$4)))</f>
        <v>0</v>
      </c>
      <c r="M11">
        <f>IF($L11&lt;&gt;1,0,SUMIFS('JLR Materials'!$E:$E,'JLR Materials'!$A:$A,$K11,'JLR Materials'!$C:$C,IF(Settings!$B$2="","&lt;&gt;",Settings!$B$2),'JLR Materials'!$D:$D,IF(Settings!$B$4="","&lt;&gt;",Settings!$B$4)))</f>
        <v>0</v>
      </c>
      <c r="N11">
        <f>IF($L11&lt;&gt;1,0,SUMIFS('JLR Materials'!$F:$F,'JLR Materials'!$A:$A,$K11,'JLR Materials'!$C:$C,IF(Settings!$B$2="","&lt;&gt;",Settings!$B$2),'JLR Materials'!$D:$D,IF(Settings!$B$4="","&lt;&gt;",Settings!$B$4)))</f>
        <v>0</v>
      </c>
      <c r="O11">
        <f>IF($N11=0,0,IF(Settings!$B$5="percent",$M11*$N11/100,$N11))</f>
        <v>0</v>
      </c>
      <c r="P11">
        <f>IF($L11&lt;&gt;1,0,SUMIFS('JLR Materials'!$G:$G,'JLR Materials'!$A:$A,$K11,'JLR Materials'!$C:$C,IF(Settings!$B$2="","&lt;&gt;",Settings!$B$2),'JLR Materials'!$D:$D,IF(Settings!$B$4="","&lt;&gt;",Settings!$B$4)))</f>
        <v>0</v>
      </c>
    </row>
    <row r="12">
      <c r="A12" t="str">
        <v>mat-al2011</v>
      </c>
      <c r="B12" t="str">
        <v>2011-T3 Free-Machining Al Bar</v>
      </c>
      <c r="C12" t="str">
        <v>Aluminium</v>
      </c>
      <c r="D12">
        <f>IF($M12&gt;0,$M12,3.95)</f>
        <v>3.95</v>
      </c>
      <c r="E12">
        <f>IF($O12&gt;0,$O12,0.55)</f>
        <v>0.55</v>
      </c>
      <c r="F12">
        <v>2830</v>
      </c>
      <c r="G12" t="str">
        <v>UK</v>
      </c>
      <c r="H12" t="str">
        <f>IF($M12&gt;0,IF($L12&lt;&gt;1,"2026-07",IFERROR(INDEX('JLR Materials'!$D:$D,MATCH($K12,'JLR Materials'!$A:$A,0)),"2026-07")),"2026-07")</f>
        <v>2026-07</v>
      </c>
      <c r="I12" t="str">
        <f>IF($M12&gt;0,"JLR rate card — material code "&amp;$K12,"Index-anchored 2026-07 refresh. Free-machining Al-Cu-Pb — high-speed screw-machine parts, fittings.")</f>
        <v>Index-anchored 2026-07 refresh. Free-machining Al-Cu-Pb — high-speed screw-machine parts, fittings.</v>
      </c>
      <c r="J12" t="str">
        <v>Low</v>
      </c>
      <c r="K12" t="str">
        <f>IFERROR(INDEX(Mapping!$C:$C,MATCH($A12,Mapping!$A:$A,0)),"")</f>
        <v/>
      </c>
      <c r="L12">
        <f>IF($K12="",0,COUNTIFS('JLR Materials'!$A:$A,$K12,'JLR Materials'!$C:$C,IF(Settings!$B$2="","&lt;&gt;",Settings!$B$2),'JLR Materials'!$D:$D,IF(Settings!$B$4="","&lt;&gt;",Settings!$B$4)))</f>
        <v>0</v>
      </c>
      <c r="M12">
        <f>IF($L12&lt;&gt;1,0,SUMIFS('JLR Materials'!$E:$E,'JLR Materials'!$A:$A,$K12,'JLR Materials'!$C:$C,IF(Settings!$B$2="","&lt;&gt;",Settings!$B$2),'JLR Materials'!$D:$D,IF(Settings!$B$4="","&lt;&gt;",Settings!$B$4)))</f>
        <v>0</v>
      </c>
      <c r="N12">
        <f>IF($L12&lt;&gt;1,0,SUMIFS('JLR Materials'!$F:$F,'JLR Materials'!$A:$A,$K12,'JLR Materials'!$C:$C,IF(Settings!$B$2="","&lt;&gt;",Settings!$B$2),'JLR Materials'!$D:$D,IF(Settings!$B$4="","&lt;&gt;",Settings!$B$4)))</f>
        <v>0</v>
      </c>
      <c r="O12">
        <f>IF($N12=0,0,IF(Settings!$B$5="percent",$M12*$N12/100,$N12))</f>
        <v>0</v>
      </c>
      <c r="P12">
        <f>IF($L12&lt;&gt;1,0,SUMIFS('JLR Materials'!$G:$G,'JLR Materials'!$A:$A,$K12,'JLR Materials'!$C:$C,IF(Settings!$B$2="","&lt;&gt;",Settings!$B$2),'JLR Materials'!$D:$D,IF(Settings!$B$4="","&lt;&gt;",Settings!$B$4)))</f>
        <v>0</v>
      </c>
    </row>
    <row r="13">
      <c r="A13" t="str">
        <v>mat-brass-cz121</v>
      </c>
      <c r="B13" t="str">
        <v>CZ121 / CW614N Free-Machining Brass</v>
      </c>
      <c r="C13" t="str">
        <v>Copper Alloy</v>
      </c>
      <c r="D13">
        <f>IF($M13&gt;0,$M13,7)</f>
        <v>7</v>
      </c>
      <c r="E13">
        <f>IF($O13&gt;0,$O13,3)</f>
        <v>3</v>
      </c>
      <c r="F13">
        <v>8490</v>
      </c>
      <c r="G13" t="str">
        <v>UK</v>
      </c>
      <c r="H13" t="str">
        <f>IF($M13&gt;0,IF($L13&lt;&gt;1,"2026-07",IFERROR(INDEX('JLR Materials'!$D:$D,MATCH($K13,'JLR Materials'!$A:$A,0)),"2026-07")),"2026-07")</f>
        <v>2026-07</v>
      </c>
      <c r="I13" t="str">
        <f>IF($M13&gt;0,"JLR rate card — material code "&amp;$K13,"Index-anchored 2026-07 refresh. Standard free-machining brass bar — fittings, valve parts, connectors.")</f>
        <v>Index-anchored 2026-07 refresh. Standard free-machining brass bar — fittings, valve parts, connectors.</v>
      </c>
      <c r="J13" t="str">
        <v>Low</v>
      </c>
      <c r="K13" t="str">
        <f>IFERROR(INDEX(Mapping!$C:$C,MATCH($A13,Mapping!$A:$A,0)),"")</f>
        <v/>
      </c>
      <c r="L13">
        <f>IF($K13="",0,COUNTIFS('JLR Materials'!$A:$A,$K13,'JLR Materials'!$C:$C,IF(Settings!$B$2="","&lt;&gt;",Settings!$B$2),'JLR Materials'!$D:$D,IF(Settings!$B$4="","&lt;&gt;",Settings!$B$4)))</f>
        <v>0</v>
      </c>
      <c r="M13">
        <f>IF($L13&lt;&gt;1,0,SUMIFS('JLR Materials'!$E:$E,'JLR Materials'!$A:$A,$K13,'JLR Materials'!$C:$C,IF(Settings!$B$2="","&lt;&gt;",Settings!$B$2),'JLR Materials'!$D:$D,IF(Settings!$B$4="","&lt;&gt;",Settings!$B$4)))</f>
        <v>0</v>
      </c>
      <c r="N13">
        <f>IF($L13&lt;&gt;1,0,SUMIFS('JLR Materials'!$F:$F,'JLR Materials'!$A:$A,$K13,'JLR Materials'!$C:$C,IF(Settings!$B$2="","&lt;&gt;",Settings!$B$2),'JLR Materials'!$D:$D,IF(Settings!$B$4="","&lt;&gt;",Settings!$B$4)))</f>
        <v>0</v>
      </c>
      <c r="O13">
        <f>IF($N13=0,0,IF(Settings!$B$5="percent",$M13*$N13/100,$N13))</f>
        <v>0</v>
      </c>
      <c r="P13">
        <f>IF($L13&lt;&gt;1,0,SUMIFS('JLR Materials'!$G:$G,'JLR Materials'!$A:$A,$K13,'JLR Materials'!$C:$C,IF(Settings!$B$2="","&lt;&gt;",Settings!$B$2),'JLR Materials'!$D:$D,IF(Settings!$B$4="","&lt;&gt;",Settings!$B$4)))</f>
        <v>0</v>
      </c>
    </row>
    <row r="14">
      <c r="A14" t="str">
        <v>mat-bronze-pb1</v>
      </c>
      <c r="B14" t="str">
        <v>PB1 Phosphor Bronze Bar</v>
      </c>
      <c r="C14" t="str">
        <v>Copper Alloy</v>
      </c>
      <c r="D14">
        <f>IF($M14&gt;0,$M14,9.2)</f>
        <v>9.2</v>
      </c>
      <c r="E14">
        <f>IF($O14&gt;0,$O14,2.8)</f>
        <v>2.8</v>
      </c>
      <c r="F14">
        <v>8800</v>
      </c>
      <c r="G14" t="str">
        <v>UK</v>
      </c>
      <c r="H14" t="str">
        <f>IF($M14&gt;0,IF($L14&lt;&gt;1,"2026-07",IFERROR(INDEX('JLR Materials'!$D:$D,MATCH($K14,'JLR Materials'!$A:$A,0)),"2026-07")),"2026-07")</f>
        <v>2026-07</v>
      </c>
      <c r="I14" t="str">
        <f>IF($M14&gt;0,"JLR rate card — material code "&amp;$K14,"Index-anchored 2026-07 refresh. Phosphor bronze bar — bearings, bushes, worm wheels, high-load sliding.")</f>
        <v>Index-anchored 2026-07 refresh. Phosphor bronze bar — bearings, bushes, worm wheels, high-load sliding.</v>
      </c>
      <c r="J14" t="str">
        <v>Low</v>
      </c>
      <c r="K14" t="str">
        <f>IFERROR(INDEX(Mapping!$C:$C,MATCH($A14,Mapping!$A:$A,0)),"")</f>
        <v/>
      </c>
      <c r="L14">
        <f>IF($K14="",0,COUNTIFS('JLR Materials'!$A:$A,$K14,'JLR Materials'!$C:$C,IF(Settings!$B$2="","&lt;&gt;",Settings!$B$2),'JLR Materials'!$D:$D,IF(Settings!$B$4="","&lt;&gt;",Settings!$B$4)))</f>
        <v>0</v>
      </c>
      <c r="M14">
        <f>IF($L14&lt;&gt;1,0,SUMIFS('JLR Materials'!$E:$E,'JLR Materials'!$A:$A,$K14,'JLR Materials'!$C:$C,IF(Settings!$B$2="","&lt;&gt;",Settings!$B$2),'JLR Materials'!$D:$D,IF(Settings!$B$4="","&lt;&gt;",Settings!$B$4)))</f>
        <v>0</v>
      </c>
      <c r="N14">
        <f>IF($L14&lt;&gt;1,0,SUMIFS('JLR Materials'!$F:$F,'JLR Materials'!$A:$A,$K14,'JLR Materials'!$C:$C,IF(Settings!$B$2="","&lt;&gt;",Settings!$B$2),'JLR Materials'!$D:$D,IF(Settings!$B$4="","&lt;&gt;",Settings!$B$4)))</f>
        <v>0</v>
      </c>
      <c r="O14">
        <f>IF($N14=0,0,IF(Settings!$B$5="percent",$M14*$N14/100,$N14))</f>
        <v>0</v>
      </c>
      <c r="P14">
        <f>IF($L14&lt;&gt;1,0,SUMIFS('JLR Materials'!$G:$G,'JLR Materials'!$A:$A,$K14,'JLR Materials'!$C:$C,IF(Settings!$B$2="","&lt;&gt;",Settings!$B$2),'JLR Materials'!$D:$D,IF(Settings!$B$4="","&lt;&gt;",Settings!$B$4)))</f>
        <v>0</v>
      </c>
    </row>
    <row r="15">
      <c r="A15" t="str">
        <v>mat-pom-c</v>
      </c>
      <c r="B15" t="str">
        <v>POM-C (Acetal / Delrin Stock)</v>
      </c>
      <c r="C15" t="str">
        <v>Engineering Plastic (Stock)</v>
      </c>
      <c r="D15">
        <f>IF($M15&gt;0,$M15,3.1)</f>
        <v>3.1</v>
      </c>
      <c r="E15">
        <f>IF($O15&gt;0,$O15,0.1)</f>
        <v>0.1</v>
      </c>
      <c r="F15">
        <v>1410</v>
      </c>
      <c r="G15" t="str">
        <v>UK</v>
      </c>
      <c r="H15" t="str">
        <f>IF($M15&gt;0,IF($L15&lt;&gt;1,"2026-07",IFERROR(INDEX('JLR Materials'!$D:$D,MATCH($K15,'JLR Materials'!$A:$A,0)),"2026-07")),"2026-07")</f>
        <v>2026-07</v>
      </c>
      <c r="I15" t="str">
        <f>IF($M15&gt;0,"JLR rate card — material code "&amp;$K15,"Index-anchored 2026-07. Acetal copolymer rod/sheet — precision gears, bushes, manifolds; excellent machinability.")</f>
        <v>Index-anchored 2026-07. Acetal copolymer rod/sheet — precision gears, bushes, manifolds; excellent machinability.</v>
      </c>
      <c r="J15" t="str">
        <v>Medium</v>
      </c>
      <c r="K15" t="str">
        <f>IFERROR(INDEX(Mapping!$C:$C,MATCH($A15,Mapping!$A:$A,0)),"")</f>
        <v/>
      </c>
      <c r="L15">
        <f>IF($K15="",0,COUNTIFS('JLR Materials'!$A:$A,$K15,'JLR Materials'!$C:$C,IF(Settings!$B$2="","&lt;&gt;",Settings!$B$2),'JLR Materials'!$D:$D,IF(Settings!$B$4="","&lt;&gt;",Settings!$B$4)))</f>
        <v>0</v>
      </c>
      <c r="M15">
        <f>IF($L15&lt;&gt;1,0,SUMIFS('JLR Materials'!$E:$E,'JLR Materials'!$A:$A,$K15,'JLR Materials'!$C:$C,IF(Settings!$B$2="","&lt;&gt;",Settings!$B$2),'JLR Materials'!$D:$D,IF(Settings!$B$4="","&lt;&gt;",Settings!$B$4)))</f>
        <v>0</v>
      </c>
      <c r="N15">
        <f>IF($L15&lt;&gt;1,0,SUMIFS('JLR Materials'!$F:$F,'JLR Materials'!$A:$A,$K15,'JLR Materials'!$C:$C,IF(Settings!$B$2="","&lt;&gt;",Settings!$B$2),'JLR Materials'!$D:$D,IF(Settings!$B$4="","&lt;&gt;",Settings!$B$4)))</f>
        <v>0</v>
      </c>
      <c r="O15">
        <f>IF($N15=0,0,IF(Settings!$B$5="percent",$M15*$N15/100,$N15))</f>
        <v>0</v>
      </c>
      <c r="P15">
        <f>IF($L15&lt;&gt;1,0,SUMIFS('JLR Materials'!$G:$G,'JLR Materials'!$A:$A,$K15,'JLR Materials'!$C:$C,IF(Settings!$B$2="","&lt;&gt;",Settings!$B$2),'JLR Materials'!$D:$D,IF(Settings!$B$4="","&lt;&gt;",Settings!$B$4)))</f>
        <v>0</v>
      </c>
    </row>
    <row r="16">
      <c r="A16" t="str">
        <v>mat-pa6-cast</v>
      </c>
      <c r="B16" t="str">
        <v>Nylon 6 (Cast PA6 Stock)</v>
      </c>
      <c r="C16" t="str">
        <v>Engineering Plastic (Stock)</v>
      </c>
      <c r="D16">
        <f>IF($M16&gt;0,$M16,4.2)</f>
        <v>4.2</v>
      </c>
      <c r="E16">
        <f>IF($O16&gt;0,$O16,0.1)</f>
        <v>0.1</v>
      </c>
      <c r="F16">
        <v>1150</v>
      </c>
      <c r="G16" t="str">
        <v>UK</v>
      </c>
      <c r="H16" t="str">
        <f>IF($M16&gt;0,IF($L16&lt;&gt;1,"2026-07",IFERROR(INDEX('JLR Materials'!$D:$D,MATCH($K16,'JLR Materials'!$A:$A,0)),"2026-07")),"2026-07")</f>
        <v>2026-07</v>
      </c>
      <c r="I16" t="str">
        <f>IF($M16&gt;0,"JLR rate card — material code "&amp;$K16,"Index-anchored 2026-07. Cast nylon rod/slab — wear pads, sprockets, rollers, guide rails.")</f>
        <v>Index-anchored 2026-07. Cast nylon rod/slab — wear pads, sprockets, rollers, guide rails.</v>
      </c>
      <c r="J16" t="str">
        <v>Medium</v>
      </c>
      <c r="K16" t="str">
        <f>IFERROR(INDEX(Mapping!$C:$C,MATCH($A16,Mapping!$A:$A,0)),"")</f>
        <v/>
      </c>
      <c r="L16">
        <f>IF($K16="",0,COUNTIFS('JLR Materials'!$A:$A,$K16,'JLR Materials'!$C:$C,IF(Settings!$B$2="","&lt;&gt;",Settings!$B$2),'JLR Materials'!$D:$D,IF(Settings!$B$4="","&lt;&gt;",Settings!$B$4)))</f>
        <v>0</v>
      </c>
      <c r="M16">
        <f>IF($L16&lt;&gt;1,0,SUMIFS('JLR Materials'!$E:$E,'JLR Materials'!$A:$A,$K16,'JLR Materials'!$C:$C,IF(Settings!$B$2="","&lt;&gt;",Settings!$B$2),'JLR Materials'!$D:$D,IF(Settings!$B$4="","&lt;&gt;",Settings!$B$4)))</f>
        <v>0</v>
      </c>
      <c r="N16">
        <f>IF($L16&lt;&gt;1,0,SUMIFS('JLR Materials'!$F:$F,'JLR Materials'!$A:$A,$K16,'JLR Materials'!$C:$C,IF(Settings!$B$2="","&lt;&gt;",Settings!$B$2),'JLR Materials'!$D:$D,IF(Settings!$B$4="","&lt;&gt;",Settings!$B$4)))</f>
        <v>0</v>
      </c>
      <c r="O16">
        <f>IF($N16=0,0,IF(Settings!$B$5="percent",$M16*$N16/100,$N16))</f>
        <v>0</v>
      </c>
      <c r="P16">
        <f>IF($L16&lt;&gt;1,0,SUMIFS('JLR Materials'!$G:$G,'JLR Materials'!$A:$A,$K16,'JLR Materials'!$C:$C,IF(Settings!$B$2="","&lt;&gt;",Settings!$B$2),'JLR Materials'!$D:$D,IF(Settings!$B$4="","&lt;&gt;",Settings!$B$4)))</f>
        <v>0</v>
      </c>
    </row>
    <row r="17">
      <c r="A17" t="str">
        <v>mat-ptfe</v>
      </c>
      <c r="B17" t="str">
        <v>PTFE (Virgin Stock)</v>
      </c>
      <c r="C17" t="str">
        <v>Engineering Plastic (Stock)</v>
      </c>
      <c r="D17">
        <f>IF($M17&gt;0,$M17,12.5)</f>
        <v>12.5</v>
      </c>
      <c r="E17">
        <f>IF($O17&gt;0,$O17,0.2)</f>
        <v>0.2</v>
      </c>
      <c r="F17">
        <v>2170</v>
      </c>
      <c r="G17" t="str">
        <v>UK</v>
      </c>
      <c r="H17" t="str">
        <f>IF($M17&gt;0,IF($L17&lt;&gt;1,"2026-07",IFERROR(INDEX('JLR Materials'!$D:$D,MATCH($K17,'JLR Materials'!$A:$A,0)),"2026-07")),"2026-07")</f>
        <v>2026-07</v>
      </c>
      <c r="I17" t="str">
        <f>IF($M17&gt;0,"JLR rate card — material code "&amp;$K17,"Index-anchored 2026-07. Virgin PTFE rod/sheet — seals, insulators, chemical/low-friction parts.")</f>
        <v>Index-anchored 2026-07. Virgin PTFE rod/sheet — seals, insulators, chemical/low-friction parts.</v>
      </c>
      <c r="J17" t="str">
        <v>Low</v>
      </c>
      <c r="K17" t="str">
        <f>IFERROR(INDEX(Mapping!$C:$C,MATCH($A17,Mapping!$A:$A,0)),"")</f>
        <v/>
      </c>
      <c r="L17">
        <f>IF($K17="",0,COUNTIFS('JLR Materials'!$A:$A,$K17,'JLR Materials'!$C:$C,IF(Settings!$B$2="","&lt;&gt;",Settings!$B$2),'JLR Materials'!$D:$D,IF(Settings!$B$4="","&lt;&gt;",Settings!$B$4)))</f>
        <v>0</v>
      </c>
      <c r="M17">
        <f>IF($L17&lt;&gt;1,0,SUMIFS('JLR Materials'!$E:$E,'JLR Materials'!$A:$A,$K17,'JLR Materials'!$C:$C,IF(Settings!$B$2="","&lt;&gt;",Settings!$B$2),'JLR Materials'!$D:$D,IF(Settings!$B$4="","&lt;&gt;",Settings!$B$4)))</f>
        <v>0</v>
      </c>
      <c r="N17">
        <f>IF($L17&lt;&gt;1,0,SUMIFS('JLR Materials'!$F:$F,'JLR Materials'!$A:$A,$K17,'JLR Materials'!$C:$C,IF(Settings!$B$2="","&lt;&gt;",Settings!$B$2),'JLR Materials'!$D:$D,IF(Settings!$B$4="","&lt;&gt;",Settings!$B$4)))</f>
        <v>0</v>
      </c>
      <c r="O17">
        <f>IF($N17=0,0,IF(Settings!$B$5="percent",$M17*$N17/100,$N17))</f>
        <v>0</v>
      </c>
      <c r="P17">
        <f>IF($L17&lt;&gt;1,0,SUMIFS('JLR Materials'!$G:$G,'JLR Materials'!$A:$A,$K17,'JLR Materials'!$C:$C,IF(Settings!$B$2="","&lt;&gt;",Settings!$B$2),'JLR Materials'!$D:$D,IF(Settings!$B$4="","&lt;&gt;",Settings!$B$4)))</f>
        <v>0</v>
      </c>
    </row>
    <row r="18">
      <c r="A18" t="str">
        <v>mat-peek-stock</v>
      </c>
      <c r="B18" t="str">
        <v>PEEK (Unfilled Stock)</v>
      </c>
      <c r="C18" t="str">
        <v>Engineering Plastic (Stock)</v>
      </c>
      <c r="D18">
        <f>IF($M18&gt;0,$M18,95)</f>
        <v>95</v>
      </c>
      <c r="E18">
        <f>IF($O18&gt;0,$O18,0.5)</f>
        <v>0.5</v>
      </c>
      <c r="F18">
        <v>1300</v>
      </c>
      <c r="G18" t="str">
        <v>UK</v>
      </c>
      <c r="H18" t="str">
        <f>IF($M18&gt;0,IF($L18&lt;&gt;1,"2026-07",IFERROR(INDEX('JLR Materials'!$D:$D,MATCH($K18,'JLR Materials'!$A:$A,0)),"2026-07")),"2026-07")</f>
        <v>2026-07</v>
      </c>
      <c r="I18" t="str">
        <f>IF($M18&gt;0,"JLR rate card — material code "&amp;$K18,"Index-anchored 2026-07. Unfilled PEEK rod/plate — high-temp/chemical machined parts, medical, aerospace.")</f>
        <v>Index-anchored 2026-07. Unfilled PEEK rod/plate — high-temp/chemical machined parts, medical, aerospace.</v>
      </c>
      <c r="J18" t="str">
        <v>Low</v>
      </c>
      <c r="K18" t="str">
        <f>IFERROR(INDEX(Mapping!$C:$C,MATCH($A18,Mapping!$A:$A,0)),"")</f>
        <v/>
      </c>
      <c r="L18">
        <f>IF($K18="",0,COUNTIFS('JLR Materials'!$A:$A,$K18,'JLR Materials'!$C:$C,IF(Settings!$B$2="","&lt;&gt;",Settings!$B$2),'JLR Materials'!$D:$D,IF(Settings!$B$4="","&lt;&gt;",Settings!$B$4)))</f>
        <v>0</v>
      </c>
      <c r="M18">
        <f>IF($L18&lt;&gt;1,0,SUMIFS('JLR Materials'!$E:$E,'JLR Materials'!$A:$A,$K18,'JLR Materials'!$C:$C,IF(Settings!$B$2="","&lt;&gt;",Settings!$B$2),'JLR Materials'!$D:$D,IF(Settings!$B$4="","&lt;&gt;",Settings!$B$4)))</f>
        <v>0</v>
      </c>
      <c r="N18">
        <f>IF($L18&lt;&gt;1,0,SUMIFS('JLR Materials'!$F:$F,'JLR Materials'!$A:$A,$K18,'JLR Materials'!$C:$C,IF(Settings!$B$2="","&lt;&gt;",Settings!$B$2),'JLR Materials'!$D:$D,IF(Settings!$B$4="","&lt;&gt;",Settings!$B$4)))</f>
        <v>0</v>
      </c>
      <c r="O18">
        <f>IF($N18=0,0,IF(Settings!$B$5="percent",$M18*$N18/100,$N18))</f>
        <v>0</v>
      </c>
      <c r="P18">
        <f>IF($L18&lt;&gt;1,0,SUMIFS('JLR Materials'!$G:$G,'JLR Materials'!$A:$A,$K18,'JLR Materials'!$C:$C,IF(Settings!$B$2="","&lt;&gt;",Settings!$B$2),'JLR Materials'!$D:$D,IF(Settings!$B$4="","&lt;&gt;",Settings!$B$4)))</f>
        <v>0</v>
      </c>
    </row>
    <row r="19">
      <c r="A19" t="str">
        <v>mat-acrylic-cast</v>
      </c>
      <c r="B19" t="str">
        <v>Cast Acrylic (PMMA Stock)</v>
      </c>
      <c r="C19" t="str">
        <v>Engineering Plastic (Stock)</v>
      </c>
      <c r="D19">
        <f>IF($M19&gt;0,$M19,4.8)</f>
        <v>4.8</v>
      </c>
      <c r="E19">
        <f>IF($O19&gt;0,$O19,0.05)</f>
        <v>0.05</v>
      </c>
      <c r="F19">
        <v>1190</v>
      </c>
      <c r="G19" t="str">
        <v>UK</v>
      </c>
      <c r="H19" t="str">
        <f>IF($M19&gt;0,IF($L19&lt;&gt;1,"2026-07",IFERROR(INDEX('JLR Materials'!$D:$D,MATCH($K19,'JLR Materials'!$A:$A,0)),"2026-07")),"2026-07")</f>
        <v>2026-07</v>
      </c>
      <c r="I19" t="str">
        <f>IF($M19&gt;0,"JLR rate card — material code "&amp;$K19,"Index-anchored 2026-07. Cast acrylic sheet/rod — optical, signage, machined transparent parts.")</f>
        <v>Index-anchored 2026-07. Cast acrylic sheet/rod — optical, signage, machined transparent parts.</v>
      </c>
      <c r="J19" t="str">
        <v>Low</v>
      </c>
      <c r="K19" t="str">
        <f>IFERROR(INDEX(Mapping!$C:$C,MATCH($A19,Mapping!$A:$A,0)),"")</f>
        <v/>
      </c>
      <c r="L19">
        <f>IF($K19="",0,COUNTIFS('JLR Materials'!$A:$A,$K19,'JLR Materials'!$C:$C,IF(Settings!$B$2="","&lt;&gt;",Settings!$B$2),'JLR Materials'!$D:$D,IF(Settings!$B$4="","&lt;&gt;",Settings!$B$4)))</f>
        <v>0</v>
      </c>
      <c r="M19">
        <f>IF($L19&lt;&gt;1,0,SUMIFS('JLR Materials'!$E:$E,'JLR Materials'!$A:$A,$K19,'JLR Materials'!$C:$C,IF(Settings!$B$2="","&lt;&gt;",Settings!$B$2),'JLR Materials'!$D:$D,IF(Settings!$B$4="","&lt;&gt;",Settings!$B$4)))</f>
        <v>0</v>
      </c>
      <c r="N19">
        <f>IF($L19&lt;&gt;1,0,SUMIFS('JLR Materials'!$F:$F,'JLR Materials'!$A:$A,$K19,'JLR Materials'!$C:$C,IF(Settings!$B$2="","&lt;&gt;",Settings!$B$2),'JLR Materials'!$D:$D,IF(Settings!$B$4="","&lt;&gt;",Settings!$B$4)))</f>
        <v>0</v>
      </c>
      <c r="O19">
        <f>IF($N19=0,0,IF(Settings!$B$5="percent",$M19*$N19/100,$N19))</f>
        <v>0</v>
      </c>
      <c r="P19">
        <f>IF($L19&lt;&gt;1,0,SUMIFS('JLR Materials'!$G:$G,'JLR Materials'!$A:$A,$K19,'JLR Materials'!$C:$C,IF(Settings!$B$2="","&lt;&gt;",Settings!$B$2),'JLR Materials'!$D:$D,IF(Settings!$B$4="","&lt;&gt;",Settings!$B$4)))</f>
        <v>0</v>
      </c>
    </row>
    <row r="20">
      <c r="A20" t="str">
        <v>mat-uhmwpe</v>
      </c>
      <c r="B20" t="str">
        <v>UHMW-PE (Stock)</v>
      </c>
      <c r="C20" t="str">
        <v>Engineering Plastic (Stock)</v>
      </c>
      <c r="D20">
        <f>IF($M20&gt;0,$M20,3.4)</f>
        <v>3.4</v>
      </c>
      <c r="E20">
        <f>IF($O20&gt;0,$O20,0.08)</f>
        <v>0.08</v>
      </c>
      <c r="F20">
        <v>940</v>
      </c>
      <c r="G20" t="str">
        <v>UK</v>
      </c>
      <c r="H20" t="str">
        <f>IF($M20&gt;0,IF($L20&lt;&gt;1,"2026-07",IFERROR(INDEX('JLR Materials'!$D:$D,MATCH($K20,'JLR Materials'!$A:$A,0)),"2026-07")),"2026-07")</f>
        <v>2026-07</v>
      </c>
      <c r="I20" t="str">
        <f>IF($M20&gt;0,"JLR rate card — material code "&amp;$K20,"Index-anchored 2026-07. Ultra-high-molecular-weight PE sheet — wear strips, chute liners, guides.")</f>
        <v>Index-anchored 2026-07. Ultra-high-molecular-weight PE sheet — wear strips, chute liners, guides.</v>
      </c>
      <c r="J20" t="str">
        <v>Low</v>
      </c>
      <c r="K20" t="str">
        <f>IFERROR(INDEX(Mapping!$C:$C,MATCH($A20,Mapping!$A:$A,0)),"")</f>
        <v/>
      </c>
      <c r="L20">
        <f>IF($K20="",0,COUNTIFS('JLR Materials'!$A:$A,$K20,'JLR Materials'!$C:$C,IF(Settings!$B$2="","&lt;&gt;",Settings!$B$2),'JLR Materials'!$D:$D,IF(Settings!$B$4="","&lt;&gt;",Settings!$B$4)))</f>
        <v>0</v>
      </c>
      <c r="M20">
        <f>IF($L20&lt;&gt;1,0,SUMIFS('JLR Materials'!$E:$E,'JLR Materials'!$A:$A,$K20,'JLR Materials'!$C:$C,IF(Settings!$B$2="","&lt;&gt;",Settings!$B$2),'JLR Materials'!$D:$D,IF(Settings!$B$4="","&lt;&gt;",Settings!$B$4)))</f>
        <v>0</v>
      </c>
      <c r="N20">
        <f>IF($L20&lt;&gt;1,0,SUMIFS('JLR Materials'!$F:$F,'JLR Materials'!$A:$A,$K20,'JLR Materials'!$C:$C,IF(Settings!$B$2="","&lt;&gt;",Settings!$B$2),'JLR Materials'!$D:$D,IF(Settings!$B$4="","&lt;&gt;",Settings!$B$4)))</f>
        <v>0</v>
      </c>
      <c r="O20">
        <f>IF($N20=0,0,IF(Settings!$B$5="percent",$M20*$N20/100,$N20))</f>
        <v>0</v>
      </c>
      <c r="P20">
        <f>IF($L20&lt;&gt;1,0,SUMIFS('JLR Materials'!$G:$G,'JLR Materials'!$A:$A,$K20,'JLR Materials'!$C:$C,IF(Settings!$B$2="","&lt;&gt;",Settings!$B$2),'JLR Materials'!$D:$D,IF(Settings!$B$4="","&lt;&gt;",Settings!$B$4)))</f>
        <v>0</v>
      </c>
    </row>
    <row r="21">
      <c r="A21" t="str">
        <v>mat-dc01</v>
      </c>
      <c r="B21" t="str">
        <v>DC01</v>
      </c>
      <c r="C21" t="str">
        <v>Mild Steel Sheet</v>
      </c>
      <c r="D21">
        <f>IF($M21&gt;0,$M21,0.86)</f>
        <v>0.86</v>
      </c>
      <c r="E21">
        <f>IF($O21&gt;0,$O21,0.2)</f>
        <v>0.2</v>
      </c>
      <c r="F21">
        <v>7850</v>
      </c>
      <c r="G21" t="str">
        <v>UK</v>
      </c>
      <c r="H21" t="str">
        <f>IF($M21&gt;0,IF($L21&lt;&gt;1,"2026-07",IFERROR(INDEX('JLR Materials'!$D:$D,MATCH($K21,'JLR Materials'!$A:$A,0)),"2026-07")),"2026-07")</f>
        <v>2026-07</v>
      </c>
      <c r="I21" t="str">
        <f>IF($M21&gt;0,"JLR rate card — material code "&amp;$K21,"UK CR mild sheet, delivered small-lot. Index-anchored: CRC €781/t → £0.67/kg mill + £0.19/kg stockholder premium. Basis: Fastmarkets EU HRC €691/t May-26 +€90 CRC, FX 0.855. Yield ~140 MPa.")</f>
        <v>UK CR mild sheet, delivered small-lot. Index-anchored: CRC €781/t → £0.67/kg mill + £0.19/kg stockholder premium. Basis: Fastmarkets EU HRC €691/t May-26 +€90 CRC, FX 0.855. Yield ~140 MPa.</v>
      </c>
      <c r="J21" t="str">
        <v>Medium</v>
      </c>
      <c r="K21" t="str">
        <f>IFERROR(INDEX(Mapping!$C:$C,MATCH($A21,Mapping!$A:$A,0)),"")</f>
        <v/>
      </c>
      <c r="L21">
        <f>IF($K21="",0,COUNTIFS('JLR Materials'!$A:$A,$K21,'JLR Materials'!$C:$C,IF(Settings!$B$2="","&lt;&gt;",Settings!$B$2),'JLR Materials'!$D:$D,IF(Settings!$B$4="","&lt;&gt;",Settings!$B$4)))</f>
        <v>0</v>
      </c>
      <c r="M21">
        <f>IF($L21&lt;&gt;1,0,SUMIFS('JLR Materials'!$E:$E,'JLR Materials'!$A:$A,$K21,'JLR Materials'!$C:$C,IF(Settings!$B$2="","&lt;&gt;",Settings!$B$2),'JLR Materials'!$D:$D,IF(Settings!$B$4="","&lt;&gt;",Settings!$B$4)))</f>
        <v>0</v>
      </c>
      <c r="N21">
        <f>IF($L21&lt;&gt;1,0,SUMIFS('JLR Materials'!$F:$F,'JLR Materials'!$A:$A,$K21,'JLR Materials'!$C:$C,IF(Settings!$B$2="","&lt;&gt;",Settings!$B$2),'JLR Materials'!$D:$D,IF(Settings!$B$4="","&lt;&gt;",Settings!$B$4)))</f>
        <v>0</v>
      </c>
      <c r="O21">
        <f>IF($N21=0,0,IF(Settings!$B$5="percent",$M21*$N21/100,$N21))</f>
        <v>0</v>
      </c>
      <c r="P21">
        <f>IF($L21&lt;&gt;1,0,SUMIFS('JLR Materials'!$G:$G,'JLR Materials'!$A:$A,$K21,'JLR Materials'!$C:$C,IF(Settings!$B$2="","&lt;&gt;",Settings!$B$2),'JLR Materials'!$D:$D,IF(Settings!$B$4="","&lt;&gt;",Settings!$B$4)))</f>
        <v>0</v>
      </c>
    </row>
    <row r="22">
      <c r="A22" t="str">
        <v>mat-dc01-gi</v>
      </c>
      <c r="B22" t="str">
        <v>DC01 GI (Hot-dip Galvanised)</v>
      </c>
      <c r="C22" t="str">
        <v>Galvanised Steel Sheet</v>
      </c>
      <c r="D22">
        <f>IF($M22&gt;0,$M22,1.06)</f>
        <v>1.06</v>
      </c>
      <c r="E22">
        <f>IF($O22&gt;0,$O22,0.2)</f>
        <v>0.2</v>
      </c>
      <c r="F22">
        <v>7850</v>
      </c>
      <c r="G22" t="str">
        <v>UK</v>
      </c>
      <c r="H22" t="str">
        <f>IF($M22&gt;0,IF($L22&lt;&gt;1,"2026-07",IFERROR(INDEX('JLR Materials'!$D:$D,MATCH($K22,'JLR Materials'!$A:$A,0)),"2026-07")),"2026-07")</f>
        <v>2026-07</v>
      </c>
      <c r="I22" t="str">
        <f>IF($M22&gt;0,"JLR rate card — material code "&amp;$K22,"UK galv coil, BIW bodywork standard. Jun 2026 Index-anchored 2026-07 (see PRICING BASIS).")</f>
        <v>UK galv coil, BIW bodywork standard. Jun 2026 Index-anchored 2026-07 (see PRICING BASIS).</v>
      </c>
      <c r="J22" t="str">
        <v>Medium</v>
      </c>
      <c r="K22" t="str">
        <f>IFERROR(INDEX(Mapping!$C:$C,MATCH($A22,Mapping!$A:$A,0)),"")</f>
        <v/>
      </c>
      <c r="L22">
        <f>IF($K22="",0,COUNTIFS('JLR Materials'!$A:$A,$K22,'JLR Materials'!$C:$C,IF(Settings!$B$2="","&lt;&gt;",Settings!$B$2),'JLR Materials'!$D:$D,IF(Settings!$B$4="","&lt;&gt;",Settings!$B$4)))</f>
        <v>0</v>
      </c>
      <c r="M22">
        <f>IF($L22&lt;&gt;1,0,SUMIFS('JLR Materials'!$E:$E,'JLR Materials'!$A:$A,$K22,'JLR Materials'!$C:$C,IF(Settings!$B$2="","&lt;&gt;",Settings!$B$2),'JLR Materials'!$D:$D,IF(Settings!$B$4="","&lt;&gt;",Settings!$B$4)))</f>
        <v>0</v>
      </c>
      <c r="N22">
        <f>IF($L22&lt;&gt;1,0,SUMIFS('JLR Materials'!$F:$F,'JLR Materials'!$A:$A,$K22,'JLR Materials'!$C:$C,IF(Settings!$B$2="","&lt;&gt;",Settings!$B$2),'JLR Materials'!$D:$D,IF(Settings!$B$4="","&lt;&gt;",Settings!$B$4)))</f>
        <v>0</v>
      </c>
      <c r="O22">
        <f>IF($N22=0,0,IF(Settings!$B$5="percent",$M22*$N22/100,$N22))</f>
        <v>0</v>
      </c>
      <c r="P22">
        <f>IF($L22&lt;&gt;1,0,SUMIFS('JLR Materials'!$G:$G,'JLR Materials'!$A:$A,$K22,'JLR Materials'!$C:$C,IF(Settings!$B$2="","&lt;&gt;",Settings!$B$2),'JLR Materials'!$D:$D,IF(Settings!$B$4="","&lt;&gt;",Settings!$B$4)))</f>
        <v>0</v>
      </c>
    </row>
    <row r="23">
      <c r="A23" t="str">
        <v>mat-dc03-ga</v>
      </c>
      <c r="B23" t="str">
        <v>DC03 GA (Galvannealed)</v>
      </c>
      <c r="C23" t="str">
        <v>Galvanised Steel Sheet</v>
      </c>
      <c r="D23">
        <f>IF($M23&gt;0,$M23,1.1)</f>
        <v>1.1</v>
      </c>
      <c r="E23">
        <f>IF($O23&gt;0,$O23,0.2)</f>
        <v>0.2</v>
      </c>
      <c r="F23">
        <v>7850</v>
      </c>
      <c r="G23" t="str">
        <v>UK</v>
      </c>
      <c r="H23" t="str">
        <f>IF($M23&gt;0,IF($L23&lt;&gt;1,"2026-07",IFERROR(INDEX('JLR Materials'!$D:$D,MATCH($K23,'JLR Materials'!$A:$A,0)),"2026-07")),"2026-07")</f>
        <v>2026-07</v>
      </c>
      <c r="I23" t="str">
        <f>IF($M23&gt;0,"JLR rate card — material code "&amp;$K23,"UK galvannealed coil, standard BIW inner panels. Jun 2026 Index-anchored 2026-07 (see PRICING BASIS).")</f>
        <v>UK galvannealed coil, standard BIW inner panels. Jun 2026 Index-anchored 2026-07 (see PRICING BASIS).</v>
      </c>
      <c r="J23" t="str">
        <v>Medium</v>
      </c>
      <c r="K23" t="str">
        <f>IFERROR(INDEX(Mapping!$C:$C,MATCH($A23,Mapping!$A:$A,0)),"")</f>
        <v/>
      </c>
      <c r="L23">
        <f>IF($K23="",0,COUNTIFS('JLR Materials'!$A:$A,$K23,'JLR Materials'!$C:$C,IF(Settings!$B$2="","&lt;&gt;",Settings!$B$2),'JLR Materials'!$D:$D,IF(Settings!$B$4="","&lt;&gt;",Settings!$B$4)))</f>
        <v>0</v>
      </c>
      <c r="M23">
        <f>IF($L23&lt;&gt;1,0,SUMIFS('JLR Materials'!$E:$E,'JLR Materials'!$A:$A,$K23,'JLR Materials'!$C:$C,IF(Settings!$B$2="","&lt;&gt;",Settings!$B$2),'JLR Materials'!$D:$D,IF(Settings!$B$4="","&lt;&gt;",Settings!$B$4)))</f>
        <v>0</v>
      </c>
      <c r="N23">
        <f>IF($L23&lt;&gt;1,0,SUMIFS('JLR Materials'!$F:$F,'JLR Materials'!$A:$A,$K23,'JLR Materials'!$C:$C,IF(Settings!$B$2="","&lt;&gt;",Settings!$B$2),'JLR Materials'!$D:$D,IF(Settings!$B$4="","&lt;&gt;",Settings!$B$4)))</f>
        <v>0</v>
      </c>
      <c r="O23">
        <f>IF($N23=0,0,IF(Settings!$B$5="percent",$M23*$N23/100,$N23))</f>
        <v>0</v>
      </c>
      <c r="P23">
        <f>IF($L23&lt;&gt;1,0,SUMIFS('JLR Materials'!$G:$G,'JLR Materials'!$A:$A,$K23,'JLR Materials'!$C:$C,IF(Settings!$B$2="","&lt;&gt;",Settings!$B$2),'JLR Materials'!$D:$D,IF(Settings!$B$4="","&lt;&gt;",Settings!$B$4)))</f>
        <v>0</v>
      </c>
    </row>
    <row r="24">
      <c r="A24" t="str">
        <v>mat-dp600</v>
      </c>
      <c r="B24" t="str">
        <v>DP600</v>
      </c>
      <c r="C24" t="str">
        <v>AHSS Sheet</v>
      </c>
      <c r="D24">
        <f>IF($M24&gt;0,$M24,1.25)</f>
        <v>1.25</v>
      </c>
      <c r="E24">
        <f>IF($O24&gt;0,$O24,0.22)</f>
        <v>0.22</v>
      </c>
      <c r="F24">
        <v>7850</v>
      </c>
      <c r="G24" t="str">
        <v>UK</v>
      </c>
      <c r="H24" t="str">
        <f>IF($M24&gt;0,IF($L24&lt;&gt;1,"2026-07",IFERROR(INDEX('JLR Materials'!$D:$D,MATCH($K24,'JLR Materials'!$A:$A,0)),"2026-07")),"2026-07")</f>
        <v>2026-07</v>
      </c>
      <c r="I24" t="str">
        <f>IF($M24&gt;0,"JLR rate card — material code "&amp;$K24,"UK AHSS coil, Jun 2026 Index-anchored 2026-07 (see PRICING BASIS).")</f>
        <v>UK AHSS coil, Jun 2026 Index-anchored 2026-07 (see PRICING BASIS).</v>
      </c>
      <c r="J24" t="str">
        <v>Medium</v>
      </c>
      <c r="K24" t="str">
        <f>IFERROR(INDEX(Mapping!$C:$C,MATCH($A24,Mapping!$A:$A,0)),"")</f>
        <v/>
      </c>
      <c r="L24">
        <f>IF($K24="",0,COUNTIFS('JLR Materials'!$A:$A,$K24,'JLR Materials'!$C:$C,IF(Settings!$B$2="","&lt;&gt;",Settings!$B$2),'JLR Materials'!$D:$D,IF(Settings!$B$4="","&lt;&gt;",Settings!$B$4)))</f>
        <v>0</v>
      </c>
      <c r="M24">
        <f>IF($L24&lt;&gt;1,0,SUMIFS('JLR Materials'!$E:$E,'JLR Materials'!$A:$A,$K24,'JLR Materials'!$C:$C,IF(Settings!$B$2="","&lt;&gt;",Settings!$B$2),'JLR Materials'!$D:$D,IF(Settings!$B$4="","&lt;&gt;",Settings!$B$4)))</f>
        <v>0</v>
      </c>
      <c r="N24">
        <f>IF($L24&lt;&gt;1,0,SUMIFS('JLR Materials'!$F:$F,'JLR Materials'!$A:$A,$K24,'JLR Materials'!$C:$C,IF(Settings!$B$2="","&lt;&gt;",Settings!$B$2),'JLR Materials'!$D:$D,IF(Settings!$B$4="","&lt;&gt;",Settings!$B$4)))</f>
        <v>0</v>
      </c>
      <c r="O24">
        <f>IF($N24=0,0,IF(Settings!$B$5="percent",$M24*$N24/100,$N24))</f>
        <v>0</v>
      </c>
      <c r="P24">
        <f>IF($L24&lt;&gt;1,0,SUMIFS('JLR Materials'!$G:$G,'JLR Materials'!$A:$A,$K24,'JLR Materials'!$C:$C,IF(Settings!$B$2="","&lt;&gt;",Settings!$B$2),'JLR Materials'!$D:$D,IF(Settings!$B$4="","&lt;&gt;",Settings!$B$4)))</f>
        <v>0</v>
      </c>
    </row>
    <row r="25">
      <c r="A25" t="str">
        <v>mat-hsla340</v>
      </c>
      <c r="B25" t="str">
        <v>HSLA 340</v>
      </c>
      <c r="C25" t="str">
        <v>High Strength Steel Sheet</v>
      </c>
      <c r="D25">
        <f>IF($M25&gt;0,$M25,1.14)</f>
        <v>1.14</v>
      </c>
      <c r="E25">
        <f>IF($O25&gt;0,$O25,0.21)</f>
        <v>0.21</v>
      </c>
      <c r="F25">
        <v>7850</v>
      </c>
      <c r="G25" t="str">
        <v>UK</v>
      </c>
      <c r="H25" t="str">
        <f>IF($M25&gt;0,IF($L25&lt;&gt;1,"2026-07",IFERROR(INDEX('JLR Materials'!$D:$D,MATCH($K25,'JLR Materials'!$A:$A,0)),"2026-07")),"2026-07")</f>
        <v>2026-07</v>
      </c>
      <c r="I25" t="str">
        <f>IF($M25&gt;0,"JLR rate card — material code "&amp;$K25,"UK HSLA coil, Jun 2026 Index-anchored 2026-07 (see PRICING BASIS).")</f>
        <v>UK HSLA coil, Jun 2026 Index-anchored 2026-07 (see PRICING BASIS).</v>
      </c>
      <c r="J25" t="str">
        <v>Medium</v>
      </c>
      <c r="K25" t="str">
        <f>IFERROR(INDEX(Mapping!$C:$C,MATCH($A25,Mapping!$A:$A,0)),"")</f>
        <v/>
      </c>
      <c r="L25">
        <f>IF($K25="",0,COUNTIFS('JLR Materials'!$A:$A,$K25,'JLR Materials'!$C:$C,IF(Settings!$B$2="","&lt;&gt;",Settings!$B$2),'JLR Materials'!$D:$D,IF(Settings!$B$4="","&lt;&gt;",Settings!$B$4)))</f>
        <v>0</v>
      </c>
      <c r="M25">
        <f>IF($L25&lt;&gt;1,0,SUMIFS('JLR Materials'!$E:$E,'JLR Materials'!$A:$A,$K25,'JLR Materials'!$C:$C,IF(Settings!$B$2="","&lt;&gt;",Settings!$B$2),'JLR Materials'!$D:$D,IF(Settings!$B$4="","&lt;&gt;",Settings!$B$4)))</f>
        <v>0</v>
      </c>
      <c r="N25">
        <f>IF($L25&lt;&gt;1,0,SUMIFS('JLR Materials'!$F:$F,'JLR Materials'!$A:$A,$K25,'JLR Materials'!$C:$C,IF(Settings!$B$2="","&lt;&gt;",Settings!$B$2),'JLR Materials'!$D:$D,IF(Settings!$B$4="","&lt;&gt;",Settings!$B$4)))</f>
        <v>0</v>
      </c>
      <c r="O25">
        <f>IF($N25=0,0,IF(Settings!$B$5="percent",$M25*$N25/100,$N25))</f>
        <v>0</v>
      </c>
      <c r="P25">
        <f>IF($L25&lt;&gt;1,0,SUMIFS('JLR Materials'!$G:$G,'JLR Materials'!$A:$A,$K25,'JLR Materials'!$C:$C,IF(Settings!$B$2="","&lt;&gt;",Settings!$B$2),'JLR Materials'!$D:$D,IF(Settings!$B$4="","&lt;&gt;",Settings!$B$4)))</f>
        <v>0</v>
      </c>
    </row>
    <row r="26">
      <c r="A26" t="str">
        <v>mat-22mnb5</v>
      </c>
      <c r="B26" t="str">
        <v>22MnB5 (Hot Press Forming / Boron Steel)</v>
      </c>
      <c r="C26" t="str">
        <v>Ultra-High Strength Steel</v>
      </c>
      <c r="D26">
        <f>IF($M26&gt;0,$M26,1.74)</f>
        <v>1.74</v>
      </c>
      <c r="E26">
        <f>IF($O26&gt;0,$O26,0.22)</f>
        <v>0.22</v>
      </c>
      <c r="F26">
        <v>7850</v>
      </c>
      <c r="G26" t="str">
        <v>UK</v>
      </c>
      <c r="H26" t="str">
        <f>IF($M26&gt;0,IF($L26&lt;&gt;1,"2026-07",IFERROR(INDEX('JLR Materials'!$D:$D,MATCH($K26,'JLR Materials'!$A:$A,0)),"2026-07")),"2026-07")</f>
        <v>2026-07</v>
      </c>
      <c r="I26" t="str">
        <f>IF($M26&gt;0,"JLR rate card — material code "&amp;$K26,"UK PHS coil for hot stamping (A/B-pillar, roof rail). Jun 2026 Index-anchored 2026-07 (see PRICING BASIS).")</f>
        <v>UK PHS coil for hot stamping (A/B-pillar, roof rail). Jun 2026 Index-anchored 2026-07 (see PRICING BASIS).</v>
      </c>
      <c r="J26" t="str">
        <v>Low</v>
      </c>
      <c r="K26" t="str">
        <f>IFERROR(INDEX(Mapping!$C:$C,MATCH($A26,Mapping!$A:$A,0)),"")</f>
        <v/>
      </c>
      <c r="L26">
        <f>IF($K26="",0,COUNTIFS('JLR Materials'!$A:$A,$K26,'JLR Materials'!$C:$C,IF(Settings!$B$2="","&lt;&gt;",Settings!$B$2),'JLR Materials'!$D:$D,IF(Settings!$B$4="","&lt;&gt;",Settings!$B$4)))</f>
        <v>0</v>
      </c>
      <c r="M26">
        <f>IF($L26&lt;&gt;1,0,SUMIFS('JLR Materials'!$E:$E,'JLR Materials'!$A:$A,$K26,'JLR Materials'!$C:$C,IF(Settings!$B$2="","&lt;&gt;",Settings!$B$2),'JLR Materials'!$D:$D,IF(Settings!$B$4="","&lt;&gt;",Settings!$B$4)))</f>
        <v>0</v>
      </c>
      <c r="N26">
        <f>IF($L26&lt;&gt;1,0,SUMIFS('JLR Materials'!$F:$F,'JLR Materials'!$A:$A,$K26,'JLR Materials'!$C:$C,IF(Settings!$B$2="","&lt;&gt;",Settings!$B$2),'JLR Materials'!$D:$D,IF(Settings!$B$4="","&lt;&gt;",Settings!$B$4)))</f>
        <v>0</v>
      </c>
      <c r="O26">
        <f>IF($N26=0,0,IF(Settings!$B$5="percent",$M26*$N26/100,$N26))</f>
        <v>0</v>
      </c>
      <c r="P26">
        <f>IF($L26&lt;&gt;1,0,SUMIFS('JLR Materials'!$G:$G,'JLR Materials'!$A:$A,$K26,'JLR Materials'!$C:$C,IF(Settings!$B$2="","&lt;&gt;",Settings!$B$2),'JLR Materials'!$D:$D,IF(Settings!$B$4="","&lt;&gt;",Settings!$B$4)))</f>
        <v>0</v>
      </c>
    </row>
    <row r="27">
      <c r="A27" t="str">
        <v>mat-aa5182</v>
      </c>
      <c r="B27" t="str">
        <v>AA5182</v>
      </c>
      <c r="C27" t="str">
        <v>Aluminium Sheet</v>
      </c>
      <c r="D27">
        <f>IF($M27&gt;0,$M27,3.25)</f>
        <v>3.25</v>
      </c>
      <c r="E27">
        <f>IF($O27&gt;0,$O27,0.5)</f>
        <v>0.5</v>
      </c>
      <c r="F27">
        <v>2700</v>
      </c>
      <c r="G27" t="str">
        <v>UK</v>
      </c>
      <c r="H27" t="str">
        <f>IF($M27&gt;0,IF($L27&lt;&gt;1,"2026-07",IFERROR(INDEX('JLR Materials'!$D:$D,MATCH($K27,'JLR Materials'!$A:$A,0)),"2026-07")),"2026-07")</f>
        <v>2026-07</v>
      </c>
      <c r="I27" t="str">
        <f>IF($M27&gt;0,"JLR rate card — material code "&amp;$K27,"UK Al sheet, Jun 2026 Index-anchored 2026-07 (see PRICING BASIS).")</f>
        <v>UK Al sheet, Jun 2026 Index-anchored 2026-07 (see PRICING BASIS).</v>
      </c>
      <c r="J27" t="str">
        <v>Medium</v>
      </c>
      <c r="K27" t="str">
        <f>IFERROR(INDEX(Mapping!$C:$C,MATCH($A27,Mapping!$A:$A,0)),"")</f>
        <v/>
      </c>
      <c r="L27">
        <f>IF($K27="",0,COUNTIFS('JLR Materials'!$A:$A,$K27,'JLR Materials'!$C:$C,IF(Settings!$B$2="","&lt;&gt;",Settings!$B$2),'JLR Materials'!$D:$D,IF(Settings!$B$4="","&lt;&gt;",Settings!$B$4)))</f>
        <v>0</v>
      </c>
      <c r="M27">
        <f>IF($L27&lt;&gt;1,0,SUMIFS('JLR Materials'!$E:$E,'JLR Materials'!$A:$A,$K27,'JLR Materials'!$C:$C,IF(Settings!$B$2="","&lt;&gt;",Settings!$B$2),'JLR Materials'!$D:$D,IF(Settings!$B$4="","&lt;&gt;",Settings!$B$4)))</f>
        <v>0</v>
      </c>
      <c r="N27">
        <f>IF($L27&lt;&gt;1,0,SUMIFS('JLR Materials'!$F:$F,'JLR Materials'!$A:$A,$K27,'JLR Materials'!$C:$C,IF(Settings!$B$2="","&lt;&gt;",Settings!$B$2),'JLR Materials'!$D:$D,IF(Settings!$B$4="","&lt;&gt;",Settings!$B$4)))</f>
        <v>0</v>
      </c>
      <c r="O27">
        <f>IF($N27=0,0,IF(Settings!$B$5="percent",$M27*$N27/100,$N27))</f>
        <v>0</v>
      </c>
      <c r="P27">
        <f>IF($L27&lt;&gt;1,0,SUMIFS('JLR Materials'!$G:$G,'JLR Materials'!$A:$A,$K27,'JLR Materials'!$C:$C,IF(Settings!$B$2="","&lt;&gt;",Settings!$B$2),'JLR Materials'!$D:$D,IF(Settings!$B$4="","&lt;&gt;",Settings!$B$4)))</f>
        <v>0</v>
      </c>
    </row>
    <row r="28">
      <c r="A28" t="str">
        <v>mat-ss304-sheet</v>
      </c>
      <c r="B28" t="str">
        <v>304L Stainless Sheet</v>
      </c>
      <c r="C28" t="str">
        <v>Stainless Steel Sheet</v>
      </c>
      <c r="D28">
        <f>IF($M28&gt;0,$M28,3.36)</f>
        <v>3.36</v>
      </c>
      <c r="E28">
        <f>IF($O28&gt;0,$O28,0.8)</f>
        <v>0.8</v>
      </c>
      <c r="F28">
        <v>7900</v>
      </c>
      <c r="G28" t="str">
        <v>UK</v>
      </c>
      <c r="H28" t="str">
        <f>IF($M28&gt;0,IF($L28&lt;&gt;1,"2026-07",IFERROR(INDEX('JLR Materials'!$D:$D,MATCH($K28,'JLR Materials'!$A:$A,0)),"2026-07")),"2026-07")</f>
        <v>2026-07</v>
      </c>
      <c r="I28" t="str">
        <f>IF($M28&gt;0,"JLR rate card — material code "&amp;$K28,"UK stainless coil, food/pharma stampings. Jun 2026 Index-anchored 2026-07 (see PRICING BASIS).")</f>
        <v>UK stainless coil, food/pharma stampings. Jun 2026 Index-anchored 2026-07 (see PRICING BASIS).</v>
      </c>
      <c r="J28" t="str">
        <v>Medium</v>
      </c>
      <c r="K28" t="str">
        <f>IFERROR(INDEX(Mapping!$C:$C,MATCH($A28,Mapping!$A:$A,0)),"")</f>
        <v/>
      </c>
      <c r="L28">
        <f>IF($K28="",0,COUNTIFS('JLR Materials'!$A:$A,$K28,'JLR Materials'!$C:$C,IF(Settings!$B$2="","&lt;&gt;",Settings!$B$2),'JLR Materials'!$D:$D,IF(Settings!$B$4="","&lt;&gt;",Settings!$B$4)))</f>
        <v>0</v>
      </c>
      <c r="M28">
        <f>IF($L28&lt;&gt;1,0,SUMIFS('JLR Materials'!$E:$E,'JLR Materials'!$A:$A,$K28,'JLR Materials'!$C:$C,IF(Settings!$B$2="","&lt;&gt;",Settings!$B$2),'JLR Materials'!$D:$D,IF(Settings!$B$4="","&lt;&gt;",Settings!$B$4)))</f>
        <v>0</v>
      </c>
      <c r="N28">
        <f>IF($L28&lt;&gt;1,0,SUMIFS('JLR Materials'!$F:$F,'JLR Materials'!$A:$A,$K28,'JLR Materials'!$C:$C,IF(Settings!$B$2="","&lt;&gt;",Settings!$B$2),'JLR Materials'!$D:$D,IF(Settings!$B$4="","&lt;&gt;",Settings!$B$4)))</f>
        <v>0</v>
      </c>
      <c r="O28">
        <f>IF($N28=0,0,IF(Settings!$B$5="percent",$M28*$N28/100,$N28))</f>
        <v>0</v>
      </c>
      <c r="P28">
        <f>IF($L28&lt;&gt;1,0,SUMIFS('JLR Materials'!$G:$G,'JLR Materials'!$A:$A,$K28,'JLR Materials'!$C:$C,IF(Settings!$B$2="","&lt;&gt;",Settings!$B$2),'JLR Materials'!$D:$D,IF(Settings!$B$4="","&lt;&gt;",Settings!$B$4)))</f>
        <v>0</v>
      </c>
    </row>
    <row r="29">
      <c r="A29" t="str">
        <v>mat-aa5052</v>
      </c>
      <c r="B29" t="str">
        <v>AA5052-H32 Sheet</v>
      </c>
      <c r="C29" t="str">
        <v>Aluminium Sheet</v>
      </c>
      <c r="D29">
        <f>IF($M29&gt;0,$M29,3.25)</f>
        <v>3.25</v>
      </c>
      <c r="E29">
        <f>IF($O29&gt;0,$O29,0.5)</f>
        <v>0.5</v>
      </c>
      <c r="F29">
        <v>2680</v>
      </c>
      <c r="G29" t="str">
        <v>UK</v>
      </c>
      <c r="H29" t="str">
        <f>IF($M29&gt;0,IF($L29&lt;&gt;1,"2026-07",IFERROR(INDEX('JLR Materials'!$D:$D,MATCH($K29,'JLR Materials'!$A:$A,0)),"2026-07")),"2026-07")</f>
        <v>2026-07</v>
      </c>
      <c r="I29" t="str">
        <f>IF($M29&gt;0,"JLR rate card — material code "&amp;$K29,"UK Al sheet stockholder Jun 2026. 5xxx series — marine/vehicle panels, excellent corrosion resistance. Yield 195 MPa. Index-anchored 2026-07 (see PRICING BASIS).")</f>
        <v>UK Al sheet stockholder Jun 2026. 5xxx series — marine/vehicle panels, excellent corrosion resistance. Yield 195 MPa. Index-anchored 2026-07 (see PRICING BASIS).</v>
      </c>
      <c r="J29" t="str">
        <v>Medium</v>
      </c>
      <c r="K29" t="str">
        <f>IFERROR(INDEX(Mapping!$C:$C,MATCH($A29,Mapping!$A:$A,0)),"")</f>
        <v/>
      </c>
      <c r="L29">
        <f>IF($K29="",0,COUNTIFS('JLR Materials'!$A:$A,$K29,'JLR Materials'!$C:$C,IF(Settings!$B$2="","&lt;&gt;",Settings!$B$2),'JLR Materials'!$D:$D,IF(Settings!$B$4="","&lt;&gt;",Settings!$B$4)))</f>
        <v>0</v>
      </c>
      <c r="M29">
        <f>IF($L29&lt;&gt;1,0,SUMIFS('JLR Materials'!$E:$E,'JLR Materials'!$A:$A,$K29,'JLR Materials'!$C:$C,IF(Settings!$B$2="","&lt;&gt;",Settings!$B$2),'JLR Materials'!$D:$D,IF(Settings!$B$4="","&lt;&gt;",Settings!$B$4)))</f>
        <v>0</v>
      </c>
      <c r="N29">
        <f>IF($L29&lt;&gt;1,0,SUMIFS('JLR Materials'!$F:$F,'JLR Materials'!$A:$A,$K29,'JLR Materials'!$C:$C,IF(Settings!$B$2="","&lt;&gt;",Settings!$B$2),'JLR Materials'!$D:$D,IF(Settings!$B$4="","&lt;&gt;",Settings!$B$4)))</f>
        <v>0</v>
      </c>
      <c r="O29">
        <f>IF($N29=0,0,IF(Settings!$B$5="percent",$M29*$N29/100,$N29))</f>
        <v>0</v>
      </c>
      <c r="P29">
        <f>IF($L29&lt;&gt;1,0,SUMIFS('JLR Materials'!$G:$G,'JLR Materials'!$A:$A,$K29,'JLR Materials'!$C:$C,IF(Settings!$B$2="","&lt;&gt;",Settings!$B$2),'JLR Materials'!$D:$D,IF(Settings!$B$4="","&lt;&gt;",Settings!$B$4)))</f>
        <v>0</v>
      </c>
    </row>
    <row r="30">
      <c r="A30" t="str">
        <v>mat-aa5083</v>
      </c>
      <c r="B30" t="str">
        <v>AA5083-H111 Sheet</v>
      </c>
      <c r="C30" t="str">
        <v>Aluminium Sheet</v>
      </c>
      <c r="D30">
        <f>IF($M30&gt;0,$M30,3.46)</f>
        <v>3.46</v>
      </c>
      <c r="E30">
        <f>IF($O30&gt;0,$O30,0.5)</f>
        <v>0.5</v>
      </c>
      <c r="F30">
        <v>2660</v>
      </c>
      <c r="G30" t="str">
        <v>UK</v>
      </c>
      <c r="H30" t="str">
        <f>IF($M30&gt;0,IF($L30&lt;&gt;1,"2026-07",IFERROR(INDEX('JLR Materials'!$D:$D,MATCH($K30,'JLR Materials'!$A:$A,0)),"2026-07")),"2026-07")</f>
        <v>2026-07</v>
      </c>
      <c r="I30" t="str">
        <f>IF($M30&gt;0,"JLR rate card — material code "&amp;$K30,"UK Al sheet stockholder Jun 2026. 5xxx series — marine structures, shipbuilding. Higher strength than 5052. Yield 228 MPa. Index-anchored 2026-07 (see PRICING BASIS).")</f>
        <v>UK Al sheet stockholder Jun 2026. 5xxx series — marine structures, shipbuilding. Higher strength than 5052. Yield 228 MPa. Index-anchored 2026-07 (see PRICING BASIS).</v>
      </c>
      <c r="J30" t="str">
        <v>Medium</v>
      </c>
      <c r="K30" t="str">
        <f>IFERROR(INDEX(Mapping!$C:$C,MATCH($A30,Mapping!$A:$A,0)),"")</f>
        <v/>
      </c>
      <c r="L30">
        <f>IF($K30="",0,COUNTIFS('JLR Materials'!$A:$A,$K30,'JLR Materials'!$C:$C,IF(Settings!$B$2="","&lt;&gt;",Settings!$B$2),'JLR Materials'!$D:$D,IF(Settings!$B$4="","&lt;&gt;",Settings!$B$4)))</f>
        <v>0</v>
      </c>
      <c r="M30">
        <f>IF($L30&lt;&gt;1,0,SUMIFS('JLR Materials'!$E:$E,'JLR Materials'!$A:$A,$K30,'JLR Materials'!$C:$C,IF(Settings!$B$2="","&lt;&gt;",Settings!$B$2),'JLR Materials'!$D:$D,IF(Settings!$B$4="","&lt;&gt;",Settings!$B$4)))</f>
        <v>0</v>
      </c>
      <c r="N30">
        <f>IF($L30&lt;&gt;1,0,SUMIFS('JLR Materials'!$F:$F,'JLR Materials'!$A:$A,$K30,'JLR Materials'!$C:$C,IF(Settings!$B$2="","&lt;&gt;",Settings!$B$2),'JLR Materials'!$D:$D,IF(Settings!$B$4="","&lt;&gt;",Settings!$B$4)))</f>
        <v>0</v>
      </c>
      <c r="O30">
        <f>IF($N30=0,0,IF(Settings!$B$5="percent",$M30*$N30/100,$N30))</f>
        <v>0</v>
      </c>
      <c r="P30">
        <f>IF($L30&lt;&gt;1,0,SUMIFS('JLR Materials'!$G:$G,'JLR Materials'!$A:$A,$K30,'JLR Materials'!$C:$C,IF(Settings!$B$2="","&lt;&gt;",Settings!$B$2),'JLR Materials'!$D:$D,IF(Settings!$B$4="","&lt;&gt;",Settings!$B$4)))</f>
        <v>0</v>
      </c>
    </row>
    <row r="31">
      <c r="A31" t="str">
        <v>mat-aa6082-sheet</v>
      </c>
      <c r="B31" t="str">
        <v>AA6082-T6 Sheet</v>
      </c>
      <c r="C31" t="str">
        <v>Aluminium Sheet</v>
      </c>
      <c r="D31">
        <f>IF($M31&gt;0,$M31,3.62)</f>
        <v>3.62</v>
      </c>
      <c r="E31">
        <f>IF($O31&gt;0,$O31,0.5)</f>
        <v>0.5</v>
      </c>
      <c r="F31">
        <v>2700</v>
      </c>
      <c r="G31" t="str">
        <v>UK</v>
      </c>
      <c r="H31" t="str">
        <f>IF($M31&gt;0,IF($L31&lt;&gt;1,"2026-07",IFERROR(INDEX('JLR Materials'!$D:$D,MATCH($K31,'JLR Materials'!$A:$A,0)),"2026-07")),"2026-07")</f>
        <v>2026-07</v>
      </c>
      <c r="I31" t="str">
        <f>IF($M31&gt;0,"JLR rate card — material code "&amp;$K31,"UK Al sheet/plate stockholder Jun 2026. 6xxx series structural alloy — frames, structural parts. Yield 250 MPa. Index-anchored 2026-07 (see PRICING BASIS).")</f>
        <v>UK Al sheet/plate stockholder Jun 2026. 6xxx series structural alloy — frames, structural parts. Yield 250 MPa. Index-anchored 2026-07 (see PRICING BASIS).</v>
      </c>
      <c r="J31" t="str">
        <v>Low</v>
      </c>
      <c r="K31" t="str">
        <f>IFERROR(INDEX(Mapping!$C:$C,MATCH($A31,Mapping!$A:$A,0)),"")</f>
        <v/>
      </c>
      <c r="L31">
        <f>IF($K31="",0,COUNTIFS('JLR Materials'!$A:$A,$K31,'JLR Materials'!$C:$C,IF(Settings!$B$2="","&lt;&gt;",Settings!$B$2),'JLR Materials'!$D:$D,IF(Settings!$B$4="","&lt;&gt;",Settings!$B$4)))</f>
        <v>0</v>
      </c>
      <c r="M31">
        <f>IF($L31&lt;&gt;1,0,SUMIFS('JLR Materials'!$E:$E,'JLR Materials'!$A:$A,$K31,'JLR Materials'!$C:$C,IF(Settings!$B$2="","&lt;&gt;",Settings!$B$2),'JLR Materials'!$D:$D,IF(Settings!$B$4="","&lt;&gt;",Settings!$B$4)))</f>
        <v>0</v>
      </c>
      <c r="N31">
        <f>IF($L31&lt;&gt;1,0,SUMIFS('JLR Materials'!$F:$F,'JLR Materials'!$A:$A,$K31,'JLR Materials'!$C:$C,IF(Settings!$B$2="","&lt;&gt;",Settings!$B$2),'JLR Materials'!$D:$D,IF(Settings!$B$4="","&lt;&gt;",Settings!$B$4)))</f>
        <v>0</v>
      </c>
      <c r="O31">
        <f>IF($N31=0,0,IF(Settings!$B$5="percent",$M31*$N31/100,$N31))</f>
        <v>0</v>
      </c>
      <c r="P31">
        <f>IF($L31&lt;&gt;1,0,SUMIFS('JLR Materials'!$G:$G,'JLR Materials'!$A:$A,$K31,'JLR Materials'!$C:$C,IF(Settings!$B$2="","&lt;&gt;",Settings!$B$2),'JLR Materials'!$D:$D,IF(Settings!$B$4="","&lt;&gt;",Settings!$B$4)))</f>
        <v>0</v>
      </c>
    </row>
    <row r="32">
      <c r="A32" t="str">
        <v>mat-aisi430</v>
      </c>
      <c r="B32" t="str">
        <v>AISI 430 Ferritic SS Sheet</v>
      </c>
      <c r="C32" t="str">
        <v>Stainless Steel Sheet</v>
      </c>
      <c r="D32">
        <f>IF($M32&gt;0,$M32,2.94)</f>
        <v>2.94</v>
      </c>
      <c r="E32">
        <f>IF($O32&gt;0,$O32,0.7)</f>
        <v>0.7</v>
      </c>
      <c r="F32">
        <v>7700</v>
      </c>
      <c r="G32" t="str">
        <v>UK</v>
      </c>
      <c r="H32" t="str">
        <f>IF($M32&gt;0,IF($L32&lt;&gt;1,"2026-07",IFERROR(INDEX('JLR Materials'!$D:$D,MATCH($K32,'JLR Materials'!$A:$A,0)),"2026-07")),"2026-07")</f>
        <v>2026-07</v>
      </c>
      <c r="I32" t="str">
        <f>IF($M32&gt;0,"JLR rate card — material code "&amp;$K32,"UK SS stockholder Jun 2026. Ferritic (magnetic) stainless — appliance panels, automotive trim. Moderate corrosion resistance. Yield 250 MPa. Index-anchored 2026-07 (see PRICING BASIS).")</f>
        <v>UK SS stockholder Jun 2026. Ferritic (magnetic) stainless — appliance panels, automotive trim. Moderate corrosion resistance. Yield 250 MPa. Index-anchored 2026-07 (see PRICING BASIS).</v>
      </c>
      <c r="J32" t="str">
        <v>Low</v>
      </c>
      <c r="K32" t="str">
        <f>IFERROR(INDEX(Mapping!$C:$C,MATCH($A32,Mapping!$A:$A,0)),"")</f>
        <v/>
      </c>
      <c r="L32">
        <f>IF($K32="",0,COUNTIFS('JLR Materials'!$A:$A,$K32,'JLR Materials'!$C:$C,IF(Settings!$B$2="","&lt;&gt;",Settings!$B$2),'JLR Materials'!$D:$D,IF(Settings!$B$4="","&lt;&gt;",Settings!$B$4)))</f>
        <v>0</v>
      </c>
      <c r="M32">
        <f>IF($L32&lt;&gt;1,0,SUMIFS('JLR Materials'!$E:$E,'JLR Materials'!$A:$A,$K32,'JLR Materials'!$C:$C,IF(Settings!$B$2="","&lt;&gt;",Settings!$B$2),'JLR Materials'!$D:$D,IF(Settings!$B$4="","&lt;&gt;",Settings!$B$4)))</f>
        <v>0</v>
      </c>
      <c r="N32">
        <f>IF($L32&lt;&gt;1,0,SUMIFS('JLR Materials'!$F:$F,'JLR Materials'!$A:$A,$K32,'JLR Materials'!$C:$C,IF(Settings!$B$2="","&lt;&gt;",Settings!$B$2),'JLR Materials'!$D:$D,IF(Settings!$B$4="","&lt;&gt;",Settings!$B$4)))</f>
        <v>0</v>
      </c>
      <c r="O32">
        <f>IF($N32=0,0,IF(Settings!$B$5="percent",$M32*$N32/100,$N32))</f>
        <v>0</v>
      </c>
      <c r="P32">
        <f>IF($L32&lt;&gt;1,0,SUMIFS('JLR Materials'!$G:$G,'JLR Materials'!$A:$A,$K32,'JLR Materials'!$C:$C,IF(Settings!$B$2="","&lt;&gt;",Settings!$B$2),'JLR Materials'!$D:$D,IF(Settings!$B$4="","&lt;&gt;",Settings!$B$4)))</f>
        <v>0</v>
      </c>
    </row>
    <row r="33">
      <c r="A33" t="str">
        <v>mat-ss316-sheet</v>
      </c>
      <c r="B33" t="str">
        <v>AISI 316L Stainless Sheet</v>
      </c>
      <c r="C33" t="str">
        <v>Stainless Steel Sheet</v>
      </c>
      <c r="D33">
        <f>IF($M33&gt;0,$M33,4.41)</f>
        <v>4.41</v>
      </c>
      <c r="E33">
        <f>IF($O33&gt;0,$O33,0.9)</f>
        <v>0.9</v>
      </c>
      <c r="F33">
        <v>7990</v>
      </c>
      <c r="G33" t="str">
        <v>UK</v>
      </c>
      <c r="H33" t="str">
        <f>IF($M33&gt;0,IF($L33&lt;&gt;1,"2026-07",IFERROR(INDEX('JLR Materials'!$D:$D,MATCH($K33,'JLR Materials'!$A:$A,0)),"2026-07")),"2026-07")</f>
        <v>2026-07</v>
      </c>
      <c r="I33" t="str">
        <f>IF($M33&gt;0,"JLR rate card — material code "&amp;$K33,"UK SS stockholder Jun 2026. 316L — food processing, medical, marine (Mo addition gives better chloride resistance than 304). Yield 170 MPa. Index-anchored 2026-07 (see PRICING BASIS).")</f>
        <v>UK SS stockholder Jun 2026. 316L — food processing, medical, marine (Mo addition gives better chloride resistance than 304). Yield 170 MPa. Index-anchored 2026-07 (see PRICING BASIS).</v>
      </c>
      <c r="J33" t="str">
        <v>Medium</v>
      </c>
      <c r="K33" t="str">
        <f>IFERROR(INDEX(Mapping!$C:$C,MATCH($A33,Mapping!$A:$A,0)),"")</f>
        <v/>
      </c>
      <c r="L33">
        <f>IF($K33="",0,COUNTIFS('JLR Materials'!$A:$A,$K33,'JLR Materials'!$C:$C,IF(Settings!$B$2="","&lt;&gt;",Settings!$B$2),'JLR Materials'!$D:$D,IF(Settings!$B$4="","&lt;&gt;",Settings!$B$4)))</f>
        <v>0</v>
      </c>
      <c r="M33">
        <f>IF($L33&lt;&gt;1,0,SUMIFS('JLR Materials'!$E:$E,'JLR Materials'!$A:$A,$K33,'JLR Materials'!$C:$C,IF(Settings!$B$2="","&lt;&gt;",Settings!$B$2),'JLR Materials'!$D:$D,IF(Settings!$B$4="","&lt;&gt;",Settings!$B$4)))</f>
        <v>0</v>
      </c>
      <c r="N33">
        <f>IF($L33&lt;&gt;1,0,SUMIFS('JLR Materials'!$F:$F,'JLR Materials'!$A:$A,$K33,'JLR Materials'!$C:$C,IF(Settings!$B$2="","&lt;&gt;",Settings!$B$2),'JLR Materials'!$D:$D,IF(Settings!$B$4="","&lt;&gt;",Settings!$B$4)))</f>
        <v>0</v>
      </c>
      <c r="O33">
        <f>IF($N33=0,0,IF(Settings!$B$5="percent",$M33*$N33/100,$N33))</f>
        <v>0</v>
      </c>
      <c r="P33">
        <f>IF($L33&lt;&gt;1,0,SUMIFS('JLR Materials'!$G:$G,'JLR Materials'!$A:$A,$K33,'JLR Materials'!$C:$C,IF(Settings!$B$2="","&lt;&gt;",Settings!$B$2),'JLR Materials'!$D:$D,IF(Settings!$B$4="","&lt;&gt;",Settings!$B$4)))</f>
        <v>0</v>
      </c>
    </row>
    <row r="34">
      <c r="A34" t="str">
        <v>mat-dc01-ze</v>
      </c>
      <c r="B34" t="str">
        <v>DC01+ZE (Electrogalvanised)</v>
      </c>
      <c r="C34" t="str">
        <v>Electrogalvanised Steel Sheet</v>
      </c>
      <c r="D34">
        <f>IF($M34&gt;0,$M34,0.93)</f>
        <v>0.93</v>
      </c>
      <c r="E34">
        <f>IF($O34&gt;0,$O34,0.2)</f>
        <v>0.2</v>
      </c>
      <c r="F34">
        <v>7850</v>
      </c>
      <c r="G34" t="str">
        <v>UK</v>
      </c>
      <c r="H34" t="str">
        <f>IF($M34&gt;0,IF($L34&lt;&gt;1,"2026-07",IFERROR(INDEX('JLR Materials'!$D:$D,MATCH($K34,'JLR Materials'!$A:$A,0)),"2026-07")),"2026-07")</f>
        <v>2026-07</v>
      </c>
      <c r="I34" t="str">
        <f>IF($M34&gt;0,"JLR rate card — material code "&amp;$K34,"UK steel coil Jun 2026. Thin zinc coating — automotive body, appliance housings. Better paintability than hot-dip. Yield 140 MPa. Index-anchored 2026-07 (see PRICING BASIS).")</f>
        <v>UK steel coil Jun 2026. Thin zinc coating — automotive body, appliance housings. Better paintability than hot-dip. Yield 140 MPa. Index-anchored 2026-07 (see PRICING BASIS).</v>
      </c>
      <c r="J34" t="str">
        <v>Medium</v>
      </c>
      <c r="K34" t="str">
        <f>IFERROR(INDEX(Mapping!$C:$C,MATCH($A34,Mapping!$A:$A,0)),"")</f>
        <v/>
      </c>
      <c r="L34">
        <f>IF($K34="",0,COUNTIFS('JLR Materials'!$A:$A,$K34,'JLR Materials'!$C:$C,IF(Settings!$B$2="","&lt;&gt;",Settings!$B$2),'JLR Materials'!$D:$D,IF(Settings!$B$4="","&lt;&gt;",Settings!$B$4)))</f>
        <v>0</v>
      </c>
      <c r="M34">
        <f>IF($L34&lt;&gt;1,0,SUMIFS('JLR Materials'!$E:$E,'JLR Materials'!$A:$A,$K34,'JLR Materials'!$C:$C,IF(Settings!$B$2="","&lt;&gt;",Settings!$B$2),'JLR Materials'!$D:$D,IF(Settings!$B$4="","&lt;&gt;",Settings!$B$4)))</f>
        <v>0</v>
      </c>
      <c r="N34">
        <f>IF($L34&lt;&gt;1,0,SUMIFS('JLR Materials'!$F:$F,'JLR Materials'!$A:$A,$K34,'JLR Materials'!$C:$C,IF(Settings!$B$2="","&lt;&gt;",Settings!$B$2),'JLR Materials'!$D:$D,IF(Settings!$B$4="","&lt;&gt;",Settings!$B$4)))</f>
        <v>0</v>
      </c>
      <c r="O34">
        <f>IF($N34=0,0,IF(Settings!$B$5="percent",$M34*$N34/100,$N34))</f>
        <v>0</v>
      </c>
      <c r="P34">
        <f>IF($L34&lt;&gt;1,0,SUMIFS('JLR Materials'!$G:$G,'JLR Materials'!$A:$A,$K34,'JLR Materials'!$C:$C,IF(Settings!$B$2="","&lt;&gt;",Settings!$B$2),'JLR Materials'!$D:$D,IF(Settings!$B$4="","&lt;&gt;",Settings!$B$4)))</f>
        <v>0</v>
      </c>
    </row>
    <row r="35">
      <c r="A35" t="str">
        <v>mat-hsla420</v>
      </c>
      <c r="B35" t="str">
        <v>HSLA 420 Sheet</v>
      </c>
      <c r="C35" t="str">
        <v>High Strength Steel Sheet</v>
      </c>
      <c r="D35">
        <f>IF($M35&gt;0,$M35,1.24)</f>
        <v>1.24</v>
      </c>
      <c r="E35">
        <f>IF($O35&gt;0,$O35,0.22)</f>
        <v>0.22</v>
      </c>
      <c r="F35">
        <v>7850</v>
      </c>
      <c r="G35" t="str">
        <v>UK</v>
      </c>
      <c r="H35" t="str">
        <f>IF($M35&gt;0,IF($L35&lt;&gt;1,"2026-07",IFERROR(INDEX('JLR Materials'!$D:$D,MATCH($K35,'JLR Materials'!$A:$A,0)),"2026-07")),"2026-07")</f>
        <v>2026-07</v>
      </c>
      <c r="I35" t="str">
        <f>IF($M35&gt;0,"JLR rate card — material code "&amp;$K35,"UK HSLA coil Jun 2026. 420 MPa min yield — structural reinforcements, crash components. Higher strength premium over HSLA 340. Index-anchored 2026-07 (see PRICING BASIS).")</f>
        <v>UK HSLA coil Jun 2026. 420 MPa min yield — structural reinforcements, crash components. Higher strength premium over HSLA 340. Index-anchored 2026-07 (see PRICING BASIS).</v>
      </c>
      <c r="J35" t="str">
        <v>Low</v>
      </c>
      <c r="K35" t="str">
        <f>IFERROR(INDEX(Mapping!$C:$C,MATCH($A35,Mapping!$A:$A,0)),"")</f>
        <v/>
      </c>
      <c r="L35">
        <f>IF($K35="",0,COUNTIFS('JLR Materials'!$A:$A,$K35,'JLR Materials'!$C:$C,IF(Settings!$B$2="","&lt;&gt;",Settings!$B$2),'JLR Materials'!$D:$D,IF(Settings!$B$4="","&lt;&gt;",Settings!$B$4)))</f>
        <v>0</v>
      </c>
      <c r="M35">
        <f>IF($L35&lt;&gt;1,0,SUMIFS('JLR Materials'!$E:$E,'JLR Materials'!$A:$A,$K35,'JLR Materials'!$C:$C,IF(Settings!$B$2="","&lt;&gt;",Settings!$B$2),'JLR Materials'!$D:$D,IF(Settings!$B$4="","&lt;&gt;",Settings!$B$4)))</f>
        <v>0</v>
      </c>
      <c r="N35">
        <f>IF($L35&lt;&gt;1,0,SUMIFS('JLR Materials'!$F:$F,'JLR Materials'!$A:$A,$K35,'JLR Materials'!$C:$C,IF(Settings!$B$2="","&lt;&gt;",Settings!$B$2),'JLR Materials'!$D:$D,IF(Settings!$B$4="","&lt;&gt;",Settings!$B$4)))</f>
        <v>0</v>
      </c>
      <c r="O35">
        <f>IF($N35=0,0,IF(Settings!$B$5="percent",$M35*$N35/100,$N35))</f>
        <v>0</v>
      </c>
      <c r="P35">
        <f>IF($L35&lt;&gt;1,0,SUMIFS('JLR Materials'!$G:$G,'JLR Materials'!$A:$A,$K35,'JLR Materials'!$C:$C,IF(Settings!$B$2="","&lt;&gt;",Settings!$B$2),'JLR Materials'!$D:$D,IF(Settings!$B$4="","&lt;&gt;",Settings!$B$4)))</f>
        <v>0</v>
      </c>
    </row>
    <row r="36">
      <c r="A36" t="str">
        <v>mat-hrpo</v>
      </c>
      <c r="B36" t="str">
        <v>HRPO (Hot Rolled Pickled &amp; Oiled)</v>
      </c>
      <c r="C36" t="str">
        <v>Mild Steel Sheet</v>
      </c>
      <c r="D36">
        <f>IF($M36&gt;0,$M36,0.72)</f>
        <v>0.72</v>
      </c>
      <c r="E36">
        <f>IF($O36&gt;0,$O36,0.18)</f>
        <v>0.18</v>
      </c>
      <c r="F36">
        <v>7850</v>
      </c>
      <c r="G36" t="str">
        <v>UK</v>
      </c>
      <c r="H36" t="str">
        <f>IF($M36&gt;0,IF($L36&lt;&gt;1,"2026-07",IFERROR(INDEX('JLR Materials'!$D:$D,MATCH($K36,'JLR Materials'!$A:$A,0)),"2026-07")),"2026-07")</f>
        <v>2026-07</v>
      </c>
      <c r="I36" t="str">
        <f>IF($M36&gt;0,"JLR rate card — material code "&amp;$K36,"UK steel coil Jun 2026. Hot-rolled, pickled and oiled — structural fabrication, heavy-gauge brackets, lower cost than CR. Yield 250 MPa. Index-anchored 2026-07 (see PRICING BASIS).")</f>
        <v>UK steel coil Jun 2026. Hot-rolled, pickled and oiled — structural fabrication, heavy-gauge brackets, lower cost than CR. Yield 250 MPa. Index-anchored 2026-07 (see PRICING BASIS).</v>
      </c>
      <c r="J36" t="str">
        <v>Medium</v>
      </c>
      <c r="K36" t="str">
        <f>IFERROR(INDEX(Mapping!$C:$C,MATCH($A36,Mapping!$A:$A,0)),"")</f>
        <v/>
      </c>
      <c r="L36">
        <f>IF($K36="",0,COUNTIFS('JLR Materials'!$A:$A,$K36,'JLR Materials'!$C:$C,IF(Settings!$B$2="","&lt;&gt;",Settings!$B$2),'JLR Materials'!$D:$D,IF(Settings!$B$4="","&lt;&gt;",Settings!$B$4)))</f>
        <v>0</v>
      </c>
      <c r="M36">
        <f>IF($L36&lt;&gt;1,0,SUMIFS('JLR Materials'!$E:$E,'JLR Materials'!$A:$A,$K36,'JLR Materials'!$C:$C,IF(Settings!$B$2="","&lt;&gt;",Settings!$B$2),'JLR Materials'!$D:$D,IF(Settings!$B$4="","&lt;&gt;",Settings!$B$4)))</f>
        <v>0</v>
      </c>
      <c r="N36">
        <f>IF($L36&lt;&gt;1,0,SUMIFS('JLR Materials'!$F:$F,'JLR Materials'!$A:$A,$K36,'JLR Materials'!$C:$C,IF(Settings!$B$2="","&lt;&gt;",Settings!$B$2),'JLR Materials'!$D:$D,IF(Settings!$B$4="","&lt;&gt;",Settings!$B$4)))</f>
        <v>0</v>
      </c>
      <c r="O36">
        <f>IF($N36=0,0,IF(Settings!$B$5="percent",$M36*$N36/100,$N36))</f>
        <v>0</v>
      </c>
      <c r="P36">
        <f>IF($L36&lt;&gt;1,0,SUMIFS('JLR Materials'!$G:$G,'JLR Materials'!$A:$A,$K36,'JLR Materials'!$C:$C,IF(Settings!$B$2="","&lt;&gt;",Settings!$B$2),'JLR Materials'!$D:$D,IF(Settings!$B$4="","&lt;&gt;",Settings!$B$4)))</f>
        <v>0</v>
      </c>
    </row>
    <row r="37">
      <c r="A37" t="str">
        <v>mat-aa5754-sheet</v>
      </c>
      <c r="B37" t="str">
        <v>AA5754-H22 Sheet</v>
      </c>
      <c r="C37" t="str">
        <v>Aluminium Sheet</v>
      </c>
      <c r="D37">
        <f>IF($M37&gt;0,$M37,3.38)</f>
        <v>3.38</v>
      </c>
      <c r="E37">
        <f>IF($O37&gt;0,$O37,0.5)</f>
        <v>0.5</v>
      </c>
      <c r="F37">
        <v>2660</v>
      </c>
      <c r="G37" t="str">
        <v>UK</v>
      </c>
      <c r="H37" t="str">
        <f>IF($M37&gt;0,IF($L37&lt;&gt;1,"2026-07",IFERROR(INDEX('JLR Materials'!$D:$D,MATCH($K37,'JLR Materials'!$A:$A,0)),"2026-07")),"2026-07")</f>
        <v>2026-07</v>
      </c>
      <c r="I37" t="str">
        <f>IF($M37&gt;0,"JLR rate card — material code "&amp;$K37,"UK Al sheet stockholder Jun 2026. 5754 H22 — automotive body closures, truck panels. Excellent formability. Yield 140 MPa. Index-anchored 2026-07 (see PRICING BASIS).")</f>
        <v>UK Al sheet stockholder Jun 2026. 5754 H22 — automotive body closures, truck panels. Excellent formability. Yield 140 MPa. Index-anchored 2026-07 (see PRICING BASIS).</v>
      </c>
      <c r="J37" t="str">
        <v>Medium</v>
      </c>
      <c r="K37" t="str">
        <f>IFERROR(INDEX(Mapping!$C:$C,MATCH($A37,Mapping!$A:$A,0)),"")</f>
        <v/>
      </c>
      <c r="L37">
        <f>IF($K37="",0,COUNTIFS('JLR Materials'!$A:$A,$K37,'JLR Materials'!$C:$C,IF(Settings!$B$2="","&lt;&gt;",Settings!$B$2),'JLR Materials'!$D:$D,IF(Settings!$B$4="","&lt;&gt;",Settings!$B$4)))</f>
        <v>0</v>
      </c>
      <c r="M37">
        <f>IF($L37&lt;&gt;1,0,SUMIFS('JLR Materials'!$E:$E,'JLR Materials'!$A:$A,$K37,'JLR Materials'!$C:$C,IF(Settings!$B$2="","&lt;&gt;",Settings!$B$2),'JLR Materials'!$D:$D,IF(Settings!$B$4="","&lt;&gt;",Settings!$B$4)))</f>
        <v>0</v>
      </c>
      <c r="N37">
        <f>IF($L37&lt;&gt;1,0,SUMIFS('JLR Materials'!$F:$F,'JLR Materials'!$A:$A,$K37,'JLR Materials'!$C:$C,IF(Settings!$B$2="","&lt;&gt;",Settings!$B$2),'JLR Materials'!$D:$D,IF(Settings!$B$4="","&lt;&gt;",Settings!$B$4)))</f>
        <v>0</v>
      </c>
      <c r="O37">
        <f>IF($N37=0,0,IF(Settings!$B$5="percent",$M37*$N37/100,$N37))</f>
        <v>0</v>
      </c>
      <c r="P37">
        <f>IF($L37&lt;&gt;1,0,SUMIFS('JLR Materials'!$G:$G,'JLR Materials'!$A:$A,$K37,'JLR Materials'!$C:$C,IF(Settings!$B$2="","&lt;&gt;",Settings!$B$2),'JLR Materials'!$D:$D,IF(Settings!$B$4="","&lt;&gt;",Settings!$B$4)))</f>
        <v>0</v>
      </c>
    </row>
    <row r="38">
      <c r="A38" t="str">
        <v>mat-aa6061-sheet</v>
      </c>
      <c r="B38" t="str">
        <v>AA6061-T6 Sheet/Plate</v>
      </c>
      <c r="C38" t="str">
        <v>Aluminium Sheet</v>
      </c>
      <c r="D38">
        <f>IF($M38&gt;0,$M38,3.72)</f>
        <v>3.72</v>
      </c>
      <c r="E38">
        <f>IF($O38&gt;0,$O38,0.5)</f>
        <v>0.5</v>
      </c>
      <c r="F38">
        <v>2700</v>
      </c>
      <c r="G38" t="str">
        <v>UK</v>
      </c>
      <c r="H38" t="str">
        <f>IF($M38&gt;0,IF($L38&lt;&gt;1,"2026-07",IFERROR(INDEX('JLR Materials'!$D:$D,MATCH($K38,'JLR Materials'!$A:$A,0)),"2026-07")),"2026-07")</f>
        <v>2026-07</v>
      </c>
      <c r="I38" t="str">
        <f>IF($M38&gt;0,"JLR rate card — material code "&amp;$K38,"UK Al sheet stockholder Jun 2026. 6061 T6 — general structural, aerospace, vehicle frames. Yield 276 MPa. Good weldability. Index-anchored 2026-07 (see PRICING BASIS).")</f>
        <v>UK Al sheet stockholder Jun 2026. 6061 T6 — general structural, aerospace, vehicle frames. Yield 276 MPa. Good weldability. Index-anchored 2026-07 (see PRICING BASIS).</v>
      </c>
      <c r="J38" t="str">
        <v>Medium</v>
      </c>
      <c r="K38" t="str">
        <f>IFERROR(INDEX(Mapping!$C:$C,MATCH($A38,Mapping!$A:$A,0)),"")</f>
        <v/>
      </c>
      <c r="L38">
        <f>IF($K38="",0,COUNTIFS('JLR Materials'!$A:$A,$K38,'JLR Materials'!$C:$C,IF(Settings!$B$2="","&lt;&gt;",Settings!$B$2),'JLR Materials'!$D:$D,IF(Settings!$B$4="","&lt;&gt;",Settings!$B$4)))</f>
        <v>0</v>
      </c>
      <c r="M38">
        <f>IF($L38&lt;&gt;1,0,SUMIFS('JLR Materials'!$E:$E,'JLR Materials'!$A:$A,$K38,'JLR Materials'!$C:$C,IF(Settings!$B$2="","&lt;&gt;",Settings!$B$2),'JLR Materials'!$D:$D,IF(Settings!$B$4="","&lt;&gt;",Settings!$B$4)))</f>
        <v>0</v>
      </c>
      <c r="N38">
        <f>IF($L38&lt;&gt;1,0,SUMIFS('JLR Materials'!$F:$F,'JLR Materials'!$A:$A,$K38,'JLR Materials'!$C:$C,IF(Settings!$B$2="","&lt;&gt;",Settings!$B$2),'JLR Materials'!$D:$D,IF(Settings!$B$4="","&lt;&gt;",Settings!$B$4)))</f>
        <v>0</v>
      </c>
      <c r="O38">
        <f>IF($N38=0,0,IF(Settings!$B$5="percent",$M38*$N38/100,$N38))</f>
        <v>0</v>
      </c>
      <c r="P38">
        <f>IF($L38&lt;&gt;1,0,SUMIFS('JLR Materials'!$G:$G,'JLR Materials'!$A:$A,$K38,'JLR Materials'!$C:$C,IF(Settings!$B$2="","&lt;&gt;",Settings!$B$2),'JLR Materials'!$D:$D,IF(Settings!$B$4="","&lt;&gt;",Settings!$B$4)))</f>
        <v>0</v>
      </c>
    </row>
    <row r="39">
      <c r="A39" t="str">
        <v>mat-aa6063-sheet</v>
      </c>
      <c r="B39" t="str">
        <v>AA6063-T5 Sheet</v>
      </c>
      <c r="C39" t="str">
        <v>Aluminium Sheet</v>
      </c>
      <c r="D39">
        <f>IF($M39&gt;0,$M39,3.55)</f>
        <v>3.55</v>
      </c>
      <c r="E39">
        <f>IF($O39&gt;0,$O39,0.5)</f>
        <v>0.5</v>
      </c>
      <c r="F39">
        <v>2690</v>
      </c>
      <c r="G39" t="str">
        <v>UK</v>
      </c>
      <c r="H39" t="str">
        <f>IF($M39&gt;0,IF($L39&lt;&gt;1,"2026-07",IFERROR(INDEX('JLR Materials'!$D:$D,MATCH($K39,'JLR Materials'!$A:$A,0)),"2026-07")),"2026-07")</f>
        <v>2026-07</v>
      </c>
      <c r="I39" t="str">
        <f>IF($M39&gt;0,"JLR rate card — material code "&amp;$K39,"UK Al sheet stockholder Jun 2026. 6063 T5 — architectural panels, window frames, radiators. Yield 145 MPa. Anodises well. Index-anchored 2026-07 (see PRICING BASIS).")</f>
        <v>UK Al sheet stockholder Jun 2026. 6063 T5 — architectural panels, window frames, radiators. Yield 145 MPa. Anodises well. Index-anchored 2026-07 (see PRICING BASIS).</v>
      </c>
      <c r="J39" t="str">
        <v>Low</v>
      </c>
      <c r="K39" t="str">
        <f>IFERROR(INDEX(Mapping!$C:$C,MATCH($A39,Mapping!$A:$A,0)),"")</f>
        <v/>
      </c>
      <c r="L39">
        <f>IF($K39="",0,COUNTIFS('JLR Materials'!$A:$A,$K39,'JLR Materials'!$C:$C,IF(Settings!$B$2="","&lt;&gt;",Settings!$B$2),'JLR Materials'!$D:$D,IF(Settings!$B$4="","&lt;&gt;",Settings!$B$4)))</f>
        <v>0</v>
      </c>
      <c r="M39">
        <f>IF($L39&lt;&gt;1,0,SUMIFS('JLR Materials'!$E:$E,'JLR Materials'!$A:$A,$K39,'JLR Materials'!$C:$C,IF(Settings!$B$2="","&lt;&gt;",Settings!$B$2),'JLR Materials'!$D:$D,IF(Settings!$B$4="","&lt;&gt;",Settings!$B$4)))</f>
        <v>0</v>
      </c>
      <c r="N39">
        <f>IF($L39&lt;&gt;1,0,SUMIFS('JLR Materials'!$F:$F,'JLR Materials'!$A:$A,$K39,'JLR Materials'!$C:$C,IF(Settings!$B$2="","&lt;&gt;",Settings!$B$2),'JLR Materials'!$D:$D,IF(Settings!$B$4="","&lt;&gt;",Settings!$B$4)))</f>
        <v>0</v>
      </c>
      <c r="O39">
        <f>IF($N39=0,0,IF(Settings!$B$5="percent",$M39*$N39/100,$N39))</f>
        <v>0</v>
      </c>
      <c r="P39">
        <f>IF($L39&lt;&gt;1,0,SUMIFS('JLR Materials'!$G:$G,'JLR Materials'!$A:$A,$K39,'JLR Materials'!$C:$C,IF(Settings!$B$2="","&lt;&gt;",Settings!$B$2),'JLR Materials'!$D:$D,IF(Settings!$B$4="","&lt;&gt;",Settings!$B$4)))</f>
        <v>0</v>
      </c>
    </row>
    <row r="40">
      <c r="A40" t="str">
        <v>mat-aa3003-sheet</v>
      </c>
      <c r="B40" t="str">
        <v>AA3003-H14 Sheet</v>
      </c>
      <c r="C40" t="str">
        <v>Aluminium Sheet</v>
      </c>
      <c r="D40">
        <f>IF($M40&gt;0,$M40,3.05)</f>
        <v>3.05</v>
      </c>
      <c r="E40">
        <f>IF($O40&gt;0,$O40,0.48)</f>
        <v>0.48</v>
      </c>
      <c r="F40">
        <v>2730</v>
      </c>
      <c r="G40" t="str">
        <v>UK</v>
      </c>
      <c r="H40" t="str">
        <f>IF($M40&gt;0,IF($L40&lt;&gt;1,"2026-07",IFERROR(INDEX('JLR Materials'!$D:$D,MATCH($K40,'JLR Materials'!$A:$A,0)),"2026-07")),"2026-07")</f>
        <v>2026-07</v>
      </c>
      <c r="I40" t="str">
        <f>IF($M40&gt;0,"JLR rate card — material code "&amp;$K40,"UK Al sheet stockholder Jun 2026. 3003 H14 — heat exchangers, chemical equipment, fuel tanks, cookware. Best formability of common Al alloys. Yield 145 MPa. Index-anchored 2026-07 (see PRICING BASIS).")</f>
        <v>UK Al sheet stockholder Jun 2026. 3003 H14 — heat exchangers, chemical equipment, fuel tanks, cookware. Best formability of common Al alloys. Yield 145 MPa. Index-anchored 2026-07 (see PRICING BASIS).</v>
      </c>
      <c r="J40" t="str">
        <v>Low</v>
      </c>
      <c r="K40" t="str">
        <f>IFERROR(INDEX(Mapping!$C:$C,MATCH($A40,Mapping!$A:$A,0)),"")</f>
        <v/>
      </c>
      <c r="L40">
        <f>IF($K40="",0,COUNTIFS('JLR Materials'!$A:$A,$K40,'JLR Materials'!$C:$C,IF(Settings!$B$2="","&lt;&gt;",Settings!$B$2),'JLR Materials'!$D:$D,IF(Settings!$B$4="","&lt;&gt;",Settings!$B$4)))</f>
        <v>0</v>
      </c>
      <c r="M40">
        <f>IF($L40&lt;&gt;1,0,SUMIFS('JLR Materials'!$E:$E,'JLR Materials'!$A:$A,$K40,'JLR Materials'!$C:$C,IF(Settings!$B$2="","&lt;&gt;",Settings!$B$2),'JLR Materials'!$D:$D,IF(Settings!$B$4="","&lt;&gt;",Settings!$B$4)))</f>
        <v>0</v>
      </c>
      <c r="N40">
        <f>IF($L40&lt;&gt;1,0,SUMIFS('JLR Materials'!$F:$F,'JLR Materials'!$A:$A,$K40,'JLR Materials'!$C:$C,IF(Settings!$B$2="","&lt;&gt;",Settings!$B$2),'JLR Materials'!$D:$D,IF(Settings!$B$4="","&lt;&gt;",Settings!$B$4)))</f>
        <v>0</v>
      </c>
      <c r="O40">
        <f>IF($N40=0,0,IF(Settings!$B$5="percent",$M40*$N40/100,$N40))</f>
        <v>0</v>
      </c>
      <c r="P40">
        <f>IF($L40&lt;&gt;1,0,SUMIFS('JLR Materials'!$G:$G,'JLR Materials'!$A:$A,$K40,'JLR Materials'!$C:$C,IF(Settings!$B$2="","&lt;&gt;",Settings!$B$2),'JLR Materials'!$D:$D,IF(Settings!$B$4="","&lt;&gt;",Settings!$B$4)))</f>
        <v>0</v>
      </c>
    </row>
    <row r="41">
      <c r="A41" t="str">
        <v>mat-c110-copper</v>
      </c>
      <c r="B41" t="str">
        <v>C110 ETP Copper Sheet</v>
      </c>
      <c r="C41" t="str">
        <v>Copper &amp; Brass Sheet</v>
      </c>
      <c r="D41">
        <f>IF($M41&gt;0,$M41,9.85)</f>
        <v>9.85</v>
      </c>
      <c r="E41">
        <f>IF($O41&gt;0,$O41,5.5)</f>
        <v>5.5</v>
      </c>
      <c r="F41">
        <v>8940</v>
      </c>
      <c r="G41" t="str">
        <v>UK</v>
      </c>
      <c r="H41" t="str">
        <f>IF($M41&gt;0,IF($L41&lt;&gt;1,"2026-07",IFERROR(INDEX('JLR Materials'!$D:$D,MATCH($K41,'JLR Materials'!$A:$A,0)),"2026-07")),"2026-07")</f>
        <v>2026-07</v>
      </c>
      <c r="I41" t="str">
        <f>IF($M41&gt;0,"JLR rate card — material code "&amp;$K41,"UK copper stockholder Jun 2026. C110 ETP copper — busbars, electrical contacts, heat sinks, roofing. 99.9% Cu, 100% IACS. Yield 70 MPa. Index-anchored 2026-07 (see PRICING BASIS).")</f>
        <v>UK copper stockholder Jun 2026. C110 ETP copper — busbars, electrical contacts, heat sinks, roofing. 99.9% Cu, 100% IACS. Yield 70 MPa. Index-anchored 2026-07 (see PRICING BASIS).</v>
      </c>
      <c r="J41" t="str">
        <v>Medium</v>
      </c>
      <c r="K41" t="str">
        <f>IFERROR(INDEX(Mapping!$C:$C,MATCH($A41,Mapping!$A:$A,0)),"")</f>
        <v/>
      </c>
      <c r="L41">
        <f>IF($K41="",0,COUNTIFS('JLR Materials'!$A:$A,$K41,'JLR Materials'!$C:$C,IF(Settings!$B$2="","&lt;&gt;",Settings!$B$2),'JLR Materials'!$D:$D,IF(Settings!$B$4="","&lt;&gt;",Settings!$B$4)))</f>
        <v>0</v>
      </c>
      <c r="M41">
        <f>IF($L41&lt;&gt;1,0,SUMIFS('JLR Materials'!$E:$E,'JLR Materials'!$A:$A,$K41,'JLR Materials'!$C:$C,IF(Settings!$B$2="","&lt;&gt;",Settings!$B$2),'JLR Materials'!$D:$D,IF(Settings!$B$4="","&lt;&gt;",Settings!$B$4)))</f>
        <v>0</v>
      </c>
      <c r="N41">
        <f>IF($L41&lt;&gt;1,0,SUMIFS('JLR Materials'!$F:$F,'JLR Materials'!$A:$A,$K41,'JLR Materials'!$C:$C,IF(Settings!$B$2="","&lt;&gt;",Settings!$B$2),'JLR Materials'!$D:$D,IF(Settings!$B$4="","&lt;&gt;",Settings!$B$4)))</f>
        <v>0</v>
      </c>
      <c r="O41">
        <f>IF($N41=0,0,IF(Settings!$B$5="percent",$M41*$N41/100,$N41))</f>
        <v>0</v>
      </c>
      <c r="P41">
        <f>IF($L41&lt;&gt;1,0,SUMIFS('JLR Materials'!$G:$G,'JLR Materials'!$A:$A,$K41,'JLR Materials'!$C:$C,IF(Settings!$B$2="","&lt;&gt;",Settings!$B$2),'JLR Materials'!$D:$D,IF(Settings!$B$4="","&lt;&gt;",Settings!$B$4)))</f>
        <v>0</v>
      </c>
    </row>
    <row r="42">
      <c r="A42" t="str">
        <v>mat-cz108-brass</v>
      </c>
      <c r="B42" t="str">
        <v>CZ108 Brass Sheet (70/30)</v>
      </c>
      <c r="C42" t="str">
        <v>Copper &amp; Brass Sheet</v>
      </c>
      <c r="D42">
        <f>IF($M42&gt;0,$M42,7.42)</f>
        <v>7.42</v>
      </c>
      <c r="E42">
        <f>IF($O42&gt;0,$O42,4.2)</f>
        <v>4.2</v>
      </c>
      <c r="F42">
        <v>8530</v>
      </c>
      <c r="G42" t="str">
        <v>UK</v>
      </c>
      <c r="H42" t="str">
        <f>IF($M42&gt;0,IF($L42&lt;&gt;1,"2026-07",IFERROR(INDEX('JLR Materials'!$D:$D,MATCH($K42,'JLR Materials'!$A:$A,0)),"2026-07")),"2026-07")</f>
        <v>2026-07</v>
      </c>
      <c r="I42" t="str">
        <f>IF($M42&gt;0,"JLR rate card — material code "&amp;$K42,"UK brass stockholder Jun 2026. CZ108 70/30 cartridge brass — decorative panels, heat exchangers, plumbing fittings. Excellent cold formability. Yield 105 MPa. Index-anchored 2026-07 (see PRICING BASIS).")</f>
        <v>UK brass stockholder Jun 2026. CZ108 70/30 cartridge brass — decorative panels, heat exchangers, plumbing fittings. Excellent cold formability. Yield 105 MPa. Index-anchored 2026-07 (see PRICING BASIS).</v>
      </c>
      <c r="J42" t="str">
        <v>Medium</v>
      </c>
      <c r="K42" t="str">
        <f>IFERROR(INDEX(Mapping!$C:$C,MATCH($A42,Mapping!$A:$A,0)),"")</f>
        <v/>
      </c>
      <c r="L42">
        <f>IF($K42="",0,COUNTIFS('JLR Materials'!$A:$A,$K42,'JLR Materials'!$C:$C,IF(Settings!$B$2="","&lt;&gt;",Settings!$B$2),'JLR Materials'!$D:$D,IF(Settings!$B$4="","&lt;&gt;",Settings!$B$4)))</f>
        <v>0</v>
      </c>
      <c r="M42">
        <f>IF($L42&lt;&gt;1,0,SUMIFS('JLR Materials'!$E:$E,'JLR Materials'!$A:$A,$K42,'JLR Materials'!$C:$C,IF(Settings!$B$2="","&lt;&gt;",Settings!$B$2),'JLR Materials'!$D:$D,IF(Settings!$B$4="","&lt;&gt;",Settings!$B$4)))</f>
        <v>0</v>
      </c>
      <c r="N42">
        <f>IF($L42&lt;&gt;1,0,SUMIFS('JLR Materials'!$F:$F,'JLR Materials'!$A:$A,$K42,'JLR Materials'!$C:$C,IF(Settings!$B$2="","&lt;&gt;",Settings!$B$2),'JLR Materials'!$D:$D,IF(Settings!$B$4="","&lt;&gt;",Settings!$B$4)))</f>
        <v>0</v>
      </c>
      <c r="O42">
        <f>IF($N42=0,0,IF(Settings!$B$5="percent",$M42*$N42/100,$N42))</f>
        <v>0</v>
      </c>
      <c r="P42">
        <f>IF($L42&lt;&gt;1,0,SUMIFS('JLR Materials'!$G:$G,'JLR Materials'!$A:$A,$K42,'JLR Materials'!$C:$C,IF(Settings!$B$2="","&lt;&gt;",Settings!$B$2),'JLR Materials'!$D:$D,IF(Settings!$B$4="","&lt;&gt;",Settings!$B$4)))</f>
        <v>0</v>
      </c>
    </row>
    <row r="43">
      <c r="A43" t="str">
        <v>mat-dp780</v>
      </c>
      <c r="B43" t="str">
        <v>DP780</v>
      </c>
      <c r="C43" t="str">
        <v>AHSS Sheet</v>
      </c>
      <c r="D43">
        <f>IF($M43&gt;0,$M43,1.32)</f>
        <v>1.32</v>
      </c>
      <c r="E43">
        <f>IF($O43&gt;0,$O43,0.22)</f>
        <v>0.22</v>
      </c>
      <c r="F43">
        <v>7850</v>
      </c>
      <c r="G43" t="str">
        <v>UK</v>
      </c>
      <c r="H43" t="str">
        <f>IF($M43&gt;0,IF($L43&lt;&gt;1,"2026-07",IFERROR(INDEX('JLR Materials'!$D:$D,MATCH($K43,'JLR Materials'!$A:$A,0)),"2026-07")),"2026-07")</f>
        <v>2026-07</v>
      </c>
      <c r="I43" t="str">
        <f>IF($M43&gt;0,"JLR rate card — material code "&amp;$K43,"UK AHSS coil Jul 2026. Dual-phase 780 MPa UTS — crash rails, seat structures. Needs ~1.6× press tonnage &amp; extra restrike vs DP600; springback compensation in die. Yield ~450 MPa.")</f>
        <v>UK AHSS coil Jul 2026. Dual-phase 780 MPa UTS — crash rails, seat structures. Needs ~1.6× press tonnage &amp; extra restrike vs DP600; springback compensation in die. Yield ~450 MPa.</v>
      </c>
      <c r="J43" t="str">
        <v>Low</v>
      </c>
      <c r="K43" t="str">
        <f>IFERROR(INDEX(Mapping!$C:$C,MATCH($A43,Mapping!$A:$A,0)),"")</f>
        <v/>
      </c>
      <c r="L43">
        <f>IF($K43="",0,COUNTIFS('JLR Materials'!$A:$A,$K43,'JLR Materials'!$C:$C,IF(Settings!$B$2="","&lt;&gt;",Settings!$B$2),'JLR Materials'!$D:$D,IF(Settings!$B$4="","&lt;&gt;",Settings!$B$4)))</f>
        <v>0</v>
      </c>
      <c r="M43">
        <f>IF($L43&lt;&gt;1,0,SUMIFS('JLR Materials'!$E:$E,'JLR Materials'!$A:$A,$K43,'JLR Materials'!$C:$C,IF(Settings!$B$2="","&lt;&gt;",Settings!$B$2),'JLR Materials'!$D:$D,IF(Settings!$B$4="","&lt;&gt;",Settings!$B$4)))</f>
        <v>0</v>
      </c>
      <c r="N43">
        <f>IF($L43&lt;&gt;1,0,SUMIFS('JLR Materials'!$F:$F,'JLR Materials'!$A:$A,$K43,'JLR Materials'!$C:$C,IF(Settings!$B$2="","&lt;&gt;",Settings!$B$2),'JLR Materials'!$D:$D,IF(Settings!$B$4="","&lt;&gt;",Settings!$B$4)))</f>
        <v>0</v>
      </c>
      <c r="O43">
        <f>IF($N43=0,0,IF(Settings!$B$5="percent",$M43*$N43/100,$N43))</f>
        <v>0</v>
      </c>
      <c r="P43">
        <f>IF($L43&lt;&gt;1,0,SUMIFS('JLR Materials'!$G:$G,'JLR Materials'!$A:$A,$K43,'JLR Materials'!$C:$C,IF(Settings!$B$2="","&lt;&gt;",Settings!$B$2),'JLR Materials'!$D:$D,IF(Settings!$B$4="","&lt;&gt;",Settings!$B$4)))</f>
        <v>0</v>
      </c>
    </row>
    <row r="44">
      <c r="A44" t="str">
        <v>mat-dp980</v>
      </c>
      <c r="B44" t="str">
        <v>DP980</v>
      </c>
      <c r="C44" t="str">
        <v>AHSS Sheet</v>
      </c>
      <c r="D44">
        <f>IF($M44&gt;0,$M44,1.45)</f>
        <v>1.45</v>
      </c>
      <c r="E44">
        <f>IF($O44&gt;0,$O44,0.22)</f>
        <v>0.22</v>
      </c>
      <c r="F44">
        <v>7850</v>
      </c>
      <c r="G44" t="str">
        <v>UK</v>
      </c>
      <c r="H44" t="str">
        <f>IF($M44&gt;0,IF($L44&lt;&gt;1,"2026-07",IFERROR(INDEX('JLR Materials'!$D:$D,MATCH($K44,'JLR Materials'!$A:$A,0)),"2026-07")),"2026-07")</f>
        <v>2026-07</v>
      </c>
      <c r="I44" t="str">
        <f>IF($M44&gt;0,"JLR rate card — material code "&amp;$K44,"UK AHSS coil Jul 2026. Dual-phase 980 MPa UTS — B-pillar reinforcements, longitudinals. High die wear, significant springback, limited formability. Yield ~600 MPa.")</f>
        <v>UK AHSS coil Jul 2026. Dual-phase 980 MPa UTS — B-pillar reinforcements, longitudinals. High die wear, significant springback, limited formability. Yield ~600 MPa.</v>
      </c>
      <c r="J44" t="str">
        <v>Low</v>
      </c>
      <c r="K44" t="str">
        <f>IFERROR(INDEX(Mapping!$C:$C,MATCH($A44,Mapping!$A:$A,0)),"")</f>
        <v/>
      </c>
      <c r="L44">
        <f>IF($K44="",0,COUNTIFS('JLR Materials'!$A:$A,$K44,'JLR Materials'!$C:$C,IF(Settings!$B$2="","&lt;&gt;",Settings!$B$2),'JLR Materials'!$D:$D,IF(Settings!$B$4="","&lt;&gt;",Settings!$B$4)))</f>
        <v>0</v>
      </c>
      <c r="M44">
        <f>IF($L44&lt;&gt;1,0,SUMIFS('JLR Materials'!$E:$E,'JLR Materials'!$A:$A,$K44,'JLR Materials'!$C:$C,IF(Settings!$B$2="","&lt;&gt;",Settings!$B$2),'JLR Materials'!$D:$D,IF(Settings!$B$4="","&lt;&gt;",Settings!$B$4)))</f>
        <v>0</v>
      </c>
      <c r="N44">
        <f>IF($L44&lt;&gt;1,0,SUMIFS('JLR Materials'!$F:$F,'JLR Materials'!$A:$A,$K44,'JLR Materials'!$C:$C,IF(Settings!$B$2="","&lt;&gt;",Settings!$B$2),'JLR Materials'!$D:$D,IF(Settings!$B$4="","&lt;&gt;",Settings!$B$4)))</f>
        <v>0</v>
      </c>
      <c r="O44">
        <f>IF($N44=0,0,IF(Settings!$B$5="percent",$M44*$N44/100,$N44))</f>
        <v>0</v>
      </c>
      <c r="P44">
        <f>IF($L44&lt;&gt;1,0,SUMIFS('JLR Materials'!$G:$G,'JLR Materials'!$A:$A,$K44,'JLR Materials'!$C:$C,IF(Settings!$B$2="","&lt;&gt;",Settings!$B$2),'JLR Materials'!$D:$D,IF(Settings!$B$4="","&lt;&gt;",Settings!$B$4)))</f>
        <v>0</v>
      </c>
    </row>
    <row r="45">
      <c r="A45" t="str">
        <v>mat-dp1000</v>
      </c>
      <c r="B45" t="str">
        <v>DP1000</v>
      </c>
      <c r="C45" t="str">
        <v>AHSS Sheet</v>
      </c>
      <c r="D45">
        <f>IF($M45&gt;0,$M45,1.52)</f>
        <v>1.52</v>
      </c>
      <c r="E45">
        <f>IF($O45&gt;0,$O45,0.22)</f>
        <v>0.22</v>
      </c>
      <c r="F45">
        <v>7850</v>
      </c>
      <c r="G45" t="str">
        <v>UK</v>
      </c>
      <c r="H45" t="str">
        <f>IF($M45&gt;0,IF($L45&lt;&gt;1,"2026-07",IFERROR(INDEX('JLR Materials'!$D:$D,MATCH($K45,'JLR Materials'!$A:$A,0)),"2026-07")),"2026-07")</f>
        <v>2026-07</v>
      </c>
      <c r="I45" t="str">
        <f>IF($M45&gt;0,"JLR rate card — material code "&amp;$K45,"UK AHSS coil Jul 2026. Dual-phase 1000 MPa UTS — cold-formed crash structures. Yield ~700 MPa.")</f>
        <v>UK AHSS coil Jul 2026. Dual-phase 1000 MPa UTS — cold-formed crash structures. Yield ~700 MPa.</v>
      </c>
      <c r="J45" t="str">
        <v>Low</v>
      </c>
      <c r="K45" t="str">
        <f>IFERROR(INDEX(Mapping!$C:$C,MATCH($A45,Mapping!$A:$A,0)),"")</f>
        <v/>
      </c>
      <c r="L45">
        <f>IF($K45="",0,COUNTIFS('JLR Materials'!$A:$A,$K45,'JLR Materials'!$C:$C,IF(Settings!$B$2="","&lt;&gt;",Settings!$B$2),'JLR Materials'!$D:$D,IF(Settings!$B$4="","&lt;&gt;",Settings!$B$4)))</f>
        <v>0</v>
      </c>
      <c r="M45">
        <f>IF($L45&lt;&gt;1,0,SUMIFS('JLR Materials'!$E:$E,'JLR Materials'!$A:$A,$K45,'JLR Materials'!$C:$C,IF(Settings!$B$2="","&lt;&gt;",Settings!$B$2),'JLR Materials'!$D:$D,IF(Settings!$B$4="","&lt;&gt;",Settings!$B$4)))</f>
        <v>0</v>
      </c>
      <c r="N45">
        <f>IF($L45&lt;&gt;1,0,SUMIFS('JLR Materials'!$F:$F,'JLR Materials'!$A:$A,$K45,'JLR Materials'!$C:$C,IF(Settings!$B$2="","&lt;&gt;",Settings!$B$2),'JLR Materials'!$D:$D,IF(Settings!$B$4="","&lt;&gt;",Settings!$B$4)))</f>
        <v>0</v>
      </c>
      <c r="O45">
        <f>IF($N45=0,0,IF(Settings!$B$5="percent",$M45*$N45/100,$N45))</f>
        <v>0</v>
      </c>
      <c r="P45">
        <f>IF($L45&lt;&gt;1,0,SUMIFS('JLR Materials'!$G:$G,'JLR Materials'!$A:$A,$K45,'JLR Materials'!$C:$C,IF(Settings!$B$2="","&lt;&gt;",Settings!$B$2),'JLR Materials'!$D:$D,IF(Settings!$B$4="","&lt;&gt;",Settings!$B$4)))</f>
        <v>0</v>
      </c>
    </row>
    <row r="46">
      <c r="A46" t="str">
        <v>mat-trip780</v>
      </c>
      <c r="B46" t="str">
        <v>TRIP780</v>
      </c>
      <c r="C46" t="str">
        <v>AHSS Sheet</v>
      </c>
      <c r="D46">
        <f>IF($M46&gt;0,$M46,1.4)</f>
        <v>1.4</v>
      </c>
      <c r="E46">
        <f>IF($O46&gt;0,$O46,0.22)</f>
        <v>0.22</v>
      </c>
      <c r="F46">
        <v>7850</v>
      </c>
      <c r="G46" t="str">
        <v>UK</v>
      </c>
      <c r="H46" t="str">
        <f>IF($M46&gt;0,IF($L46&lt;&gt;1,"2026-07",IFERROR(INDEX('JLR Materials'!$D:$D,MATCH($K46,'JLR Materials'!$A:$A,0)),"2026-07")),"2026-07")</f>
        <v>2026-07</v>
      </c>
      <c r="I46" t="str">
        <f>IF($M46&gt;0,"JLR rate card — material code "&amp;$K46,"UK AHSS coil Jul 2026. Transformation-induced plasticity 780 — best strength/formability balance, energy-absorbing members. Retained austenite. Yield ~440 MPa.")</f>
        <v>UK AHSS coil Jul 2026. Transformation-induced plasticity 780 — best strength/formability balance, energy-absorbing members. Retained austenite. Yield ~440 MPa.</v>
      </c>
      <c r="J46" t="str">
        <v>Low</v>
      </c>
      <c r="K46" t="str">
        <f>IFERROR(INDEX(Mapping!$C:$C,MATCH($A46,Mapping!$A:$A,0)),"")</f>
        <v/>
      </c>
      <c r="L46">
        <f>IF($K46="",0,COUNTIFS('JLR Materials'!$A:$A,$K46,'JLR Materials'!$C:$C,IF(Settings!$B$2="","&lt;&gt;",Settings!$B$2),'JLR Materials'!$D:$D,IF(Settings!$B$4="","&lt;&gt;",Settings!$B$4)))</f>
        <v>0</v>
      </c>
      <c r="M46">
        <f>IF($L46&lt;&gt;1,0,SUMIFS('JLR Materials'!$E:$E,'JLR Materials'!$A:$A,$K46,'JLR Materials'!$C:$C,IF(Settings!$B$2="","&lt;&gt;",Settings!$B$2),'JLR Materials'!$D:$D,IF(Settings!$B$4="","&lt;&gt;",Settings!$B$4)))</f>
        <v>0</v>
      </c>
      <c r="N46">
        <f>IF($L46&lt;&gt;1,0,SUMIFS('JLR Materials'!$F:$F,'JLR Materials'!$A:$A,$K46,'JLR Materials'!$C:$C,IF(Settings!$B$2="","&lt;&gt;",Settings!$B$2),'JLR Materials'!$D:$D,IF(Settings!$B$4="","&lt;&gt;",Settings!$B$4)))</f>
        <v>0</v>
      </c>
      <c r="O46">
        <f>IF($N46=0,0,IF(Settings!$B$5="percent",$M46*$N46/100,$N46))</f>
        <v>0</v>
      </c>
      <c r="P46">
        <f>IF($L46&lt;&gt;1,0,SUMIFS('JLR Materials'!$G:$G,'JLR Materials'!$A:$A,$K46,'JLR Materials'!$C:$C,IF(Settings!$B$2="","&lt;&gt;",Settings!$B$2),'JLR Materials'!$D:$D,IF(Settings!$B$4="","&lt;&gt;",Settings!$B$4)))</f>
        <v>0</v>
      </c>
    </row>
    <row r="47">
      <c r="A47" t="str">
        <v>mat-cp800</v>
      </c>
      <c r="B47" t="str">
        <v>CP800 (Complex Phase)</v>
      </c>
      <c r="C47" t="str">
        <v>AHSS Sheet</v>
      </c>
      <c r="D47">
        <f>IF($M47&gt;0,$M47,1.38)</f>
        <v>1.38</v>
      </c>
      <c r="E47">
        <f>IF($O47&gt;0,$O47,0.22)</f>
        <v>0.22</v>
      </c>
      <c r="F47">
        <v>7850</v>
      </c>
      <c r="G47" t="str">
        <v>UK</v>
      </c>
      <c r="H47" t="str">
        <f>IF($M47&gt;0,IF($L47&lt;&gt;1,"2026-07",IFERROR(INDEX('JLR Materials'!$D:$D,MATCH($K47,'JLR Materials'!$A:$A,0)),"2026-07")),"2026-07")</f>
        <v>2026-07</v>
      </c>
      <c r="I47" t="str">
        <f>IF($M47&gt;0,"JLR rate card — material code "&amp;$K47,"UK AHSS coil Jul 2026. Complex-phase 800 — high yield, good edge-stretch/hole expansion for chassis &amp; suspension parts. Yield ~680 MPa.")</f>
        <v>UK AHSS coil Jul 2026. Complex-phase 800 — high yield, good edge-stretch/hole expansion for chassis &amp; suspension parts. Yield ~680 MPa.</v>
      </c>
      <c r="J47" t="str">
        <v>Low</v>
      </c>
      <c r="K47" t="str">
        <f>IFERROR(INDEX(Mapping!$C:$C,MATCH($A47,Mapping!$A:$A,0)),"")</f>
        <v/>
      </c>
      <c r="L47">
        <f>IF($K47="",0,COUNTIFS('JLR Materials'!$A:$A,$K47,'JLR Materials'!$C:$C,IF(Settings!$B$2="","&lt;&gt;",Settings!$B$2),'JLR Materials'!$D:$D,IF(Settings!$B$4="","&lt;&gt;",Settings!$B$4)))</f>
        <v>0</v>
      </c>
      <c r="M47">
        <f>IF($L47&lt;&gt;1,0,SUMIFS('JLR Materials'!$E:$E,'JLR Materials'!$A:$A,$K47,'JLR Materials'!$C:$C,IF(Settings!$B$2="","&lt;&gt;",Settings!$B$2),'JLR Materials'!$D:$D,IF(Settings!$B$4="","&lt;&gt;",Settings!$B$4)))</f>
        <v>0</v>
      </c>
      <c r="N47">
        <f>IF($L47&lt;&gt;1,0,SUMIFS('JLR Materials'!$F:$F,'JLR Materials'!$A:$A,$K47,'JLR Materials'!$C:$C,IF(Settings!$B$2="","&lt;&gt;",Settings!$B$2),'JLR Materials'!$D:$D,IF(Settings!$B$4="","&lt;&gt;",Settings!$B$4)))</f>
        <v>0</v>
      </c>
      <c r="O47">
        <f>IF($N47=0,0,IF(Settings!$B$5="percent",$M47*$N47/100,$N47))</f>
        <v>0</v>
      </c>
      <c r="P47">
        <f>IF($L47&lt;&gt;1,0,SUMIFS('JLR Materials'!$G:$G,'JLR Materials'!$A:$A,$K47,'JLR Materials'!$C:$C,IF(Settings!$B$2="","&lt;&gt;",Settings!$B$2),'JLR Materials'!$D:$D,IF(Settings!$B$4="","&lt;&gt;",Settings!$B$4)))</f>
        <v>0</v>
      </c>
    </row>
    <row r="48">
      <c r="A48" t="str">
        <v>mat-ms1200</v>
      </c>
      <c r="B48" t="str">
        <v>MS1200 (Martensitic)</v>
      </c>
      <c r="C48" t="str">
        <v>Ultra-High Strength Steel</v>
      </c>
      <c r="D48">
        <f>IF($M48&gt;0,$M48,1.55)</f>
        <v>1.55</v>
      </c>
      <c r="E48">
        <f>IF($O48&gt;0,$O48,0.22)</f>
        <v>0.22</v>
      </c>
      <c r="F48">
        <v>7850</v>
      </c>
      <c r="G48" t="str">
        <v>UK</v>
      </c>
      <c r="H48" t="str">
        <f>IF($M48&gt;0,IF($L48&lt;&gt;1,"2026-07",IFERROR(INDEX('JLR Materials'!$D:$D,MATCH($K48,'JLR Materials'!$A:$A,0)),"2026-07")),"2026-07")</f>
        <v>2026-07</v>
      </c>
      <c r="I48" t="str">
        <f>IF($M48&gt;0,"JLR rate card — material code "&amp;$K48,"UK UHSS coil Jul 2026. Martensitic 1200 MPa — roll-formed bumper beams, door beams. Very low formability, roll-form only. Yield ~950 MPa.")</f>
        <v>UK UHSS coil Jul 2026. Martensitic 1200 MPa — roll-formed bumper beams, door beams. Very low formability, roll-form only. Yield ~950 MPa.</v>
      </c>
      <c r="J48" t="str">
        <v>Low</v>
      </c>
      <c r="K48" t="str">
        <f>IFERROR(INDEX(Mapping!$C:$C,MATCH($A48,Mapping!$A:$A,0)),"")</f>
        <v/>
      </c>
      <c r="L48">
        <f>IF($K48="",0,COUNTIFS('JLR Materials'!$A:$A,$K48,'JLR Materials'!$C:$C,IF(Settings!$B$2="","&lt;&gt;",Settings!$B$2),'JLR Materials'!$D:$D,IF(Settings!$B$4="","&lt;&gt;",Settings!$B$4)))</f>
        <v>0</v>
      </c>
      <c r="M48">
        <f>IF($L48&lt;&gt;1,0,SUMIFS('JLR Materials'!$E:$E,'JLR Materials'!$A:$A,$K48,'JLR Materials'!$C:$C,IF(Settings!$B$2="","&lt;&gt;",Settings!$B$2),'JLR Materials'!$D:$D,IF(Settings!$B$4="","&lt;&gt;",Settings!$B$4)))</f>
        <v>0</v>
      </c>
      <c r="N48">
        <f>IF($L48&lt;&gt;1,0,SUMIFS('JLR Materials'!$F:$F,'JLR Materials'!$A:$A,$K48,'JLR Materials'!$C:$C,IF(Settings!$B$2="","&lt;&gt;",Settings!$B$2),'JLR Materials'!$D:$D,IF(Settings!$B$4="","&lt;&gt;",Settings!$B$4)))</f>
        <v>0</v>
      </c>
      <c r="O48">
        <f>IF($N48=0,0,IF(Settings!$B$5="percent",$M48*$N48/100,$N48))</f>
        <v>0</v>
      </c>
      <c r="P48">
        <f>IF($L48&lt;&gt;1,0,SUMIFS('JLR Materials'!$G:$G,'JLR Materials'!$A:$A,$K48,'JLR Materials'!$C:$C,IF(Settings!$B$2="","&lt;&gt;",Settings!$B$2),'JLR Materials'!$D:$D,IF(Settings!$B$4="","&lt;&gt;",Settings!$B$4)))</f>
        <v>0</v>
      </c>
    </row>
    <row r="49">
      <c r="A49" t="str">
        <v>mat-ms1500</v>
      </c>
      <c r="B49" t="str">
        <v>MS1500 (Martensitic)</v>
      </c>
      <c r="C49" t="str">
        <v>Ultra-High Strength Steel</v>
      </c>
      <c r="D49">
        <f>IF($M49&gt;0,$M49,1.72)</f>
        <v>1.72</v>
      </c>
      <c r="E49">
        <f>IF($O49&gt;0,$O49,0.22)</f>
        <v>0.22</v>
      </c>
      <c r="F49">
        <v>7850</v>
      </c>
      <c r="G49" t="str">
        <v>UK</v>
      </c>
      <c r="H49" t="str">
        <f>IF($M49&gt;0,IF($L49&lt;&gt;1,"2026-07",IFERROR(INDEX('JLR Materials'!$D:$D,MATCH($K49,'JLR Materials'!$A:$A,0)),"2026-07")),"2026-07")</f>
        <v>2026-07</v>
      </c>
      <c r="I49" t="str">
        <f>IF($M49&gt;0,"JLR rate card — material code "&amp;$K49,"UK UHSS coil Jul 2026. Martensitic 1500 MPa — bumper beams, intrusion beams. Roll-forming or hot forming only. Yield ~1200 MPa.")</f>
        <v>UK UHSS coil Jul 2026. Martensitic 1500 MPa — bumper beams, intrusion beams. Roll-forming or hot forming only. Yield ~1200 MPa.</v>
      </c>
      <c r="J49" t="str">
        <v>Low</v>
      </c>
      <c r="K49" t="str">
        <f>IFERROR(INDEX(Mapping!$C:$C,MATCH($A49,Mapping!$A:$A,0)),"")</f>
        <v/>
      </c>
      <c r="L49">
        <f>IF($K49="",0,COUNTIFS('JLR Materials'!$A:$A,$K49,'JLR Materials'!$C:$C,IF(Settings!$B$2="","&lt;&gt;",Settings!$B$2),'JLR Materials'!$D:$D,IF(Settings!$B$4="","&lt;&gt;",Settings!$B$4)))</f>
        <v>0</v>
      </c>
      <c r="M49">
        <f>IF($L49&lt;&gt;1,0,SUMIFS('JLR Materials'!$E:$E,'JLR Materials'!$A:$A,$K49,'JLR Materials'!$C:$C,IF(Settings!$B$2="","&lt;&gt;",Settings!$B$2),'JLR Materials'!$D:$D,IF(Settings!$B$4="","&lt;&gt;",Settings!$B$4)))</f>
        <v>0</v>
      </c>
      <c r="N49">
        <f>IF($L49&lt;&gt;1,0,SUMIFS('JLR Materials'!$F:$F,'JLR Materials'!$A:$A,$K49,'JLR Materials'!$C:$C,IF(Settings!$B$2="","&lt;&gt;",Settings!$B$2),'JLR Materials'!$D:$D,IF(Settings!$B$4="","&lt;&gt;",Settings!$B$4)))</f>
        <v>0</v>
      </c>
      <c r="O49">
        <f>IF($N49=0,0,IF(Settings!$B$5="percent",$M49*$N49/100,$N49))</f>
        <v>0</v>
      </c>
      <c r="P49">
        <f>IF($L49&lt;&gt;1,0,SUMIFS('JLR Materials'!$G:$G,'JLR Materials'!$A:$A,$K49,'JLR Materials'!$C:$C,IF(Settings!$B$2="","&lt;&gt;",Settings!$B$2),'JLR Materials'!$D:$D,IF(Settings!$B$4="","&lt;&gt;",Settings!$B$4)))</f>
        <v>0</v>
      </c>
    </row>
    <row r="50">
      <c r="A50" t="str">
        <v>mat-usibor1500</v>
      </c>
      <c r="B50" t="str">
        <v>Usibor 1500 (AlSi-coated 22MnB5)</v>
      </c>
      <c r="C50" t="str">
        <v>Press-Hardening Steel</v>
      </c>
      <c r="D50">
        <f>IF($M50&gt;0,$M50,1.95)</f>
        <v>1.95</v>
      </c>
      <c r="E50">
        <f>IF($O50&gt;0,$O50,0.22)</f>
        <v>0.22</v>
      </c>
      <c r="F50">
        <v>7850</v>
      </c>
      <c r="G50" t="str">
        <v>UK</v>
      </c>
      <c r="H50" t="str">
        <f>IF($M50&gt;0,IF($L50&lt;&gt;1,"2026-07",IFERROR(INDEX('JLR Materials'!$D:$D,MATCH($K50,'JLR Materials'!$A:$A,0)),"2026-07")),"2026-07")</f>
        <v>2026-07</v>
      </c>
      <c r="I50" t="str">
        <f>IF($M50&gt;0,"JLR rate card — material code "&amp;$K50,"UK PHS coil Jul 2026. AlSi-coated boron for hot stamping — A/B-pillar, rocker, roof rail. ~1500 MPa after press-hardening quench. Requires ~900°C furnace + water-cooled dies. Yield ~1100 MPa.")</f>
        <v>UK PHS coil Jul 2026. AlSi-coated boron for hot stamping — A/B-pillar, rocker, roof rail. ~1500 MPa after press-hardening quench. Requires ~900°C furnace + water-cooled dies. Yield ~1100 MPa.</v>
      </c>
      <c r="J50" t="str">
        <v>Low</v>
      </c>
      <c r="K50" t="str">
        <f>IFERROR(INDEX(Mapping!$C:$C,MATCH($A50,Mapping!$A:$A,0)),"")</f>
        <v/>
      </c>
      <c r="L50">
        <f>IF($K50="",0,COUNTIFS('JLR Materials'!$A:$A,$K50,'JLR Materials'!$C:$C,IF(Settings!$B$2="","&lt;&gt;",Settings!$B$2),'JLR Materials'!$D:$D,IF(Settings!$B$4="","&lt;&gt;",Settings!$B$4)))</f>
        <v>0</v>
      </c>
      <c r="M50">
        <f>IF($L50&lt;&gt;1,0,SUMIFS('JLR Materials'!$E:$E,'JLR Materials'!$A:$A,$K50,'JLR Materials'!$C:$C,IF(Settings!$B$2="","&lt;&gt;",Settings!$B$2),'JLR Materials'!$D:$D,IF(Settings!$B$4="","&lt;&gt;",Settings!$B$4)))</f>
        <v>0</v>
      </c>
      <c r="N50">
        <f>IF($L50&lt;&gt;1,0,SUMIFS('JLR Materials'!$F:$F,'JLR Materials'!$A:$A,$K50,'JLR Materials'!$C:$C,IF(Settings!$B$2="","&lt;&gt;",Settings!$B$2),'JLR Materials'!$D:$D,IF(Settings!$B$4="","&lt;&gt;",Settings!$B$4)))</f>
        <v>0</v>
      </c>
      <c r="O50">
        <f>IF($N50=0,0,IF(Settings!$B$5="percent",$M50*$N50/100,$N50))</f>
        <v>0</v>
      </c>
      <c r="P50">
        <f>IF($L50&lt;&gt;1,0,SUMIFS('JLR Materials'!$G:$G,'JLR Materials'!$A:$A,$K50,'JLR Materials'!$C:$C,IF(Settings!$B$2="","&lt;&gt;",Settings!$B$2),'JLR Materials'!$D:$D,IF(Settings!$B$4="","&lt;&gt;",Settings!$B$4)))</f>
        <v>0</v>
      </c>
    </row>
    <row r="51">
      <c r="A51" t="str">
        <v>mat-usibor2000</v>
      </c>
      <c r="B51" t="str">
        <v>Usibor 2000</v>
      </c>
      <c r="C51" t="str">
        <v>Press-Hardening Steel</v>
      </c>
      <c r="D51">
        <f>IF($M51&gt;0,$M51,2.35)</f>
        <v>2.35</v>
      </c>
      <c r="E51">
        <f>IF($O51&gt;0,$O51,0.22)</f>
        <v>0.22</v>
      </c>
      <c r="F51">
        <v>7850</v>
      </c>
      <c r="G51" t="str">
        <v>UK</v>
      </c>
      <c r="H51" t="str">
        <f>IF($M51&gt;0,IF($L51&lt;&gt;1,"2026-07",IFERROR(INDEX('JLR Materials'!$D:$D,MATCH($K51,'JLR Materials'!$A:$A,0)),"2026-07")),"2026-07")</f>
        <v>2026-07</v>
      </c>
      <c r="I51" t="str">
        <f>IF($M51&gt;0,"JLR rate card — material code "&amp;$K51,"UK PHS coil Jul 2026. Next-gen ~2000 MPa press-hardening steel for lightweight safety cage. Highest strength hot-stamping grade. Yield ~1400 MPa.")</f>
        <v>UK PHS coil Jul 2026. Next-gen ~2000 MPa press-hardening steel for lightweight safety cage. Highest strength hot-stamping grade. Yield ~1400 MPa.</v>
      </c>
      <c r="J51" t="str">
        <v>Low</v>
      </c>
      <c r="K51" t="str">
        <f>IFERROR(INDEX(Mapping!$C:$C,MATCH($A51,Mapping!$A:$A,0)),"")</f>
        <v/>
      </c>
      <c r="L51">
        <f>IF($K51="",0,COUNTIFS('JLR Materials'!$A:$A,$K51,'JLR Materials'!$C:$C,IF(Settings!$B$2="","&lt;&gt;",Settings!$B$2),'JLR Materials'!$D:$D,IF(Settings!$B$4="","&lt;&gt;",Settings!$B$4)))</f>
        <v>0</v>
      </c>
      <c r="M51">
        <f>IF($L51&lt;&gt;1,0,SUMIFS('JLR Materials'!$E:$E,'JLR Materials'!$A:$A,$K51,'JLR Materials'!$C:$C,IF(Settings!$B$2="","&lt;&gt;",Settings!$B$2),'JLR Materials'!$D:$D,IF(Settings!$B$4="","&lt;&gt;",Settings!$B$4)))</f>
        <v>0</v>
      </c>
      <c r="N51">
        <f>IF($L51&lt;&gt;1,0,SUMIFS('JLR Materials'!$F:$F,'JLR Materials'!$A:$A,$K51,'JLR Materials'!$C:$C,IF(Settings!$B$2="","&lt;&gt;",Settings!$B$2),'JLR Materials'!$D:$D,IF(Settings!$B$4="","&lt;&gt;",Settings!$B$4)))</f>
        <v>0</v>
      </c>
      <c r="O51">
        <f>IF($N51=0,0,IF(Settings!$B$5="percent",$M51*$N51/100,$N51))</f>
        <v>0</v>
      </c>
      <c r="P51">
        <f>IF($L51&lt;&gt;1,0,SUMIFS('JLR Materials'!$G:$G,'JLR Materials'!$A:$A,$K51,'JLR Materials'!$C:$C,IF(Settings!$B$2="","&lt;&gt;",Settings!$B$2),'JLR Materials'!$D:$D,IF(Settings!$B$4="","&lt;&gt;",Settings!$B$4)))</f>
        <v>0</v>
      </c>
    </row>
    <row r="52">
      <c r="A52" t="str">
        <v>mat-ms1300</v>
      </c>
      <c r="B52" t="str">
        <v>MS1300 (Martensitic)</v>
      </c>
      <c r="C52" t="str">
        <v>Ultra-High Strength Steel</v>
      </c>
      <c r="D52">
        <f>IF($M52&gt;0,$M52,1.62)</f>
        <v>1.62</v>
      </c>
      <c r="E52">
        <f>IF($O52&gt;0,$O52,0.22)</f>
        <v>0.22</v>
      </c>
      <c r="F52">
        <v>7850</v>
      </c>
      <c r="G52" t="str">
        <v>UK</v>
      </c>
      <c r="H52" t="str">
        <f>IF($M52&gt;0,IF($L52&lt;&gt;1,"2026-07",IFERROR(INDEX('JLR Materials'!$D:$D,MATCH($K52,'JLR Materials'!$A:$A,0)),"2026-07")),"2026-07")</f>
        <v>2026-07</v>
      </c>
      <c r="I52" t="str">
        <f>IF($M52&gt;0,"JLR rate card — material code "&amp;$K52,"UK UHSS coil Jul 2026. Martensitic 1300 MPa — roll-formed reinforcements. Yield ~1050 MPa.")</f>
        <v>UK UHSS coil Jul 2026. Martensitic 1300 MPa — roll-formed reinforcements. Yield ~1050 MPa.</v>
      </c>
      <c r="J52" t="str">
        <v>Low</v>
      </c>
      <c r="K52" t="str">
        <f>IFERROR(INDEX(Mapping!$C:$C,MATCH($A52,Mapping!$A:$A,0)),"")</f>
        <v/>
      </c>
      <c r="L52">
        <f>IF($K52="",0,COUNTIFS('JLR Materials'!$A:$A,$K52,'JLR Materials'!$C:$C,IF(Settings!$B$2="","&lt;&gt;",Settings!$B$2),'JLR Materials'!$D:$D,IF(Settings!$B$4="","&lt;&gt;",Settings!$B$4)))</f>
        <v>0</v>
      </c>
      <c r="M52">
        <f>IF($L52&lt;&gt;1,0,SUMIFS('JLR Materials'!$E:$E,'JLR Materials'!$A:$A,$K52,'JLR Materials'!$C:$C,IF(Settings!$B$2="","&lt;&gt;",Settings!$B$2),'JLR Materials'!$D:$D,IF(Settings!$B$4="","&lt;&gt;",Settings!$B$4)))</f>
        <v>0</v>
      </c>
      <c r="N52">
        <f>IF($L52&lt;&gt;1,0,SUMIFS('JLR Materials'!$F:$F,'JLR Materials'!$A:$A,$K52,'JLR Materials'!$C:$C,IF(Settings!$B$2="","&lt;&gt;",Settings!$B$2),'JLR Materials'!$D:$D,IF(Settings!$B$4="","&lt;&gt;",Settings!$B$4)))</f>
        <v>0</v>
      </c>
      <c r="O52">
        <f>IF($N52=0,0,IF(Settings!$B$5="percent",$M52*$N52/100,$N52))</f>
        <v>0</v>
      </c>
      <c r="P52">
        <f>IF($L52&lt;&gt;1,0,SUMIFS('JLR Materials'!$G:$G,'JLR Materials'!$A:$A,$K52,'JLR Materials'!$C:$C,IF(Settings!$B$2="","&lt;&gt;",Settings!$B$2),'JLR Materials'!$D:$D,IF(Settings!$B$4="","&lt;&gt;",Settings!$B$4)))</f>
        <v>0</v>
      </c>
    </row>
    <row r="53">
      <c r="A53" t="str">
        <v>mat-qp980</v>
      </c>
      <c r="B53" t="str">
        <v>QP980 (Quench &amp; Partition)</v>
      </c>
      <c r="C53" t="str">
        <v>AHSS Sheet (3rd Gen)</v>
      </c>
      <c r="D53">
        <f>IF($M53&gt;0,$M53,1.68)</f>
        <v>1.68</v>
      </c>
      <c r="E53">
        <f>IF($O53&gt;0,$O53,0.22)</f>
        <v>0.22</v>
      </c>
      <c r="F53">
        <v>7850</v>
      </c>
      <c r="G53" t="str">
        <v>UK</v>
      </c>
      <c r="H53" t="str">
        <f>IF($M53&gt;0,IF($L53&lt;&gt;1,"2026-07",IFERROR(INDEX('JLR Materials'!$D:$D,MATCH($K53,'JLR Materials'!$A:$A,0)),"2026-07")),"2026-07")</f>
        <v>2026-07</v>
      </c>
      <c r="I53" t="str">
        <f>IF($M53&gt;0,"JLR rate card — material code "&amp;$K53,"UK AHSS coil Jul 2026. 3rd-gen quench-and-partition 980 — cold-formable at 980 MPa, high elongation. Structural + formable geometry. Yield ~700 MPa.")</f>
        <v>UK AHSS coil Jul 2026. 3rd-gen quench-and-partition 980 — cold-formable at 980 MPa, high elongation. Structural + formable geometry. Yield ~700 MPa.</v>
      </c>
      <c r="J53" t="str">
        <v>Low</v>
      </c>
      <c r="K53" t="str">
        <f>IFERROR(INDEX(Mapping!$C:$C,MATCH($A53,Mapping!$A:$A,0)),"")</f>
        <v/>
      </c>
      <c r="L53">
        <f>IF($K53="",0,COUNTIFS('JLR Materials'!$A:$A,$K53,'JLR Materials'!$C:$C,IF(Settings!$B$2="","&lt;&gt;",Settings!$B$2),'JLR Materials'!$D:$D,IF(Settings!$B$4="","&lt;&gt;",Settings!$B$4)))</f>
        <v>0</v>
      </c>
      <c r="M53">
        <f>IF($L53&lt;&gt;1,0,SUMIFS('JLR Materials'!$E:$E,'JLR Materials'!$A:$A,$K53,'JLR Materials'!$C:$C,IF(Settings!$B$2="","&lt;&gt;",Settings!$B$2),'JLR Materials'!$D:$D,IF(Settings!$B$4="","&lt;&gt;",Settings!$B$4)))</f>
        <v>0</v>
      </c>
      <c r="N53">
        <f>IF($L53&lt;&gt;1,0,SUMIFS('JLR Materials'!$F:$F,'JLR Materials'!$A:$A,$K53,'JLR Materials'!$C:$C,IF(Settings!$B$2="","&lt;&gt;",Settings!$B$2),'JLR Materials'!$D:$D,IF(Settings!$B$4="","&lt;&gt;",Settings!$B$4)))</f>
        <v>0</v>
      </c>
      <c r="O53">
        <f>IF($N53=0,0,IF(Settings!$B$5="percent",$M53*$N53/100,$N53))</f>
        <v>0</v>
      </c>
      <c r="P53">
        <f>IF($L53&lt;&gt;1,0,SUMIFS('JLR Materials'!$G:$G,'JLR Materials'!$A:$A,$K53,'JLR Materials'!$C:$C,IF(Settings!$B$2="","&lt;&gt;",Settings!$B$2),'JLR Materials'!$D:$D,IF(Settings!$B$4="","&lt;&gt;",Settings!$B$4)))</f>
        <v>0</v>
      </c>
    </row>
    <row r="54">
      <c r="A54" t="str">
        <v>mat-medmn1180</v>
      </c>
      <c r="B54" t="str">
        <v>Medium-Mn 1180</v>
      </c>
      <c r="C54" t="str">
        <v>AHSS Sheet (3rd Gen)</v>
      </c>
      <c r="D54">
        <f>IF($M54&gt;0,$M54,1.75)</f>
        <v>1.75</v>
      </c>
      <c r="E54">
        <f>IF($O54&gt;0,$O54,0.22)</f>
        <v>0.22</v>
      </c>
      <c r="F54">
        <v>7850</v>
      </c>
      <c r="G54" t="str">
        <v>UK</v>
      </c>
      <c r="H54" t="str">
        <f>IF($M54&gt;0,IF($L54&lt;&gt;1,"2026-07",IFERROR(INDEX('JLR Materials'!$D:$D,MATCH($K54,'JLR Materials'!$A:$A,0)),"2026-07")),"2026-07")</f>
        <v>2026-07</v>
      </c>
      <c r="I54" t="str">
        <f>IF($M54&gt;0,"JLR rate card — material code "&amp;$K54,"UK AHSS coil Jul 2026. 3rd-gen medium-manganese 1180 — high strength + ductility for cold-formed safety parts. Yield ~850 MPa.")</f>
        <v>UK AHSS coil Jul 2026. 3rd-gen medium-manganese 1180 — high strength + ductility for cold-formed safety parts. Yield ~850 MPa.</v>
      </c>
      <c r="J54" t="str">
        <v>Low</v>
      </c>
      <c r="K54" t="str">
        <f>IFERROR(INDEX(Mapping!$C:$C,MATCH($A54,Mapping!$A:$A,0)),"")</f>
        <v/>
      </c>
      <c r="L54">
        <f>IF($K54="",0,COUNTIFS('JLR Materials'!$A:$A,$K54,'JLR Materials'!$C:$C,IF(Settings!$B$2="","&lt;&gt;",Settings!$B$2),'JLR Materials'!$D:$D,IF(Settings!$B$4="","&lt;&gt;",Settings!$B$4)))</f>
        <v>0</v>
      </c>
      <c r="M54">
        <f>IF($L54&lt;&gt;1,0,SUMIFS('JLR Materials'!$E:$E,'JLR Materials'!$A:$A,$K54,'JLR Materials'!$C:$C,IF(Settings!$B$2="","&lt;&gt;",Settings!$B$2),'JLR Materials'!$D:$D,IF(Settings!$B$4="","&lt;&gt;",Settings!$B$4)))</f>
        <v>0</v>
      </c>
      <c r="N54">
        <f>IF($L54&lt;&gt;1,0,SUMIFS('JLR Materials'!$F:$F,'JLR Materials'!$A:$A,$K54,'JLR Materials'!$C:$C,IF(Settings!$B$2="","&lt;&gt;",Settings!$B$2),'JLR Materials'!$D:$D,IF(Settings!$B$4="","&lt;&gt;",Settings!$B$4)))</f>
        <v>0</v>
      </c>
      <c r="O54">
        <f>IF($N54=0,0,IF(Settings!$B$5="percent",$M54*$N54/100,$N54))</f>
        <v>0</v>
      </c>
      <c r="P54">
        <f>IF($L54&lt;&gt;1,0,SUMIFS('JLR Materials'!$G:$G,'JLR Materials'!$A:$A,$K54,'JLR Materials'!$C:$C,IF(Settings!$B$2="","&lt;&gt;",Settings!$B$2),'JLR Materials'!$D:$D,IF(Settings!$B$4="","&lt;&gt;",Settings!$B$4)))</f>
        <v>0</v>
      </c>
    </row>
    <row r="55">
      <c r="A55" t="str">
        <v>mat-hsla550</v>
      </c>
      <c r="B55" t="str">
        <v>HSLA 550</v>
      </c>
      <c r="C55" t="str">
        <v>High Strength Steel Sheet</v>
      </c>
      <c r="D55">
        <f>IF($M55&gt;0,$M55,1.34)</f>
        <v>1.34</v>
      </c>
      <c r="E55">
        <f>IF($O55&gt;0,$O55,0.22)</f>
        <v>0.22</v>
      </c>
      <c r="F55">
        <v>7850</v>
      </c>
      <c r="G55" t="str">
        <v>UK</v>
      </c>
      <c r="H55" t="str">
        <f>IF($M55&gt;0,IF($L55&lt;&gt;1,"2026-07",IFERROR(INDEX('JLR Materials'!$D:$D,MATCH($K55,'JLR Materials'!$A:$A,0)),"2026-07")),"2026-07")</f>
        <v>2026-07</v>
      </c>
      <c r="I55" t="str">
        <f>IF($M55&gt;0,"JLR rate card — material code "&amp;$K55,"UK HSLA coil Jul 2026. 550 MPa min yield — chassis brackets, cross members, heavy reinforcements. Yield 550 MPa.")</f>
        <v>UK HSLA coil Jul 2026. 550 MPa min yield — chassis brackets, cross members, heavy reinforcements. Yield 550 MPa.</v>
      </c>
      <c r="J55" t="str">
        <v>Low</v>
      </c>
      <c r="K55" t="str">
        <f>IFERROR(INDEX(Mapping!$C:$C,MATCH($A55,Mapping!$A:$A,0)),"")</f>
        <v/>
      </c>
      <c r="L55">
        <f>IF($K55="",0,COUNTIFS('JLR Materials'!$A:$A,$K55,'JLR Materials'!$C:$C,IF(Settings!$B$2="","&lt;&gt;",Settings!$B$2),'JLR Materials'!$D:$D,IF(Settings!$B$4="","&lt;&gt;",Settings!$B$4)))</f>
        <v>0</v>
      </c>
      <c r="M55">
        <f>IF($L55&lt;&gt;1,0,SUMIFS('JLR Materials'!$E:$E,'JLR Materials'!$A:$A,$K55,'JLR Materials'!$C:$C,IF(Settings!$B$2="","&lt;&gt;",Settings!$B$2),'JLR Materials'!$D:$D,IF(Settings!$B$4="","&lt;&gt;",Settings!$B$4)))</f>
        <v>0</v>
      </c>
      <c r="N55">
        <f>IF($L55&lt;&gt;1,0,SUMIFS('JLR Materials'!$F:$F,'JLR Materials'!$A:$A,$K55,'JLR Materials'!$C:$C,IF(Settings!$B$2="","&lt;&gt;",Settings!$B$2),'JLR Materials'!$D:$D,IF(Settings!$B$4="","&lt;&gt;",Settings!$B$4)))</f>
        <v>0</v>
      </c>
      <c r="O55">
        <f>IF($N55=0,0,IF(Settings!$B$5="percent",$M55*$N55/100,$N55))</f>
        <v>0</v>
      </c>
      <c r="P55">
        <f>IF($L55&lt;&gt;1,0,SUMIFS('JLR Materials'!$G:$G,'JLR Materials'!$A:$A,$K55,'JLR Materials'!$C:$C,IF(Settings!$B$2="","&lt;&gt;",Settings!$B$2),'JLR Materials'!$D:$D,IF(Settings!$B$4="","&lt;&gt;",Settings!$B$4)))</f>
        <v>0</v>
      </c>
    </row>
    <row r="56">
      <c r="A56" t="str">
        <v>mat-bh260</v>
      </c>
      <c r="B56" t="str">
        <v>BH260 (Bake-Hardening)</v>
      </c>
      <c r="C56" t="str">
        <v>Bake-Hardening Steel Sheet</v>
      </c>
      <c r="D56">
        <f>IF($M56&gt;0,$M56,1.05)</f>
        <v>1.05</v>
      </c>
      <c r="E56">
        <f>IF($O56&gt;0,$O56,0.21)</f>
        <v>0.21</v>
      </c>
      <c r="F56">
        <v>7850</v>
      </c>
      <c r="G56" t="str">
        <v>UK</v>
      </c>
      <c r="H56" t="str">
        <f>IF($M56&gt;0,IF($L56&lt;&gt;1,"2026-07",IFERROR(INDEX('JLR Materials'!$D:$D,MATCH($K56,'JLR Materials'!$A:$A,0)),"2026-07")),"2026-07")</f>
        <v>2026-07</v>
      </c>
      <c r="I56" t="str">
        <f>IF($M56&gt;0,"JLR rate card — material code "&amp;$K56,"UK BH coil Jul 2026. Bake-hardening +260 — outer body panels; formable when stamped, gains strength &amp; dent resistance after paint-bake. Yield ~180 MPa (pre-bake).")</f>
        <v>UK BH coil Jul 2026. Bake-hardening +260 — outer body panels; formable when stamped, gains strength &amp; dent resistance after paint-bake. Yield ~180 MPa (pre-bake).</v>
      </c>
      <c r="J56" t="str">
        <v>Low</v>
      </c>
      <c r="K56" t="str">
        <f>IFERROR(INDEX(Mapping!$C:$C,MATCH($A56,Mapping!$A:$A,0)),"")</f>
        <v/>
      </c>
      <c r="L56">
        <f>IF($K56="",0,COUNTIFS('JLR Materials'!$A:$A,$K56,'JLR Materials'!$C:$C,IF(Settings!$B$2="","&lt;&gt;",Settings!$B$2),'JLR Materials'!$D:$D,IF(Settings!$B$4="","&lt;&gt;",Settings!$B$4)))</f>
        <v>0</v>
      </c>
      <c r="M56">
        <f>IF($L56&lt;&gt;1,0,SUMIFS('JLR Materials'!$E:$E,'JLR Materials'!$A:$A,$K56,'JLR Materials'!$C:$C,IF(Settings!$B$2="","&lt;&gt;",Settings!$B$2),'JLR Materials'!$D:$D,IF(Settings!$B$4="","&lt;&gt;",Settings!$B$4)))</f>
        <v>0</v>
      </c>
      <c r="N56">
        <f>IF($L56&lt;&gt;1,0,SUMIFS('JLR Materials'!$F:$F,'JLR Materials'!$A:$A,$K56,'JLR Materials'!$C:$C,IF(Settings!$B$2="","&lt;&gt;",Settings!$B$2),'JLR Materials'!$D:$D,IF(Settings!$B$4="","&lt;&gt;",Settings!$B$4)))</f>
        <v>0</v>
      </c>
      <c r="O56">
        <f>IF($N56=0,0,IF(Settings!$B$5="percent",$M56*$N56/100,$N56))</f>
        <v>0</v>
      </c>
      <c r="P56">
        <f>IF($L56&lt;&gt;1,0,SUMIFS('JLR Materials'!$G:$G,'JLR Materials'!$A:$A,$K56,'JLR Materials'!$C:$C,IF(Settings!$B$2="","&lt;&gt;",Settings!$B$2),'JLR Materials'!$D:$D,IF(Settings!$B$4="","&lt;&gt;",Settings!$B$4)))</f>
        <v>0</v>
      </c>
    </row>
    <row r="57">
      <c r="A57" t="str">
        <v>mat-if-dx56</v>
      </c>
      <c r="B57" t="str">
        <v>DX56D IF (Interstitial-Free)</v>
      </c>
      <c r="C57" t="str">
        <v>IF Steel Sheet</v>
      </c>
      <c r="D57">
        <f>IF($M57&gt;0,$M57,0.95)</f>
        <v>0.95</v>
      </c>
      <c r="E57">
        <f>IF($O57&gt;0,$O57,0.2)</f>
        <v>0.2</v>
      </c>
      <c r="F57">
        <v>7850</v>
      </c>
      <c r="G57" t="str">
        <v>UK</v>
      </c>
      <c r="H57" t="str">
        <f>IF($M57&gt;0,IF($L57&lt;&gt;1,"2026-07",IFERROR(INDEX('JLR Materials'!$D:$D,MATCH($K57,'JLR Materials'!$A:$A,0)),"2026-07")),"2026-07")</f>
        <v>2026-07</v>
      </c>
      <c r="I57" t="str">
        <f>IF($M57&gt;0,"JLR rate card — material code "&amp;$K57,"UK IF coil Jul 2026. Ultra-formable interstitial-free — deep-drawn complex outer/inner panels (fenders, doors). Highest r-value/drawability. Yield ~140 MPa.")</f>
        <v>UK IF coil Jul 2026. Ultra-formable interstitial-free — deep-drawn complex outer/inner panels (fenders, doors). Highest r-value/drawability. Yield ~140 MPa.</v>
      </c>
      <c r="J57" t="str">
        <v>Low</v>
      </c>
      <c r="K57" t="str">
        <f>IFERROR(INDEX(Mapping!$C:$C,MATCH($A57,Mapping!$A:$A,0)),"")</f>
        <v/>
      </c>
      <c r="L57">
        <f>IF($K57="",0,COUNTIFS('JLR Materials'!$A:$A,$K57,'JLR Materials'!$C:$C,IF(Settings!$B$2="","&lt;&gt;",Settings!$B$2),'JLR Materials'!$D:$D,IF(Settings!$B$4="","&lt;&gt;",Settings!$B$4)))</f>
        <v>0</v>
      </c>
      <c r="M57">
        <f>IF($L57&lt;&gt;1,0,SUMIFS('JLR Materials'!$E:$E,'JLR Materials'!$A:$A,$K57,'JLR Materials'!$C:$C,IF(Settings!$B$2="","&lt;&gt;",Settings!$B$2),'JLR Materials'!$D:$D,IF(Settings!$B$4="","&lt;&gt;",Settings!$B$4)))</f>
        <v>0</v>
      </c>
      <c r="N57">
        <f>IF($L57&lt;&gt;1,0,SUMIFS('JLR Materials'!$F:$F,'JLR Materials'!$A:$A,$K57,'JLR Materials'!$C:$C,IF(Settings!$B$2="","&lt;&gt;",Settings!$B$2),'JLR Materials'!$D:$D,IF(Settings!$B$4="","&lt;&gt;",Settings!$B$4)))</f>
        <v>0</v>
      </c>
      <c r="O57">
        <f>IF($N57=0,0,IF(Settings!$B$5="percent",$M57*$N57/100,$N57))</f>
        <v>0</v>
      </c>
      <c r="P57">
        <f>IF($L57&lt;&gt;1,0,SUMIFS('JLR Materials'!$G:$G,'JLR Materials'!$A:$A,$K57,'JLR Materials'!$C:$C,IF(Settings!$B$2="","&lt;&gt;",Settings!$B$2),'JLR Materials'!$D:$D,IF(Settings!$B$4="","&lt;&gt;",Settings!$B$4)))</f>
        <v>0</v>
      </c>
    </row>
    <row r="58">
      <c r="A58" t="str">
        <v>mat-if-hs260</v>
      </c>
      <c r="B58" t="str">
        <v>IF-HS 260 (High-Strength IF)</v>
      </c>
      <c r="C58" t="str">
        <v>IF Steel Sheet</v>
      </c>
      <c r="D58">
        <f>IF($M58&gt;0,$M58,1.08)</f>
        <v>1.08</v>
      </c>
      <c r="E58">
        <f>IF($O58&gt;0,$O58,0.21)</f>
        <v>0.21</v>
      </c>
      <c r="F58">
        <v>7850</v>
      </c>
      <c r="G58" t="str">
        <v>UK</v>
      </c>
      <c r="H58" t="str">
        <f>IF($M58&gt;0,IF($L58&lt;&gt;1,"2026-07",IFERROR(INDEX('JLR Materials'!$D:$D,MATCH($K58,'JLR Materials'!$A:$A,0)),"2026-07")),"2026-07")</f>
        <v>2026-07</v>
      </c>
      <c r="I58" t="str">
        <f>IF($M58&gt;0,"JLR rate card — material code "&amp;$K58,"UK IF-HS coil Jul 2026. High-strength interstitial-free 260 — formable structural panels needing more strength than plain IF. Yield 260 MPa.")</f>
        <v>UK IF-HS coil Jul 2026. High-strength interstitial-free 260 — formable structural panels needing more strength than plain IF. Yield 260 MPa.</v>
      </c>
      <c r="J58" t="str">
        <v>Low</v>
      </c>
      <c r="K58" t="str">
        <f>IFERROR(INDEX(Mapping!$C:$C,MATCH($A58,Mapping!$A:$A,0)),"")</f>
        <v/>
      </c>
      <c r="L58">
        <f>IF($K58="",0,COUNTIFS('JLR Materials'!$A:$A,$K58,'JLR Materials'!$C:$C,IF(Settings!$B$2="","&lt;&gt;",Settings!$B$2),'JLR Materials'!$D:$D,IF(Settings!$B$4="","&lt;&gt;",Settings!$B$4)))</f>
        <v>0</v>
      </c>
      <c r="M58">
        <f>IF($L58&lt;&gt;1,0,SUMIFS('JLR Materials'!$E:$E,'JLR Materials'!$A:$A,$K58,'JLR Materials'!$C:$C,IF(Settings!$B$2="","&lt;&gt;",Settings!$B$2),'JLR Materials'!$D:$D,IF(Settings!$B$4="","&lt;&gt;",Settings!$B$4)))</f>
        <v>0</v>
      </c>
      <c r="N58">
        <f>IF($L58&lt;&gt;1,0,SUMIFS('JLR Materials'!$F:$F,'JLR Materials'!$A:$A,$K58,'JLR Materials'!$C:$C,IF(Settings!$B$2="","&lt;&gt;",Settings!$B$2),'JLR Materials'!$D:$D,IF(Settings!$B$4="","&lt;&gt;",Settings!$B$4)))</f>
        <v>0</v>
      </c>
      <c r="O58">
        <f>IF($N58=0,0,IF(Settings!$B$5="percent",$M58*$N58/100,$N58))</f>
        <v>0</v>
      </c>
      <c r="P58">
        <f>IF($L58&lt;&gt;1,0,SUMIFS('JLR Materials'!$G:$G,'JLR Materials'!$A:$A,$K58,'JLR Materials'!$C:$C,IF(Settings!$B$2="","&lt;&gt;",Settings!$B$2),'JLR Materials'!$D:$D,IF(Settings!$B$4="","&lt;&gt;",Settings!$B$4)))</f>
        <v>0</v>
      </c>
    </row>
    <row r="59">
      <c r="A59" t="str">
        <v>mat-dc04</v>
      </c>
      <c r="B59" t="str">
        <v>DC04 (CR4 Deep-Drawing)</v>
      </c>
      <c r="C59" t="str">
        <v>Mild Steel Sheet</v>
      </c>
      <c r="D59">
        <f>IF($M59&gt;0,$M59,0.72)</f>
        <v>0.72</v>
      </c>
      <c r="E59">
        <f>IF($O59&gt;0,$O59,0.19)</f>
        <v>0.19</v>
      </c>
      <c r="F59">
        <v>7850</v>
      </c>
      <c r="G59" t="str">
        <v>UK</v>
      </c>
      <c r="H59" t="str">
        <f>IF($M59&gt;0,IF($L59&lt;&gt;1,"2026-07",IFERROR(INDEX('JLR Materials'!$D:$D,MATCH($K59,'JLR Materials'!$A:$A,0)),"2026-07")),"2026-07")</f>
        <v>2026-07</v>
      </c>
      <c r="I59" t="str">
        <f>IF($M59&gt;0,"JLR rate card — material code "&amp;$K59,"UK CR coil Jul 2026. Deep-drawing quality — enclosures, brackets, moderate draws. Better r-value than DC01.")</f>
        <v>UK CR coil Jul 2026. Deep-drawing quality — enclosures, brackets, moderate draws. Better r-value than DC01.</v>
      </c>
      <c r="J59" t="str">
        <v>Medium</v>
      </c>
      <c r="K59" t="str">
        <f>IFERROR(INDEX(Mapping!$C:$C,MATCH($A59,Mapping!$A:$A,0)),"")</f>
        <v/>
      </c>
      <c r="L59">
        <f>IF($K59="",0,COUNTIFS('JLR Materials'!$A:$A,$K59,'JLR Materials'!$C:$C,IF(Settings!$B$2="","&lt;&gt;",Settings!$B$2),'JLR Materials'!$D:$D,IF(Settings!$B$4="","&lt;&gt;",Settings!$B$4)))</f>
        <v>0</v>
      </c>
      <c r="M59">
        <f>IF($L59&lt;&gt;1,0,SUMIFS('JLR Materials'!$E:$E,'JLR Materials'!$A:$A,$K59,'JLR Materials'!$C:$C,IF(Settings!$B$2="","&lt;&gt;",Settings!$B$2),'JLR Materials'!$D:$D,IF(Settings!$B$4="","&lt;&gt;",Settings!$B$4)))</f>
        <v>0</v>
      </c>
      <c r="N59">
        <f>IF($L59&lt;&gt;1,0,SUMIFS('JLR Materials'!$F:$F,'JLR Materials'!$A:$A,$K59,'JLR Materials'!$C:$C,IF(Settings!$B$2="","&lt;&gt;",Settings!$B$2),'JLR Materials'!$D:$D,IF(Settings!$B$4="","&lt;&gt;",Settings!$B$4)))</f>
        <v>0</v>
      </c>
      <c r="O59">
        <f>IF($N59=0,0,IF(Settings!$B$5="percent",$M59*$N59/100,$N59))</f>
        <v>0</v>
      </c>
      <c r="P59">
        <f>IF($L59&lt;&gt;1,0,SUMIFS('JLR Materials'!$G:$G,'JLR Materials'!$A:$A,$K59,'JLR Materials'!$C:$C,IF(Settings!$B$2="","&lt;&gt;",Settings!$B$2),'JLR Materials'!$D:$D,IF(Settings!$B$4="","&lt;&gt;",Settings!$B$4)))</f>
        <v>0</v>
      </c>
    </row>
    <row r="60">
      <c r="A60" t="str">
        <v>mat-dc05</v>
      </c>
      <c r="B60" t="str">
        <v>DC05 (Extra-Deep-Drawing)</v>
      </c>
      <c r="C60" t="str">
        <v>Mild Steel Sheet</v>
      </c>
      <c r="D60">
        <f>IF($M60&gt;0,$M60,0.75)</f>
        <v>0.75</v>
      </c>
      <c r="E60">
        <f>IF($O60&gt;0,$O60,0.19)</f>
        <v>0.19</v>
      </c>
      <c r="F60">
        <v>7850</v>
      </c>
      <c r="G60" t="str">
        <v>UK</v>
      </c>
      <c r="H60" t="str">
        <f>IF($M60&gt;0,IF($L60&lt;&gt;1,"2026-07",IFERROR(INDEX('JLR Materials'!$D:$D,MATCH($K60,'JLR Materials'!$A:$A,0)),"2026-07")),"2026-07")</f>
        <v>2026-07</v>
      </c>
      <c r="I60" t="str">
        <f>IF($M60&gt;0,"JLR rate card — material code "&amp;$K60,"UK CR coil Jul 2026. Extra-deep-drawing — sinks, housings, deeper draws without splits.")</f>
        <v>UK CR coil Jul 2026. Extra-deep-drawing — sinks, housings, deeper draws without splits.</v>
      </c>
      <c r="J60" t="str">
        <v>Low</v>
      </c>
      <c r="K60" t="str">
        <f>IFERROR(INDEX(Mapping!$C:$C,MATCH($A60,Mapping!$A:$A,0)),"")</f>
        <v/>
      </c>
      <c r="L60">
        <f>IF($K60="",0,COUNTIFS('JLR Materials'!$A:$A,$K60,'JLR Materials'!$C:$C,IF(Settings!$B$2="","&lt;&gt;",Settings!$B$2),'JLR Materials'!$D:$D,IF(Settings!$B$4="","&lt;&gt;",Settings!$B$4)))</f>
        <v>0</v>
      </c>
      <c r="M60">
        <f>IF($L60&lt;&gt;1,0,SUMIFS('JLR Materials'!$E:$E,'JLR Materials'!$A:$A,$K60,'JLR Materials'!$C:$C,IF(Settings!$B$2="","&lt;&gt;",Settings!$B$2),'JLR Materials'!$D:$D,IF(Settings!$B$4="","&lt;&gt;",Settings!$B$4)))</f>
        <v>0</v>
      </c>
      <c r="N60">
        <f>IF($L60&lt;&gt;1,0,SUMIFS('JLR Materials'!$F:$F,'JLR Materials'!$A:$A,$K60,'JLR Materials'!$C:$C,IF(Settings!$B$2="","&lt;&gt;",Settings!$B$2),'JLR Materials'!$D:$D,IF(Settings!$B$4="","&lt;&gt;",Settings!$B$4)))</f>
        <v>0</v>
      </c>
      <c r="O60">
        <f>IF($N60=0,0,IF(Settings!$B$5="percent",$M60*$N60/100,$N60))</f>
        <v>0</v>
      </c>
      <c r="P60">
        <f>IF($L60&lt;&gt;1,0,SUMIFS('JLR Materials'!$G:$G,'JLR Materials'!$A:$A,$K60,'JLR Materials'!$C:$C,IF(Settings!$B$2="","&lt;&gt;",Settings!$B$2),'JLR Materials'!$D:$D,IF(Settings!$B$4="","&lt;&gt;",Settings!$B$4)))</f>
        <v>0</v>
      </c>
    </row>
    <row r="61">
      <c r="A61" t="str">
        <v>mat-dc06</v>
      </c>
      <c r="B61" t="str">
        <v>DC06 (Super-Deep-Drawing IF)</v>
      </c>
      <c r="C61" t="str">
        <v>Mild Steel Sheet</v>
      </c>
      <c r="D61">
        <f>IF($M61&gt;0,$M61,0.8)</f>
        <v>0.8</v>
      </c>
      <c r="E61">
        <f>IF($O61&gt;0,$O61,0.19)</f>
        <v>0.19</v>
      </c>
      <c r="F61">
        <v>7850</v>
      </c>
      <c r="G61" t="str">
        <v>UK</v>
      </c>
      <c r="H61" t="str">
        <f>IF($M61&gt;0,IF($L61&lt;&gt;1,"2026-07",IFERROR(INDEX('JLR Materials'!$D:$D,MATCH($K61,'JLR Materials'!$A:$A,0)),"2026-07")),"2026-07")</f>
        <v>2026-07</v>
      </c>
      <c r="I61" t="str">
        <f>IF($M61&gt;0,"JLR rate card — material code "&amp;$K61,"UK CR/IF coil Jul 2026. Super-deep-drawing IF grade — complex deep pressings, fuel-filler pockets, tanks. Highest formability CR grade.")</f>
        <v>UK CR/IF coil Jul 2026. Super-deep-drawing IF grade — complex deep pressings, fuel-filler pockets, tanks. Highest formability CR grade.</v>
      </c>
      <c r="J61" t="str">
        <v>Low</v>
      </c>
      <c r="K61" t="str">
        <f>IFERROR(INDEX(Mapping!$C:$C,MATCH($A61,Mapping!$A:$A,0)),"")</f>
        <v/>
      </c>
      <c r="L61">
        <f>IF($K61="",0,COUNTIFS('JLR Materials'!$A:$A,$K61,'JLR Materials'!$C:$C,IF(Settings!$B$2="","&lt;&gt;",Settings!$B$2),'JLR Materials'!$D:$D,IF(Settings!$B$4="","&lt;&gt;",Settings!$B$4)))</f>
        <v>0</v>
      </c>
      <c r="M61">
        <f>IF($L61&lt;&gt;1,0,SUMIFS('JLR Materials'!$E:$E,'JLR Materials'!$A:$A,$K61,'JLR Materials'!$C:$C,IF(Settings!$B$2="","&lt;&gt;",Settings!$B$2),'JLR Materials'!$D:$D,IF(Settings!$B$4="","&lt;&gt;",Settings!$B$4)))</f>
        <v>0</v>
      </c>
      <c r="N61">
        <f>IF($L61&lt;&gt;1,0,SUMIFS('JLR Materials'!$F:$F,'JLR Materials'!$A:$A,$K61,'JLR Materials'!$C:$C,IF(Settings!$B$2="","&lt;&gt;",Settings!$B$2),'JLR Materials'!$D:$D,IF(Settings!$B$4="","&lt;&gt;",Settings!$B$4)))</f>
        <v>0</v>
      </c>
      <c r="O61">
        <f>IF($N61=0,0,IF(Settings!$B$5="percent",$M61*$N61/100,$N61))</f>
        <v>0</v>
      </c>
      <c r="P61">
        <f>IF($L61&lt;&gt;1,0,SUMIFS('JLR Materials'!$G:$G,'JLR Materials'!$A:$A,$K61,'JLR Materials'!$C:$C,IF(Settings!$B$2="","&lt;&gt;",Settings!$B$2),'JLR Materials'!$D:$D,IF(Settings!$B$4="","&lt;&gt;",Settings!$B$4)))</f>
        <v>0</v>
      </c>
    </row>
    <row r="62">
      <c r="A62" t="str">
        <v>mat-nogo-m270-35a</v>
      </c>
      <c r="B62" t="str">
        <v>M270-35A Non-Oriented Electrical (0.35mm)</v>
      </c>
      <c r="C62" t="str">
        <v>Electrical Steel Sheet</v>
      </c>
      <c r="D62">
        <f>IF($M62&gt;0,$M62,1.55)</f>
        <v>1.55</v>
      </c>
      <c r="E62">
        <f>IF($O62&gt;0,$O62,0.25)</f>
        <v>0.25</v>
      </c>
      <c r="F62">
        <v>7650</v>
      </c>
      <c r="G62" t="str">
        <v>UK</v>
      </c>
      <c r="H62" t="str">
        <f>IF($M62&gt;0,IF($L62&lt;&gt;1,"2026-07",IFERROR(INDEX('JLR Materials'!$D:$D,MATCH($K62,'JLR Materials'!$A:$A,0)),"2026-07")),"2026-07")</f>
        <v>2026-07</v>
      </c>
      <c r="I62" t="str">
        <f>IF($M62&gt;0,"JLR rate card — material code "&amp;$K62,"UK electrical steel Jul 2026. Low-loss non-oriented Si-steel — EV/industrial motor + generator laminations; thin gauge, low core loss (~2.7 W/kg @1.5T/50Hz). Blanked/notched at high SPM.")</f>
        <v>UK electrical steel Jul 2026. Low-loss non-oriented Si-steel — EV/industrial motor + generator laminations; thin gauge, low core loss (~2.7 W/kg @1.5T/50Hz). Blanked/notched at high SPM.</v>
      </c>
      <c r="J62" t="str">
        <v>Low</v>
      </c>
      <c r="K62" t="str">
        <f>IFERROR(INDEX(Mapping!$C:$C,MATCH($A62,Mapping!$A:$A,0)),"")</f>
        <v/>
      </c>
      <c r="L62">
        <f>IF($K62="",0,COUNTIFS('JLR Materials'!$A:$A,$K62,'JLR Materials'!$C:$C,IF(Settings!$B$2="","&lt;&gt;",Settings!$B$2),'JLR Materials'!$D:$D,IF(Settings!$B$4="","&lt;&gt;",Settings!$B$4)))</f>
        <v>0</v>
      </c>
      <c r="M62">
        <f>IF($L62&lt;&gt;1,0,SUMIFS('JLR Materials'!$E:$E,'JLR Materials'!$A:$A,$K62,'JLR Materials'!$C:$C,IF(Settings!$B$2="","&lt;&gt;",Settings!$B$2),'JLR Materials'!$D:$D,IF(Settings!$B$4="","&lt;&gt;",Settings!$B$4)))</f>
        <v>0</v>
      </c>
      <c r="N62">
        <f>IF($L62&lt;&gt;1,0,SUMIFS('JLR Materials'!$F:$F,'JLR Materials'!$A:$A,$K62,'JLR Materials'!$C:$C,IF(Settings!$B$2="","&lt;&gt;",Settings!$B$2),'JLR Materials'!$D:$D,IF(Settings!$B$4="","&lt;&gt;",Settings!$B$4)))</f>
        <v>0</v>
      </c>
      <c r="O62">
        <f>IF($N62=0,0,IF(Settings!$B$5="percent",$M62*$N62/100,$N62))</f>
        <v>0</v>
      </c>
      <c r="P62">
        <f>IF($L62&lt;&gt;1,0,SUMIFS('JLR Materials'!$G:$G,'JLR Materials'!$A:$A,$K62,'JLR Materials'!$C:$C,IF(Settings!$B$2="","&lt;&gt;",Settings!$B$2),'JLR Materials'!$D:$D,IF(Settings!$B$4="","&lt;&gt;",Settings!$B$4)))</f>
        <v>0</v>
      </c>
    </row>
    <row r="63">
      <c r="A63" t="str">
        <v>mat-nogo-m400-50a</v>
      </c>
      <c r="B63" t="str">
        <v>M400-50A Non-Oriented Electrical (0.50mm)</v>
      </c>
      <c r="C63" t="str">
        <v>Electrical Steel Sheet</v>
      </c>
      <c r="D63">
        <f>IF($M63&gt;0,$M63,1.25)</f>
        <v>1.25</v>
      </c>
      <c r="E63">
        <f>IF($O63&gt;0,$O63,0.25)</f>
        <v>0.25</v>
      </c>
      <c r="F63">
        <v>7700</v>
      </c>
      <c r="G63" t="str">
        <v>UK</v>
      </c>
      <c r="H63" t="str">
        <f>IF($M63&gt;0,IF($L63&lt;&gt;1,"2026-07",IFERROR(INDEX('JLR Materials'!$D:$D,MATCH($K63,'JLR Materials'!$A:$A,0)),"2026-07")),"2026-07")</f>
        <v>2026-07</v>
      </c>
      <c r="I63" t="str">
        <f>IF($M63&gt;0,"JLR rate card — material code "&amp;$K63,"UK electrical steel Jul 2026. General non-oriented Si-steel — appliance/industrial motors, pumps; 0.50mm, moderate loss. Cost-effective lamination grade.")</f>
        <v>UK electrical steel Jul 2026. General non-oriented Si-steel — appliance/industrial motors, pumps; 0.50mm, moderate loss. Cost-effective lamination grade.</v>
      </c>
      <c r="J63" t="str">
        <v>Low</v>
      </c>
      <c r="K63" t="str">
        <f>IFERROR(INDEX(Mapping!$C:$C,MATCH($A63,Mapping!$A:$A,0)),"")</f>
        <v/>
      </c>
      <c r="L63">
        <f>IF($K63="",0,COUNTIFS('JLR Materials'!$A:$A,$K63,'JLR Materials'!$C:$C,IF(Settings!$B$2="","&lt;&gt;",Settings!$B$2),'JLR Materials'!$D:$D,IF(Settings!$B$4="","&lt;&gt;",Settings!$B$4)))</f>
        <v>0</v>
      </c>
      <c r="M63">
        <f>IF($L63&lt;&gt;1,0,SUMIFS('JLR Materials'!$E:$E,'JLR Materials'!$A:$A,$K63,'JLR Materials'!$C:$C,IF(Settings!$B$2="","&lt;&gt;",Settings!$B$2),'JLR Materials'!$D:$D,IF(Settings!$B$4="","&lt;&gt;",Settings!$B$4)))</f>
        <v>0</v>
      </c>
      <c r="N63">
        <f>IF($L63&lt;&gt;1,0,SUMIFS('JLR Materials'!$F:$F,'JLR Materials'!$A:$A,$K63,'JLR Materials'!$C:$C,IF(Settings!$B$2="","&lt;&gt;",Settings!$B$2),'JLR Materials'!$D:$D,IF(Settings!$B$4="","&lt;&gt;",Settings!$B$4)))</f>
        <v>0</v>
      </c>
      <c r="O63">
        <f>IF($N63=0,0,IF(Settings!$B$5="percent",$M63*$N63/100,$N63))</f>
        <v>0</v>
      </c>
      <c r="P63">
        <f>IF($L63&lt;&gt;1,0,SUMIFS('JLR Materials'!$G:$G,'JLR Materials'!$A:$A,$K63,'JLR Materials'!$C:$C,IF(Settings!$B$2="","&lt;&gt;",Settings!$B$2),'JLR Materials'!$D:$D,IF(Settings!$B$4="","&lt;&gt;",Settings!$B$4)))</f>
        <v>0</v>
      </c>
    </row>
    <row r="64">
      <c r="A64" t="str">
        <v>mat-go-m105-30p</v>
      </c>
      <c r="B64" t="str">
        <v>M105-30P Grain-Oriented Electrical (0.30mm)</v>
      </c>
      <c r="C64" t="str">
        <v>Electrical Steel Sheet</v>
      </c>
      <c r="D64">
        <f>IF($M64&gt;0,$M64,2.9)</f>
        <v>2.9</v>
      </c>
      <c r="E64">
        <f>IF($O64&gt;0,$O64,0.3)</f>
        <v>0.3</v>
      </c>
      <c r="F64">
        <v>7650</v>
      </c>
      <c r="G64" t="str">
        <v>UK</v>
      </c>
      <c r="H64" t="str">
        <f>IF($M64&gt;0,IF($L64&lt;&gt;1,"2026-07",IFERROR(INDEX('JLR Materials'!$D:$D,MATCH($K64,'JLR Materials'!$A:$A,0)),"2026-07")),"2026-07")</f>
        <v>2026-07</v>
      </c>
      <c r="I64" t="str">
        <f>IF($M64&gt;0,"JLR rate card — material code "&amp;$K64,"UK electrical steel Jul 2026. High-permeability grain-oriented Si-steel — transformer cores (E/I laminations, wound cores); very low loss along rolling direction. Premium over NO.")</f>
        <v>UK electrical steel Jul 2026. High-permeability grain-oriented Si-steel — transformer cores (E/I laminations, wound cores); very low loss along rolling direction. Premium over NO.</v>
      </c>
      <c r="J64" t="str">
        <v>Low</v>
      </c>
      <c r="K64" t="str">
        <f>IFERROR(INDEX(Mapping!$C:$C,MATCH($A64,Mapping!$A:$A,0)),"")</f>
        <v/>
      </c>
      <c r="L64">
        <f>IF($K64="",0,COUNTIFS('JLR Materials'!$A:$A,$K64,'JLR Materials'!$C:$C,IF(Settings!$B$2="","&lt;&gt;",Settings!$B$2),'JLR Materials'!$D:$D,IF(Settings!$B$4="","&lt;&gt;",Settings!$B$4)))</f>
        <v>0</v>
      </c>
      <c r="M64">
        <f>IF($L64&lt;&gt;1,0,SUMIFS('JLR Materials'!$E:$E,'JLR Materials'!$A:$A,$K64,'JLR Materials'!$C:$C,IF(Settings!$B$2="","&lt;&gt;",Settings!$B$2),'JLR Materials'!$D:$D,IF(Settings!$B$4="","&lt;&gt;",Settings!$B$4)))</f>
        <v>0</v>
      </c>
      <c r="N64">
        <f>IF($L64&lt;&gt;1,0,SUMIFS('JLR Materials'!$F:$F,'JLR Materials'!$A:$A,$K64,'JLR Materials'!$C:$C,IF(Settings!$B$2="","&lt;&gt;",Settings!$B$2),'JLR Materials'!$D:$D,IF(Settings!$B$4="","&lt;&gt;",Settings!$B$4)))</f>
        <v>0</v>
      </c>
      <c r="O64">
        <f>IF($N64=0,0,IF(Settings!$B$5="percent",$M64*$N64/100,$N64))</f>
        <v>0</v>
      </c>
      <c r="P64">
        <f>IF($L64&lt;&gt;1,0,SUMIFS('JLR Materials'!$G:$G,'JLR Materials'!$A:$A,$K64,'JLR Materials'!$C:$C,IF(Settings!$B$2="","&lt;&gt;",Settings!$B$2),'JLR Materials'!$D:$D,IF(Settings!$B$4="","&lt;&gt;",Settings!$B$4)))</f>
        <v>0</v>
      </c>
    </row>
    <row r="65">
      <c r="A65" t="str">
        <v>mat-m235-35a</v>
      </c>
      <c r="B65" t="str">
        <v>M235-35A NO Electrical (0.35mm, premium low-loss)</v>
      </c>
      <c r="C65" t="str">
        <v>Electrical Steel Sheet</v>
      </c>
      <c r="D65">
        <f>IF($M65&gt;0,$M65,1.95)</f>
        <v>1.95</v>
      </c>
      <c r="E65">
        <f>IF($O65&gt;0,$O65,0.25)</f>
        <v>0.25</v>
      </c>
      <c r="F65">
        <v>7650</v>
      </c>
      <c r="G65" t="str">
        <v>UK</v>
      </c>
      <c r="H65" t="str">
        <f>IF($M65&gt;0,IF($L65&lt;&gt;1,"2026-07",IFERROR(INDEX('JLR Materials'!$D:$D,MATCH($K65,'JLR Materials'!$A:$A,0)),"2026-07")),"2026-07")</f>
        <v>2026-07</v>
      </c>
      <c r="I65" t="str">
        <f>IF($M65&gt;0,"JLR rate card — material code "&amp;$K65,"UK electrical steel Jul 2026. Premium low-loss NO — high-efficiency EV/industrial traction motors; ~2.35 W/kg @1.5T/50Hz. High-Si, thin gauge.")</f>
        <v>UK electrical steel Jul 2026. Premium low-loss NO — high-efficiency EV/industrial traction motors; ~2.35 W/kg @1.5T/50Hz. High-Si, thin gauge.</v>
      </c>
      <c r="J65" t="str">
        <v>Low</v>
      </c>
      <c r="K65" t="str">
        <f>IFERROR(INDEX(Mapping!$C:$C,MATCH($A65,Mapping!$A:$A,0)),"")</f>
        <v/>
      </c>
      <c r="L65">
        <f>IF($K65="",0,COUNTIFS('JLR Materials'!$A:$A,$K65,'JLR Materials'!$C:$C,IF(Settings!$B$2="","&lt;&gt;",Settings!$B$2),'JLR Materials'!$D:$D,IF(Settings!$B$4="","&lt;&gt;",Settings!$B$4)))</f>
        <v>0</v>
      </c>
      <c r="M65">
        <f>IF($L65&lt;&gt;1,0,SUMIFS('JLR Materials'!$E:$E,'JLR Materials'!$A:$A,$K65,'JLR Materials'!$C:$C,IF(Settings!$B$2="","&lt;&gt;",Settings!$B$2),'JLR Materials'!$D:$D,IF(Settings!$B$4="","&lt;&gt;",Settings!$B$4)))</f>
        <v>0</v>
      </c>
      <c r="N65">
        <f>IF($L65&lt;&gt;1,0,SUMIFS('JLR Materials'!$F:$F,'JLR Materials'!$A:$A,$K65,'JLR Materials'!$C:$C,IF(Settings!$B$2="","&lt;&gt;",Settings!$B$2),'JLR Materials'!$D:$D,IF(Settings!$B$4="","&lt;&gt;",Settings!$B$4)))</f>
        <v>0</v>
      </c>
      <c r="O65">
        <f>IF($N65=0,0,IF(Settings!$B$5="percent",$M65*$N65/100,$N65))</f>
        <v>0</v>
      </c>
      <c r="P65">
        <f>IF($L65&lt;&gt;1,0,SUMIFS('JLR Materials'!$G:$G,'JLR Materials'!$A:$A,$K65,'JLR Materials'!$C:$C,IF(Settings!$B$2="","&lt;&gt;",Settings!$B$2),'JLR Materials'!$D:$D,IF(Settings!$B$4="","&lt;&gt;",Settings!$B$4)))</f>
        <v>0</v>
      </c>
    </row>
    <row r="66">
      <c r="A66" t="str">
        <v>mat-m330-35a</v>
      </c>
      <c r="B66" t="str">
        <v>M330-35A NO Electrical (0.35mm)</v>
      </c>
      <c r="C66" t="str">
        <v>Electrical Steel Sheet</v>
      </c>
      <c r="D66">
        <f>IF($M66&gt;0,$M66,1.7)</f>
        <v>1.7</v>
      </c>
      <c r="E66">
        <f>IF($O66&gt;0,$O66,0.25)</f>
        <v>0.25</v>
      </c>
      <c r="F66">
        <v>7650</v>
      </c>
      <c r="G66" t="str">
        <v>UK</v>
      </c>
      <c r="H66" t="str">
        <f>IF($M66&gt;0,IF($L66&lt;&gt;1,"2026-07",IFERROR(INDEX('JLR Materials'!$D:$D,MATCH($K66,'JLR Materials'!$A:$A,0)),"2026-07")),"2026-07")</f>
        <v>2026-07</v>
      </c>
      <c r="I66" t="str">
        <f>IF($M66&gt;0,"JLR rate card — material code "&amp;$K66,"UK electrical steel Jul 2026. Mid-grade 0.35mm NO — general traction/servo motors; good loss/cost balance.")</f>
        <v>UK electrical steel Jul 2026. Mid-grade 0.35mm NO — general traction/servo motors; good loss/cost balance.</v>
      </c>
      <c r="J66" t="str">
        <v>Low</v>
      </c>
      <c r="K66" t="str">
        <f>IFERROR(INDEX(Mapping!$C:$C,MATCH($A66,Mapping!$A:$A,0)),"")</f>
        <v/>
      </c>
      <c r="L66">
        <f>IF($K66="",0,COUNTIFS('JLR Materials'!$A:$A,$K66,'JLR Materials'!$C:$C,IF(Settings!$B$2="","&lt;&gt;",Settings!$B$2),'JLR Materials'!$D:$D,IF(Settings!$B$4="","&lt;&gt;",Settings!$B$4)))</f>
        <v>0</v>
      </c>
      <c r="M66">
        <f>IF($L66&lt;&gt;1,0,SUMIFS('JLR Materials'!$E:$E,'JLR Materials'!$A:$A,$K66,'JLR Materials'!$C:$C,IF(Settings!$B$2="","&lt;&gt;",Settings!$B$2),'JLR Materials'!$D:$D,IF(Settings!$B$4="","&lt;&gt;",Settings!$B$4)))</f>
        <v>0</v>
      </c>
      <c r="N66">
        <f>IF($L66&lt;&gt;1,0,SUMIFS('JLR Materials'!$F:$F,'JLR Materials'!$A:$A,$K66,'JLR Materials'!$C:$C,IF(Settings!$B$2="","&lt;&gt;",Settings!$B$2),'JLR Materials'!$D:$D,IF(Settings!$B$4="","&lt;&gt;",Settings!$B$4)))</f>
        <v>0</v>
      </c>
      <c r="O66">
        <f>IF($N66=0,0,IF(Settings!$B$5="percent",$M66*$N66/100,$N66))</f>
        <v>0</v>
      </c>
      <c r="P66">
        <f>IF($L66&lt;&gt;1,0,SUMIFS('JLR Materials'!$G:$G,'JLR Materials'!$A:$A,$K66,'JLR Materials'!$C:$C,IF(Settings!$B$2="","&lt;&gt;",Settings!$B$2),'JLR Materials'!$D:$D,IF(Settings!$B$4="","&lt;&gt;",Settings!$B$4)))</f>
        <v>0</v>
      </c>
    </row>
    <row r="67">
      <c r="A67" t="str">
        <v>mat-m250-50a</v>
      </c>
      <c r="B67" t="str">
        <v>M250-50A NO Electrical (0.50mm, low-loss)</v>
      </c>
      <c r="C67" t="str">
        <v>Electrical Steel Sheet</v>
      </c>
      <c r="D67">
        <f>IF($M67&gt;0,$M67,1.42)</f>
        <v>1.42</v>
      </c>
      <c r="E67">
        <f>IF($O67&gt;0,$O67,0.25)</f>
        <v>0.25</v>
      </c>
      <c r="F67">
        <v>7650</v>
      </c>
      <c r="G67" t="str">
        <v>UK</v>
      </c>
      <c r="H67" t="str">
        <f>IF($M67&gt;0,IF($L67&lt;&gt;1,"2026-07",IFERROR(INDEX('JLR Materials'!$D:$D,MATCH($K67,'JLR Materials'!$A:$A,0)),"2026-07")),"2026-07")</f>
        <v>2026-07</v>
      </c>
      <c r="I67" t="str">
        <f>IF($M67&gt;0,"JLR rate card — material code "&amp;$K67,"UK electrical steel Jul 2026. Low-loss 0.50mm NO — efficient industrial motors, generators.")</f>
        <v>UK electrical steel Jul 2026. Low-loss 0.50mm NO — efficient industrial motors, generators.</v>
      </c>
      <c r="J67" t="str">
        <v>Low</v>
      </c>
      <c r="K67" t="str">
        <f>IFERROR(INDEX(Mapping!$C:$C,MATCH($A67,Mapping!$A:$A,0)),"")</f>
        <v/>
      </c>
      <c r="L67">
        <f>IF($K67="",0,COUNTIFS('JLR Materials'!$A:$A,$K67,'JLR Materials'!$C:$C,IF(Settings!$B$2="","&lt;&gt;",Settings!$B$2),'JLR Materials'!$D:$D,IF(Settings!$B$4="","&lt;&gt;",Settings!$B$4)))</f>
        <v>0</v>
      </c>
      <c r="M67">
        <f>IF($L67&lt;&gt;1,0,SUMIFS('JLR Materials'!$E:$E,'JLR Materials'!$A:$A,$K67,'JLR Materials'!$C:$C,IF(Settings!$B$2="","&lt;&gt;",Settings!$B$2),'JLR Materials'!$D:$D,IF(Settings!$B$4="","&lt;&gt;",Settings!$B$4)))</f>
        <v>0</v>
      </c>
      <c r="N67">
        <f>IF($L67&lt;&gt;1,0,SUMIFS('JLR Materials'!$F:$F,'JLR Materials'!$A:$A,$K67,'JLR Materials'!$C:$C,IF(Settings!$B$2="","&lt;&gt;",Settings!$B$2),'JLR Materials'!$D:$D,IF(Settings!$B$4="","&lt;&gt;",Settings!$B$4)))</f>
        <v>0</v>
      </c>
      <c r="O67">
        <f>IF($N67=0,0,IF(Settings!$B$5="percent",$M67*$N67/100,$N67))</f>
        <v>0</v>
      </c>
      <c r="P67">
        <f>IF($L67&lt;&gt;1,0,SUMIFS('JLR Materials'!$G:$G,'JLR Materials'!$A:$A,$K67,'JLR Materials'!$C:$C,IF(Settings!$B$2="","&lt;&gt;",Settings!$B$2),'JLR Materials'!$D:$D,IF(Settings!$B$4="","&lt;&gt;",Settings!$B$4)))</f>
        <v>0</v>
      </c>
    </row>
    <row r="68">
      <c r="A68" t="str">
        <v>mat-m470-50a</v>
      </c>
      <c r="B68" t="str">
        <v>M470-50A NO Electrical (0.50mm)</v>
      </c>
      <c r="C68" t="str">
        <v>Electrical Steel Sheet</v>
      </c>
      <c r="D68">
        <f>IF($M68&gt;0,$M68,1.2)</f>
        <v>1.2</v>
      </c>
      <c r="E68">
        <f>IF($O68&gt;0,$O68,0.25)</f>
        <v>0.25</v>
      </c>
      <c r="F68">
        <v>7700</v>
      </c>
      <c r="G68" t="str">
        <v>UK</v>
      </c>
      <c r="H68" t="str">
        <f>IF($M68&gt;0,IF($L68&lt;&gt;1,"2026-07",IFERROR(INDEX('JLR Materials'!$D:$D,MATCH($K68,'JLR Materials'!$A:$A,0)),"2026-07")),"2026-07")</f>
        <v>2026-07</v>
      </c>
      <c r="I68" t="str">
        <f>IF($M68&gt;0,"JLR rate card — material code "&amp;$K68,"UK electrical steel Jul 2026. Standard 0.50mm NO — mains-frequency industrial motors, pumps. Workhorse economy grade.")</f>
        <v>UK electrical steel Jul 2026. Standard 0.50mm NO — mains-frequency industrial motors, pumps. Workhorse economy grade.</v>
      </c>
      <c r="J68" t="str">
        <v>Medium</v>
      </c>
      <c r="K68" t="str">
        <f>IFERROR(INDEX(Mapping!$C:$C,MATCH($A68,Mapping!$A:$A,0)),"")</f>
        <v/>
      </c>
      <c r="L68">
        <f>IF($K68="",0,COUNTIFS('JLR Materials'!$A:$A,$K68,'JLR Materials'!$C:$C,IF(Settings!$B$2="","&lt;&gt;",Settings!$B$2),'JLR Materials'!$D:$D,IF(Settings!$B$4="","&lt;&gt;",Settings!$B$4)))</f>
        <v>0</v>
      </c>
      <c r="M68">
        <f>IF($L68&lt;&gt;1,0,SUMIFS('JLR Materials'!$E:$E,'JLR Materials'!$A:$A,$K68,'JLR Materials'!$C:$C,IF(Settings!$B$2="","&lt;&gt;",Settings!$B$2),'JLR Materials'!$D:$D,IF(Settings!$B$4="","&lt;&gt;",Settings!$B$4)))</f>
        <v>0</v>
      </c>
      <c r="N68">
        <f>IF($L68&lt;&gt;1,0,SUMIFS('JLR Materials'!$F:$F,'JLR Materials'!$A:$A,$K68,'JLR Materials'!$C:$C,IF(Settings!$B$2="","&lt;&gt;",Settings!$B$2),'JLR Materials'!$D:$D,IF(Settings!$B$4="","&lt;&gt;",Settings!$B$4)))</f>
        <v>0</v>
      </c>
      <c r="O68">
        <f>IF($N68=0,0,IF(Settings!$B$5="percent",$M68*$N68/100,$N68))</f>
        <v>0</v>
      </c>
      <c r="P68">
        <f>IF($L68&lt;&gt;1,0,SUMIFS('JLR Materials'!$G:$G,'JLR Materials'!$A:$A,$K68,'JLR Materials'!$C:$C,IF(Settings!$B$2="","&lt;&gt;",Settings!$B$2),'JLR Materials'!$D:$D,IF(Settings!$B$4="","&lt;&gt;",Settings!$B$4)))</f>
        <v>0</v>
      </c>
    </row>
    <row r="69">
      <c r="A69" t="str">
        <v>mat-m600-50a</v>
      </c>
      <c r="B69" t="str">
        <v>M600-50A NO Electrical (0.50mm, economy)</v>
      </c>
      <c r="C69" t="str">
        <v>Electrical Steel Sheet</v>
      </c>
      <c r="D69">
        <f>IF($M69&gt;0,$M69,1.15)</f>
        <v>1.15</v>
      </c>
      <c r="E69">
        <f>IF($O69&gt;0,$O69,0.25)</f>
        <v>0.25</v>
      </c>
      <c r="F69">
        <v>7750</v>
      </c>
      <c r="G69" t="str">
        <v>UK</v>
      </c>
      <c r="H69" t="str">
        <f>IF($M69&gt;0,IF($L69&lt;&gt;1,"2026-07",IFERROR(INDEX('JLR Materials'!$D:$D,MATCH($K69,'JLR Materials'!$A:$A,0)),"2026-07")),"2026-07")</f>
        <v>2026-07</v>
      </c>
      <c r="I69" t="str">
        <f>IF($M69&gt;0,"JLR rate card — material code "&amp;$K69,"UK electrical steel Jul 2026. Economy 0.50mm NO — small appliance/fan motors, low duty cycle.")</f>
        <v>UK electrical steel Jul 2026. Economy 0.50mm NO — small appliance/fan motors, low duty cycle.</v>
      </c>
      <c r="J69" t="str">
        <v>Medium</v>
      </c>
      <c r="K69" t="str">
        <f>IFERROR(INDEX(Mapping!$C:$C,MATCH($A69,Mapping!$A:$A,0)),"")</f>
        <v/>
      </c>
      <c r="L69">
        <f>IF($K69="",0,COUNTIFS('JLR Materials'!$A:$A,$K69,'JLR Materials'!$C:$C,IF(Settings!$B$2="","&lt;&gt;",Settings!$B$2),'JLR Materials'!$D:$D,IF(Settings!$B$4="","&lt;&gt;",Settings!$B$4)))</f>
        <v>0</v>
      </c>
      <c r="M69">
        <f>IF($L69&lt;&gt;1,0,SUMIFS('JLR Materials'!$E:$E,'JLR Materials'!$A:$A,$K69,'JLR Materials'!$C:$C,IF(Settings!$B$2="","&lt;&gt;",Settings!$B$2),'JLR Materials'!$D:$D,IF(Settings!$B$4="","&lt;&gt;",Settings!$B$4)))</f>
        <v>0</v>
      </c>
      <c r="N69">
        <f>IF($L69&lt;&gt;1,0,SUMIFS('JLR Materials'!$F:$F,'JLR Materials'!$A:$A,$K69,'JLR Materials'!$C:$C,IF(Settings!$B$2="","&lt;&gt;",Settings!$B$2),'JLR Materials'!$D:$D,IF(Settings!$B$4="","&lt;&gt;",Settings!$B$4)))</f>
        <v>0</v>
      </c>
      <c r="O69">
        <f>IF($N69=0,0,IF(Settings!$B$5="percent",$M69*$N69/100,$N69))</f>
        <v>0</v>
      </c>
      <c r="P69">
        <f>IF($L69&lt;&gt;1,0,SUMIFS('JLR Materials'!$G:$G,'JLR Materials'!$A:$A,$K69,'JLR Materials'!$C:$C,IF(Settings!$B$2="","&lt;&gt;",Settings!$B$2),'JLR Materials'!$D:$D,IF(Settings!$B$4="","&lt;&gt;",Settings!$B$4)))</f>
        <v>0</v>
      </c>
    </row>
    <row r="70">
      <c r="A70" t="str">
        <v>mat-m700-65a</v>
      </c>
      <c r="B70" t="str">
        <v>M700-65A NO Electrical (0.65mm, mains)</v>
      </c>
      <c r="C70" t="str">
        <v>Electrical Steel Sheet</v>
      </c>
      <c r="D70">
        <f>IF($M70&gt;0,$M70,1.1)</f>
        <v>1.1</v>
      </c>
      <c r="E70">
        <f>IF($O70&gt;0,$O70,0.25)</f>
        <v>0.25</v>
      </c>
      <c r="F70">
        <v>7800</v>
      </c>
      <c r="G70" t="str">
        <v>UK</v>
      </c>
      <c r="H70" t="str">
        <f>IF($M70&gt;0,IF($L70&lt;&gt;1,"2026-07",IFERROR(INDEX('JLR Materials'!$D:$D,MATCH($K70,'JLR Materials'!$A:$A,0)),"2026-07")),"2026-07")</f>
        <v>2026-07</v>
      </c>
      <c r="I70" t="str">
        <f>IF($M70&gt;0,"JLR rate card — material code "&amp;$K70,"UK electrical steel Jul 2026. Thick 0.65mm NO — low-cost mains motors, ballasts; higher loss, cheapest lamination grade.")</f>
        <v>UK electrical steel Jul 2026. Thick 0.65mm NO — low-cost mains motors, ballasts; higher loss, cheapest lamination grade.</v>
      </c>
      <c r="J70" t="str">
        <v>Low</v>
      </c>
      <c r="K70" t="str">
        <f>IFERROR(INDEX(Mapping!$C:$C,MATCH($A70,Mapping!$A:$A,0)),"")</f>
        <v/>
      </c>
      <c r="L70">
        <f>IF($K70="",0,COUNTIFS('JLR Materials'!$A:$A,$K70,'JLR Materials'!$C:$C,IF(Settings!$B$2="","&lt;&gt;",Settings!$B$2),'JLR Materials'!$D:$D,IF(Settings!$B$4="","&lt;&gt;",Settings!$B$4)))</f>
        <v>0</v>
      </c>
      <c r="M70">
        <f>IF($L70&lt;&gt;1,0,SUMIFS('JLR Materials'!$E:$E,'JLR Materials'!$A:$A,$K70,'JLR Materials'!$C:$C,IF(Settings!$B$2="","&lt;&gt;",Settings!$B$2),'JLR Materials'!$D:$D,IF(Settings!$B$4="","&lt;&gt;",Settings!$B$4)))</f>
        <v>0</v>
      </c>
      <c r="N70">
        <f>IF($L70&lt;&gt;1,0,SUMIFS('JLR Materials'!$F:$F,'JLR Materials'!$A:$A,$K70,'JLR Materials'!$C:$C,IF(Settings!$B$2="","&lt;&gt;",Settings!$B$2),'JLR Materials'!$D:$D,IF(Settings!$B$4="","&lt;&gt;",Settings!$B$4)))</f>
        <v>0</v>
      </c>
      <c r="O70">
        <f>IF($N70=0,0,IF(Settings!$B$5="percent",$M70*$N70/100,$N70))</f>
        <v>0</v>
      </c>
      <c r="P70">
        <f>IF($L70&lt;&gt;1,0,SUMIFS('JLR Materials'!$G:$G,'JLR Materials'!$A:$A,$K70,'JLR Materials'!$C:$C,IF(Settings!$B$2="","&lt;&gt;",Settings!$B$2),'JLR Materials'!$D:$D,IF(Settings!$B$4="","&lt;&gt;",Settings!$B$4)))</f>
        <v>0</v>
      </c>
    </row>
    <row r="71">
      <c r="A71" t="str">
        <v>mat-no27-27a</v>
      </c>
      <c r="B71" t="str">
        <v>NO27 (0.27mm EV Traction)</v>
      </c>
      <c r="C71" t="str">
        <v>Electrical Steel Sheet</v>
      </c>
      <c r="D71">
        <f>IF($M71&gt;0,$M71,2.4)</f>
        <v>2.4</v>
      </c>
      <c r="E71">
        <f>IF($O71&gt;0,$O71,0.28)</f>
        <v>0.28</v>
      </c>
      <c r="F71">
        <v>7600</v>
      </c>
      <c r="G71" t="str">
        <v>UK</v>
      </c>
      <c r="H71" t="str">
        <f>IF($M71&gt;0,IF($L71&lt;&gt;1,"2026-07",IFERROR(INDEX('JLR Materials'!$D:$D,MATCH($K71,'JLR Materials'!$A:$A,0)),"2026-07")),"2026-07")</f>
        <v>2026-07</v>
      </c>
      <c r="I71" t="str">
        <f>IF($M71&gt;0,"JLR rate card — material code "&amp;$K71,"UK electrical steel Jul 2026. 0.27mm thin-gauge NO — high-speed EV traction (200–400 Hz), low iron loss. Notch-tool-wear intensive.")</f>
        <v>UK electrical steel Jul 2026. 0.27mm thin-gauge NO — high-speed EV traction (200–400 Hz), low iron loss. Notch-tool-wear intensive.</v>
      </c>
      <c r="J71" t="str">
        <v>Low</v>
      </c>
      <c r="K71" t="str">
        <f>IFERROR(INDEX(Mapping!$C:$C,MATCH($A71,Mapping!$A:$A,0)),"")</f>
        <v/>
      </c>
      <c r="L71">
        <f>IF($K71="",0,COUNTIFS('JLR Materials'!$A:$A,$K71,'JLR Materials'!$C:$C,IF(Settings!$B$2="","&lt;&gt;",Settings!$B$2),'JLR Materials'!$D:$D,IF(Settings!$B$4="","&lt;&gt;",Settings!$B$4)))</f>
        <v>0</v>
      </c>
      <c r="M71">
        <f>IF($L71&lt;&gt;1,0,SUMIFS('JLR Materials'!$E:$E,'JLR Materials'!$A:$A,$K71,'JLR Materials'!$C:$C,IF(Settings!$B$2="","&lt;&gt;",Settings!$B$2),'JLR Materials'!$D:$D,IF(Settings!$B$4="","&lt;&gt;",Settings!$B$4)))</f>
        <v>0</v>
      </c>
      <c r="N71">
        <f>IF($L71&lt;&gt;1,0,SUMIFS('JLR Materials'!$F:$F,'JLR Materials'!$A:$A,$K71,'JLR Materials'!$C:$C,IF(Settings!$B$2="","&lt;&gt;",Settings!$B$2),'JLR Materials'!$D:$D,IF(Settings!$B$4="","&lt;&gt;",Settings!$B$4)))</f>
        <v>0</v>
      </c>
      <c r="O71">
        <f>IF($N71=0,0,IF(Settings!$B$5="percent",$M71*$N71/100,$N71))</f>
        <v>0</v>
      </c>
      <c r="P71">
        <f>IF($L71&lt;&gt;1,0,SUMIFS('JLR Materials'!$G:$G,'JLR Materials'!$A:$A,$K71,'JLR Materials'!$C:$C,IF(Settings!$B$2="","&lt;&gt;",Settings!$B$2),'JLR Materials'!$D:$D,IF(Settings!$B$4="","&lt;&gt;",Settings!$B$4)))</f>
        <v>0</v>
      </c>
    </row>
    <row r="72">
      <c r="A72" t="str">
        <v>mat-no25-25a</v>
      </c>
      <c r="B72" t="str">
        <v>NO25 (0.25mm EV Traction)</v>
      </c>
      <c r="C72" t="str">
        <v>Electrical Steel Sheet</v>
      </c>
      <c r="D72">
        <f>IF($M72&gt;0,$M72,2.7)</f>
        <v>2.7</v>
      </c>
      <c r="E72">
        <f>IF($O72&gt;0,$O72,0.28)</f>
        <v>0.28</v>
      </c>
      <c r="F72">
        <v>7600</v>
      </c>
      <c r="G72" t="str">
        <v>UK</v>
      </c>
      <c r="H72" t="str">
        <f>IF($M72&gt;0,IF($L72&lt;&gt;1,"2026-07",IFERROR(INDEX('JLR Materials'!$D:$D,MATCH($K72,'JLR Materials'!$A:$A,0)),"2026-07")),"2026-07")</f>
        <v>2026-07</v>
      </c>
      <c r="I72" t="str">
        <f>IF($M72&gt;0,"JLR rate card — material code "&amp;$K72,"UK electrical steel Jul 2026. 0.25mm high-efficiency EV motor lamination; very low core loss, high mechanical strength grades available.")</f>
        <v>UK electrical steel Jul 2026. 0.25mm high-efficiency EV motor lamination; very low core loss, high mechanical strength grades available.</v>
      </c>
      <c r="J72" t="str">
        <v>Low</v>
      </c>
      <c r="K72" t="str">
        <f>IFERROR(INDEX(Mapping!$C:$C,MATCH($A72,Mapping!$A:$A,0)),"")</f>
        <v/>
      </c>
      <c r="L72">
        <f>IF($K72="",0,COUNTIFS('JLR Materials'!$A:$A,$K72,'JLR Materials'!$C:$C,IF(Settings!$B$2="","&lt;&gt;",Settings!$B$2),'JLR Materials'!$D:$D,IF(Settings!$B$4="","&lt;&gt;",Settings!$B$4)))</f>
        <v>0</v>
      </c>
      <c r="M72">
        <f>IF($L72&lt;&gt;1,0,SUMIFS('JLR Materials'!$E:$E,'JLR Materials'!$A:$A,$K72,'JLR Materials'!$C:$C,IF(Settings!$B$2="","&lt;&gt;",Settings!$B$2),'JLR Materials'!$D:$D,IF(Settings!$B$4="","&lt;&gt;",Settings!$B$4)))</f>
        <v>0</v>
      </c>
      <c r="N72">
        <f>IF($L72&lt;&gt;1,0,SUMIFS('JLR Materials'!$F:$F,'JLR Materials'!$A:$A,$K72,'JLR Materials'!$C:$C,IF(Settings!$B$2="","&lt;&gt;",Settings!$B$2),'JLR Materials'!$D:$D,IF(Settings!$B$4="","&lt;&gt;",Settings!$B$4)))</f>
        <v>0</v>
      </c>
      <c r="O72">
        <f>IF($N72=0,0,IF(Settings!$B$5="percent",$M72*$N72/100,$N72))</f>
        <v>0</v>
      </c>
      <c r="P72">
        <f>IF($L72&lt;&gt;1,0,SUMIFS('JLR Materials'!$G:$G,'JLR Materials'!$A:$A,$K72,'JLR Materials'!$C:$C,IF(Settings!$B$2="","&lt;&gt;",Settings!$B$2),'JLR Materials'!$D:$D,IF(Settings!$B$4="","&lt;&gt;",Settings!$B$4)))</f>
        <v>0</v>
      </c>
    </row>
    <row r="73">
      <c r="A73" t="str">
        <v>mat-no20-20a</v>
      </c>
      <c r="B73" t="str">
        <v>NO20 (0.20mm High-Speed EV/aero)</v>
      </c>
      <c r="C73" t="str">
        <v>Electrical Steel Sheet</v>
      </c>
      <c r="D73">
        <f>IF($M73&gt;0,$M73,3.4)</f>
        <v>3.4</v>
      </c>
      <c r="E73">
        <f>IF($O73&gt;0,$O73,0.3)</f>
        <v>0.3</v>
      </c>
      <c r="F73">
        <v>7600</v>
      </c>
      <c r="G73" t="str">
        <v>UK</v>
      </c>
      <c r="H73" t="str">
        <f>IF($M73&gt;0,IF($L73&lt;&gt;1,"2026-07",IFERROR(INDEX('JLR Materials'!$D:$D,MATCH($K73,'JLR Materials'!$A:$A,0)),"2026-07")),"2026-07")</f>
        <v>2026-07</v>
      </c>
      <c r="I73" t="str">
        <f>IF($M73&gt;0,"JLR rate card — material code "&amp;$K73,"UK electrical steel Jul 2026. 0.20mm ultra-thin NO — high-speed (&gt;15k rpm) EV/aerospace traction; lowest loss, premium price, low stacking factor.")</f>
        <v>UK electrical steel Jul 2026. 0.20mm ultra-thin NO — high-speed (&gt;15k rpm) EV/aerospace traction; lowest loss, premium price, low stacking factor.</v>
      </c>
      <c r="J73" t="str">
        <v>Low</v>
      </c>
      <c r="K73" t="str">
        <f>IFERROR(INDEX(Mapping!$C:$C,MATCH($A73,Mapping!$A:$A,0)),"")</f>
        <v/>
      </c>
      <c r="L73">
        <f>IF($K73="",0,COUNTIFS('JLR Materials'!$A:$A,$K73,'JLR Materials'!$C:$C,IF(Settings!$B$2="","&lt;&gt;",Settings!$B$2),'JLR Materials'!$D:$D,IF(Settings!$B$4="","&lt;&gt;",Settings!$B$4)))</f>
        <v>0</v>
      </c>
      <c r="M73">
        <f>IF($L73&lt;&gt;1,0,SUMIFS('JLR Materials'!$E:$E,'JLR Materials'!$A:$A,$K73,'JLR Materials'!$C:$C,IF(Settings!$B$2="","&lt;&gt;",Settings!$B$2),'JLR Materials'!$D:$D,IF(Settings!$B$4="","&lt;&gt;",Settings!$B$4)))</f>
        <v>0</v>
      </c>
      <c r="N73">
        <f>IF($L73&lt;&gt;1,0,SUMIFS('JLR Materials'!$F:$F,'JLR Materials'!$A:$A,$K73,'JLR Materials'!$C:$C,IF(Settings!$B$2="","&lt;&gt;",Settings!$B$2),'JLR Materials'!$D:$D,IF(Settings!$B$4="","&lt;&gt;",Settings!$B$4)))</f>
        <v>0</v>
      </c>
      <c r="O73">
        <f>IF($N73=0,0,IF(Settings!$B$5="percent",$M73*$N73/100,$N73))</f>
        <v>0</v>
      </c>
      <c r="P73">
        <f>IF($L73&lt;&gt;1,0,SUMIFS('JLR Materials'!$G:$G,'JLR Materials'!$A:$A,$K73,'JLR Materials'!$C:$C,IF(Settings!$B$2="","&lt;&gt;",Settings!$B$2),'JLR Materials'!$D:$D,IF(Settings!$B$4="","&lt;&gt;",Settings!$B$4)))</f>
        <v>0</v>
      </c>
    </row>
    <row r="74">
      <c r="A74" t="str">
        <v>mat-cgo-m120-27</v>
      </c>
      <c r="B74" t="str">
        <v>M120-27S CGO (0.27mm Grain-Oriented)</v>
      </c>
      <c r="C74" t="str">
        <v>Electrical Steel Sheet</v>
      </c>
      <c r="D74">
        <f>IF($M74&gt;0,$M74,2.55)</f>
        <v>2.55</v>
      </c>
      <c r="E74">
        <f>IF($O74&gt;0,$O74,0.3)</f>
        <v>0.3</v>
      </c>
      <c r="F74">
        <v>7650</v>
      </c>
      <c r="G74" t="str">
        <v>UK</v>
      </c>
      <c r="H74" t="str">
        <f>IF($M74&gt;0,IF($L74&lt;&gt;1,"2026-07",IFERROR(INDEX('JLR Materials'!$D:$D,MATCH($K74,'JLR Materials'!$A:$A,0)),"2026-07")),"2026-07")</f>
        <v>2026-07</v>
      </c>
      <c r="I74" t="str">
        <f>IF($M74&gt;0,"JLR rate card — material code "&amp;$K74,"UK electrical steel Jul 2026. Conventional grain-oriented — distribution/power transformer cores.")</f>
        <v>UK electrical steel Jul 2026. Conventional grain-oriented — distribution/power transformer cores.</v>
      </c>
      <c r="J74" t="str">
        <v>Low</v>
      </c>
      <c r="K74" t="str">
        <f>IFERROR(INDEX(Mapping!$C:$C,MATCH($A74,Mapping!$A:$A,0)),"")</f>
        <v/>
      </c>
      <c r="L74">
        <f>IF($K74="",0,COUNTIFS('JLR Materials'!$A:$A,$K74,'JLR Materials'!$C:$C,IF(Settings!$B$2="","&lt;&gt;",Settings!$B$2),'JLR Materials'!$D:$D,IF(Settings!$B$4="","&lt;&gt;",Settings!$B$4)))</f>
        <v>0</v>
      </c>
      <c r="M74">
        <f>IF($L74&lt;&gt;1,0,SUMIFS('JLR Materials'!$E:$E,'JLR Materials'!$A:$A,$K74,'JLR Materials'!$C:$C,IF(Settings!$B$2="","&lt;&gt;",Settings!$B$2),'JLR Materials'!$D:$D,IF(Settings!$B$4="","&lt;&gt;",Settings!$B$4)))</f>
        <v>0</v>
      </c>
      <c r="N74">
        <f>IF($L74&lt;&gt;1,0,SUMIFS('JLR Materials'!$F:$F,'JLR Materials'!$A:$A,$K74,'JLR Materials'!$C:$C,IF(Settings!$B$2="","&lt;&gt;",Settings!$B$2),'JLR Materials'!$D:$D,IF(Settings!$B$4="","&lt;&gt;",Settings!$B$4)))</f>
        <v>0</v>
      </c>
      <c r="O74">
        <f>IF($N74=0,0,IF(Settings!$B$5="percent",$M74*$N74/100,$N74))</f>
        <v>0</v>
      </c>
      <c r="P74">
        <f>IF($L74&lt;&gt;1,0,SUMIFS('JLR Materials'!$G:$G,'JLR Materials'!$A:$A,$K74,'JLR Materials'!$C:$C,IF(Settings!$B$2="","&lt;&gt;",Settings!$B$2),'JLR Materials'!$D:$D,IF(Settings!$B$4="","&lt;&gt;",Settings!$B$4)))</f>
        <v>0</v>
      </c>
    </row>
    <row r="75">
      <c r="A75" t="str">
        <v>mat-hgo-m090-23</v>
      </c>
      <c r="B75" t="str">
        <v>M090-23P HGO Domain-Refined (0.23mm)</v>
      </c>
      <c r="C75" t="str">
        <v>Electrical Steel Sheet</v>
      </c>
      <c r="D75">
        <f>IF($M75&gt;0,$M75,3.4)</f>
        <v>3.4</v>
      </c>
      <c r="E75">
        <f>IF($O75&gt;0,$O75,0.3)</f>
        <v>0.3</v>
      </c>
      <c r="F75">
        <v>7650</v>
      </c>
      <c r="G75" t="str">
        <v>UK</v>
      </c>
      <c r="H75" t="str">
        <f>IF($M75&gt;0,IF($L75&lt;&gt;1,"2026-07",IFERROR(INDEX('JLR Materials'!$D:$D,MATCH($K75,'JLR Materials'!$A:$A,0)),"2026-07")),"2026-07")</f>
        <v>2026-07</v>
      </c>
      <c r="I75" t="str">
        <f>IF($M75&gt;0,"JLR rate card — material code "&amp;$K75,"UK electrical steel Jul 2026. Laser-scribed domain-refined HGO — lowest-loss transformer grade, high-efficiency power transformers.")</f>
        <v>UK electrical steel Jul 2026. Laser-scribed domain-refined HGO — lowest-loss transformer grade, high-efficiency power transformers.</v>
      </c>
      <c r="J75" t="str">
        <v>Low</v>
      </c>
      <c r="K75" t="str">
        <f>IFERROR(INDEX(Mapping!$C:$C,MATCH($A75,Mapping!$A:$A,0)),"")</f>
        <v/>
      </c>
      <c r="L75">
        <f>IF($K75="",0,COUNTIFS('JLR Materials'!$A:$A,$K75,'JLR Materials'!$C:$C,IF(Settings!$B$2="","&lt;&gt;",Settings!$B$2),'JLR Materials'!$D:$D,IF(Settings!$B$4="","&lt;&gt;",Settings!$B$4)))</f>
        <v>0</v>
      </c>
      <c r="M75">
        <f>IF($L75&lt;&gt;1,0,SUMIFS('JLR Materials'!$E:$E,'JLR Materials'!$A:$A,$K75,'JLR Materials'!$C:$C,IF(Settings!$B$2="","&lt;&gt;",Settings!$B$2),'JLR Materials'!$D:$D,IF(Settings!$B$4="","&lt;&gt;",Settings!$B$4)))</f>
        <v>0</v>
      </c>
      <c r="N75">
        <f>IF($L75&lt;&gt;1,0,SUMIFS('JLR Materials'!$F:$F,'JLR Materials'!$A:$A,$K75,'JLR Materials'!$C:$C,IF(Settings!$B$2="","&lt;&gt;",Settings!$B$2),'JLR Materials'!$D:$D,IF(Settings!$B$4="","&lt;&gt;",Settings!$B$4)))</f>
        <v>0</v>
      </c>
      <c r="O75">
        <f>IF($N75=0,0,IF(Settings!$B$5="percent",$M75*$N75/100,$N75))</f>
        <v>0</v>
      </c>
      <c r="P75">
        <f>IF($L75&lt;&gt;1,0,SUMIFS('JLR Materials'!$G:$G,'JLR Materials'!$A:$A,$K75,'JLR Materials'!$C:$C,IF(Settings!$B$2="","&lt;&gt;",Settings!$B$2),'JLR Materials'!$D:$D,IF(Settings!$B$4="","&lt;&gt;",Settings!$B$4)))</f>
        <v>0</v>
      </c>
    </row>
    <row r="76">
      <c r="A76" t="str">
        <v>mat-cofe-hiperco50</v>
      </c>
      <c r="B76" t="str">
        <v>Cobalt-Iron (Hiperco 50 / Vacodur 49)</v>
      </c>
      <c r="C76" t="str">
        <v>Electrical Steel Sheet</v>
      </c>
      <c r="D76">
        <f>IF($M76&gt;0,$M76,58)</f>
        <v>58</v>
      </c>
      <c r="E76">
        <f>IF($O76&gt;0,$O76,4)</f>
        <v>4</v>
      </c>
      <c r="F76">
        <v>8120</v>
      </c>
      <c r="G76" t="str">
        <v>UK</v>
      </c>
      <c r="H76" t="str">
        <f>IF($M76&gt;0,IF($L76&lt;&gt;1,"2026-07",IFERROR(INDEX('JLR Materials'!$D:$D,MATCH($K76,'JLR Materials'!$A:$A,0)),"2026-07")),"2026-07")</f>
        <v>2026-07</v>
      </c>
      <c r="I76" t="str">
        <f>IF($M76&gt;0,"JLR rate card — material code "&amp;$K76,"UK speciality Jul 2026. CoFe (49Co-2V) — highest saturation (2.3T), aerospace/defence &amp; high-power-density EV traction; needs final anneal in H₂. Premium.")</f>
        <v>UK speciality Jul 2026. CoFe (49Co-2V) — highest saturation (2.3T), aerospace/defence &amp; high-power-density EV traction; needs final anneal in H₂. Premium.</v>
      </c>
      <c r="J76" t="str">
        <v>Low</v>
      </c>
      <c r="K76" t="str">
        <f>IFERROR(INDEX(Mapping!$C:$C,MATCH($A76,Mapping!$A:$A,0)),"")</f>
        <v/>
      </c>
      <c r="L76">
        <f>IF($K76="",0,COUNTIFS('JLR Materials'!$A:$A,$K76,'JLR Materials'!$C:$C,IF(Settings!$B$2="","&lt;&gt;",Settings!$B$2),'JLR Materials'!$D:$D,IF(Settings!$B$4="","&lt;&gt;",Settings!$B$4)))</f>
        <v>0</v>
      </c>
      <c r="M76">
        <f>IF($L76&lt;&gt;1,0,SUMIFS('JLR Materials'!$E:$E,'JLR Materials'!$A:$A,$K76,'JLR Materials'!$C:$C,IF(Settings!$B$2="","&lt;&gt;",Settings!$B$2),'JLR Materials'!$D:$D,IF(Settings!$B$4="","&lt;&gt;",Settings!$B$4)))</f>
        <v>0</v>
      </c>
      <c r="N76">
        <f>IF($L76&lt;&gt;1,0,SUMIFS('JLR Materials'!$F:$F,'JLR Materials'!$A:$A,$K76,'JLR Materials'!$C:$C,IF(Settings!$B$2="","&lt;&gt;",Settings!$B$2),'JLR Materials'!$D:$D,IF(Settings!$B$4="","&lt;&gt;",Settings!$B$4)))</f>
        <v>0</v>
      </c>
      <c r="O76">
        <f>IF($N76=0,0,IF(Settings!$B$5="percent",$M76*$N76/100,$N76))</f>
        <v>0</v>
      </c>
      <c r="P76">
        <f>IF($L76&lt;&gt;1,0,SUMIFS('JLR Materials'!$G:$G,'JLR Materials'!$A:$A,$K76,'JLR Materials'!$C:$C,IF(Settings!$B$2="","&lt;&gt;",Settings!$B$2),'JLR Materials'!$D:$D,IF(Settings!$B$4="","&lt;&gt;",Settings!$B$4)))</f>
        <v>0</v>
      </c>
    </row>
    <row r="77">
      <c r="A77" t="str">
        <v>mat-nife-permalloy80</v>
      </c>
      <c r="B77" t="str">
        <v>Nickel-Iron Permalloy (80% Ni)</v>
      </c>
      <c r="C77" t="str">
        <v>Electrical Steel Sheet</v>
      </c>
      <c r="D77">
        <f>IF($M77&gt;0,$M77,24)</f>
        <v>24</v>
      </c>
      <c r="E77">
        <f>IF($O77&gt;0,$O77,2)</f>
        <v>2</v>
      </c>
      <c r="F77">
        <v>8740</v>
      </c>
      <c r="G77" t="str">
        <v>UK</v>
      </c>
      <c r="H77" t="str">
        <f>IF($M77&gt;0,IF($L77&lt;&gt;1,"2026-07",IFERROR(INDEX('JLR Materials'!$D:$D,MATCH($K77,'JLR Materials'!$A:$A,0)),"2026-07")),"2026-07")</f>
        <v>2026-07</v>
      </c>
      <c r="I77" t="str">
        <f>IF($M77&gt;0,"JLR rate card — material code "&amp;$K77,"UK speciality Jul 2026. 80NiFe — ultra-high permeability small cores, sensors, resolvers, current transformers; low saturation, expensive.")</f>
        <v>UK speciality Jul 2026. 80NiFe — ultra-high permeability small cores, sensors, resolvers, current transformers; low saturation, expensive.</v>
      </c>
      <c r="J77" t="str">
        <v>Low</v>
      </c>
      <c r="K77" t="str">
        <f>IFERROR(INDEX(Mapping!$C:$C,MATCH($A77,Mapping!$A:$A,0)),"")</f>
        <v/>
      </c>
      <c r="L77">
        <f>IF($K77="",0,COUNTIFS('JLR Materials'!$A:$A,$K77,'JLR Materials'!$C:$C,IF(Settings!$B$2="","&lt;&gt;",Settings!$B$2),'JLR Materials'!$D:$D,IF(Settings!$B$4="","&lt;&gt;",Settings!$B$4)))</f>
        <v>0</v>
      </c>
      <c r="M77">
        <f>IF($L77&lt;&gt;1,0,SUMIFS('JLR Materials'!$E:$E,'JLR Materials'!$A:$A,$K77,'JLR Materials'!$C:$C,IF(Settings!$B$2="","&lt;&gt;",Settings!$B$2),'JLR Materials'!$D:$D,IF(Settings!$B$4="","&lt;&gt;",Settings!$B$4)))</f>
        <v>0</v>
      </c>
      <c r="N77">
        <f>IF($L77&lt;&gt;1,0,SUMIFS('JLR Materials'!$F:$F,'JLR Materials'!$A:$A,$K77,'JLR Materials'!$C:$C,IF(Settings!$B$2="","&lt;&gt;",Settings!$B$2),'JLR Materials'!$D:$D,IF(Settings!$B$4="","&lt;&gt;",Settings!$B$4)))</f>
        <v>0</v>
      </c>
      <c r="O77">
        <f>IF($N77=0,0,IF(Settings!$B$5="percent",$M77*$N77/100,$N77))</f>
        <v>0</v>
      </c>
      <c r="P77">
        <f>IF($L77&lt;&gt;1,0,SUMIFS('JLR Materials'!$G:$G,'JLR Materials'!$A:$A,$K77,'JLR Materials'!$C:$C,IF(Settings!$B$2="","&lt;&gt;",Settings!$B$2),'JLR Materials'!$D:$D,IF(Settings!$B$4="","&lt;&gt;",Settings!$B$4)))</f>
        <v>0</v>
      </c>
    </row>
    <row r="78">
      <c r="A78" t="str">
        <v>mat-amorphous-2605sa1</v>
      </c>
      <c r="B78" t="str">
        <v>Amorphous Ribbon (Metglas 2605SA1)</v>
      </c>
      <c r="C78" t="str">
        <v>Electrical Steel Sheet</v>
      </c>
      <c r="D78">
        <f>IF($M78&gt;0,$M78,8.5)</f>
        <v>8.5</v>
      </c>
      <c r="E78">
        <f>IF($O78&gt;0,$O78,0.5)</f>
        <v>0.5</v>
      </c>
      <c r="F78">
        <v>7180</v>
      </c>
      <c r="G78" t="str">
        <v>UK</v>
      </c>
      <c r="H78" t="str">
        <f>IF($M78&gt;0,IF($L78&lt;&gt;1,"2026-07",IFERROR(INDEX('JLR Materials'!$D:$D,MATCH($K78,'JLR Materials'!$A:$A,0)),"2026-07")),"2026-07")</f>
        <v>2026-07</v>
      </c>
      <c r="I78" t="str">
        <f>IF($M78&gt;0,"JLR rate card — material code "&amp;$K78,"UK speciality Jul 2026. Fe-based amorphous ribbon (~25µm) — ultra-low-loss distribution transformers, high-freq cut cores; brittle, cut/etched not conventionally stamped.")</f>
        <v>UK speciality Jul 2026. Fe-based amorphous ribbon (~25µm) — ultra-low-loss distribution transformers, high-freq cut cores; brittle, cut/etched not conventionally stamped.</v>
      </c>
      <c r="J78" t="str">
        <v>Low</v>
      </c>
      <c r="K78" t="str">
        <f>IFERROR(INDEX(Mapping!$C:$C,MATCH($A78,Mapping!$A:$A,0)),"")</f>
        <v/>
      </c>
      <c r="L78">
        <f>IF($K78="",0,COUNTIFS('JLR Materials'!$A:$A,$K78,'JLR Materials'!$C:$C,IF(Settings!$B$2="","&lt;&gt;",Settings!$B$2),'JLR Materials'!$D:$D,IF(Settings!$B$4="","&lt;&gt;",Settings!$B$4)))</f>
        <v>0</v>
      </c>
      <c r="M78">
        <f>IF($L78&lt;&gt;1,0,SUMIFS('JLR Materials'!$E:$E,'JLR Materials'!$A:$A,$K78,'JLR Materials'!$C:$C,IF(Settings!$B$2="","&lt;&gt;",Settings!$B$2),'JLR Materials'!$D:$D,IF(Settings!$B$4="","&lt;&gt;",Settings!$B$4)))</f>
        <v>0</v>
      </c>
      <c r="N78">
        <f>IF($L78&lt;&gt;1,0,SUMIFS('JLR Materials'!$F:$F,'JLR Materials'!$A:$A,$K78,'JLR Materials'!$C:$C,IF(Settings!$B$2="","&lt;&gt;",Settings!$B$2),'JLR Materials'!$D:$D,IF(Settings!$B$4="","&lt;&gt;",Settings!$B$4)))</f>
        <v>0</v>
      </c>
      <c r="O78">
        <f>IF($N78=0,0,IF(Settings!$B$5="percent",$M78*$N78/100,$N78))</f>
        <v>0</v>
      </c>
      <c r="P78">
        <f>IF($L78&lt;&gt;1,0,SUMIFS('JLR Materials'!$G:$G,'JLR Materials'!$A:$A,$K78,'JLR Materials'!$C:$C,IF(Settings!$B$2="","&lt;&gt;",Settings!$B$2),'JLR Materials'!$D:$D,IF(Settings!$B$4="","&lt;&gt;",Settings!$B$4)))</f>
        <v>0</v>
      </c>
    </row>
    <row r="79">
      <c r="A79" t="str">
        <v>mat-no-semiproc-50</v>
      </c>
      <c r="B79" t="str">
        <v>Semi-Processed NO Electrical (0.50mm)</v>
      </c>
      <c r="C79" t="str">
        <v>Electrical Steel Sheet</v>
      </c>
      <c r="D79">
        <f>IF($M79&gt;0,$M79,1.05)</f>
        <v>1.05</v>
      </c>
      <c r="E79">
        <f>IF($O79&gt;0,$O79,0.24)</f>
        <v>0.24</v>
      </c>
      <c r="F79">
        <v>7750</v>
      </c>
      <c r="G79" t="str">
        <v>UK</v>
      </c>
      <c r="H79" t="str">
        <f>IF($M79&gt;0,IF($L79&lt;&gt;1,"2026-07",IFERROR(INDEX('JLR Materials'!$D:$D,MATCH($K79,'JLR Materials'!$A:$A,0)),"2026-07")),"2026-07")</f>
        <v>2026-07</v>
      </c>
      <c r="I79" t="str">
        <f>IF($M79&gt;0,"JLR rate card — material code "&amp;$K79,"UK electrical steel Jul 2026. Semi-processed NO — magnetic properties developed by the stamper’s post-blank anneal; low coil cost, mandatory stress-relief/decarb anneal.")</f>
        <v>UK electrical steel Jul 2026. Semi-processed NO — magnetic properties developed by the stamper’s post-blank anneal; low coil cost, mandatory stress-relief/decarb anneal.</v>
      </c>
      <c r="J79" t="str">
        <v>Low</v>
      </c>
      <c r="K79" t="str">
        <f>IFERROR(INDEX(Mapping!$C:$C,MATCH($A79,Mapping!$A:$A,0)),"")</f>
        <v/>
      </c>
      <c r="L79">
        <f>IF($K79="",0,COUNTIFS('JLR Materials'!$A:$A,$K79,'JLR Materials'!$C:$C,IF(Settings!$B$2="","&lt;&gt;",Settings!$B$2),'JLR Materials'!$D:$D,IF(Settings!$B$4="","&lt;&gt;",Settings!$B$4)))</f>
        <v>0</v>
      </c>
      <c r="M79">
        <f>IF($L79&lt;&gt;1,0,SUMIFS('JLR Materials'!$E:$E,'JLR Materials'!$A:$A,$K79,'JLR Materials'!$C:$C,IF(Settings!$B$2="","&lt;&gt;",Settings!$B$2),'JLR Materials'!$D:$D,IF(Settings!$B$4="","&lt;&gt;",Settings!$B$4)))</f>
        <v>0</v>
      </c>
      <c r="N79">
        <f>IF($L79&lt;&gt;1,0,SUMIFS('JLR Materials'!$F:$F,'JLR Materials'!$A:$A,$K79,'JLR Materials'!$C:$C,IF(Settings!$B$2="","&lt;&gt;",Settings!$B$2),'JLR Materials'!$D:$D,IF(Settings!$B$4="","&lt;&gt;",Settings!$B$4)))</f>
        <v>0</v>
      </c>
      <c r="O79">
        <f>IF($N79=0,0,IF(Settings!$B$5="percent",$M79*$N79/100,$N79))</f>
        <v>0</v>
      </c>
      <c r="P79">
        <f>IF($L79&lt;&gt;1,0,SUMIFS('JLR Materials'!$G:$G,'JLR Materials'!$A:$A,$K79,'JLR Materials'!$C:$C,IF(Settings!$B$2="","&lt;&gt;",Settings!$B$2),'JLR Materials'!$D:$D,IF(Settings!$B$4="","&lt;&gt;",Settings!$B$4)))</f>
        <v>0</v>
      </c>
    </row>
    <row r="80">
      <c r="A80" t="str">
        <v>mat-hsno-rotor-700</v>
      </c>
      <c r="B80" t="str">
        <v>High-Strength NO Electrical (~700 MPa, 0.30mm rotor)</v>
      </c>
      <c r="C80" t="str">
        <v>Electrical Steel Sheet</v>
      </c>
      <c r="D80">
        <f>IF($M80&gt;0,$M80,2.6)</f>
        <v>2.6</v>
      </c>
      <c r="E80">
        <f>IF($O80&gt;0,$O80,0.28)</f>
        <v>0.28</v>
      </c>
      <c r="F80">
        <v>7650</v>
      </c>
      <c r="G80" t="str">
        <v>UK</v>
      </c>
      <c r="H80" t="str">
        <f>IF($M80&gt;0,IF($L80&lt;&gt;1,"2026-07",IFERROR(INDEX('JLR Materials'!$D:$D,MATCH($K80,'JLR Materials'!$A:$A,0)),"2026-07")),"2026-07")</f>
        <v>2026-07</v>
      </c>
      <c r="I80" t="str">
        <f>IF($M80&gt;0,"JLR rate card — material code "&amp;$K80,"UK electrical steel Jul 2026. High-yield thin-gauge NO for high-speed EV traction rotors (bridge stresses at 15–20k rpm) — BYD/Xiaomi-class hyper-motors. Higher Si+alloy, harder to notch.")</f>
        <v>UK electrical steel Jul 2026. High-yield thin-gauge NO for high-speed EV traction rotors (bridge stresses at 15–20k rpm) — BYD/Xiaomi-class hyper-motors. Higher Si+alloy, harder to notch.</v>
      </c>
      <c r="J80" t="str">
        <v>Low</v>
      </c>
      <c r="K80" t="str">
        <f>IFERROR(INDEX(Mapping!$C:$C,MATCH($A80,Mapping!$A:$A,0)),"")</f>
        <v/>
      </c>
      <c r="L80">
        <f>IF($K80="",0,COUNTIFS('JLR Materials'!$A:$A,$K80,'JLR Materials'!$C:$C,IF(Settings!$B$2="","&lt;&gt;",Settings!$B$2),'JLR Materials'!$D:$D,IF(Settings!$B$4="","&lt;&gt;",Settings!$B$4)))</f>
        <v>0</v>
      </c>
      <c r="M80">
        <f>IF($L80&lt;&gt;1,0,SUMIFS('JLR Materials'!$E:$E,'JLR Materials'!$A:$A,$K80,'JLR Materials'!$C:$C,IF(Settings!$B$2="","&lt;&gt;",Settings!$B$2),'JLR Materials'!$D:$D,IF(Settings!$B$4="","&lt;&gt;",Settings!$B$4)))</f>
        <v>0</v>
      </c>
      <c r="N80">
        <f>IF($L80&lt;&gt;1,0,SUMIFS('JLR Materials'!$F:$F,'JLR Materials'!$A:$A,$K80,'JLR Materials'!$C:$C,IF(Settings!$B$2="","&lt;&gt;",Settings!$B$2),'JLR Materials'!$D:$D,IF(Settings!$B$4="","&lt;&gt;",Settings!$B$4)))</f>
        <v>0</v>
      </c>
      <c r="O80">
        <f>IF($N80=0,0,IF(Settings!$B$5="percent",$M80*$N80/100,$N80))</f>
        <v>0</v>
      </c>
      <c r="P80">
        <f>IF($L80&lt;&gt;1,0,SUMIFS('JLR Materials'!$G:$G,'JLR Materials'!$A:$A,$K80,'JLR Materials'!$C:$C,IF(Settings!$B$2="","&lt;&gt;",Settings!$B$2),'JLR Materials'!$D:$D,IF(Settings!$B$4="","&lt;&gt;",Settings!$B$4)))</f>
        <v>0</v>
      </c>
    </row>
    <row r="81">
      <c r="A81" t="str">
        <v>mat-hsno-rotor-960</v>
      </c>
      <c r="B81" t="str">
        <v>Ultra-High-Strength NO Electrical (~960 MPa, 0.20–0.27mm rotor)</v>
      </c>
      <c r="C81" t="str">
        <v>Electrical Steel Sheet</v>
      </c>
      <c r="D81">
        <f>IF($M81&gt;0,$M81,3.2)</f>
        <v>3.2</v>
      </c>
      <c r="E81">
        <f>IF($O81&gt;0,$O81,0.3)</f>
        <v>0.3</v>
      </c>
      <c r="F81">
        <v>7600</v>
      </c>
      <c r="G81" t="str">
        <v>UK</v>
      </c>
      <c r="H81" t="str">
        <f>IF($M81&gt;0,IF($L81&lt;&gt;1,"2026-07",IFERROR(INDEX('JLR Materials'!$D:$D,MATCH($K81,'JLR Materials'!$A:$A,0)),"2026-07")),"2026-07")</f>
        <v>2026-07</v>
      </c>
      <c r="I81" t="str">
        <f>IF($M81&gt;0,"JLR rate card — material code "&amp;$K81,"UK electrical steel Jul 2026. Ultra-high-yield thin NO for &gt;20k rpm rotors (Xiaomi HyperEngine V8s ~27,200 rpm class) — enables slim bridges + high tip speed. Premium, heavy notch-tool wear.")</f>
        <v>UK electrical steel Jul 2026. Ultra-high-yield thin NO for &gt;20k rpm rotors (Xiaomi HyperEngine V8s ~27,200 rpm class) — enables slim bridges + high tip speed. Premium, heavy notch-tool wear.</v>
      </c>
      <c r="J81" t="str">
        <v>Low</v>
      </c>
      <c r="K81" t="str">
        <f>IFERROR(INDEX(Mapping!$C:$C,MATCH($A81,Mapping!$A:$A,0)),"")</f>
        <v/>
      </c>
      <c r="L81">
        <f>IF($K81="",0,COUNTIFS('JLR Materials'!$A:$A,$K81,'JLR Materials'!$C:$C,IF(Settings!$B$2="","&lt;&gt;",Settings!$B$2),'JLR Materials'!$D:$D,IF(Settings!$B$4="","&lt;&gt;",Settings!$B$4)))</f>
        <v>0</v>
      </c>
      <c r="M81">
        <f>IF($L81&lt;&gt;1,0,SUMIFS('JLR Materials'!$E:$E,'JLR Materials'!$A:$A,$K81,'JLR Materials'!$C:$C,IF(Settings!$B$2="","&lt;&gt;",Settings!$B$2),'JLR Materials'!$D:$D,IF(Settings!$B$4="","&lt;&gt;",Settings!$B$4)))</f>
        <v>0</v>
      </c>
      <c r="N81">
        <f>IF($L81&lt;&gt;1,0,SUMIFS('JLR Materials'!$F:$F,'JLR Materials'!$A:$A,$K81,'JLR Materials'!$C:$C,IF(Settings!$B$2="","&lt;&gt;",Settings!$B$2),'JLR Materials'!$D:$D,IF(Settings!$B$4="","&lt;&gt;",Settings!$B$4)))</f>
        <v>0</v>
      </c>
      <c r="O81">
        <f>IF($N81=0,0,IF(Settings!$B$5="percent",$M81*$N81/100,$N81))</f>
        <v>0</v>
      </c>
      <c r="P81">
        <f>IF($L81&lt;&gt;1,0,SUMIFS('JLR Materials'!$G:$G,'JLR Materials'!$A:$A,$K81,'JLR Materials'!$C:$C,IF(Settings!$B$2="","&lt;&gt;",Settings!$B$2),'JLR Materials'!$D:$D,IF(Settings!$B$4="","&lt;&gt;",Settings!$B$4)))</f>
        <v>0</v>
      </c>
    </row>
    <row r="82">
      <c r="A82" t="str">
        <v>mat-no15-15a</v>
      </c>
      <c r="B82" t="str">
        <v>NO15 Ultra-Thin NO Electrical (0.15mm)</v>
      </c>
      <c r="C82" t="str">
        <v>Electrical Steel Sheet</v>
      </c>
      <c r="D82">
        <f>IF($M82&gt;0,$M82,3.9)</f>
        <v>3.9</v>
      </c>
      <c r="E82">
        <f>IF($O82&gt;0,$O82,0.3)</f>
        <v>0.3</v>
      </c>
      <c r="F82">
        <v>7600</v>
      </c>
      <c r="G82" t="str">
        <v>UK</v>
      </c>
      <c r="H82" t="str">
        <f>IF($M82&gt;0,IF($L82&lt;&gt;1,"2026-07",IFERROR(INDEX('JLR Materials'!$D:$D,MATCH($K82,'JLR Materials'!$A:$A,0)),"2026-07")),"2026-07")</f>
        <v>2026-07</v>
      </c>
      <c r="I82" t="str">
        <f>IF($M82&gt;0,"JLR rate card — material code "&amp;$K82,"UK electrical steel Jul 2026. 0.15mm ultra-thin NO — very high-frequency traction (SU7 Ultra V8s / high-speed EV); low eddy loss, low stacking factor, hard to blank (fine burr control). Bonded (backlack) stacks typical.")</f>
        <v>UK electrical steel Jul 2026. 0.15mm ultra-thin NO — very high-frequency traction (SU7 Ultra V8s / high-speed EV); low eddy loss, low stacking factor, hard to blank (fine burr control). Bonded (backlack) stacks typical.</v>
      </c>
      <c r="J82" t="str">
        <v>Low</v>
      </c>
      <c r="K82" t="str">
        <f>IFERROR(INDEX(Mapping!$C:$C,MATCH($A82,Mapping!$A:$A,0)),"")</f>
        <v/>
      </c>
      <c r="L82">
        <f>IF($K82="",0,COUNTIFS('JLR Materials'!$A:$A,$K82,'JLR Materials'!$C:$C,IF(Settings!$B$2="","&lt;&gt;",Settings!$B$2),'JLR Materials'!$D:$D,IF(Settings!$B$4="","&lt;&gt;",Settings!$B$4)))</f>
        <v>0</v>
      </c>
      <c r="M82">
        <f>IF($L82&lt;&gt;1,0,SUMIFS('JLR Materials'!$E:$E,'JLR Materials'!$A:$A,$K82,'JLR Materials'!$C:$C,IF(Settings!$B$2="","&lt;&gt;",Settings!$B$2),'JLR Materials'!$D:$D,IF(Settings!$B$4="","&lt;&gt;",Settings!$B$4)))</f>
        <v>0</v>
      </c>
      <c r="N82">
        <f>IF($L82&lt;&gt;1,0,SUMIFS('JLR Materials'!$F:$F,'JLR Materials'!$A:$A,$K82,'JLR Materials'!$C:$C,IF(Settings!$B$2="","&lt;&gt;",Settings!$B$2),'JLR Materials'!$D:$D,IF(Settings!$B$4="","&lt;&gt;",Settings!$B$4)))</f>
        <v>0</v>
      </c>
      <c r="O82">
        <f>IF($N82=0,0,IF(Settings!$B$5="percent",$M82*$N82/100,$N82))</f>
        <v>0</v>
      </c>
      <c r="P82">
        <f>IF($L82&lt;&gt;1,0,SUMIFS('JLR Materials'!$G:$G,'JLR Materials'!$A:$A,$K82,'JLR Materials'!$C:$C,IF(Settings!$B$2="","&lt;&gt;",Settings!$B$2),'JLR Materials'!$D:$D,IF(Settings!$B$4="","&lt;&gt;",Settings!$B$4)))</f>
        <v>0</v>
      </c>
    </row>
    <row r="83">
      <c r="A83" t="str">
        <v>mat-no10-10a</v>
      </c>
      <c r="B83" t="str">
        <v>NO10 Ultra-Thin NO Electrical (0.10mm)</v>
      </c>
      <c r="C83" t="str">
        <v>Electrical Steel Sheet</v>
      </c>
      <c r="D83">
        <f>IF($M83&gt;0,$M83,5.5)</f>
        <v>5.5</v>
      </c>
      <c r="E83">
        <f>IF($O83&gt;0,$O83,0.35)</f>
        <v>0.35</v>
      </c>
      <c r="F83">
        <v>7600</v>
      </c>
      <c r="G83" t="str">
        <v>UK</v>
      </c>
      <c r="H83" t="str">
        <f>IF($M83&gt;0,IF($L83&lt;&gt;1,"2026-07",IFERROR(INDEX('JLR Materials'!$D:$D,MATCH($K83,'JLR Materials'!$A:$A,0)),"2026-07")),"2026-07")</f>
        <v>2026-07</v>
      </c>
      <c r="I83" t="str">
        <f>IF($M83&gt;0,"JLR rate card — material code "&amp;$K83,"UK electrical steel Jul 2026. 0.10mm foil-gauge NO — extreme high-speed / high-frequency rotors (aero/hypercar &amp; top-end EV traction). Lowest iron loss; etched/bonded rather than hard-die blanked at volume.")</f>
        <v>UK electrical steel Jul 2026. 0.10mm foil-gauge NO — extreme high-speed / high-frequency rotors (aero/hypercar &amp; top-end EV traction). Lowest iron loss; etched/bonded rather than hard-die blanked at volume.</v>
      </c>
      <c r="J83" t="str">
        <v>Low</v>
      </c>
      <c r="K83" t="str">
        <f>IFERROR(INDEX(Mapping!$C:$C,MATCH($A83,Mapping!$A:$A,0)),"")</f>
        <v/>
      </c>
      <c r="L83">
        <f>IF($K83="",0,COUNTIFS('JLR Materials'!$A:$A,$K83,'JLR Materials'!$C:$C,IF(Settings!$B$2="","&lt;&gt;",Settings!$B$2),'JLR Materials'!$D:$D,IF(Settings!$B$4="","&lt;&gt;",Settings!$B$4)))</f>
        <v>0</v>
      </c>
      <c r="M83">
        <f>IF($L83&lt;&gt;1,0,SUMIFS('JLR Materials'!$E:$E,'JLR Materials'!$A:$A,$K83,'JLR Materials'!$C:$C,IF(Settings!$B$2="","&lt;&gt;",Settings!$B$2),'JLR Materials'!$D:$D,IF(Settings!$B$4="","&lt;&gt;",Settings!$B$4)))</f>
        <v>0</v>
      </c>
      <c r="N83">
        <f>IF($L83&lt;&gt;1,0,SUMIFS('JLR Materials'!$F:$F,'JLR Materials'!$A:$A,$K83,'JLR Materials'!$C:$C,IF(Settings!$B$2="","&lt;&gt;",Settings!$B$2),'JLR Materials'!$D:$D,IF(Settings!$B$4="","&lt;&gt;",Settings!$B$4)))</f>
        <v>0</v>
      </c>
      <c r="O83">
        <f>IF($N83=0,0,IF(Settings!$B$5="percent",$M83*$N83/100,$N83))</f>
        <v>0</v>
      </c>
      <c r="P83">
        <f>IF($L83&lt;&gt;1,0,SUMIFS('JLR Materials'!$G:$G,'JLR Materials'!$A:$A,$K83,'JLR Materials'!$C:$C,IF(Settings!$B$2="","&lt;&gt;",Settings!$B$2),'JLR Materials'!$D:$D,IF(Settings!$B$4="","&lt;&gt;",Settings!$B$4)))</f>
        <v>0</v>
      </c>
    </row>
    <row r="84">
      <c r="A84" t="str">
        <v>mat-si65-jnex-10</v>
      </c>
      <c r="B84" t="str">
        <v>6.5% Si High-Frequency Electrical (JNEX/Super-Core class, 0.10mm)</v>
      </c>
      <c r="C84" t="str">
        <v>Electrical Steel Sheet</v>
      </c>
      <c r="D84">
        <f>IF($M84&gt;0,$M84,6.8)</f>
        <v>6.8</v>
      </c>
      <c r="E84">
        <f>IF($O84&gt;0,$O84,0.35)</f>
        <v>0.35</v>
      </c>
      <c r="F84">
        <v>7490</v>
      </c>
      <c r="G84" t="str">
        <v>UK</v>
      </c>
      <c r="H84" t="str">
        <f>IF($M84&gt;0,IF($L84&lt;&gt;1,"2026-07",IFERROR(INDEX('JLR Materials'!$D:$D,MATCH($K84,'JLR Materials'!$A:$A,0)),"2026-07")),"2026-07")</f>
        <v>2026-07</v>
      </c>
      <c r="I84" t="str">
        <f>IF($M84&gt;0,"JLR rate card — material code "&amp;$K84,"UK speciality Jul 2026. 6.5% silicon steel (JFE JNEX / Super-Core class) — near-zero magnetostriction, lowest high-frequency core loss for high-rpm/high-pole EV &amp; aerospace motors, reactors. Brittle, specialised processing.")</f>
        <v>UK speciality Jul 2026. 6.5% silicon steel (JFE JNEX / Super-Core class) — near-zero magnetostriction, lowest high-frequency core loss for high-rpm/high-pole EV &amp; aerospace motors, reactors. Brittle, specialised processing.</v>
      </c>
      <c r="J84" t="str">
        <v>Low</v>
      </c>
      <c r="K84" t="str">
        <f>IFERROR(INDEX(Mapping!$C:$C,MATCH($A84,Mapping!$A:$A,0)),"")</f>
        <v/>
      </c>
      <c r="L84">
        <f>IF($K84="",0,COUNTIFS('JLR Materials'!$A:$A,$K84,'JLR Materials'!$C:$C,IF(Settings!$B$2="","&lt;&gt;",Settings!$B$2),'JLR Materials'!$D:$D,IF(Settings!$B$4="","&lt;&gt;",Settings!$B$4)))</f>
        <v>0</v>
      </c>
      <c r="M84">
        <f>IF($L84&lt;&gt;1,0,SUMIFS('JLR Materials'!$E:$E,'JLR Materials'!$A:$A,$K84,'JLR Materials'!$C:$C,IF(Settings!$B$2="","&lt;&gt;",Settings!$B$2),'JLR Materials'!$D:$D,IF(Settings!$B$4="","&lt;&gt;",Settings!$B$4)))</f>
        <v>0</v>
      </c>
      <c r="N84">
        <f>IF($L84&lt;&gt;1,0,SUMIFS('JLR Materials'!$F:$F,'JLR Materials'!$A:$A,$K84,'JLR Materials'!$C:$C,IF(Settings!$B$2="","&lt;&gt;",Settings!$B$2),'JLR Materials'!$D:$D,IF(Settings!$B$4="","&lt;&gt;",Settings!$B$4)))</f>
        <v>0</v>
      </c>
      <c r="O84">
        <f>IF($N84=0,0,IF(Settings!$B$5="percent",$M84*$N84/100,$N84))</f>
        <v>0</v>
      </c>
      <c r="P84">
        <f>IF($L84&lt;&gt;1,0,SUMIFS('JLR Materials'!$G:$G,'JLR Materials'!$A:$A,$K84,'JLR Materials'!$C:$C,IF(Settings!$B$2="","&lt;&gt;",Settings!$B$2),'JLR Materials'!$D:$D,IF(Settings!$B$4="","&lt;&gt;",Settings!$B$4)))</f>
        <v>0</v>
      </c>
    </row>
    <row r="85">
      <c r="A85" t="str">
        <v>mat-uhsno-1100</v>
      </c>
      <c r="B85" t="str">
        <v>Ultra-High-Strength NO Electrical (~1100 MPa, 30k-rpm rotor)</v>
      </c>
      <c r="C85" t="str">
        <v>Electrical Steel Sheet</v>
      </c>
      <c r="D85">
        <f>IF($M85&gt;0,$M85,3.6)</f>
        <v>3.6</v>
      </c>
      <c r="E85">
        <f>IF($O85&gt;0,$O85,0.32)</f>
        <v>0.32</v>
      </c>
      <c r="F85">
        <v>7600</v>
      </c>
      <c r="G85" t="str">
        <v>UK</v>
      </c>
      <c r="H85" t="str">
        <f>IF($M85&gt;0,IF($L85&lt;&gt;1,"2026-07",IFERROR(INDEX('JLR Materials'!$D:$D,MATCH($K85,'JLR Materials'!$A:$A,0)),"2026-07")),"2026-07")</f>
        <v>2026-07</v>
      </c>
      <c r="I85" t="str">
        <f>IF($M85&gt;0,"JLR rate card — material code "&amp;$K85,"UK electrical steel Jul 2026. ~1100 MPa yield thin-gauge NO for ~30,000 rpm flagship rotors (BYD Yangwang U7/U8/U9 quad-motor, Xiaomi flagship) — holds slim bridges at extreme tip speed. Premium alloy, severe notch-tool wear.")</f>
        <v>UK electrical steel Jul 2026. ~1100 MPa yield thin-gauge NO for ~30,000 rpm flagship rotors (BYD Yangwang U7/U8/U9 quad-motor, Xiaomi flagship) — holds slim bridges at extreme tip speed. Premium alloy, severe notch-tool wear.</v>
      </c>
      <c r="J85" t="str">
        <v>Low</v>
      </c>
      <c r="K85" t="str">
        <f>IFERROR(INDEX(Mapping!$C:$C,MATCH($A85,Mapping!$A:$A,0)),"")</f>
        <v/>
      </c>
      <c r="L85">
        <f>IF($K85="",0,COUNTIFS('JLR Materials'!$A:$A,$K85,'JLR Materials'!$C:$C,IF(Settings!$B$2="","&lt;&gt;",Settings!$B$2),'JLR Materials'!$D:$D,IF(Settings!$B$4="","&lt;&gt;",Settings!$B$4)))</f>
        <v>0</v>
      </c>
      <c r="M85">
        <f>IF($L85&lt;&gt;1,0,SUMIFS('JLR Materials'!$E:$E,'JLR Materials'!$A:$A,$K85,'JLR Materials'!$C:$C,IF(Settings!$B$2="","&lt;&gt;",Settings!$B$2),'JLR Materials'!$D:$D,IF(Settings!$B$4="","&lt;&gt;",Settings!$B$4)))</f>
        <v>0</v>
      </c>
      <c r="N85">
        <f>IF($L85&lt;&gt;1,0,SUMIFS('JLR Materials'!$F:$F,'JLR Materials'!$A:$A,$K85,'JLR Materials'!$C:$C,IF(Settings!$B$2="","&lt;&gt;",Settings!$B$2),'JLR Materials'!$D:$D,IF(Settings!$B$4="","&lt;&gt;",Settings!$B$4)))</f>
        <v>0</v>
      </c>
      <c r="O85">
        <f>IF($N85=0,0,IF(Settings!$B$5="percent",$M85*$N85/100,$N85))</f>
        <v>0</v>
      </c>
      <c r="P85">
        <f>IF($L85&lt;&gt;1,0,SUMIFS('JLR Materials'!$G:$G,'JLR Materials'!$A:$A,$K85,'JLR Materials'!$C:$C,IF(Settings!$B$2="","&lt;&gt;",Settings!$B$2),'JLR Materials'!$D:$D,IF(Settings!$B$4="","&lt;&gt;",Settings!$B$4)))</f>
        <v>0</v>
      </c>
    </row>
    <row r="86">
      <c r="A86" t="str">
        <v>mat-cofe-thin-010</v>
      </c>
      <c r="B86" t="str">
        <v>Cobalt-Iron Thin-Gauge (0.10mm, Vacoflux/Hiperco)</v>
      </c>
      <c r="C86" t="str">
        <v>Electrical Steel Sheet</v>
      </c>
      <c r="D86">
        <f>IF($M86&gt;0,$M86,72)</f>
        <v>72</v>
      </c>
      <c r="E86">
        <f>IF($O86&gt;0,$O86,4.5)</f>
        <v>4.5</v>
      </c>
      <c r="F86">
        <v>8120</v>
      </c>
      <c r="G86" t="str">
        <v>UK</v>
      </c>
      <c r="H86" t="str">
        <f>IF($M86&gt;0,IF($L86&lt;&gt;1,"2026-07",IFERROR(INDEX('JLR Materials'!$D:$D,MATCH($K86,'JLR Materials'!$A:$A,0)),"2026-07")),"2026-07")</f>
        <v>2026-07</v>
      </c>
      <c r="I86" t="str">
        <f>IF($M86&gt;0,"JLR rate card — material code "&amp;$K86,"UK speciality Jul 2026. 0.10mm cobalt-iron (49Co-2V) — highest saturation (2.3T) + high-frequency capability for maximum power-density motors (aerospace, hypercar/flagship EV traction); H₂ final anneal, very expensive.")</f>
        <v>UK speciality Jul 2026. 0.10mm cobalt-iron (49Co-2V) — highest saturation (2.3T) + high-frequency capability for maximum power-density motors (aerospace, hypercar/flagship EV traction); H₂ final anneal, very expensive.</v>
      </c>
      <c r="J86" t="str">
        <v>Low</v>
      </c>
      <c r="K86" t="str">
        <f>IFERROR(INDEX(Mapping!$C:$C,MATCH($A86,Mapping!$A:$A,0)),"")</f>
        <v/>
      </c>
      <c r="L86">
        <f>IF($K86="",0,COUNTIFS('JLR Materials'!$A:$A,$K86,'JLR Materials'!$C:$C,IF(Settings!$B$2="","&lt;&gt;",Settings!$B$2),'JLR Materials'!$D:$D,IF(Settings!$B$4="","&lt;&gt;",Settings!$B$4)))</f>
        <v>0</v>
      </c>
      <c r="M86">
        <f>IF($L86&lt;&gt;1,0,SUMIFS('JLR Materials'!$E:$E,'JLR Materials'!$A:$A,$K86,'JLR Materials'!$C:$C,IF(Settings!$B$2="","&lt;&gt;",Settings!$B$2),'JLR Materials'!$D:$D,IF(Settings!$B$4="","&lt;&gt;",Settings!$B$4)))</f>
        <v>0</v>
      </c>
      <c r="N86">
        <f>IF($L86&lt;&gt;1,0,SUMIFS('JLR Materials'!$F:$F,'JLR Materials'!$A:$A,$K86,'JLR Materials'!$C:$C,IF(Settings!$B$2="","&lt;&gt;",Settings!$B$2),'JLR Materials'!$D:$D,IF(Settings!$B$4="","&lt;&gt;",Settings!$B$4)))</f>
        <v>0</v>
      </c>
      <c r="O86">
        <f>IF($N86=0,0,IF(Settings!$B$5="percent",$M86*$N86/100,$N86))</f>
        <v>0</v>
      </c>
      <c r="P86">
        <f>IF($L86&lt;&gt;1,0,SUMIFS('JLR Materials'!$G:$G,'JLR Materials'!$A:$A,$K86,'JLR Materials'!$C:$C,IF(Settings!$B$2="","&lt;&gt;",Settings!$B$2),'JLR Materials'!$D:$D,IF(Settings!$B$4="","&lt;&gt;",Settings!$B$4)))</f>
        <v>0</v>
      </c>
    </row>
    <row r="87">
      <c r="A87" t="str">
        <v>mat-cu-hairpin</v>
      </c>
      <c r="B87" t="str">
        <v>Rectangular Enamelled Hairpin Copper (winding)</v>
      </c>
      <c r="C87" t="str">
        <v>Winding Copper (Hairpin)</v>
      </c>
      <c r="D87">
        <f>IF($M87&gt;0,$M87,13.2)</f>
        <v>13.2</v>
      </c>
      <c r="E87">
        <f>IF($O87&gt;0,$O87,6)</f>
        <v>6</v>
      </c>
      <c r="F87">
        <v>8930</v>
      </c>
      <c r="G87" t="str">
        <v>UK</v>
      </c>
      <c r="H87" t="str">
        <f>IF($M87&gt;0,IF($L87&lt;&gt;1,"2026-07",IFERROR(INDEX('JLR Materials'!$D:$D,MATCH($K87,'JLR Materials'!$A:$A,0)),"2026-07")),"2026-07")</f>
        <v>2026-07</v>
      </c>
      <c r="I87" t="str">
        <f>IF($M87&gt;0,"JLR rate card — material code "&amp;$K87,"UK Jul 2026. Flat enamelled (grade-2/corona-resistant) rectangular copper wire for hairpin/bar-wound EV traction stators — stamped/bent hairpins, laser-welded crowns. ETP + enamel + forming premium over C110.")</f>
        <v>UK Jul 2026. Flat enamelled (grade-2/corona-resistant) rectangular copper wire for hairpin/bar-wound EV traction stators — stamped/bent hairpins, laser-welded crowns. ETP + enamel + forming premium over C110.</v>
      </c>
      <c r="J87" t="str">
        <v>Low</v>
      </c>
      <c r="K87" t="str">
        <f>IFERROR(INDEX(Mapping!$C:$C,MATCH($A87,Mapping!$A:$A,0)),"")</f>
        <v/>
      </c>
      <c r="L87">
        <f>IF($K87="",0,COUNTIFS('JLR Materials'!$A:$A,$K87,'JLR Materials'!$C:$C,IF(Settings!$B$2="","&lt;&gt;",Settings!$B$2),'JLR Materials'!$D:$D,IF(Settings!$B$4="","&lt;&gt;",Settings!$B$4)))</f>
        <v>0</v>
      </c>
      <c r="M87">
        <f>IF($L87&lt;&gt;1,0,SUMIFS('JLR Materials'!$E:$E,'JLR Materials'!$A:$A,$K87,'JLR Materials'!$C:$C,IF(Settings!$B$2="","&lt;&gt;",Settings!$B$2),'JLR Materials'!$D:$D,IF(Settings!$B$4="","&lt;&gt;",Settings!$B$4)))</f>
        <v>0</v>
      </c>
      <c r="N87">
        <f>IF($L87&lt;&gt;1,0,SUMIFS('JLR Materials'!$F:$F,'JLR Materials'!$A:$A,$K87,'JLR Materials'!$C:$C,IF(Settings!$B$2="","&lt;&gt;",Settings!$B$2),'JLR Materials'!$D:$D,IF(Settings!$B$4="","&lt;&gt;",Settings!$B$4)))</f>
        <v>0</v>
      </c>
      <c r="O87">
        <f>IF($N87=0,0,IF(Settings!$B$5="percent",$M87*$N87/100,$N87))</f>
        <v>0</v>
      </c>
      <c r="P87">
        <f>IF($L87&lt;&gt;1,0,SUMIFS('JLR Materials'!$G:$G,'JLR Materials'!$A:$A,$K87,'JLR Materials'!$C:$C,IF(Settings!$B$2="","&lt;&gt;",Settings!$B$2),'JLR Materials'!$D:$D,IF(Settings!$B$4="","&lt;&gt;",Settings!$B$4)))</f>
        <v>0</v>
      </c>
    </row>
    <row r="88">
      <c r="A88" t="str">
        <v>mat-al-hairpin</v>
      </c>
      <c r="B88" t="str">
        <v>Rectangular Enamelled Hairpin Aluminium (winding)</v>
      </c>
      <c r="C88" t="str">
        <v>Winding Aluminium (Hairpin)</v>
      </c>
      <c r="D88">
        <f>IF($M88&gt;0,$M88,4.8)</f>
        <v>4.8</v>
      </c>
      <c r="E88">
        <f>IF($O88&gt;0,$O88,1.1)</f>
        <v>1.1</v>
      </c>
      <c r="F88">
        <v>2700</v>
      </c>
      <c r="G88" t="str">
        <v>UK</v>
      </c>
      <c r="H88" t="str">
        <f>IF($M88&gt;0,IF($L88&lt;&gt;1,"2026-07",IFERROR(INDEX('JLR Materials'!$D:$D,MATCH($K88,'JLR Materials'!$A:$A,0)),"2026-07")),"2026-07")</f>
        <v>2026-07</v>
      </c>
      <c r="I88" t="str">
        <f>IF($M88&gt;0,"JLR rate card — material code "&amp;$K88,"UK Jul 2026. Flat enamelled aluminium hairpin conductor — cost/weight-down alternative to copper in some EV traction motors; lower conductivity, larger slot fill.")</f>
        <v>UK Jul 2026. Flat enamelled aluminium hairpin conductor — cost/weight-down alternative to copper in some EV traction motors; lower conductivity, larger slot fill.</v>
      </c>
      <c r="J88" t="str">
        <v>Low</v>
      </c>
      <c r="K88" t="str">
        <f>IFERROR(INDEX(Mapping!$C:$C,MATCH($A88,Mapping!$A:$A,0)),"")</f>
        <v/>
      </c>
      <c r="L88">
        <f>IF($K88="",0,COUNTIFS('JLR Materials'!$A:$A,$K88,'JLR Materials'!$C:$C,IF(Settings!$B$2="","&lt;&gt;",Settings!$B$2),'JLR Materials'!$D:$D,IF(Settings!$B$4="","&lt;&gt;",Settings!$B$4)))</f>
        <v>0</v>
      </c>
      <c r="M88">
        <f>IF($L88&lt;&gt;1,0,SUMIFS('JLR Materials'!$E:$E,'JLR Materials'!$A:$A,$K88,'JLR Materials'!$C:$C,IF(Settings!$B$2="","&lt;&gt;",Settings!$B$2),'JLR Materials'!$D:$D,IF(Settings!$B$4="","&lt;&gt;",Settings!$B$4)))</f>
        <v>0</v>
      </c>
      <c r="N88">
        <f>IF($L88&lt;&gt;1,0,SUMIFS('JLR Materials'!$F:$F,'JLR Materials'!$A:$A,$K88,'JLR Materials'!$C:$C,IF(Settings!$B$2="","&lt;&gt;",Settings!$B$2),'JLR Materials'!$D:$D,IF(Settings!$B$4="","&lt;&gt;",Settings!$B$4)))</f>
        <v>0</v>
      </c>
      <c r="O88">
        <f>IF($N88=0,0,IF(Settings!$B$5="percent",$M88*$N88/100,$N88))</f>
        <v>0</v>
      </c>
      <c r="P88">
        <f>IF($L88&lt;&gt;1,0,SUMIFS('JLR Materials'!$G:$G,'JLR Materials'!$A:$A,$K88,'JLR Materials'!$C:$C,IF(Settings!$B$2="","&lt;&gt;",Settings!$B$2),'JLR Materials'!$D:$D,IF(Settings!$B$4="","&lt;&gt;",Settings!$B$4)))</f>
        <v>0</v>
      </c>
    </row>
    <row r="89">
      <c r="A89" t="str">
        <v>mat-al-busbar</v>
      </c>
      <c r="B89" t="str">
        <v>Aluminium Busbar (EV / battery)</v>
      </c>
      <c r="C89" t="str">
        <v>Aluminium Sheet</v>
      </c>
      <c r="D89">
        <f>IF($M89&gt;0,$M89,3.8)</f>
        <v>3.8</v>
      </c>
      <c r="E89">
        <f>IF($O89&gt;0,$O89,1)</f>
        <v>1</v>
      </c>
      <c r="F89">
        <v>2700</v>
      </c>
      <c r="G89" t="str">
        <v>UK</v>
      </c>
      <c r="H89" t="str">
        <f>IF($M89&gt;0,IF($L89&lt;&gt;1,"2026-07",IFERROR(INDEX('JLR Materials'!$D:$D,MATCH($K89,'JLR Materials'!$A:$A,0)),"2026-07")),"2026-07")</f>
        <v>2026-07</v>
      </c>
      <c r="I89" t="str">
        <f>IF($M89&gt;0,"JLR rate card — material code "&amp;$K89,"UK Jul 2026. 1050/6101 aluminium busbar stock — battery-pack and inverter interconnects, cell-to-body (CTB/CTC) module bars; lighter/cheaper than copper, larger cross-section.")</f>
        <v>UK Jul 2026. 1050/6101 aluminium busbar stock — battery-pack and inverter interconnects, cell-to-body (CTB/CTC) module bars; lighter/cheaper than copper, larger cross-section.</v>
      </c>
      <c r="J89" t="str">
        <v>Low</v>
      </c>
      <c r="K89" t="str">
        <f>IFERROR(INDEX(Mapping!$C:$C,MATCH($A89,Mapping!$A:$A,0)),"")</f>
        <v/>
      </c>
      <c r="L89">
        <f>IF($K89="",0,COUNTIFS('JLR Materials'!$A:$A,$K89,'JLR Materials'!$C:$C,IF(Settings!$B$2="","&lt;&gt;",Settings!$B$2),'JLR Materials'!$D:$D,IF(Settings!$B$4="","&lt;&gt;",Settings!$B$4)))</f>
        <v>0</v>
      </c>
      <c r="M89">
        <f>IF($L89&lt;&gt;1,0,SUMIFS('JLR Materials'!$E:$E,'JLR Materials'!$A:$A,$K89,'JLR Materials'!$C:$C,IF(Settings!$B$2="","&lt;&gt;",Settings!$B$2),'JLR Materials'!$D:$D,IF(Settings!$B$4="","&lt;&gt;",Settings!$B$4)))</f>
        <v>0</v>
      </c>
      <c r="N89">
        <f>IF($L89&lt;&gt;1,0,SUMIFS('JLR Materials'!$F:$F,'JLR Materials'!$A:$A,$K89,'JLR Materials'!$C:$C,IF(Settings!$B$2="","&lt;&gt;",Settings!$B$2),'JLR Materials'!$D:$D,IF(Settings!$B$4="","&lt;&gt;",Settings!$B$4)))</f>
        <v>0</v>
      </c>
      <c r="O89">
        <f>IF($N89=0,0,IF(Settings!$B$5="percent",$M89*$N89/100,$N89))</f>
        <v>0</v>
      </c>
      <c r="P89">
        <f>IF($L89&lt;&gt;1,0,SUMIFS('JLR Materials'!$G:$G,'JLR Materials'!$A:$A,$K89,'JLR Materials'!$C:$C,IF(Settings!$B$2="","&lt;&gt;",Settings!$B$2),'JLR Materials'!$D:$D,IF(Settings!$B$4="","&lt;&gt;",Settings!$B$4)))</f>
        <v>0</v>
      </c>
    </row>
    <row r="90">
      <c r="A90" t="str">
        <v>mat-c67s-spring</v>
      </c>
      <c r="B90" t="str">
        <v>C67S / 1.1231 (CR Spring Strip)</v>
      </c>
      <c r="C90" t="str">
        <v>Spring Steel Strip</v>
      </c>
      <c r="D90">
        <f>IF($M90&gt;0,$M90,1.55)</f>
        <v>1.55</v>
      </c>
      <c r="E90">
        <f>IF($O90&gt;0,$O90,0.22)</f>
        <v>0.22</v>
      </c>
      <c r="F90">
        <v>7850</v>
      </c>
      <c r="G90" t="str">
        <v>UK</v>
      </c>
      <c r="H90" t="str">
        <f>IF($M90&gt;0,IF($L90&lt;&gt;1,"2026-07",IFERROR(INDEX('JLR Materials'!$D:$D,MATCH($K90,'JLR Materials'!$A:$A,0)),"2026-07")),"2026-07")</f>
        <v>2026-07</v>
      </c>
      <c r="I90" t="str">
        <f>IF($M90&gt;0,"JLR rate card — material code "&amp;$K90,"UK spring strip Jul 2026. Hardened-and-tempered carbon spring strip — stamped flat springs, clips, retainers, blades; high yield after HT.")</f>
        <v>UK spring strip Jul 2026. Hardened-and-tempered carbon spring strip — stamped flat springs, clips, retainers, blades; high yield after HT.</v>
      </c>
      <c r="J90" t="str">
        <v>Low</v>
      </c>
      <c r="K90" t="str">
        <f>IFERROR(INDEX(Mapping!$C:$C,MATCH($A90,Mapping!$A:$A,0)),"")</f>
        <v/>
      </c>
      <c r="L90">
        <f>IF($K90="",0,COUNTIFS('JLR Materials'!$A:$A,$K90,'JLR Materials'!$C:$C,IF(Settings!$B$2="","&lt;&gt;",Settings!$B$2),'JLR Materials'!$D:$D,IF(Settings!$B$4="","&lt;&gt;",Settings!$B$4)))</f>
        <v>0</v>
      </c>
      <c r="M90">
        <f>IF($L90&lt;&gt;1,0,SUMIFS('JLR Materials'!$E:$E,'JLR Materials'!$A:$A,$K90,'JLR Materials'!$C:$C,IF(Settings!$B$2="","&lt;&gt;",Settings!$B$2),'JLR Materials'!$D:$D,IF(Settings!$B$4="","&lt;&gt;",Settings!$B$4)))</f>
        <v>0</v>
      </c>
      <c r="N90">
        <f>IF($L90&lt;&gt;1,0,SUMIFS('JLR Materials'!$F:$F,'JLR Materials'!$A:$A,$K90,'JLR Materials'!$C:$C,IF(Settings!$B$2="","&lt;&gt;",Settings!$B$2),'JLR Materials'!$D:$D,IF(Settings!$B$4="","&lt;&gt;",Settings!$B$4)))</f>
        <v>0</v>
      </c>
      <c r="O90">
        <f>IF($N90=0,0,IF(Settings!$B$5="percent",$M90*$N90/100,$N90))</f>
        <v>0</v>
      </c>
      <c r="P90">
        <f>IF($L90&lt;&gt;1,0,SUMIFS('JLR Materials'!$G:$G,'JLR Materials'!$A:$A,$K90,'JLR Materials'!$C:$C,IF(Settings!$B$2="","&lt;&gt;",Settings!$B$2),'JLR Materials'!$D:$D,IF(Settings!$B$4="","&lt;&gt;",Settings!$B$4)))</f>
        <v>0</v>
      </c>
    </row>
    <row r="91">
      <c r="A91" t="str">
        <v>mat-ss301-spring</v>
      </c>
      <c r="B91" t="str">
        <v>301 Spring-Temper Stainless Strip</v>
      </c>
      <c r="C91" t="str">
        <v>Spring Steel Strip</v>
      </c>
      <c r="D91">
        <f>IF($M91&gt;0,$M91,4.4)</f>
        <v>4.4</v>
      </c>
      <c r="E91">
        <f>IF($O91&gt;0,$O91,0.9)</f>
        <v>0.9</v>
      </c>
      <c r="F91">
        <v>7900</v>
      </c>
      <c r="G91" t="str">
        <v>UK</v>
      </c>
      <c r="H91" t="str">
        <f>IF($M91&gt;0,IF($L91&lt;&gt;1,"2026-07",IFERROR(INDEX('JLR Materials'!$D:$D,MATCH($K91,'JLR Materials'!$A:$A,0)),"2026-07")),"2026-07")</f>
        <v>2026-07</v>
      </c>
      <c r="I91" t="str">
        <f>IF($M91&gt;0,"JLR rate card — material code "&amp;$K91,"UK stainless spring strip Jul 2026. Work-hardened 301 (1/2–full hard) — corrosion-resistant springs, contacts, diaphragms, EMI fingers.")</f>
        <v>UK stainless spring strip Jul 2026. Work-hardened 301 (1/2–full hard) — corrosion-resistant springs, contacts, diaphragms, EMI fingers.</v>
      </c>
      <c r="J91" t="str">
        <v>Low</v>
      </c>
      <c r="K91" t="str">
        <f>IFERROR(INDEX(Mapping!$C:$C,MATCH($A91,Mapping!$A:$A,0)),"")</f>
        <v/>
      </c>
      <c r="L91">
        <f>IF($K91="",0,COUNTIFS('JLR Materials'!$A:$A,$K91,'JLR Materials'!$C:$C,IF(Settings!$B$2="","&lt;&gt;",Settings!$B$2),'JLR Materials'!$D:$D,IF(Settings!$B$4="","&lt;&gt;",Settings!$B$4)))</f>
        <v>0</v>
      </c>
      <c r="M91">
        <f>IF($L91&lt;&gt;1,0,SUMIFS('JLR Materials'!$E:$E,'JLR Materials'!$A:$A,$K91,'JLR Materials'!$C:$C,IF(Settings!$B$2="","&lt;&gt;",Settings!$B$2),'JLR Materials'!$D:$D,IF(Settings!$B$4="","&lt;&gt;",Settings!$B$4)))</f>
        <v>0</v>
      </c>
      <c r="N91">
        <f>IF($L91&lt;&gt;1,0,SUMIFS('JLR Materials'!$F:$F,'JLR Materials'!$A:$A,$K91,'JLR Materials'!$C:$C,IF(Settings!$B$2="","&lt;&gt;",Settings!$B$2),'JLR Materials'!$D:$D,IF(Settings!$B$4="","&lt;&gt;",Settings!$B$4)))</f>
        <v>0</v>
      </c>
      <c r="O91">
        <f>IF($N91=0,0,IF(Settings!$B$5="percent",$M91*$N91/100,$N91))</f>
        <v>0</v>
      </c>
      <c r="P91">
        <f>IF($L91&lt;&gt;1,0,SUMIFS('JLR Materials'!$G:$G,'JLR Materials'!$A:$A,$K91,'JLR Materials'!$C:$C,IF(Settings!$B$2="","&lt;&gt;",Settings!$B$2),'JLR Materials'!$D:$D,IF(Settings!$B$4="","&lt;&gt;",Settings!$B$4)))</f>
        <v>0</v>
      </c>
    </row>
    <row r="92">
      <c r="A92" t="str">
        <v>mat-znni-eg</v>
      </c>
      <c r="B92" t="str">
        <v>Zn-Ni Electrogalvanised</v>
      </c>
      <c r="C92" t="str">
        <v>Coated Steel Sheet</v>
      </c>
      <c r="D92">
        <f>IF($M92&gt;0,$M92,1.18)</f>
        <v>1.18</v>
      </c>
      <c r="E92">
        <f>IF($O92&gt;0,$O92,0.2)</f>
        <v>0.2</v>
      </c>
      <c r="F92">
        <v>7850</v>
      </c>
      <c r="G92" t="str">
        <v>UK</v>
      </c>
      <c r="H92" t="str">
        <f>IF($M92&gt;0,IF($L92&lt;&gt;1,"2026-07",IFERROR(INDEX('JLR Materials'!$D:$D,MATCH($K92,'JLR Materials'!$A:$A,0)),"2026-07")),"2026-07")</f>
        <v>2026-07</v>
      </c>
      <c r="I92" t="str">
        <f>IF($M92&gt;0,"JLR rate card — material code "&amp;$K92,"UK coated coil Jul 2026. Zinc-nickel electroplated — superior corrosion + heat resistance for underbody/fasteners. Better than plain EG. Yield ~150 MPa.")</f>
        <v>UK coated coil Jul 2026. Zinc-nickel electroplated — superior corrosion + heat resistance for underbody/fasteners. Better than plain EG. Yield ~150 MPa.</v>
      </c>
      <c r="J92" t="str">
        <v>Low</v>
      </c>
      <c r="K92" t="str">
        <f>IFERROR(INDEX(Mapping!$C:$C,MATCH($A92,Mapping!$A:$A,0)),"")</f>
        <v/>
      </c>
      <c r="L92">
        <f>IF($K92="",0,COUNTIFS('JLR Materials'!$A:$A,$K92,'JLR Materials'!$C:$C,IF(Settings!$B$2="","&lt;&gt;",Settings!$B$2),'JLR Materials'!$D:$D,IF(Settings!$B$4="","&lt;&gt;",Settings!$B$4)))</f>
        <v>0</v>
      </c>
      <c r="M92">
        <f>IF($L92&lt;&gt;1,0,SUMIFS('JLR Materials'!$E:$E,'JLR Materials'!$A:$A,$K92,'JLR Materials'!$C:$C,IF(Settings!$B$2="","&lt;&gt;",Settings!$B$2),'JLR Materials'!$D:$D,IF(Settings!$B$4="","&lt;&gt;",Settings!$B$4)))</f>
        <v>0</v>
      </c>
      <c r="N92">
        <f>IF($L92&lt;&gt;1,0,SUMIFS('JLR Materials'!$F:$F,'JLR Materials'!$A:$A,$K92,'JLR Materials'!$C:$C,IF(Settings!$B$2="","&lt;&gt;",Settings!$B$2),'JLR Materials'!$D:$D,IF(Settings!$B$4="","&lt;&gt;",Settings!$B$4)))</f>
        <v>0</v>
      </c>
      <c r="O92">
        <f>IF($N92=0,0,IF(Settings!$B$5="percent",$M92*$N92/100,$N92))</f>
        <v>0</v>
      </c>
      <c r="P92">
        <f>IF($L92&lt;&gt;1,0,SUMIFS('JLR Materials'!$G:$G,'JLR Materials'!$A:$A,$K92,'JLR Materials'!$C:$C,IF(Settings!$B$2="","&lt;&gt;",Settings!$B$2),'JLR Materials'!$D:$D,IF(Settings!$B$4="","&lt;&gt;",Settings!$B$4)))</f>
        <v>0</v>
      </c>
    </row>
    <row r="93">
      <c r="A93" t="str">
        <v>mat-zm-coated</v>
      </c>
      <c r="B93" t="str">
        <v>ZM (Zn-Mg-Al) Coated</v>
      </c>
      <c r="C93" t="str">
        <v>Coated Steel Sheet</v>
      </c>
      <c r="D93">
        <f>IF($M93&gt;0,$M93,1.15)</f>
        <v>1.15</v>
      </c>
      <c r="E93">
        <f>IF($O93&gt;0,$O93,0.2)</f>
        <v>0.2</v>
      </c>
      <c r="F93">
        <v>7850</v>
      </c>
      <c r="G93" t="str">
        <v>UK</v>
      </c>
      <c r="H93" t="str">
        <f>IF($M93&gt;0,IF($L93&lt;&gt;1,"2026-07",IFERROR(INDEX('JLR Materials'!$D:$D,MATCH($K93,'JLR Materials'!$A:$A,0)),"2026-07")),"2026-07")</f>
        <v>2026-07</v>
      </c>
      <c r="I93" t="str">
        <f>IF($M93&gt;0,"JLR rate card — material code "&amp;$K93,"UK coated coil Jul 2026. Zinc-magnesium-aluminium coating — 2–3× corrosion life of GI at lower coat weight; battery trays, underbody. Yield ~180 MPa.")</f>
        <v>UK coated coil Jul 2026. Zinc-magnesium-aluminium coating — 2–3× corrosion life of GI at lower coat weight; battery trays, underbody. Yield ~180 MPa.</v>
      </c>
      <c r="J93" t="str">
        <v>Low</v>
      </c>
      <c r="K93" t="str">
        <f>IFERROR(INDEX(Mapping!$C:$C,MATCH($A93,Mapping!$A:$A,0)),"")</f>
        <v/>
      </c>
      <c r="L93">
        <f>IF($K93="",0,COUNTIFS('JLR Materials'!$A:$A,$K93,'JLR Materials'!$C:$C,IF(Settings!$B$2="","&lt;&gt;",Settings!$B$2),'JLR Materials'!$D:$D,IF(Settings!$B$4="","&lt;&gt;",Settings!$B$4)))</f>
        <v>0</v>
      </c>
      <c r="M93">
        <f>IF($L93&lt;&gt;1,0,SUMIFS('JLR Materials'!$E:$E,'JLR Materials'!$A:$A,$K93,'JLR Materials'!$C:$C,IF(Settings!$B$2="","&lt;&gt;",Settings!$B$2),'JLR Materials'!$D:$D,IF(Settings!$B$4="","&lt;&gt;",Settings!$B$4)))</f>
        <v>0</v>
      </c>
      <c r="N93">
        <f>IF($L93&lt;&gt;1,0,SUMIFS('JLR Materials'!$F:$F,'JLR Materials'!$A:$A,$K93,'JLR Materials'!$C:$C,IF(Settings!$B$2="","&lt;&gt;",Settings!$B$2),'JLR Materials'!$D:$D,IF(Settings!$B$4="","&lt;&gt;",Settings!$B$4)))</f>
        <v>0</v>
      </c>
      <c r="O93">
        <f>IF($N93=0,0,IF(Settings!$B$5="percent",$M93*$N93/100,$N93))</f>
        <v>0</v>
      </c>
      <c r="P93">
        <f>IF($L93&lt;&gt;1,0,SUMIFS('JLR Materials'!$G:$G,'JLR Materials'!$A:$A,$K93,'JLR Materials'!$C:$C,IF(Settings!$B$2="","&lt;&gt;",Settings!$B$2),'JLR Materials'!$D:$D,IF(Settings!$B$4="","&lt;&gt;",Settings!$B$4)))</f>
        <v>0</v>
      </c>
    </row>
    <row r="94">
      <c r="A94" t="str">
        <v>mat-tinplate-etp</v>
      </c>
      <c r="B94" t="str">
        <v>Tinplate (ETP)</v>
      </c>
      <c r="C94" t="str">
        <v>Coated Steel Sheet</v>
      </c>
      <c r="D94">
        <f>IF($M94&gt;0,$M94,1.3)</f>
        <v>1.3</v>
      </c>
      <c r="E94">
        <f>IF($O94&gt;0,$O94,0.2)</f>
        <v>0.2</v>
      </c>
      <c r="F94">
        <v>7850</v>
      </c>
      <c r="G94" t="str">
        <v>UK</v>
      </c>
      <c r="H94" t="str">
        <f>IF($M94&gt;0,IF($L94&lt;&gt;1,"2026-07",IFERROR(INDEX('JLR Materials'!$D:$D,MATCH($K94,'JLR Materials'!$A:$A,0)),"2026-07")),"2026-07")</f>
        <v>2026-07</v>
      </c>
      <c r="I94" t="str">
        <f>IF($M94&gt;0,"JLR rate card — material code "&amp;$K94,"UK tinplate Jul 2026. Electrolytic tin-plated low-carbon — cans, enclosures, shielding. Solderable, corrosion-resistant. Yield ~230 MPa.")</f>
        <v>UK tinplate Jul 2026. Electrolytic tin-plated low-carbon — cans, enclosures, shielding. Solderable, corrosion-resistant. Yield ~230 MPa.</v>
      </c>
      <c r="J94" t="str">
        <v>Low</v>
      </c>
      <c r="K94" t="str">
        <f>IFERROR(INDEX(Mapping!$C:$C,MATCH($A94,Mapping!$A:$A,0)),"")</f>
        <v/>
      </c>
      <c r="L94">
        <f>IF($K94="",0,COUNTIFS('JLR Materials'!$A:$A,$K94,'JLR Materials'!$C:$C,IF(Settings!$B$2="","&lt;&gt;",Settings!$B$2),'JLR Materials'!$D:$D,IF(Settings!$B$4="","&lt;&gt;",Settings!$B$4)))</f>
        <v>0</v>
      </c>
      <c r="M94">
        <f>IF($L94&lt;&gt;1,0,SUMIFS('JLR Materials'!$E:$E,'JLR Materials'!$A:$A,$K94,'JLR Materials'!$C:$C,IF(Settings!$B$2="","&lt;&gt;",Settings!$B$2),'JLR Materials'!$D:$D,IF(Settings!$B$4="","&lt;&gt;",Settings!$B$4)))</f>
        <v>0</v>
      </c>
      <c r="N94">
        <f>IF($L94&lt;&gt;1,0,SUMIFS('JLR Materials'!$F:$F,'JLR Materials'!$A:$A,$K94,'JLR Materials'!$C:$C,IF(Settings!$B$2="","&lt;&gt;",Settings!$B$2),'JLR Materials'!$D:$D,IF(Settings!$B$4="","&lt;&gt;",Settings!$B$4)))</f>
        <v>0</v>
      </c>
      <c r="O94">
        <f>IF($N94=0,0,IF(Settings!$B$5="percent",$M94*$N94/100,$N94))</f>
        <v>0</v>
      </c>
      <c r="P94">
        <f>IF($L94&lt;&gt;1,0,SUMIFS('JLR Materials'!$G:$G,'JLR Materials'!$A:$A,$K94,'JLR Materials'!$C:$C,IF(Settings!$B$2="","&lt;&gt;",Settings!$B$2),'JLR Materials'!$D:$D,IF(Settings!$B$4="","&lt;&gt;",Settings!$B$4)))</f>
        <v>0</v>
      </c>
    </row>
    <row r="95">
      <c r="A95" t="str">
        <v>mat-aa6016-t4</v>
      </c>
      <c r="B95" t="str">
        <v>AA6016-T4 Sheet (Auto Skin)</v>
      </c>
      <c r="C95" t="str">
        <v>Aluminium Sheet</v>
      </c>
      <c r="D95">
        <f>IF($M95&gt;0,$M95,3.55)</f>
        <v>3.55</v>
      </c>
      <c r="E95">
        <f>IF($O95&gt;0,$O95,0.5)</f>
        <v>0.5</v>
      </c>
      <c r="F95">
        <v>2700</v>
      </c>
      <c r="G95" t="str">
        <v>UK</v>
      </c>
      <c r="H95" t="str">
        <f>IF($M95&gt;0,IF($L95&lt;&gt;1,"2026-07",IFERROR(INDEX('JLR Materials'!$D:$D,MATCH($K95,'JLR Materials'!$A:$A,0)),"2026-07")),"2026-07")</f>
        <v>2026-07</v>
      </c>
      <c r="I95" t="str">
        <f>IF($M95&gt;0,"JLR rate card — material code "&amp;$K95,"UK Al auto sheet Jul 2026. 6016 T4 — the dominant aluminium outer-panel skin (bonnet, door, fender); bake-hardens in paint oven, good hemming. Yield ~120 MPa (T4).")</f>
        <v>UK Al auto sheet Jul 2026. 6016 T4 — the dominant aluminium outer-panel skin (bonnet, door, fender); bake-hardens in paint oven, good hemming. Yield ~120 MPa (T4).</v>
      </c>
      <c r="J95" t="str">
        <v>Low</v>
      </c>
      <c r="K95" t="str">
        <f>IFERROR(INDEX(Mapping!$C:$C,MATCH($A95,Mapping!$A:$A,0)),"")</f>
        <v/>
      </c>
      <c r="L95">
        <f>IF($K95="",0,COUNTIFS('JLR Materials'!$A:$A,$K95,'JLR Materials'!$C:$C,IF(Settings!$B$2="","&lt;&gt;",Settings!$B$2),'JLR Materials'!$D:$D,IF(Settings!$B$4="","&lt;&gt;",Settings!$B$4)))</f>
        <v>0</v>
      </c>
      <c r="M95">
        <f>IF($L95&lt;&gt;1,0,SUMIFS('JLR Materials'!$E:$E,'JLR Materials'!$A:$A,$K95,'JLR Materials'!$C:$C,IF(Settings!$B$2="","&lt;&gt;",Settings!$B$2),'JLR Materials'!$D:$D,IF(Settings!$B$4="","&lt;&gt;",Settings!$B$4)))</f>
        <v>0</v>
      </c>
      <c r="N95">
        <f>IF($L95&lt;&gt;1,0,SUMIFS('JLR Materials'!$F:$F,'JLR Materials'!$A:$A,$K95,'JLR Materials'!$C:$C,IF(Settings!$B$2="","&lt;&gt;",Settings!$B$2),'JLR Materials'!$D:$D,IF(Settings!$B$4="","&lt;&gt;",Settings!$B$4)))</f>
        <v>0</v>
      </c>
      <c r="O95">
        <f>IF($N95=0,0,IF(Settings!$B$5="percent",$M95*$N95/100,$N95))</f>
        <v>0</v>
      </c>
      <c r="P95">
        <f>IF($L95&lt;&gt;1,0,SUMIFS('JLR Materials'!$G:$G,'JLR Materials'!$A:$A,$K95,'JLR Materials'!$C:$C,IF(Settings!$B$2="","&lt;&gt;",Settings!$B$2),'JLR Materials'!$D:$D,IF(Settings!$B$4="","&lt;&gt;",Settings!$B$4)))</f>
        <v>0</v>
      </c>
    </row>
    <row r="96">
      <c r="A96" t="str">
        <v>mat-aa6111-t4</v>
      </c>
      <c r="B96" t="str">
        <v>AA6111-T4 Sheet (Auto Skin)</v>
      </c>
      <c r="C96" t="str">
        <v>Aluminium Sheet</v>
      </c>
      <c r="D96">
        <f>IF($M96&gt;0,$M96,3.7)</f>
        <v>3.7</v>
      </c>
      <c r="E96">
        <f>IF($O96&gt;0,$O96,0.5)</f>
        <v>0.5</v>
      </c>
      <c r="F96">
        <v>2710</v>
      </c>
      <c r="G96" t="str">
        <v>UK</v>
      </c>
      <c r="H96" t="str">
        <f>IF($M96&gt;0,IF($L96&lt;&gt;1,"2026-07",IFERROR(INDEX('JLR Materials'!$D:$D,MATCH($K96,'JLR Materials'!$A:$A,0)),"2026-07")),"2026-07")</f>
        <v>2026-07</v>
      </c>
      <c r="I96" t="str">
        <f>IF($M96&gt;0,"JLR rate card — material code "&amp;$K96,"UK Al auto sheet Jul 2026. 6111 T4 — higher-strength outer skin for dent resistance; NA OEM closures. Yield ~160 MPa (T4).")</f>
        <v>UK Al auto sheet Jul 2026. 6111 T4 — higher-strength outer skin for dent resistance; NA OEM closures. Yield ~160 MPa (T4).</v>
      </c>
      <c r="J96" t="str">
        <v>Low</v>
      </c>
      <c r="K96" t="str">
        <f>IFERROR(INDEX(Mapping!$C:$C,MATCH($A96,Mapping!$A:$A,0)),"")</f>
        <v/>
      </c>
      <c r="L96">
        <f>IF($K96="",0,COUNTIFS('JLR Materials'!$A:$A,$K96,'JLR Materials'!$C:$C,IF(Settings!$B$2="","&lt;&gt;",Settings!$B$2),'JLR Materials'!$D:$D,IF(Settings!$B$4="","&lt;&gt;",Settings!$B$4)))</f>
        <v>0</v>
      </c>
      <c r="M96">
        <f>IF($L96&lt;&gt;1,0,SUMIFS('JLR Materials'!$E:$E,'JLR Materials'!$A:$A,$K96,'JLR Materials'!$C:$C,IF(Settings!$B$2="","&lt;&gt;",Settings!$B$2),'JLR Materials'!$D:$D,IF(Settings!$B$4="","&lt;&gt;",Settings!$B$4)))</f>
        <v>0</v>
      </c>
      <c r="N96">
        <f>IF($L96&lt;&gt;1,0,SUMIFS('JLR Materials'!$F:$F,'JLR Materials'!$A:$A,$K96,'JLR Materials'!$C:$C,IF(Settings!$B$2="","&lt;&gt;",Settings!$B$2),'JLR Materials'!$D:$D,IF(Settings!$B$4="","&lt;&gt;",Settings!$B$4)))</f>
        <v>0</v>
      </c>
      <c r="O96">
        <f>IF($N96=0,0,IF(Settings!$B$5="percent",$M96*$N96/100,$N96))</f>
        <v>0</v>
      </c>
      <c r="P96">
        <f>IF($L96&lt;&gt;1,0,SUMIFS('JLR Materials'!$G:$G,'JLR Materials'!$A:$A,$K96,'JLR Materials'!$C:$C,IF(Settings!$B$2="","&lt;&gt;",Settings!$B$2),'JLR Materials'!$D:$D,IF(Settings!$B$4="","&lt;&gt;",Settings!$B$4)))</f>
        <v>0</v>
      </c>
    </row>
    <row r="97">
      <c r="A97" t="str">
        <v>mat-aa7075-t6</v>
      </c>
      <c r="B97" t="str">
        <v>AA7075-T6 Sheet/Plate</v>
      </c>
      <c r="C97" t="str">
        <v>Aluminium Sheet</v>
      </c>
      <c r="D97">
        <f>IF($M97&gt;0,$M97,6.8)</f>
        <v>6.8</v>
      </c>
      <c r="E97">
        <f>IF($O97&gt;0,$O97,0.55)</f>
        <v>0.55</v>
      </c>
      <c r="F97">
        <v>2810</v>
      </c>
      <c r="G97" t="str">
        <v>UK</v>
      </c>
      <c r="H97" t="str">
        <f>IF($M97&gt;0,IF($L97&lt;&gt;1,"2026-07",IFERROR(INDEX('JLR Materials'!$D:$D,MATCH($K97,'JLR Materials'!$A:$A,0)),"2026-07")),"2026-07")</f>
        <v>2026-07</v>
      </c>
      <c r="I97" t="str">
        <f>IF($M97&gt;0,"JLR rate card — material code "&amp;$K97,"UK Al plate Jul 2026. 7075 T6 — aerospace-grade high-strength structural (bumper beams, reinforcements). Poor formability/weldability; cold form in W-temper. Yield ~505 MPa.")</f>
        <v>UK Al plate Jul 2026. 7075 T6 — aerospace-grade high-strength structural (bumper beams, reinforcements). Poor formability/weldability; cold form in W-temper. Yield ~505 MPa.</v>
      </c>
      <c r="J97" t="str">
        <v>Low</v>
      </c>
      <c r="K97" t="str">
        <f>IFERROR(INDEX(Mapping!$C:$C,MATCH($A97,Mapping!$A:$A,0)),"")</f>
        <v/>
      </c>
      <c r="L97">
        <f>IF($K97="",0,COUNTIFS('JLR Materials'!$A:$A,$K97,'JLR Materials'!$C:$C,IF(Settings!$B$2="","&lt;&gt;",Settings!$B$2),'JLR Materials'!$D:$D,IF(Settings!$B$4="","&lt;&gt;",Settings!$B$4)))</f>
        <v>0</v>
      </c>
      <c r="M97">
        <f>IF($L97&lt;&gt;1,0,SUMIFS('JLR Materials'!$E:$E,'JLR Materials'!$A:$A,$K97,'JLR Materials'!$C:$C,IF(Settings!$B$2="","&lt;&gt;",Settings!$B$2),'JLR Materials'!$D:$D,IF(Settings!$B$4="","&lt;&gt;",Settings!$B$4)))</f>
        <v>0</v>
      </c>
      <c r="N97">
        <f>IF($L97&lt;&gt;1,0,SUMIFS('JLR Materials'!$F:$F,'JLR Materials'!$A:$A,$K97,'JLR Materials'!$C:$C,IF(Settings!$B$2="","&lt;&gt;",Settings!$B$2),'JLR Materials'!$D:$D,IF(Settings!$B$4="","&lt;&gt;",Settings!$B$4)))</f>
        <v>0</v>
      </c>
      <c r="O97">
        <f>IF($N97=0,0,IF(Settings!$B$5="percent",$M97*$N97/100,$N97))</f>
        <v>0</v>
      </c>
      <c r="P97">
        <f>IF($L97&lt;&gt;1,0,SUMIFS('JLR Materials'!$G:$G,'JLR Materials'!$A:$A,$K97,'JLR Materials'!$C:$C,IF(Settings!$B$2="","&lt;&gt;",Settings!$B$2),'JLR Materials'!$D:$D,IF(Settings!$B$4="","&lt;&gt;",Settings!$B$4)))</f>
        <v>0</v>
      </c>
    </row>
    <row r="98">
      <c r="A98" t="str">
        <v>mat-greensteel-dc01</v>
      </c>
      <c r="B98" t="str">
        <v>Low-CO₂ "Green" Steel (H₂-DRI, DC01 equiv.)</v>
      </c>
      <c r="C98" t="str">
        <v>Low-Carbon Steel Sheet</v>
      </c>
      <c r="D98">
        <f>IF($M98&gt;0,$M98,1.05)</f>
        <v>1.05</v>
      </c>
      <c r="E98">
        <f>IF($O98&gt;0,$O98,0.2)</f>
        <v>0.2</v>
      </c>
      <c r="F98">
        <v>7850</v>
      </c>
      <c r="G98" t="str">
        <v>UK</v>
      </c>
      <c r="H98" t="str">
        <f>IF($M98&gt;0,IF($L98&lt;&gt;1,"2026-07",IFERROR(INDEX('JLR Materials'!$D:$D,MATCH($K98,'JLR Materials'!$A:$A,0)),"2026-07")),"2026-07")</f>
        <v>2026-07</v>
      </c>
      <c r="I98" t="str">
        <f>IF($M98&gt;0,"JLR rate card — material code "&amp;$K98,"UK green-steel offer Jul 2026. Hydrogen direct-reduced / high-scrap EAF route — DC01-equivalent properties at ~70–90% lower embodied CO₂. Premium ~15–25% over conventional. Yield ~140 MPa.")</f>
        <v>UK green-steel offer Jul 2026. Hydrogen direct-reduced / high-scrap EAF route — DC01-equivalent properties at ~70–90% lower embodied CO₂. Premium ~15–25% over conventional. Yield ~140 MPa.</v>
      </c>
      <c r="J98" t="str">
        <v>Low</v>
      </c>
      <c r="K98" t="str">
        <f>IFERROR(INDEX(Mapping!$C:$C,MATCH($A98,Mapping!$A:$A,0)),"")</f>
        <v/>
      </c>
      <c r="L98">
        <f>IF($K98="",0,COUNTIFS('JLR Materials'!$A:$A,$K98,'JLR Materials'!$C:$C,IF(Settings!$B$2="","&lt;&gt;",Settings!$B$2),'JLR Materials'!$D:$D,IF(Settings!$B$4="","&lt;&gt;",Settings!$B$4)))</f>
        <v>0</v>
      </c>
      <c r="M98">
        <f>IF($L98&lt;&gt;1,0,SUMIFS('JLR Materials'!$E:$E,'JLR Materials'!$A:$A,$K98,'JLR Materials'!$C:$C,IF(Settings!$B$2="","&lt;&gt;",Settings!$B$2),'JLR Materials'!$D:$D,IF(Settings!$B$4="","&lt;&gt;",Settings!$B$4)))</f>
        <v>0</v>
      </c>
      <c r="N98">
        <f>IF($L98&lt;&gt;1,0,SUMIFS('JLR Materials'!$F:$F,'JLR Materials'!$A:$A,$K98,'JLR Materials'!$C:$C,IF(Settings!$B$2="","&lt;&gt;",Settings!$B$2),'JLR Materials'!$D:$D,IF(Settings!$B$4="","&lt;&gt;",Settings!$B$4)))</f>
        <v>0</v>
      </c>
      <c r="O98">
        <f>IF($N98=0,0,IF(Settings!$B$5="percent",$M98*$N98/100,$N98))</f>
        <v>0</v>
      </c>
      <c r="P98">
        <f>IF($L98&lt;&gt;1,0,SUMIFS('JLR Materials'!$G:$G,'JLR Materials'!$A:$A,$K98,'JLR Materials'!$C:$C,IF(Settings!$B$2="","&lt;&gt;",Settings!$B$2),'JLR Materials'!$D:$D,IF(Settings!$B$4="","&lt;&gt;",Settings!$B$4)))</f>
        <v>0</v>
      </c>
    </row>
    <row r="99">
      <c r="A99" t="str">
        <v>mat-al-recycled-5xxx</v>
      </c>
      <c r="B99" t="str">
        <v>Recycled-Content Al 5xxx (Secondary)</v>
      </c>
      <c r="C99" t="str">
        <v>Aluminium Sheet</v>
      </c>
      <c r="D99">
        <f>IF($M99&gt;0,$M99,2.6)</f>
        <v>2.6</v>
      </c>
      <c r="E99">
        <f>IF($O99&gt;0,$O99,0.5)</f>
        <v>0.5</v>
      </c>
      <c r="F99">
        <v>2670</v>
      </c>
      <c r="G99" t="str">
        <v>UK</v>
      </c>
      <c r="H99" t="str">
        <f>IF($M99&gt;0,IF($L99&lt;&gt;1,"2026-07",IFERROR(INDEX('JLR Materials'!$D:$D,MATCH($K99,'JLR Materials'!$A:$A,0)),"2026-07")),"2026-07")</f>
        <v>2026-07</v>
      </c>
      <c r="I99" t="str">
        <f>IF($M99&gt;0,"JLR rate card — material code "&amp;$K99,"UK secondary-Al sheet Jul 2026. High recycled-content 5xxx — non-visible inner panels/brackets; ~5% cheaper and far lower CO₂ than primary. Slightly wider property tolerance. Yield ~130 MPa.")</f>
        <v>UK secondary-Al sheet Jul 2026. High recycled-content 5xxx — non-visible inner panels/brackets; ~5% cheaper and far lower CO₂ than primary. Slightly wider property tolerance. Yield ~130 MPa.</v>
      </c>
      <c r="J99" t="str">
        <v>Low</v>
      </c>
      <c r="K99" t="str">
        <f>IFERROR(INDEX(Mapping!$C:$C,MATCH($A99,Mapping!$A:$A,0)),"")</f>
        <v/>
      </c>
      <c r="L99">
        <f>IF($K99="",0,COUNTIFS('JLR Materials'!$A:$A,$K99,'JLR Materials'!$C:$C,IF(Settings!$B$2="","&lt;&gt;",Settings!$B$2),'JLR Materials'!$D:$D,IF(Settings!$B$4="","&lt;&gt;",Settings!$B$4)))</f>
        <v>0</v>
      </c>
      <c r="M99">
        <f>IF($L99&lt;&gt;1,0,SUMIFS('JLR Materials'!$E:$E,'JLR Materials'!$A:$A,$K99,'JLR Materials'!$C:$C,IF(Settings!$B$2="","&lt;&gt;",Settings!$B$2),'JLR Materials'!$D:$D,IF(Settings!$B$4="","&lt;&gt;",Settings!$B$4)))</f>
        <v>0</v>
      </c>
      <c r="N99">
        <f>IF($L99&lt;&gt;1,0,SUMIFS('JLR Materials'!$F:$F,'JLR Materials'!$A:$A,$K99,'JLR Materials'!$C:$C,IF(Settings!$B$2="","&lt;&gt;",Settings!$B$2),'JLR Materials'!$D:$D,IF(Settings!$B$4="","&lt;&gt;",Settings!$B$4)))</f>
        <v>0</v>
      </c>
      <c r="O99">
        <f>IF($N99=0,0,IF(Settings!$B$5="percent",$M99*$N99/100,$N99))</f>
        <v>0</v>
      </c>
      <c r="P99">
        <f>IF($L99&lt;&gt;1,0,SUMIFS('JLR Materials'!$G:$G,'JLR Materials'!$A:$A,$K99,'JLR Materials'!$C:$C,IF(Settings!$B$2="","&lt;&gt;",Settings!$B$2),'JLR Materials'!$D:$D,IF(Settings!$B$4="","&lt;&gt;",Settings!$B$4)))</f>
        <v>0</v>
      </c>
    </row>
    <row r="100">
      <c r="A100" t="str">
        <v>mat-pp</v>
      </c>
      <c r="B100" t="str">
        <v>PP Copolymer</v>
      </c>
      <c r="C100" t="str">
        <v>Thermoplastic</v>
      </c>
      <c r="D100">
        <f>IF($M100&gt;0,$M100,1.12)</f>
        <v>1.12</v>
      </c>
      <c r="E100">
        <f>IF($O100&gt;0,$O100,0.1)</f>
        <v>0.1</v>
      </c>
      <c r="F100">
        <v>900</v>
      </c>
      <c r="G100" t="str">
        <v>UK</v>
      </c>
      <c r="H100" t="str">
        <f>IF($M100&gt;0,IF($L100&lt;&gt;1,"2026-07",IFERROR(INDEX('JLR Materials'!$D:$D,MATCH($K100,'JLR Materials'!$A:$A,0)),"2026-07")),"2026-07")</f>
        <v>2026-07</v>
      </c>
      <c r="I100" t="str">
        <f>IF($M100&gt;0,"JLR rate card — material code "&amp;$K100,"UK resin distributor, Jun 2026 Index-anchored 2026-07 (see RESIN PRICING BASIS).")</f>
        <v>UK resin distributor, Jun 2026 Index-anchored 2026-07 (see RESIN PRICING BASIS).</v>
      </c>
      <c r="J100" t="str">
        <v>Medium</v>
      </c>
      <c r="K100" t="str">
        <f>IFERROR(INDEX(Mapping!$C:$C,MATCH($A100,Mapping!$A:$A,0)),"")</f>
        <v/>
      </c>
      <c r="L100">
        <f>IF($K100="",0,COUNTIFS('JLR Materials'!$A:$A,$K100,'JLR Materials'!$C:$C,IF(Settings!$B$2="","&lt;&gt;",Settings!$B$2),'JLR Materials'!$D:$D,IF(Settings!$B$4="","&lt;&gt;",Settings!$B$4)))</f>
        <v>0</v>
      </c>
      <c r="M100">
        <f>IF($L100&lt;&gt;1,0,SUMIFS('JLR Materials'!$E:$E,'JLR Materials'!$A:$A,$K100,'JLR Materials'!$C:$C,IF(Settings!$B$2="","&lt;&gt;",Settings!$B$2),'JLR Materials'!$D:$D,IF(Settings!$B$4="","&lt;&gt;",Settings!$B$4)))</f>
        <v>0</v>
      </c>
      <c r="N100">
        <f>IF($L100&lt;&gt;1,0,SUMIFS('JLR Materials'!$F:$F,'JLR Materials'!$A:$A,$K100,'JLR Materials'!$C:$C,IF(Settings!$B$2="","&lt;&gt;",Settings!$B$2),'JLR Materials'!$D:$D,IF(Settings!$B$4="","&lt;&gt;",Settings!$B$4)))</f>
        <v>0</v>
      </c>
      <c r="O100">
        <f>IF($N100=0,0,IF(Settings!$B$5="percent",$M100*$N100/100,$N100))</f>
        <v>0</v>
      </c>
      <c r="P100">
        <f>IF($L100&lt;&gt;1,0,SUMIFS('JLR Materials'!$G:$G,'JLR Materials'!$A:$A,$K100,'JLR Materials'!$C:$C,IF(Settings!$B$2="","&lt;&gt;",Settings!$B$2),'JLR Materials'!$D:$D,IF(Settings!$B$4="","&lt;&gt;",Settings!$B$4)))</f>
        <v>0</v>
      </c>
    </row>
    <row r="101">
      <c r="A101" t="str">
        <v>mat-abs</v>
      </c>
      <c r="B101" t="str">
        <v>ABS</v>
      </c>
      <c r="C101" t="str">
        <v>Thermoplastic</v>
      </c>
      <c r="D101">
        <f>IF($M101&gt;0,$M101,1.68)</f>
        <v>1.68</v>
      </c>
      <c r="E101">
        <f>IF($O101&gt;0,$O101,0.1)</f>
        <v>0.1</v>
      </c>
      <c r="F101">
        <v>1050</v>
      </c>
      <c r="G101" t="str">
        <v>UK</v>
      </c>
      <c r="H101" t="str">
        <f>IF($M101&gt;0,IF($L101&lt;&gt;1,"2026-07",IFERROR(INDEX('JLR Materials'!$D:$D,MATCH($K101,'JLR Materials'!$A:$A,0)),"2026-07")),"2026-07")</f>
        <v>2026-07</v>
      </c>
      <c r="I101" t="str">
        <f>IF($M101&gt;0,"JLR rate card — material code "&amp;$K101,"UK resin distributor, Jun 2026 Index-anchored 2026-07 (see RESIN PRICING BASIS).")</f>
        <v>UK resin distributor, Jun 2026 Index-anchored 2026-07 (see RESIN PRICING BASIS).</v>
      </c>
      <c r="J101" t="str">
        <v>Medium</v>
      </c>
      <c r="K101" t="str">
        <f>IFERROR(INDEX(Mapping!$C:$C,MATCH($A101,Mapping!$A:$A,0)),"")</f>
        <v/>
      </c>
      <c r="L101">
        <f>IF($K101="",0,COUNTIFS('JLR Materials'!$A:$A,$K101,'JLR Materials'!$C:$C,IF(Settings!$B$2="","&lt;&gt;",Settings!$B$2),'JLR Materials'!$D:$D,IF(Settings!$B$4="","&lt;&gt;",Settings!$B$4)))</f>
        <v>0</v>
      </c>
      <c r="M101">
        <f>IF($L101&lt;&gt;1,0,SUMIFS('JLR Materials'!$E:$E,'JLR Materials'!$A:$A,$K101,'JLR Materials'!$C:$C,IF(Settings!$B$2="","&lt;&gt;",Settings!$B$2),'JLR Materials'!$D:$D,IF(Settings!$B$4="","&lt;&gt;",Settings!$B$4)))</f>
        <v>0</v>
      </c>
      <c r="N101">
        <f>IF($L101&lt;&gt;1,0,SUMIFS('JLR Materials'!$F:$F,'JLR Materials'!$A:$A,$K101,'JLR Materials'!$C:$C,IF(Settings!$B$2="","&lt;&gt;",Settings!$B$2),'JLR Materials'!$D:$D,IF(Settings!$B$4="","&lt;&gt;",Settings!$B$4)))</f>
        <v>0</v>
      </c>
      <c r="O101">
        <f>IF($N101=0,0,IF(Settings!$B$5="percent",$M101*$N101/100,$N101))</f>
        <v>0</v>
      </c>
      <c r="P101">
        <f>IF($L101&lt;&gt;1,0,SUMIFS('JLR Materials'!$G:$G,'JLR Materials'!$A:$A,$K101,'JLR Materials'!$C:$C,IF(Settings!$B$2="","&lt;&gt;",Settings!$B$2),'JLR Materials'!$D:$D,IF(Settings!$B$4="","&lt;&gt;",Settings!$B$4)))</f>
        <v>0</v>
      </c>
    </row>
    <row r="102">
      <c r="A102" t="str">
        <v>mat-pa66gf30</v>
      </c>
      <c r="B102" t="str">
        <v>PA66 GF30</v>
      </c>
      <c r="C102" t="str">
        <v>Thermoplastic</v>
      </c>
      <c r="D102">
        <f>IF($M102&gt;0,$M102,3.1)</f>
        <v>3.1</v>
      </c>
      <c r="E102">
        <f>IF($O102&gt;0,$O102,0.05)</f>
        <v>0.05</v>
      </c>
      <c r="F102">
        <v>1300</v>
      </c>
      <c r="G102" t="str">
        <v>UK</v>
      </c>
      <c r="H102" t="str">
        <f>IF($M102&gt;0,IF($L102&lt;&gt;1,"2026-07",IFERROR(INDEX('JLR Materials'!$D:$D,MATCH($K102,'JLR Materials'!$A:$A,0)),"2026-07")),"2026-07")</f>
        <v>2026-07</v>
      </c>
      <c r="I102" t="str">
        <f>IF($M102&gt;0,"JLR rate card — material code "&amp;$K102,"UK resin distributor, Jun 2026 Index-anchored 2026-07 (see RESIN PRICING BASIS).")</f>
        <v>UK resin distributor, Jun 2026 Index-anchored 2026-07 (see RESIN PRICING BASIS).</v>
      </c>
      <c r="J102" t="str">
        <v>Medium</v>
      </c>
      <c r="K102" t="str">
        <f>IFERROR(INDEX(Mapping!$C:$C,MATCH($A102,Mapping!$A:$A,0)),"")</f>
        <v/>
      </c>
      <c r="L102">
        <f>IF($K102="",0,COUNTIFS('JLR Materials'!$A:$A,$K102,'JLR Materials'!$C:$C,IF(Settings!$B$2="","&lt;&gt;",Settings!$B$2),'JLR Materials'!$D:$D,IF(Settings!$B$4="","&lt;&gt;",Settings!$B$4)))</f>
        <v>0</v>
      </c>
      <c r="M102">
        <f>IF($L102&lt;&gt;1,0,SUMIFS('JLR Materials'!$E:$E,'JLR Materials'!$A:$A,$K102,'JLR Materials'!$C:$C,IF(Settings!$B$2="","&lt;&gt;",Settings!$B$2),'JLR Materials'!$D:$D,IF(Settings!$B$4="","&lt;&gt;",Settings!$B$4)))</f>
        <v>0</v>
      </c>
      <c r="N102">
        <f>IF($L102&lt;&gt;1,0,SUMIFS('JLR Materials'!$F:$F,'JLR Materials'!$A:$A,$K102,'JLR Materials'!$C:$C,IF(Settings!$B$2="","&lt;&gt;",Settings!$B$2),'JLR Materials'!$D:$D,IF(Settings!$B$4="","&lt;&gt;",Settings!$B$4)))</f>
        <v>0</v>
      </c>
      <c r="O102">
        <f>IF($N102=0,0,IF(Settings!$B$5="percent",$M102*$N102/100,$N102))</f>
        <v>0</v>
      </c>
      <c r="P102">
        <f>IF($L102&lt;&gt;1,0,SUMIFS('JLR Materials'!$G:$G,'JLR Materials'!$A:$A,$K102,'JLR Materials'!$C:$C,IF(Settings!$B$2="","&lt;&gt;",Settings!$B$2),'JLR Materials'!$D:$D,IF(Settings!$B$4="","&lt;&gt;",Settings!$B$4)))</f>
        <v>0</v>
      </c>
    </row>
    <row r="103">
      <c r="A103" t="str">
        <v>mat-pc</v>
      </c>
      <c r="B103" t="str">
        <v>PC (Lexan)</v>
      </c>
      <c r="C103" t="str">
        <v>Thermoplastic</v>
      </c>
      <c r="D103">
        <f>IF($M103&gt;0,$M103,2.52)</f>
        <v>2.52</v>
      </c>
      <c r="E103">
        <f>IF($O103&gt;0,$O103,0.08)</f>
        <v>0.08</v>
      </c>
      <c r="F103">
        <v>1200</v>
      </c>
      <c r="G103" t="str">
        <v>UK</v>
      </c>
      <c r="H103" t="str">
        <f>IF($M103&gt;0,IF($L103&lt;&gt;1,"2026-07",IFERROR(INDEX('JLR Materials'!$D:$D,MATCH($K103,'JLR Materials'!$A:$A,0)),"2026-07")),"2026-07")</f>
        <v>2026-07</v>
      </c>
      <c r="I103" t="str">
        <f>IF($M103&gt;0,"JLR rate card — material code "&amp;$K103,"UK resin distributor, Jun 2026 Index-anchored 2026-07 (see RESIN PRICING BASIS).")</f>
        <v>UK resin distributor, Jun 2026 Index-anchored 2026-07 (see RESIN PRICING BASIS).</v>
      </c>
      <c r="J103" t="str">
        <v>Medium</v>
      </c>
      <c r="K103" t="str">
        <f>IFERROR(INDEX(Mapping!$C:$C,MATCH($A103,Mapping!$A:$A,0)),"")</f>
        <v/>
      </c>
      <c r="L103">
        <f>IF($K103="",0,COUNTIFS('JLR Materials'!$A:$A,$K103,'JLR Materials'!$C:$C,IF(Settings!$B$2="","&lt;&gt;",Settings!$B$2),'JLR Materials'!$D:$D,IF(Settings!$B$4="","&lt;&gt;",Settings!$B$4)))</f>
        <v>0</v>
      </c>
      <c r="M103">
        <f>IF($L103&lt;&gt;1,0,SUMIFS('JLR Materials'!$E:$E,'JLR Materials'!$A:$A,$K103,'JLR Materials'!$C:$C,IF(Settings!$B$2="","&lt;&gt;",Settings!$B$2),'JLR Materials'!$D:$D,IF(Settings!$B$4="","&lt;&gt;",Settings!$B$4)))</f>
        <v>0</v>
      </c>
      <c r="N103">
        <f>IF($L103&lt;&gt;1,0,SUMIFS('JLR Materials'!$F:$F,'JLR Materials'!$A:$A,$K103,'JLR Materials'!$C:$C,IF(Settings!$B$2="","&lt;&gt;",Settings!$B$2),'JLR Materials'!$D:$D,IF(Settings!$B$4="","&lt;&gt;",Settings!$B$4)))</f>
        <v>0</v>
      </c>
      <c r="O103">
        <f>IF($N103=0,0,IF(Settings!$B$5="percent",$M103*$N103/100,$N103))</f>
        <v>0</v>
      </c>
      <c r="P103">
        <f>IF($L103&lt;&gt;1,0,SUMIFS('JLR Materials'!$G:$G,'JLR Materials'!$A:$A,$K103,'JLR Materials'!$C:$C,IF(Settings!$B$2="","&lt;&gt;",Settings!$B$2),'JLR Materials'!$D:$D,IF(Settings!$B$4="","&lt;&gt;",Settings!$B$4)))</f>
        <v>0</v>
      </c>
    </row>
    <row r="104">
      <c r="A104" t="str">
        <v>mat-hdpe</v>
      </c>
      <c r="B104" t="str">
        <v>HDPE</v>
      </c>
      <c r="C104" t="str">
        <v>Thermoplastic</v>
      </c>
      <c r="D104">
        <f>IF($M104&gt;0,$M104,1.06)</f>
        <v>1.06</v>
      </c>
      <c r="E104">
        <f>IF($O104&gt;0,$O104,0.12)</f>
        <v>0.12</v>
      </c>
      <c r="F104">
        <v>960</v>
      </c>
      <c r="G104" t="str">
        <v>UK</v>
      </c>
      <c r="H104" t="str">
        <f>IF($M104&gt;0,IF($L104&lt;&gt;1,"2026-07",IFERROR(INDEX('JLR Materials'!$D:$D,MATCH($K104,'JLR Materials'!$A:$A,0)),"2026-07")),"2026-07")</f>
        <v>2026-07</v>
      </c>
      <c r="I104" t="str">
        <f>IF($M104&gt;0,"JLR rate card — material code "&amp;$K104,"UK resin distributor, Jun 2026 Index-anchored 2026-07 (see RESIN PRICING BASIS).")</f>
        <v>UK resin distributor, Jun 2026 Index-anchored 2026-07 (see RESIN PRICING BASIS).</v>
      </c>
      <c r="J104" t="str">
        <v>Medium</v>
      </c>
      <c r="K104" t="str">
        <f>IFERROR(INDEX(Mapping!$C:$C,MATCH($A104,Mapping!$A:$A,0)),"")</f>
        <v/>
      </c>
      <c r="L104">
        <f>IF($K104="",0,COUNTIFS('JLR Materials'!$A:$A,$K104,'JLR Materials'!$C:$C,IF(Settings!$B$2="","&lt;&gt;",Settings!$B$2),'JLR Materials'!$D:$D,IF(Settings!$B$4="","&lt;&gt;",Settings!$B$4)))</f>
        <v>0</v>
      </c>
      <c r="M104">
        <f>IF($L104&lt;&gt;1,0,SUMIFS('JLR Materials'!$E:$E,'JLR Materials'!$A:$A,$K104,'JLR Materials'!$C:$C,IF(Settings!$B$2="","&lt;&gt;",Settings!$B$2),'JLR Materials'!$D:$D,IF(Settings!$B$4="","&lt;&gt;",Settings!$B$4)))</f>
        <v>0</v>
      </c>
      <c r="N104">
        <f>IF($L104&lt;&gt;1,0,SUMIFS('JLR Materials'!$F:$F,'JLR Materials'!$A:$A,$K104,'JLR Materials'!$C:$C,IF(Settings!$B$2="","&lt;&gt;",Settings!$B$2),'JLR Materials'!$D:$D,IF(Settings!$B$4="","&lt;&gt;",Settings!$B$4)))</f>
        <v>0</v>
      </c>
      <c r="O104">
        <f>IF($N104=0,0,IF(Settings!$B$5="percent",$M104*$N104/100,$N104))</f>
        <v>0</v>
      </c>
      <c r="P104">
        <f>IF($L104&lt;&gt;1,0,SUMIFS('JLR Materials'!$G:$G,'JLR Materials'!$A:$A,$K104,'JLR Materials'!$C:$C,IF(Settings!$B$2="","&lt;&gt;",Settings!$B$2),'JLR Materials'!$D:$D,IF(Settings!$B$4="","&lt;&gt;",Settings!$B$4)))</f>
        <v>0</v>
      </c>
    </row>
    <row r="105">
      <c r="A105" t="str">
        <v>mat-pom</v>
      </c>
      <c r="B105" t="str">
        <v>POM / Acetal (Delrin)</v>
      </c>
      <c r="C105" t="str">
        <v>Thermoplastic</v>
      </c>
      <c r="D105">
        <f>IF($M105&gt;0,$M105,2.05)</f>
        <v>2.05</v>
      </c>
      <c r="E105">
        <f>IF($O105&gt;0,$O105,0.05)</f>
        <v>0.05</v>
      </c>
      <c r="F105">
        <v>1410</v>
      </c>
      <c r="G105" t="str">
        <v>UK</v>
      </c>
      <c r="H105" t="str">
        <f>IF($M105&gt;0,IF($L105&lt;&gt;1,"2026-07",IFERROR(INDEX('JLR Materials'!$D:$D,MATCH($K105,'JLR Materials'!$A:$A,0)),"2026-07")),"2026-07")</f>
        <v>2026-07</v>
      </c>
      <c r="I105" t="str">
        <f>IF($M105&gt;0,"JLR rate card — material code "&amp;$K105,"UK resin distributor, Jun 2026. coolFactor ~2.8 s/mm² Index-anchored 2026-07 (see RESIN PRICING BASIS).")</f>
        <v>UK resin distributor, Jun 2026. coolFactor ~2.8 s/mm² Index-anchored 2026-07 (see RESIN PRICING BASIS).</v>
      </c>
      <c r="J105" t="str">
        <v>Medium</v>
      </c>
      <c r="K105" t="str">
        <f>IFERROR(INDEX(Mapping!$C:$C,MATCH($A105,Mapping!$A:$A,0)),"")</f>
        <v/>
      </c>
      <c r="L105">
        <f>IF($K105="",0,COUNTIFS('JLR Materials'!$A:$A,$K105,'JLR Materials'!$C:$C,IF(Settings!$B$2="","&lt;&gt;",Settings!$B$2),'JLR Materials'!$D:$D,IF(Settings!$B$4="","&lt;&gt;",Settings!$B$4)))</f>
        <v>0</v>
      </c>
      <c r="M105">
        <f>IF($L105&lt;&gt;1,0,SUMIFS('JLR Materials'!$E:$E,'JLR Materials'!$A:$A,$K105,'JLR Materials'!$C:$C,IF(Settings!$B$2="","&lt;&gt;",Settings!$B$2),'JLR Materials'!$D:$D,IF(Settings!$B$4="","&lt;&gt;",Settings!$B$4)))</f>
        <v>0</v>
      </c>
      <c r="N105">
        <f>IF($L105&lt;&gt;1,0,SUMIFS('JLR Materials'!$F:$F,'JLR Materials'!$A:$A,$K105,'JLR Materials'!$C:$C,IF(Settings!$B$2="","&lt;&gt;",Settings!$B$2),'JLR Materials'!$D:$D,IF(Settings!$B$4="","&lt;&gt;",Settings!$B$4)))</f>
        <v>0</v>
      </c>
      <c r="O105">
        <f>IF($N105=0,0,IF(Settings!$B$5="percent",$M105*$N105/100,$N105))</f>
        <v>0</v>
      </c>
      <c r="P105">
        <f>IF($L105&lt;&gt;1,0,SUMIFS('JLR Materials'!$G:$G,'JLR Materials'!$A:$A,$K105,'JLR Materials'!$C:$C,IF(Settings!$B$2="","&lt;&gt;",Settings!$B$2),'JLR Materials'!$D:$D,IF(Settings!$B$4="","&lt;&gt;",Settings!$B$4)))</f>
        <v>0</v>
      </c>
    </row>
    <row r="106">
      <c r="A106" t="str">
        <v>mat-pbt-gf30</v>
      </c>
      <c r="B106" t="str">
        <v>PBT GF30</v>
      </c>
      <c r="C106" t="str">
        <v>Thermoplastic</v>
      </c>
      <c r="D106">
        <f>IF($M106&gt;0,$M106,3.1)</f>
        <v>3.1</v>
      </c>
      <c r="E106">
        <f>IF($O106&gt;0,$O106,0.05)</f>
        <v>0.05</v>
      </c>
      <c r="F106">
        <v>1520</v>
      </c>
      <c r="G106" t="str">
        <v>UK</v>
      </c>
      <c r="H106" t="str">
        <f>IF($M106&gt;0,IF($L106&lt;&gt;1,"2026-07",IFERROR(INDEX('JLR Materials'!$D:$D,MATCH($K106,'JLR Materials'!$A:$A,0)),"2026-07")),"2026-07")</f>
        <v>2026-07</v>
      </c>
      <c r="I106" t="str">
        <f>IF($M106&gt;0,"JLR rate card — material code "&amp;$K106,"UK resin distributor, Jun 2026. Common connector/housing material. Index-anchored 2026-07 (see RESIN PRICING BASIS).")</f>
        <v>UK resin distributor, Jun 2026. Common connector/housing material. Index-anchored 2026-07 (see RESIN PRICING BASIS).</v>
      </c>
      <c r="J106" t="str">
        <v>Medium</v>
      </c>
      <c r="K106" t="str">
        <f>IFERROR(INDEX(Mapping!$C:$C,MATCH($A106,Mapping!$A:$A,0)),"")</f>
        <v/>
      </c>
      <c r="L106">
        <f>IF($K106="",0,COUNTIFS('JLR Materials'!$A:$A,$K106,'JLR Materials'!$C:$C,IF(Settings!$B$2="","&lt;&gt;",Settings!$B$2),'JLR Materials'!$D:$D,IF(Settings!$B$4="","&lt;&gt;",Settings!$B$4)))</f>
        <v>0</v>
      </c>
      <c r="M106">
        <f>IF($L106&lt;&gt;1,0,SUMIFS('JLR Materials'!$E:$E,'JLR Materials'!$A:$A,$K106,'JLR Materials'!$C:$C,IF(Settings!$B$2="","&lt;&gt;",Settings!$B$2),'JLR Materials'!$D:$D,IF(Settings!$B$4="","&lt;&gt;",Settings!$B$4)))</f>
        <v>0</v>
      </c>
      <c r="N106">
        <f>IF($L106&lt;&gt;1,0,SUMIFS('JLR Materials'!$F:$F,'JLR Materials'!$A:$A,$K106,'JLR Materials'!$C:$C,IF(Settings!$B$2="","&lt;&gt;",Settings!$B$2),'JLR Materials'!$D:$D,IF(Settings!$B$4="","&lt;&gt;",Settings!$B$4)))</f>
        <v>0</v>
      </c>
      <c r="O106">
        <f>IF($N106=0,0,IF(Settings!$B$5="percent",$M106*$N106/100,$N106))</f>
        <v>0</v>
      </c>
      <c r="P106">
        <f>IF($L106&lt;&gt;1,0,SUMIFS('JLR Materials'!$G:$G,'JLR Materials'!$A:$A,$K106,'JLR Materials'!$C:$C,IF(Settings!$B$2="","&lt;&gt;",Settings!$B$2),'JLR Materials'!$D:$D,IF(Settings!$B$4="","&lt;&gt;",Settings!$B$4)))</f>
        <v>0</v>
      </c>
    </row>
    <row r="107">
      <c r="A107" t="str">
        <v>mat-tpu-shore85</v>
      </c>
      <c r="B107" t="str">
        <v>TPU Shore 85A</v>
      </c>
      <c r="C107" t="str">
        <v>Thermoplastic Elastomer</v>
      </c>
      <c r="D107">
        <f>IF($M107&gt;0,$M107,2.52)</f>
        <v>2.52</v>
      </c>
      <c r="E107">
        <f>IF($O107&gt;0,$O107,0.05)</f>
        <v>0.05</v>
      </c>
      <c r="F107">
        <v>1200</v>
      </c>
      <c r="G107" t="str">
        <v>UK</v>
      </c>
      <c r="H107" t="str">
        <f>IF($M107&gt;0,IF($L107&lt;&gt;1,"2026-07",IFERROR(INDEX('JLR Materials'!$D:$D,MATCH($K107,'JLR Materials'!$A:$A,0)),"2026-07")),"2026-07")</f>
        <v>2026-07</v>
      </c>
      <c r="I107" t="str">
        <f>IF($M107&gt;0,"JLR rate card — material code "&amp;$K107,"UK resin distributor, Jun 2026. coolFactor ~4.0 s/mm² Index-anchored 2026-07 (see RESIN PRICING BASIS).")</f>
        <v>UK resin distributor, Jun 2026. coolFactor ~4.0 s/mm² Index-anchored 2026-07 (see RESIN PRICING BASIS).</v>
      </c>
      <c r="J107" t="str">
        <v>Low</v>
      </c>
      <c r="K107" t="str">
        <f>IFERROR(INDEX(Mapping!$C:$C,MATCH($A107,Mapping!$A:$A,0)),"")</f>
        <v/>
      </c>
      <c r="L107">
        <f>IF($K107="",0,COUNTIFS('JLR Materials'!$A:$A,$K107,'JLR Materials'!$C:$C,IF(Settings!$B$2="","&lt;&gt;",Settings!$B$2),'JLR Materials'!$D:$D,IF(Settings!$B$4="","&lt;&gt;",Settings!$B$4)))</f>
        <v>0</v>
      </c>
      <c r="M107">
        <f>IF($L107&lt;&gt;1,0,SUMIFS('JLR Materials'!$E:$E,'JLR Materials'!$A:$A,$K107,'JLR Materials'!$C:$C,IF(Settings!$B$2="","&lt;&gt;",Settings!$B$2),'JLR Materials'!$D:$D,IF(Settings!$B$4="","&lt;&gt;",Settings!$B$4)))</f>
        <v>0</v>
      </c>
      <c r="N107">
        <f>IF($L107&lt;&gt;1,0,SUMIFS('JLR Materials'!$F:$F,'JLR Materials'!$A:$A,$K107,'JLR Materials'!$C:$C,IF(Settings!$B$2="","&lt;&gt;",Settings!$B$2),'JLR Materials'!$D:$D,IF(Settings!$B$4="","&lt;&gt;",Settings!$B$4)))</f>
        <v>0</v>
      </c>
      <c r="O107">
        <f>IF($N107=0,0,IF(Settings!$B$5="percent",$M107*$N107/100,$N107))</f>
        <v>0</v>
      </c>
      <c r="P107">
        <f>IF($L107&lt;&gt;1,0,SUMIFS('JLR Materials'!$G:$G,'JLR Materials'!$A:$A,$K107,'JLR Materials'!$C:$C,IF(Settings!$B$2="","&lt;&gt;",Settings!$B$2),'JLR Materials'!$D:$D,IF(Settings!$B$4="","&lt;&gt;",Settings!$B$4)))</f>
        <v>0</v>
      </c>
    </row>
    <row r="108">
      <c r="A108" t="str">
        <v>mat-ldpe</v>
      </c>
      <c r="B108" t="str">
        <v>LDPE (2426H)</v>
      </c>
      <c r="C108" t="str">
        <v>Thermoplastic</v>
      </c>
      <c r="D108">
        <f>IF($M108&gt;0,$M108,0.87)</f>
        <v>0.87</v>
      </c>
      <c r="E108">
        <f>IF($O108&gt;0,$O108,0.08)</f>
        <v>0.08</v>
      </c>
      <c r="F108">
        <v>910</v>
      </c>
      <c r="G108" t="str">
        <v>UK</v>
      </c>
      <c r="H108" t="str">
        <f>IF($M108&gt;0,IF($L108&lt;&gt;1,"2026-07",IFERROR(INDEX('JLR Materials'!$D:$D,MATCH($K108,'JLR Materials'!$A:$A,0)),"2026-07")),"2026-07")</f>
        <v>2026-07</v>
      </c>
      <c r="I108" t="str">
        <f>IF($M108&gt;0,"JLR rate card — material code "&amp;$K108,"UK resin distributor Jun 2026. EBM film bags. coolFactor ~3.5 s/mm² Index-anchored 2026-07 (see RESIN PRICING BASIS).")</f>
        <v>UK resin distributor Jun 2026. EBM film bags. coolFactor ~3.5 s/mm² Index-anchored 2026-07 (see RESIN PRICING BASIS).</v>
      </c>
      <c r="J108" t="str">
        <v>Medium</v>
      </c>
      <c r="K108" t="str">
        <f>IFERROR(INDEX(Mapping!$C:$C,MATCH($A108,Mapping!$A:$A,0)),"")</f>
        <v/>
      </c>
      <c r="L108">
        <f>IF($K108="",0,COUNTIFS('JLR Materials'!$A:$A,$K108,'JLR Materials'!$C:$C,IF(Settings!$B$2="","&lt;&gt;",Settings!$B$2),'JLR Materials'!$D:$D,IF(Settings!$B$4="","&lt;&gt;",Settings!$B$4)))</f>
        <v>0</v>
      </c>
      <c r="M108">
        <f>IF($L108&lt;&gt;1,0,SUMIFS('JLR Materials'!$E:$E,'JLR Materials'!$A:$A,$K108,'JLR Materials'!$C:$C,IF(Settings!$B$2="","&lt;&gt;",Settings!$B$2),'JLR Materials'!$D:$D,IF(Settings!$B$4="","&lt;&gt;",Settings!$B$4)))</f>
        <v>0</v>
      </c>
      <c r="N108">
        <f>IF($L108&lt;&gt;1,0,SUMIFS('JLR Materials'!$F:$F,'JLR Materials'!$A:$A,$K108,'JLR Materials'!$C:$C,IF(Settings!$B$2="","&lt;&gt;",Settings!$B$2),'JLR Materials'!$D:$D,IF(Settings!$B$4="","&lt;&gt;",Settings!$B$4)))</f>
        <v>0</v>
      </c>
      <c r="O108">
        <f>IF($N108=0,0,IF(Settings!$B$5="percent",$M108*$N108/100,$N108))</f>
        <v>0</v>
      </c>
      <c r="P108">
        <f>IF($L108&lt;&gt;1,0,SUMIFS('JLR Materials'!$G:$G,'JLR Materials'!$A:$A,$K108,'JLR Materials'!$C:$C,IF(Settings!$B$2="","&lt;&gt;",Settings!$B$2),'JLR Materials'!$D:$D,IF(Settings!$B$4="","&lt;&gt;",Settings!$B$4)))</f>
        <v>0</v>
      </c>
    </row>
    <row r="109">
      <c r="A109" t="str">
        <v>mat-lldpe</v>
      </c>
      <c r="B109" t="str">
        <v>LLDPE C6</v>
      </c>
      <c r="C109" t="str">
        <v>Thermoplastic</v>
      </c>
      <c r="D109">
        <f>IF($M109&gt;0,$M109,0.93)</f>
        <v>0.93</v>
      </c>
      <c r="E109">
        <f>IF($O109&gt;0,$O109,0.08)</f>
        <v>0.08</v>
      </c>
      <c r="F109">
        <v>920</v>
      </c>
      <c r="G109" t="str">
        <v>UK</v>
      </c>
      <c r="H109" t="str">
        <f>IF($M109&gt;0,IF($L109&lt;&gt;1,"2026-07",IFERROR(INDEX('JLR Materials'!$D:$D,MATCH($K109,'JLR Materials'!$A:$A,0)),"2026-07")),"2026-07")</f>
        <v>2026-07</v>
      </c>
      <c r="I109" t="str">
        <f>IF($M109&gt;0,"JLR rate card — material code "&amp;$K109,"UK resin distributor Jun 2026. Stretch/packaging film, rotomoulding. coolFactor ~3.5 s/mm² Index-anchored 2026-07 (see RESIN PRICING BASIS).")</f>
        <v>UK resin distributor Jun 2026. Stretch/packaging film, rotomoulding. coolFactor ~3.5 s/mm² Index-anchored 2026-07 (see RESIN PRICING BASIS).</v>
      </c>
      <c r="J109" t="str">
        <v>Medium</v>
      </c>
      <c r="K109" t="str">
        <f>IFERROR(INDEX(Mapping!$C:$C,MATCH($A109,Mapping!$A:$A,0)),"")</f>
        <v/>
      </c>
      <c r="L109">
        <f>IF($K109="",0,COUNTIFS('JLR Materials'!$A:$A,$K109,'JLR Materials'!$C:$C,IF(Settings!$B$2="","&lt;&gt;",Settings!$B$2),'JLR Materials'!$D:$D,IF(Settings!$B$4="","&lt;&gt;",Settings!$B$4)))</f>
        <v>0</v>
      </c>
      <c r="M109">
        <f>IF($L109&lt;&gt;1,0,SUMIFS('JLR Materials'!$E:$E,'JLR Materials'!$A:$A,$K109,'JLR Materials'!$C:$C,IF(Settings!$B$2="","&lt;&gt;",Settings!$B$2),'JLR Materials'!$D:$D,IF(Settings!$B$4="","&lt;&gt;",Settings!$B$4)))</f>
        <v>0</v>
      </c>
      <c r="N109">
        <f>IF($L109&lt;&gt;1,0,SUMIFS('JLR Materials'!$F:$F,'JLR Materials'!$A:$A,$K109,'JLR Materials'!$C:$C,IF(Settings!$B$2="","&lt;&gt;",Settings!$B$2),'JLR Materials'!$D:$D,IF(Settings!$B$4="","&lt;&gt;",Settings!$B$4)))</f>
        <v>0</v>
      </c>
      <c r="O109">
        <f>IF($N109=0,0,IF(Settings!$B$5="percent",$M109*$N109/100,$N109))</f>
        <v>0</v>
      </c>
      <c r="P109">
        <f>IF($L109&lt;&gt;1,0,SUMIFS('JLR Materials'!$G:$G,'JLR Materials'!$A:$A,$K109,'JLR Materials'!$C:$C,IF(Settings!$B$2="","&lt;&gt;",Settings!$B$2),'JLR Materials'!$D:$D,IF(Settings!$B$4="","&lt;&gt;",Settings!$B$4)))</f>
        <v>0</v>
      </c>
    </row>
    <row r="110">
      <c r="A110" t="str">
        <v>mat-pp-homo</v>
      </c>
      <c r="B110" t="str">
        <v>PP Homopolymer (MFI 12)</v>
      </c>
      <c r="C110" t="str">
        <v>Thermoplastic</v>
      </c>
      <c r="D110">
        <f>IF($M110&gt;0,$M110,0.96)</f>
        <v>0.96</v>
      </c>
      <c r="E110">
        <f>IF($O110&gt;0,$O110,0.1)</f>
        <v>0.1</v>
      </c>
      <c r="F110">
        <v>905</v>
      </c>
      <c r="G110" t="str">
        <v>UK</v>
      </c>
      <c r="H110" t="str">
        <f>IF($M110&gt;0,IF($L110&lt;&gt;1,"2026-07",IFERROR(INDEX('JLR Materials'!$D:$D,MATCH($K110,'JLR Materials'!$A:$A,0)),"2026-07")),"2026-07")</f>
        <v>2026-07</v>
      </c>
      <c r="I110" t="str">
        <f>IF($M110&gt;0,"JLR rate card — material code "&amp;$K110,"UK resin distributor Jun 2026. High stiffness housings, caps. coolFactor ~3.16 s/mm² Index-anchored 2026-07 (see RESIN PRICING BASIS).")</f>
        <v>UK resin distributor Jun 2026. High stiffness housings, caps. coolFactor ~3.16 s/mm² Index-anchored 2026-07 (see RESIN PRICING BASIS).</v>
      </c>
      <c r="J110" t="str">
        <v>Medium</v>
      </c>
      <c r="K110" t="str">
        <f>IFERROR(INDEX(Mapping!$C:$C,MATCH($A110,Mapping!$A:$A,0)),"")</f>
        <v/>
      </c>
      <c r="L110">
        <f>IF($K110="",0,COUNTIFS('JLR Materials'!$A:$A,$K110,'JLR Materials'!$C:$C,IF(Settings!$B$2="","&lt;&gt;",Settings!$B$2),'JLR Materials'!$D:$D,IF(Settings!$B$4="","&lt;&gt;",Settings!$B$4)))</f>
        <v>0</v>
      </c>
      <c r="M110">
        <f>IF($L110&lt;&gt;1,0,SUMIFS('JLR Materials'!$E:$E,'JLR Materials'!$A:$A,$K110,'JLR Materials'!$C:$C,IF(Settings!$B$2="","&lt;&gt;",Settings!$B$2),'JLR Materials'!$D:$D,IF(Settings!$B$4="","&lt;&gt;",Settings!$B$4)))</f>
        <v>0</v>
      </c>
      <c r="N110">
        <f>IF($L110&lt;&gt;1,0,SUMIFS('JLR Materials'!$F:$F,'JLR Materials'!$A:$A,$K110,'JLR Materials'!$C:$C,IF(Settings!$B$2="","&lt;&gt;",Settings!$B$2),'JLR Materials'!$D:$D,IF(Settings!$B$4="","&lt;&gt;",Settings!$B$4)))</f>
        <v>0</v>
      </c>
      <c r="O110">
        <f>IF($N110=0,0,IF(Settings!$B$5="percent",$M110*$N110/100,$N110))</f>
        <v>0</v>
      </c>
      <c r="P110">
        <f>IF($L110&lt;&gt;1,0,SUMIFS('JLR Materials'!$G:$G,'JLR Materials'!$A:$A,$K110,'JLR Materials'!$C:$C,IF(Settings!$B$2="","&lt;&gt;",Settings!$B$2),'JLR Materials'!$D:$D,IF(Settings!$B$4="","&lt;&gt;",Settings!$B$4)))</f>
        <v>0</v>
      </c>
    </row>
    <row r="111">
      <c r="A111" t="str">
        <v>mat-pp-impact</v>
      </c>
      <c r="B111" t="str">
        <v>PP Impact Copolymer (PP-B)</v>
      </c>
      <c r="C111" t="str">
        <v>Thermoplastic</v>
      </c>
      <c r="D111">
        <f>IF($M111&gt;0,$M111,1.01)</f>
        <v>1.01</v>
      </c>
      <c r="E111">
        <f>IF($O111&gt;0,$O111,0.1)</f>
        <v>0.1</v>
      </c>
      <c r="F111">
        <v>900</v>
      </c>
      <c r="G111" t="str">
        <v>UK</v>
      </c>
      <c r="H111" t="str">
        <f>IF($M111&gt;0,IF($L111&lt;&gt;1,"2026-07",IFERROR(INDEX('JLR Materials'!$D:$D,MATCH($K111,'JLR Materials'!$A:$A,0)),"2026-07")),"2026-07")</f>
        <v>2026-07</v>
      </c>
      <c r="I111" t="str">
        <f>IF($M111&gt;0,"JLR rate card — material code "&amp;$K111,"UK resin distributor Jun 2026. Bumpers, battery cases. coolFactor ~3.16 s/mm² Index-anchored 2026-07 (see RESIN PRICING BASIS).")</f>
        <v>UK resin distributor Jun 2026. Bumpers, battery cases. coolFactor ~3.16 s/mm² Index-anchored 2026-07 (see RESIN PRICING BASIS).</v>
      </c>
      <c r="J111" t="str">
        <v>Medium</v>
      </c>
      <c r="K111" t="str">
        <f>IFERROR(INDEX(Mapping!$C:$C,MATCH($A111,Mapping!$A:$A,0)),"")</f>
        <v/>
      </c>
      <c r="L111">
        <f>IF($K111="",0,COUNTIFS('JLR Materials'!$A:$A,$K111,'JLR Materials'!$C:$C,IF(Settings!$B$2="","&lt;&gt;",Settings!$B$2),'JLR Materials'!$D:$D,IF(Settings!$B$4="","&lt;&gt;",Settings!$B$4)))</f>
        <v>0</v>
      </c>
      <c r="M111">
        <f>IF($L111&lt;&gt;1,0,SUMIFS('JLR Materials'!$E:$E,'JLR Materials'!$A:$A,$K111,'JLR Materials'!$C:$C,IF(Settings!$B$2="","&lt;&gt;",Settings!$B$2),'JLR Materials'!$D:$D,IF(Settings!$B$4="","&lt;&gt;",Settings!$B$4)))</f>
        <v>0</v>
      </c>
      <c r="N111">
        <f>IF($L111&lt;&gt;1,0,SUMIFS('JLR Materials'!$F:$F,'JLR Materials'!$A:$A,$K111,'JLR Materials'!$C:$C,IF(Settings!$B$2="","&lt;&gt;",Settings!$B$2),'JLR Materials'!$D:$D,IF(Settings!$B$4="","&lt;&gt;",Settings!$B$4)))</f>
        <v>0</v>
      </c>
      <c r="O111">
        <f>IF($N111=0,0,IF(Settings!$B$5="percent",$M111*$N111/100,$N111))</f>
        <v>0</v>
      </c>
      <c r="P111">
        <f>IF($L111&lt;&gt;1,0,SUMIFS('JLR Materials'!$G:$G,'JLR Materials'!$A:$A,$K111,'JLR Materials'!$C:$C,IF(Settings!$B$2="","&lt;&gt;",Settings!$B$2),'JLR Materials'!$D:$D,IF(Settings!$B$4="","&lt;&gt;",Settings!$B$4)))</f>
        <v>0</v>
      </c>
    </row>
    <row r="112">
      <c r="A112" t="str">
        <v>mat-pp-gf30</v>
      </c>
      <c r="B112" t="str">
        <v>PP GF30 (Short Glass)</v>
      </c>
      <c r="C112" t="str">
        <v>Thermoplastic</v>
      </c>
      <c r="D112">
        <f>IF($M112&gt;0,$M112,1.85)</f>
        <v>1.85</v>
      </c>
      <c r="E112">
        <f>IF($O112&gt;0,$O112,0.08)</f>
        <v>0.08</v>
      </c>
      <c r="F112">
        <v>1120</v>
      </c>
      <c r="G112" t="str">
        <v>UK</v>
      </c>
      <c r="H112" t="str">
        <f>IF($M112&gt;0,IF($L112&lt;&gt;1,"2026-07",IFERROR(INDEX('JLR Materials'!$D:$D,MATCH($K112,'JLR Materials'!$A:$A,0)),"2026-07")),"2026-07")</f>
        <v>2026-07</v>
      </c>
      <c r="I112" t="str">
        <f>IF($M112&gt;0,"JLR rate card — material code "&amp;$K112,"UK resin distributor Jun 2026. 30% short-glass PP — stiff housings, fan shrouds, pump bodies, brackets. coolFactor ~3.0 s/mm² Index-anchored 2026-07 (see RESIN PRICING BASIS).")</f>
        <v>UK resin distributor Jun 2026. 30% short-glass PP — stiff housings, fan shrouds, pump bodies, brackets. coolFactor ~3.0 s/mm² Index-anchored 2026-07 (see RESIN PRICING BASIS).</v>
      </c>
      <c r="J112" t="str">
        <v>Low</v>
      </c>
      <c r="K112" t="str">
        <f>IFERROR(INDEX(Mapping!$C:$C,MATCH($A112,Mapping!$A:$A,0)),"")</f>
        <v/>
      </c>
      <c r="L112">
        <f>IF($K112="",0,COUNTIFS('JLR Materials'!$A:$A,$K112,'JLR Materials'!$C:$C,IF(Settings!$B$2="","&lt;&gt;",Settings!$B$2),'JLR Materials'!$D:$D,IF(Settings!$B$4="","&lt;&gt;",Settings!$B$4)))</f>
        <v>0</v>
      </c>
      <c r="M112">
        <f>IF($L112&lt;&gt;1,0,SUMIFS('JLR Materials'!$E:$E,'JLR Materials'!$A:$A,$K112,'JLR Materials'!$C:$C,IF(Settings!$B$2="","&lt;&gt;",Settings!$B$2),'JLR Materials'!$D:$D,IF(Settings!$B$4="","&lt;&gt;",Settings!$B$4)))</f>
        <v>0</v>
      </c>
      <c r="N112">
        <f>IF($L112&lt;&gt;1,0,SUMIFS('JLR Materials'!$F:$F,'JLR Materials'!$A:$A,$K112,'JLR Materials'!$C:$C,IF(Settings!$B$2="","&lt;&gt;",Settings!$B$2),'JLR Materials'!$D:$D,IF(Settings!$B$4="","&lt;&gt;",Settings!$B$4)))</f>
        <v>0</v>
      </c>
      <c r="O112">
        <f>IF($N112=0,0,IF(Settings!$B$5="percent",$M112*$N112/100,$N112))</f>
        <v>0</v>
      </c>
      <c r="P112">
        <f>IF($L112&lt;&gt;1,0,SUMIFS('JLR Materials'!$G:$G,'JLR Materials'!$A:$A,$K112,'JLR Materials'!$C:$C,IF(Settings!$B$2="","&lt;&gt;",Settings!$B$2),'JLR Materials'!$D:$D,IF(Settings!$B$4="","&lt;&gt;",Settings!$B$4)))</f>
        <v>0</v>
      </c>
    </row>
    <row r="113">
      <c r="A113" t="str">
        <v>mat-pet-bg</v>
      </c>
      <c r="B113" t="str">
        <v>PET Bottle Grade (1101)</v>
      </c>
      <c r="C113" t="str">
        <v>Thermoplastic</v>
      </c>
      <c r="D113">
        <f>IF($M113&gt;0,$M113,1.21)</f>
        <v>1.21</v>
      </c>
      <c r="E113">
        <f>IF($O113&gt;0,$O113,0.08)</f>
        <v>0.08</v>
      </c>
      <c r="F113">
        <v>1380</v>
      </c>
      <c r="G113" t="str">
        <v>UK</v>
      </c>
      <c r="H113" t="str">
        <f>IF($M113&gt;0,IF($L113&lt;&gt;1,"2026-07",IFERROR(INDEX('JLR Materials'!$D:$D,MATCH($K113,'JLR Materials'!$A:$A,0)),"2026-07")),"2026-07")</f>
        <v>2026-07</v>
      </c>
      <c r="I113" t="str">
        <f>IF($M113&gt;0,"JLR rate card — material code "&amp;$K113,"UK resin distributor Jun 2026. SBM beverage bottles. coolFactor ~3.0 s/mm² Index-anchored 2026-07 (see RESIN PRICING BASIS).")</f>
        <v>UK resin distributor Jun 2026. SBM beverage bottles. coolFactor ~3.0 s/mm² Index-anchored 2026-07 (see RESIN PRICING BASIS).</v>
      </c>
      <c r="J113" t="str">
        <v>Medium</v>
      </c>
      <c r="K113" t="str">
        <f>IFERROR(INDEX(Mapping!$C:$C,MATCH($A113,Mapping!$A:$A,0)),"")</f>
        <v/>
      </c>
      <c r="L113">
        <f>IF($K113="",0,COUNTIFS('JLR Materials'!$A:$A,$K113,'JLR Materials'!$C:$C,IF(Settings!$B$2="","&lt;&gt;",Settings!$B$2),'JLR Materials'!$D:$D,IF(Settings!$B$4="","&lt;&gt;",Settings!$B$4)))</f>
        <v>0</v>
      </c>
      <c r="M113">
        <f>IF($L113&lt;&gt;1,0,SUMIFS('JLR Materials'!$E:$E,'JLR Materials'!$A:$A,$K113,'JLR Materials'!$C:$C,IF(Settings!$B$2="","&lt;&gt;",Settings!$B$2),'JLR Materials'!$D:$D,IF(Settings!$B$4="","&lt;&gt;",Settings!$B$4)))</f>
        <v>0</v>
      </c>
      <c r="N113">
        <f>IF($L113&lt;&gt;1,0,SUMIFS('JLR Materials'!$F:$F,'JLR Materials'!$A:$A,$K113,'JLR Materials'!$C:$C,IF(Settings!$B$2="","&lt;&gt;",Settings!$B$2),'JLR Materials'!$D:$D,IF(Settings!$B$4="","&lt;&gt;",Settings!$B$4)))</f>
        <v>0</v>
      </c>
      <c r="O113">
        <f>IF($N113=0,0,IF(Settings!$B$5="percent",$M113*$N113/100,$N113))</f>
        <v>0</v>
      </c>
      <c r="P113">
        <f>IF($L113&lt;&gt;1,0,SUMIFS('JLR Materials'!$G:$G,'JLR Materials'!$A:$A,$K113,'JLR Materials'!$C:$C,IF(Settings!$B$2="","&lt;&gt;",Settings!$B$2),'JLR Materials'!$D:$D,IF(Settings!$B$4="","&lt;&gt;",Settings!$B$4)))</f>
        <v>0</v>
      </c>
    </row>
    <row r="114">
      <c r="A114" t="str">
        <v>mat-pet-gf30</v>
      </c>
      <c r="B114" t="str">
        <v>PET GF30 (Engineering)</v>
      </c>
      <c r="C114" t="str">
        <v>Thermoplastic</v>
      </c>
      <c r="D114">
        <f>IF($M114&gt;0,$M114,3.05)</f>
        <v>3.05</v>
      </c>
      <c r="E114">
        <f>IF($O114&gt;0,$O114,0.05)</f>
        <v>0.05</v>
      </c>
      <c r="F114">
        <v>1520</v>
      </c>
      <c r="G114" t="str">
        <v>UK</v>
      </c>
      <c r="H114" t="str">
        <f>IF($M114&gt;0,IF($L114&lt;&gt;1,"2026-07",IFERROR(INDEX('JLR Materials'!$D:$D,MATCH($K114,'JLR Materials'!$A:$A,0)),"2026-07")),"2026-07")</f>
        <v>2026-07</v>
      </c>
      <c r="I114" t="str">
        <f>IF($M114&gt;0,"JLR rate card — material code "&amp;$K114,"UK resin distributor Jun 2026. Gears, precision parts. coolFactor ~2.5 s/mm² Index-anchored 2026-07 (see RESIN PRICING BASIS).")</f>
        <v>UK resin distributor Jun 2026. Gears, precision parts. coolFactor ~2.5 s/mm² Index-anchored 2026-07 (see RESIN PRICING BASIS).</v>
      </c>
      <c r="J114" t="str">
        <v>Medium</v>
      </c>
      <c r="K114" t="str">
        <f>IFERROR(INDEX(Mapping!$C:$C,MATCH($A114,Mapping!$A:$A,0)),"")</f>
        <v/>
      </c>
      <c r="L114">
        <f>IF($K114="",0,COUNTIFS('JLR Materials'!$A:$A,$K114,'JLR Materials'!$C:$C,IF(Settings!$B$2="","&lt;&gt;",Settings!$B$2),'JLR Materials'!$D:$D,IF(Settings!$B$4="","&lt;&gt;",Settings!$B$4)))</f>
        <v>0</v>
      </c>
      <c r="M114">
        <f>IF($L114&lt;&gt;1,0,SUMIFS('JLR Materials'!$E:$E,'JLR Materials'!$A:$A,$K114,'JLR Materials'!$C:$C,IF(Settings!$B$2="","&lt;&gt;",Settings!$B$2),'JLR Materials'!$D:$D,IF(Settings!$B$4="","&lt;&gt;",Settings!$B$4)))</f>
        <v>0</v>
      </c>
      <c r="N114">
        <f>IF($L114&lt;&gt;1,0,SUMIFS('JLR Materials'!$F:$F,'JLR Materials'!$A:$A,$K114,'JLR Materials'!$C:$C,IF(Settings!$B$2="","&lt;&gt;",Settings!$B$2),'JLR Materials'!$D:$D,IF(Settings!$B$4="","&lt;&gt;",Settings!$B$4)))</f>
        <v>0</v>
      </c>
      <c r="O114">
        <f>IF($N114=0,0,IF(Settings!$B$5="percent",$M114*$N114/100,$N114))</f>
        <v>0</v>
      </c>
      <c r="P114">
        <f>IF($L114&lt;&gt;1,0,SUMIFS('JLR Materials'!$G:$G,'JLR Materials'!$A:$A,$K114,'JLR Materials'!$C:$C,IF(Settings!$B$2="","&lt;&gt;",Settings!$B$2),'JLR Materials'!$D:$D,IF(Settings!$B$4="","&lt;&gt;",Settings!$B$4)))</f>
        <v>0</v>
      </c>
    </row>
    <row r="115">
      <c r="A115" t="str">
        <v>mat-upvc</v>
      </c>
      <c r="B115" t="str">
        <v>Rigid PVC (uPVC pipe grade)</v>
      </c>
      <c r="C115" t="str">
        <v>Thermoplastic</v>
      </c>
      <c r="D115">
        <f>IF($M115&gt;0,$M115,0.83)</f>
        <v>0.83</v>
      </c>
      <c r="E115">
        <f>IF($O115&gt;0,$O115,0.05)</f>
        <v>0.05</v>
      </c>
      <c r="F115">
        <v>1400</v>
      </c>
      <c r="G115" t="str">
        <v>UK</v>
      </c>
      <c r="H115" t="str">
        <f>IF($M115&gt;0,IF($L115&lt;&gt;1,"2026-07",IFERROR(INDEX('JLR Materials'!$D:$D,MATCH($K115,'JLR Materials'!$A:$A,0)),"2026-07")),"2026-07")</f>
        <v>2026-07</v>
      </c>
      <c r="I115" t="str">
        <f>IF($M115&gt;0,"JLR rate card — material code "&amp;$K115,"UK resin distributor Jun 2026. Pipes, window profiles. coolFactor ~2.5 s/mm² Index-anchored 2026-07 (see RESIN PRICING BASIS).")</f>
        <v>UK resin distributor Jun 2026. Pipes, window profiles. coolFactor ~2.5 s/mm² Index-anchored 2026-07 (see RESIN PRICING BASIS).</v>
      </c>
      <c r="J115" t="str">
        <v>Medium</v>
      </c>
      <c r="K115" t="str">
        <f>IFERROR(INDEX(Mapping!$C:$C,MATCH($A115,Mapping!$A:$A,0)),"")</f>
        <v/>
      </c>
      <c r="L115">
        <f>IF($K115="",0,COUNTIFS('JLR Materials'!$A:$A,$K115,'JLR Materials'!$C:$C,IF(Settings!$B$2="","&lt;&gt;",Settings!$B$2),'JLR Materials'!$D:$D,IF(Settings!$B$4="","&lt;&gt;",Settings!$B$4)))</f>
        <v>0</v>
      </c>
      <c r="M115">
        <f>IF($L115&lt;&gt;1,0,SUMIFS('JLR Materials'!$E:$E,'JLR Materials'!$A:$A,$K115,'JLR Materials'!$C:$C,IF(Settings!$B$2="","&lt;&gt;",Settings!$B$2),'JLR Materials'!$D:$D,IF(Settings!$B$4="","&lt;&gt;",Settings!$B$4)))</f>
        <v>0</v>
      </c>
      <c r="N115">
        <f>IF($L115&lt;&gt;1,0,SUMIFS('JLR Materials'!$F:$F,'JLR Materials'!$A:$A,$K115,'JLR Materials'!$C:$C,IF(Settings!$B$2="","&lt;&gt;",Settings!$B$2),'JLR Materials'!$D:$D,IF(Settings!$B$4="","&lt;&gt;",Settings!$B$4)))</f>
        <v>0</v>
      </c>
      <c r="O115">
        <f>IF($N115=0,0,IF(Settings!$B$5="percent",$M115*$N115/100,$N115))</f>
        <v>0</v>
      </c>
      <c r="P115">
        <f>IF($L115&lt;&gt;1,0,SUMIFS('JLR Materials'!$G:$G,'JLR Materials'!$A:$A,$K115,'JLR Materials'!$C:$C,IF(Settings!$B$2="","&lt;&gt;",Settings!$B$2),'JLR Materials'!$D:$D,IF(Settings!$B$4="","&lt;&gt;",Settings!$B$4)))</f>
        <v>0</v>
      </c>
    </row>
    <row r="116">
      <c r="A116" t="str">
        <v>mat-fpvc</v>
      </c>
      <c r="B116" t="str">
        <v>Flexible PVC (fPVC plasticised)</v>
      </c>
      <c r="C116" t="str">
        <v>Thermoplastic</v>
      </c>
      <c r="D116">
        <f>IF($M116&gt;0,$M116,1.16)</f>
        <v>1.16</v>
      </c>
      <c r="E116">
        <f>IF($O116&gt;0,$O116,0.05)</f>
        <v>0.05</v>
      </c>
      <c r="F116">
        <v>1250</v>
      </c>
      <c r="G116" t="str">
        <v>UK</v>
      </c>
      <c r="H116" t="str">
        <f>IF($M116&gt;0,IF($L116&lt;&gt;1,"2026-07",IFERROR(INDEX('JLR Materials'!$D:$D,MATCH($K116,'JLR Materials'!$A:$A,0)),"2026-07")),"2026-07")</f>
        <v>2026-07</v>
      </c>
      <c r="I116" t="str">
        <f>IF($M116&gt;0,"JLR rate card — material code "&amp;$K116,"UK resin distributor Jun 2026. Cables, hoses, medical tubing. coolFactor ~3.0 s/mm² Index-anchored 2026-07 (see RESIN PRICING BASIS).")</f>
        <v>UK resin distributor Jun 2026. Cables, hoses, medical tubing. coolFactor ~3.0 s/mm² Index-anchored 2026-07 (see RESIN PRICING BASIS).</v>
      </c>
      <c r="J116" t="str">
        <v>Medium</v>
      </c>
      <c r="K116" t="str">
        <f>IFERROR(INDEX(Mapping!$C:$C,MATCH($A116,Mapping!$A:$A,0)),"")</f>
        <v/>
      </c>
      <c r="L116">
        <f>IF($K116="",0,COUNTIFS('JLR Materials'!$A:$A,$K116,'JLR Materials'!$C:$C,IF(Settings!$B$2="","&lt;&gt;",Settings!$B$2),'JLR Materials'!$D:$D,IF(Settings!$B$4="","&lt;&gt;",Settings!$B$4)))</f>
        <v>0</v>
      </c>
      <c r="M116">
        <f>IF($L116&lt;&gt;1,0,SUMIFS('JLR Materials'!$E:$E,'JLR Materials'!$A:$A,$K116,'JLR Materials'!$C:$C,IF(Settings!$B$2="","&lt;&gt;",Settings!$B$2),'JLR Materials'!$D:$D,IF(Settings!$B$4="","&lt;&gt;",Settings!$B$4)))</f>
        <v>0</v>
      </c>
      <c r="N116">
        <f>IF($L116&lt;&gt;1,0,SUMIFS('JLR Materials'!$F:$F,'JLR Materials'!$A:$A,$K116,'JLR Materials'!$C:$C,IF(Settings!$B$2="","&lt;&gt;",Settings!$B$2),'JLR Materials'!$D:$D,IF(Settings!$B$4="","&lt;&gt;",Settings!$B$4)))</f>
        <v>0</v>
      </c>
      <c r="O116">
        <f>IF($N116=0,0,IF(Settings!$B$5="percent",$M116*$N116/100,$N116))</f>
        <v>0</v>
      </c>
      <c r="P116">
        <f>IF($L116&lt;&gt;1,0,SUMIFS('JLR Materials'!$G:$G,'JLR Materials'!$A:$A,$K116,'JLR Materials'!$C:$C,IF(Settings!$B$2="","&lt;&gt;",Settings!$B$2),'JLR Materials'!$D:$D,IF(Settings!$B$4="","&lt;&gt;",Settings!$B$4)))</f>
        <v>0</v>
      </c>
    </row>
    <row r="117">
      <c r="A117" t="str">
        <v>mat-gpps</v>
      </c>
      <c r="B117" t="str">
        <v>GPPS (Crystal PS)</v>
      </c>
      <c r="C117" t="str">
        <v>Thermoplastic</v>
      </c>
      <c r="D117">
        <f>IF($M117&gt;0,$M117,1)</f>
        <v>1</v>
      </c>
      <c r="E117">
        <f>IF($O117&gt;0,$O117,0.08)</f>
        <v>0.08</v>
      </c>
      <c r="F117">
        <v>1050</v>
      </c>
      <c r="G117" t="str">
        <v>UK</v>
      </c>
      <c r="H117" t="str">
        <f>IF($M117&gt;0,IF($L117&lt;&gt;1,"2026-07",IFERROR(INDEX('JLR Materials'!$D:$D,MATCH($K117,'JLR Materials'!$A:$A,0)),"2026-07")),"2026-07")</f>
        <v>2026-07</v>
      </c>
      <c r="I117" t="str">
        <f>IF($M117&gt;0,"JLR rate card — material code "&amp;$K117,"UK resin distributor Jun 2026. Clear, rigid, brittle. CD cases, cutlery. coolFactor ~2.0 s/mm² Index-anchored 2026-07 (see RESIN PRICING BASIS).")</f>
        <v>UK resin distributor Jun 2026. Clear, rigid, brittle. CD cases, cutlery. coolFactor ~2.0 s/mm² Index-anchored 2026-07 (see RESIN PRICING BASIS).</v>
      </c>
      <c r="J117" t="str">
        <v>Medium</v>
      </c>
      <c r="K117" t="str">
        <f>IFERROR(INDEX(Mapping!$C:$C,MATCH($A117,Mapping!$A:$A,0)),"")</f>
        <v/>
      </c>
      <c r="L117">
        <f>IF($K117="",0,COUNTIFS('JLR Materials'!$A:$A,$K117,'JLR Materials'!$C:$C,IF(Settings!$B$2="","&lt;&gt;",Settings!$B$2),'JLR Materials'!$D:$D,IF(Settings!$B$4="","&lt;&gt;",Settings!$B$4)))</f>
        <v>0</v>
      </c>
      <c r="M117">
        <f>IF($L117&lt;&gt;1,0,SUMIFS('JLR Materials'!$E:$E,'JLR Materials'!$A:$A,$K117,'JLR Materials'!$C:$C,IF(Settings!$B$2="","&lt;&gt;",Settings!$B$2),'JLR Materials'!$D:$D,IF(Settings!$B$4="","&lt;&gt;",Settings!$B$4)))</f>
        <v>0</v>
      </c>
      <c r="N117">
        <f>IF($L117&lt;&gt;1,0,SUMIFS('JLR Materials'!$F:$F,'JLR Materials'!$A:$A,$K117,'JLR Materials'!$C:$C,IF(Settings!$B$2="","&lt;&gt;",Settings!$B$2),'JLR Materials'!$D:$D,IF(Settings!$B$4="","&lt;&gt;",Settings!$B$4)))</f>
        <v>0</v>
      </c>
      <c r="O117">
        <f>IF($N117=0,0,IF(Settings!$B$5="percent",$M117*$N117/100,$N117))</f>
        <v>0</v>
      </c>
      <c r="P117">
        <f>IF($L117&lt;&gt;1,0,SUMIFS('JLR Materials'!$G:$G,'JLR Materials'!$A:$A,$K117,'JLR Materials'!$C:$C,IF(Settings!$B$2="","&lt;&gt;",Settings!$B$2),'JLR Materials'!$D:$D,IF(Settings!$B$4="","&lt;&gt;",Settings!$B$4)))</f>
        <v>0</v>
      </c>
    </row>
    <row r="118">
      <c r="A118" t="str">
        <v>mat-hips</v>
      </c>
      <c r="B118" t="str">
        <v>HIPS (High Impact PS)</v>
      </c>
      <c r="C118" t="str">
        <v>Thermoplastic</v>
      </c>
      <c r="D118">
        <f>IF($M118&gt;0,$M118,0.97)</f>
        <v>0.97</v>
      </c>
      <c r="E118">
        <f>IF($O118&gt;0,$O118,0.08)</f>
        <v>0.08</v>
      </c>
      <c r="F118">
        <v>1040</v>
      </c>
      <c r="G118" t="str">
        <v>UK</v>
      </c>
      <c r="H118" t="str">
        <f>IF($M118&gt;0,IF($L118&lt;&gt;1,"2026-07",IFERROR(INDEX('JLR Materials'!$D:$D,MATCH($K118,'JLR Materials'!$A:$A,0)),"2026-07")),"2026-07")</f>
        <v>2026-07</v>
      </c>
      <c r="I118" t="str">
        <f>IF($M118&gt;0,"JLR rate card — material code "&amp;$K118,"UK resin distributor Jun 2026. TV housings, fridge liners, thermoforming sheet. coolFactor ~2.0 s/mm² Index-anchored 2026-07 (see RESIN PRICING BASIS).")</f>
        <v>UK resin distributor Jun 2026. TV housings, fridge liners, thermoforming sheet. coolFactor ~2.0 s/mm² Index-anchored 2026-07 (see RESIN PRICING BASIS).</v>
      </c>
      <c r="J118" t="str">
        <v>Medium</v>
      </c>
      <c r="K118" t="str">
        <f>IFERROR(INDEX(Mapping!$C:$C,MATCH($A118,Mapping!$A:$A,0)),"")</f>
        <v/>
      </c>
      <c r="L118">
        <f>IF($K118="",0,COUNTIFS('JLR Materials'!$A:$A,$K118,'JLR Materials'!$C:$C,IF(Settings!$B$2="","&lt;&gt;",Settings!$B$2),'JLR Materials'!$D:$D,IF(Settings!$B$4="","&lt;&gt;",Settings!$B$4)))</f>
        <v>0</v>
      </c>
      <c r="M118">
        <f>IF($L118&lt;&gt;1,0,SUMIFS('JLR Materials'!$E:$E,'JLR Materials'!$A:$A,$K118,'JLR Materials'!$C:$C,IF(Settings!$B$2="","&lt;&gt;",Settings!$B$2),'JLR Materials'!$D:$D,IF(Settings!$B$4="","&lt;&gt;",Settings!$B$4)))</f>
        <v>0</v>
      </c>
      <c r="N118">
        <f>IF($L118&lt;&gt;1,0,SUMIFS('JLR Materials'!$F:$F,'JLR Materials'!$A:$A,$K118,'JLR Materials'!$C:$C,IF(Settings!$B$2="","&lt;&gt;",Settings!$B$2),'JLR Materials'!$D:$D,IF(Settings!$B$4="","&lt;&gt;",Settings!$B$4)))</f>
        <v>0</v>
      </c>
      <c r="O118">
        <f>IF($N118=0,0,IF(Settings!$B$5="percent",$M118*$N118/100,$N118))</f>
        <v>0</v>
      </c>
      <c r="P118">
        <f>IF($L118&lt;&gt;1,0,SUMIFS('JLR Materials'!$G:$G,'JLR Materials'!$A:$A,$K118,'JLR Materials'!$C:$C,IF(Settings!$B$2="","&lt;&gt;",Settings!$B$2),'JLR Materials'!$D:$D,IF(Settings!$B$4="","&lt;&gt;",Settings!$B$4)))</f>
        <v>0</v>
      </c>
    </row>
    <row r="119">
      <c r="A119" t="str">
        <v>mat-pc-abs</v>
      </c>
      <c r="B119" t="str">
        <v>PC/ABS Blend (automotive grade)</v>
      </c>
      <c r="C119" t="str">
        <v>Thermoplastic</v>
      </c>
      <c r="D119">
        <f>IF($M119&gt;0,$M119,1.95)</f>
        <v>1.95</v>
      </c>
      <c r="E119">
        <f>IF($O119&gt;0,$O119,0.08)</f>
        <v>0.08</v>
      </c>
      <c r="F119">
        <v>1150</v>
      </c>
      <c r="G119" t="str">
        <v>UK</v>
      </c>
      <c r="H119" t="str">
        <f>IF($M119&gt;0,IF($L119&lt;&gt;1,"2026-07",IFERROR(INDEX('JLR Materials'!$D:$D,MATCH($K119,'JLR Materials'!$A:$A,0)),"2026-07")),"2026-07")</f>
        <v>2026-07</v>
      </c>
      <c r="I119" t="str">
        <f>IF($M119&gt;0,"JLR rate card — material code "&amp;$K119,"UK resin distributor Jun 2026. Automotive interior, electronics housings. coolFactor ~2.2 s/mm² Index-anchored 2026-07 (see RESIN PRICING BASIS).")</f>
        <v>UK resin distributor Jun 2026. Automotive interior, electronics housings. coolFactor ~2.2 s/mm² Index-anchored 2026-07 (see RESIN PRICING BASIS).</v>
      </c>
      <c r="J119" t="str">
        <v>Medium</v>
      </c>
      <c r="K119" t="str">
        <f>IFERROR(INDEX(Mapping!$C:$C,MATCH($A119,Mapping!$A:$A,0)),"")</f>
        <v/>
      </c>
      <c r="L119">
        <f>IF($K119="",0,COUNTIFS('JLR Materials'!$A:$A,$K119,'JLR Materials'!$C:$C,IF(Settings!$B$2="","&lt;&gt;",Settings!$B$2),'JLR Materials'!$D:$D,IF(Settings!$B$4="","&lt;&gt;",Settings!$B$4)))</f>
        <v>0</v>
      </c>
      <c r="M119">
        <f>IF($L119&lt;&gt;1,0,SUMIFS('JLR Materials'!$E:$E,'JLR Materials'!$A:$A,$K119,'JLR Materials'!$C:$C,IF(Settings!$B$2="","&lt;&gt;",Settings!$B$2),'JLR Materials'!$D:$D,IF(Settings!$B$4="","&lt;&gt;",Settings!$B$4)))</f>
        <v>0</v>
      </c>
      <c r="N119">
        <f>IF($L119&lt;&gt;1,0,SUMIFS('JLR Materials'!$F:$F,'JLR Materials'!$A:$A,$K119,'JLR Materials'!$C:$C,IF(Settings!$B$2="","&lt;&gt;",Settings!$B$2),'JLR Materials'!$D:$D,IF(Settings!$B$4="","&lt;&gt;",Settings!$B$4)))</f>
        <v>0</v>
      </c>
      <c r="O119">
        <f>IF($N119=0,0,IF(Settings!$B$5="percent",$M119*$N119/100,$N119))</f>
        <v>0</v>
      </c>
      <c r="P119">
        <f>IF($L119&lt;&gt;1,0,SUMIFS('JLR Materials'!$G:$G,'JLR Materials'!$A:$A,$K119,'JLR Materials'!$C:$C,IF(Settings!$B$2="","&lt;&gt;",Settings!$B$2),'JLR Materials'!$D:$D,IF(Settings!$B$4="","&lt;&gt;",Settings!$B$4)))</f>
        <v>0</v>
      </c>
    </row>
    <row r="120">
      <c r="A120" t="str">
        <v>mat-pa6</v>
      </c>
      <c r="B120" t="str">
        <v>PA6 Unfilled</v>
      </c>
      <c r="C120" t="str">
        <v>Thermoplastic</v>
      </c>
      <c r="D120">
        <f>IF($M120&gt;0,$M120,1.68)</f>
        <v>1.68</v>
      </c>
      <c r="E120">
        <f>IF($O120&gt;0,$O120,0.06)</f>
        <v>0.06</v>
      </c>
      <c r="F120">
        <v>1130</v>
      </c>
      <c r="G120" t="str">
        <v>UK</v>
      </c>
      <c r="H120" t="str">
        <f>IF($M120&gt;0,IF($L120&lt;&gt;1,"2026-07",IFERROR(INDEX('JLR Materials'!$D:$D,MATCH($K120,'JLR Materials'!$A:$A,0)),"2026-07")),"2026-07")</f>
        <v>2026-07</v>
      </c>
      <c r="I120" t="str">
        <f>IF($M120&gt;0,"JLR rate card — material code "&amp;$K120,"UK resin distributor Jun 2026. Gears, under-hood. Moisture sensitive — dry before moulding. coolFactor ~2.0 s/mm² Index-anchored 2026-07 (see RESIN PRICING BASIS).")</f>
        <v>UK resin distributor Jun 2026. Gears, under-hood. Moisture sensitive — dry before moulding. coolFactor ~2.0 s/mm² Index-anchored 2026-07 (see RESIN PRICING BASIS).</v>
      </c>
      <c r="J120" t="str">
        <v>Medium</v>
      </c>
      <c r="K120" t="str">
        <f>IFERROR(INDEX(Mapping!$C:$C,MATCH($A120,Mapping!$A:$A,0)),"")</f>
        <v/>
      </c>
      <c r="L120">
        <f>IF($K120="",0,COUNTIFS('JLR Materials'!$A:$A,$K120,'JLR Materials'!$C:$C,IF(Settings!$B$2="","&lt;&gt;",Settings!$B$2),'JLR Materials'!$D:$D,IF(Settings!$B$4="","&lt;&gt;",Settings!$B$4)))</f>
        <v>0</v>
      </c>
      <c r="M120">
        <f>IF($L120&lt;&gt;1,0,SUMIFS('JLR Materials'!$E:$E,'JLR Materials'!$A:$A,$K120,'JLR Materials'!$C:$C,IF(Settings!$B$2="","&lt;&gt;",Settings!$B$2),'JLR Materials'!$D:$D,IF(Settings!$B$4="","&lt;&gt;",Settings!$B$4)))</f>
        <v>0</v>
      </c>
      <c r="N120">
        <f>IF($L120&lt;&gt;1,0,SUMIFS('JLR Materials'!$F:$F,'JLR Materials'!$A:$A,$K120,'JLR Materials'!$C:$C,IF(Settings!$B$2="","&lt;&gt;",Settings!$B$2),'JLR Materials'!$D:$D,IF(Settings!$B$4="","&lt;&gt;",Settings!$B$4)))</f>
        <v>0</v>
      </c>
      <c r="O120">
        <f>IF($N120=0,0,IF(Settings!$B$5="percent",$M120*$N120/100,$N120))</f>
        <v>0</v>
      </c>
      <c r="P120">
        <f>IF($L120&lt;&gt;1,0,SUMIFS('JLR Materials'!$G:$G,'JLR Materials'!$A:$A,$K120,'JLR Materials'!$C:$C,IF(Settings!$B$2="","&lt;&gt;",Settings!$B$2),'JLR Materials'!$D:$D,IF(Settings!$B$4="","&lt;&gt;",Settings!$B$4)))</f>
        <v>0</v>
      </c>
    </row>
    <row r="121">
      <c r="A121" t="str">
        <v>mat-pa6-gf30</v>
      </c>
      <c r="B121" t="str">
        <v>PA6 GF30</v>
      </c>
      <c r="C121" t="str">
        <v>Thermoplastic</v>
      </c>
      <c r="D121">
        <f>IF($M121&gt;0,$M121,2.52)</f>
        <v>2.52</v>
      </c>
      <c r="E121">
        <f>IF($O121&gt;0,$O121,0.05)</f>
        <v>0.05</v>
      </c>
      <c r="F121">
        <v>1280</v>
      </c>
      <c r="G121" t="str">
        <v>UK</v>
      </c>
      <c r="H121" t="str">
        <f>IF($M121&gt;0,IF($L121&lt;&gt;1,"2026-07",IFERROR(INDEX('JLR Materials'!$D:$D,MATCH($K121,'JLR Materials'!$A:$A,0)),"2026-07")),"2026-07")</f>
        <v>2026-07</v>
      </c>
      <c r="I121" t="str">
        <f>IF($M121&gt;0,"JLR rate card — material code "&amp;$K121,"UK resin distributor Jun 2026. Structural PA6 with glass fill. coolFactor ~2.0 s/mm² Index-anchored 2026-07 (see RESIN PRICING BASIS).")</f>
        <v>UK resin distributor Jun 2026. Structural PA6 with glass fill. coolFactor ~2.0 s/mm² Index-anchored 2026-07 (see RESIN PRICING BASIS).</v>
      </c>
      <c r="J121" t="str">
        <v>Medium</v>
      </c>
      <c r="K121" t="str">
        <f>IFERROR(INDEX(Mapping!$C:$C,MATCH($A121,Mapping!$A:$A,0)),"")</f>
        <v/>
      </c>
      <c r="L121">
        <f>IF($K121="",0,COUNTIFS('JLR Materials'!$A:$A,$K121,'JLR Materials'!$C:$C,IF(Settings!$B$2="","&lt;&gt;",Settings!$B$2),'JLR Materials'!$D:$D,IF(Settings!$B$4="","&lt;&gt;",Settings!$B$4)))</f>
        <v>0</v>
      </c>
      <c r="M121">
        <f>IF($L121&lt;&gt;1,0,SUMIFS('JLR Materials'!$E:$E,'JLR Materials'!$A:$A,$K121,'JLR Materials'!$C:$C,IF(Settings!$B$2="","&lt;&gt;",Settings!$B$2),'JLR Materials'!$D:$D,IF(Settings!$B$4="","&lt;&gt;",Settings!$B$4)))</f>
        <v>0</v>
      </c>
      <c r="N121">
        <f>IF($L121&lt;&gt;1,0,SUMIFS('JLR Materials'!$F:$F,'JLR Materials'!$A:$A,$K121,'JLR Materials'!$C:$C,IF(Settings!$B$2="","&lt;&gt;",Settings!$B$2),'JLR Materials'!$D:$D,IF(Settings!$B$4="","&lt;&gt;",Settings!$B$4)))</f>
        <v>0</v>
      </c>
      <c r="O121">
        <f>IF($N121=0,0,IF(Settings!$B$5="percent",$M121*$N121/100,$N121))</f>
        <v>0</v>
      </c>
      <c r="P121">
        <f>IF($L121&lt;&gt;1,0,SUMIFS('JLR Materials'!$G:$G,'JLR Materials'!$A:$A,$K121,'JLR Materials'!$C:$C,IF(Settings!$B$2="","&lt;&gt;",Settings!$B$2),'JLR Materials'!$D:$D,IF(Settings!$B$4="","&lt;&gt;",Settings!$B$4)))</f>
        <v>0</v>
      </c>
    </row>
    <row r="122">
      <c r="A122" t="str">
        <v>mat-pa66</v>
      </c>
      <c r="B122" t="str">
        <v>PA66 Unfilled</v>
      </c>
      <c r="C122" t="str">
        <v>Thermoplastic</v>
      </c>
      <c r="D122">
        <f>IF($M122&gt;0,$M122,1.89)</f>
        <v>1.89</v>
      </c>
      <c r="E122">
        <f>IF($O122&gt;0,$O122,0.06)</f>
        <v>0.06</v>
      </c>
      <c r="F122">
        <v>1140</v>
      </c>
      <c r="G122" t="str">
        <v>UK</v>
      </c>
      <c r="H122" t="str">
        <f>IF($M122&gt;0,IF($L122&lt;&gt;1,"2026-07",IFERROR(INDEX('JLR Materials'!$D:$D,MATCH($K122,'JLR Materials'!$A:$A,0)),"2026-07")),"2026-07")</f>
        <v>2026-07</v>
      </c>
      <c r="I122" t="str">
        <f>IF($M122&gt;0,"JLR rate card — material code "&amp;$K122,"UK resin distributor Jun 2026. Higher temp than PA6. Connectors, structural. coolFactor ~2.0 s/mm² Index-anchored 2026-07 (see RESIN PRICING BASIS).")</f>
        <v>UK resin distributor Jun 2026. Higher temp than PA6. Connectors, structural. coolFactor ~2.0 s/mm² Index-anchored 2026-07 (see RESIN PRICING BASIS).</v>
      </c>
      <c r="J122" t="str">
        <v>Medium</v>
      </c>
      <c r="K122" t="str">
        <f>IFERROR(INDEX(Mapping!$C:$C,MATCH($A122,Mapping!$A:$A,0)),"")</f>
        <v/>
      </c>
      <c r="L122">
        <f>IF($K122="",0,COUNTIFS('JLR Materials'!$A:$A,$K122,'JLR Materials'!$C:$C,IF(Settings!$B$2="","&lt;&gt;",Settings!$B$2),'JLR Materials'!$D:$D,IF(Settings!$B$4="","&lt;&gt;",Settings!$B$4)))</f>
        <v>0</v>
      </c>
      <c r="M122">
        <f>IF($L122&lt;&gt;1,0,SUMIFS('JLR Materials'!$E:$E,'JLR Materials'!$A:$A,$K122,'JLR Materials'!$C:$C,IF(Settings!$B$2="","&lt;&gt;",Settings!$B$2),'JLR Materials'!$D:$D,IF(Settings!$B$4="","&lt;&gt;",Settings!$B$4)))</f>
        <v>0</v>
      </c>
      <c r="N122">
        <f>IF($L122&lt;&gt;1,0,SUMIFS('JLR Materials'!$F:$F,'JLR Materials'!$A:$A,$K122,'JLR Materials'!$C:$C,IF(Settings!$B$2="","&lt;&gt;",Settings!$B$2),'JLR Materials'!$D:$D,IF(Settings!$B$4="","&lt;&gt;",Settings!$B$4)))</f>
        <v>0</v>
      </c>
      <c r="O122">
        <f>IF($N122=0,0,IF(Settings!$B$5="percent",$M122*$N122/100,$N122))</f>
        <v>0</v>
      </c>
      <c r="P122">
        <f>IF($L122&lt;&gt;1,0,SUMIFS('JLR Materials'!$G:$G,'JLR Materials'!$A:$A,$K122,'JLR Materials'!$C:$C,IF(Settings!$B$2="","&lt;&gt;",Settings!$B$2),'JLR Materials'!$D:$D,IF(Settings!$B$4="","&lt;&gt;",Settings!$B$4)))</f>
        <v>0</v>
      </c>
    </row>
    <row r="123">
      <c r="A123" t="str">
        <v>mat-peek</v>
      </c>
      <c r="B123" t="str">
        <v>PEEK Unfilled</v>
      </c>
      <c r="C123" t="str">
        <v>High-Performance Thermoplastic</v>
      </c>
      <c r="D123">
        <f>IF($M123&gt;0,$M123,76)</f>
        <v>76</v>
      </c>
      <c r="E123">
        <f>IF($O123&gt;0,$O123,5)</f>
        <v>5</v>
      </c>
      <c r="F123">
        <v>1300</v>
      </c>
      <c r="G123" t="str">
        <v>UK</v>
      </c>
      <c r="H123" t="str">
        <f>IF($M123&gt;0,IF($L123&lt;&gt;1,"2026-07",IFERROR(INDEX('JLR Materials'!$D:$D,MATCH($K123,'JLR Materials'!$A:$A,0)),"2026-07")),"2026-07")</f>
        <v>2026-07</v>
      </c>
      <c r="I123" t="str">
        <f>IF($M123&gt;0,"JLR rate card — material code "&amp;$K123,"UK speciality resin supplier Jun 2026. Aerospace/medical/oil&amp;gas. High temp (Tg~143°C, use to 250°C). coolFactor ~2.5 s/mm² Index-anchored 2026-07 (see RESIN PRICING BASIS).")</f>
        <v>UK speciality resin supplier Jun 2026. Aerospace/medical/oil&amp;gas. High temp (Tg~143°C, use to 250°C). coolFactor ~2.5 s/mm² Index-anchored 2026-07 (see RESIN PRICING BASIS).</v>
      </c>
      <c r="J123" t="str">
        <v>Low</v>
      </c>
      <c r="K123" t="str">
        <f>IFERROR(INDEX(Mapping!$C:$C,MATCH($A123,Mapping!$A:$A,0)),"")</f>
        <v/>
      </c>
      <c r="L123">
        <f>IF($K123="",0,COUNTIFS('JLR Materials'!$A:$A,$K123,'JLR Materials'!$C:$C,IF(Settings!$B$2="","&lt;&gt;",Settings!$B$2),'JLR Materials'!$D:$D,IF(Settings!$B$4="","&lt;&gt;",Settings!$B$4)))</f>
        <v>0</v>
      </c>
      <c r="M123">
        <f>IF($L123&lt;&gt;1,0,SUMIFS('JLR Materials'!$E:$E,'JLR Materials'!$A:$A,$K123,'JLR Materials'!$C:$C,IF(Settings!$B$2="","&lt;&gt;",Settings!$B$2),'JLR Materials'!$D:$D,IF(Settings!$B$4="","&lt;&gt;",Settings!$B$4)))</f>
        <v>0</v>
      </c>
      <c r="N123">
        <f>IF($L123&lt;&gt;1,0,SUMIFS('JLR Materials'!$F:$F,'JLR Materials'!$A:$A,$K123,'JLR Materials'!$C:$C,IF(Settings!$B$2="","&lt;&gt;",Settings!$B$2),'JLR Materials'!$D:$D,IF(Settings!$B$4="","&lt;&gt;",Settings!$B$4)))</f>
        <v>0</v>
      </c>
      <c r="O123">
        <f>IF($N123=0,0,IF(Settings!$B$5="percent",$M123*$N123/100,$N123))</f>
        <v>0</v>
      </c>
      <c r="P123">
        <f>IF($L123&lt;&gt;1,0,SUMIFS('JLR Materials'!$G:$G,'JLR Materials'!$A:$A,$K123,'JLR Materials'!$C:$C,IF(Settings!$B$2="","&lt;&gt;",Settings!$B$2),'JLR Materials'!$D:$D,IF(Settings!$B$4="","&lt;&gt;",Settings!$B$4)))</f>
        <v>0</v>
      </c>
    </row>
    <row r="124">
      <c r="A124" t="str">
        <v>mat-peek-gf30</v>
      </c>
      <c r="B124" t="str">
        <v>PEEK GF30</v>
      </c>
      <c r="C124" t="str">
        <v>High-Performance Thermoplastic</v>
      </c>
      <c r="D124">
        <f>IF($M124&gt;0,$M124,93)</f>
        <v>93</v>
      </c>
      <c r="E124">
        <f>IF($O124&gt;0,$O124,5)</f>
        <v>5</v>
      </c>
      <c r="F124">
        <v>1430</v>
      </c>
      <c r="G124" t="str">
        <v>UK</v>
      </c>
      <c r="H124" t="str">
        <f>IF($M124&gt;0,IF($L124&lt;&gt;1,"2026-07",IFERROR(INDEX('JLR Materials'!$D:$D,MATCH($K124,'JLR Materials'!$A:$A,0)),"2026-07")),"2026-07")</f>
        <v>2026-07</v>
      </c>
      <c r="I124" t="str">
        <f>IF($M124&gt;0,"JLR rate card — material code "&amp;$K124,"UK speciality resin supplier Jun 2026. High-stiffness structural PEEK. Index-anchored 2026-07 (see RESIN PRICING BASIS).")</f>
        <v>UK speciality resin supplier Jun 2026. High-stiffness structural PEEK. Index-anchored 2026-07 (see RESIN PRICING BASIS).</v>
      </c>
      <c r="J124" t="str">
        <v>Low</v>
      </c>
      <c r="K124" t="str">
        <f>IFERROR(INDEX(Mapping!$C:$C,MATCH($A124,Mapping!$A:$A,0)),"")</f>
        <v/>
      </c>
      <c r="L124">
        <f>IF($K124="",0,COUNTIFS('JLR Materials'!$A:$A,$K124,'JLR Materials'!$C:$C,IF(Settings!$B$2="","&lt;&gt;",Settings!$B$2),'JLR Materials'!$D:$D,IF(Settings!$B$4="","&lt;&gt;",Settings!$B$4)))</f>
        <v>0</v>
      </c>
      <c r="M124">
        <f>IF($L124&lt;&gt;1,0,SUMIFS('JLR Materials'!$E:$E,'JLR Materials'!$A:$A,$K124,'JLR Materials'!$C:$C,IF(Settings!$B$2="","&lt;&gt;",Settings!$B$2),'JLR Materials'!$D:$D,IF(Settings!$B$4="","&lt;&gt;",Settings!$B$4)))</f>
        <v>0</v>
      </c>
      <c r="N124">
        <f>IF($L124&lt;&gt;1,0,SUMIFS('JLR Materials'!$F:$F,'JLR Materials'!$A:$A,$K124,'JLR Materials'!$C:$C,IF(Settings!$B$2="","&lt;&gt;",Settings!$B$2),'JLR Materials'!$D:$D,IF(Settings!$B$4="","&lt;&gt;",Settings!$B$4)))</f>
        <v>0</v>
      </c>
      <c r="O124">
        <f>IF($N124=0,0,IF(Settings!$B$5="percent",$M124*$N124/100,$N124))</f>
        <v>0</v>
      </c>
      <c r="P124">
        <f>IF($L124&lt;&gt;1,0,SUMIFS('JLR Materials'!$G:$G,'JLR Materials'!$A:$A,$K124,'JLR Materials'!$C:$C,IF(Settings!$B$2="","&lt;&gt;",Settings!$B$2),'JLR Materials'!$D:$D,IF(Settings!$B$4="","&lt;&gt;",Settings!$B$4)))</f>
        <v>0</v>
      </c>
    </row>
    <row r="125">
      <c r="A125" t="str">
        <v>mat-asa</v>
      </c>
      <c r="B125" t="str">
        <v>ASA (Weatherable)</v>
      </c>
      <c r="C125" t="str">
        <v>Thermoplastic</v>
      </c>
      <c r="D125">
        <f>IF($M125&gt;0,$M125,2.3)</f>
        <v>2.3</v>
      </c>
      <c r="E125">
        <f>IF($O125&gt;0,$O125,0.1)</f>
        <v>0.1</v>
      </c>
      <c r="F125">
        <v>1070</v>
      </c>
      <c r="G125" t="str">
        <v>UK</v>
      </c>
      <c r="H125" t="str">
        <f>IF($M125&gt;0,IF($L125&lt;&gt;1,"2026-07",IFERROR(INDEX('JLR Materials'!$D:$D,MATCH($K125,'JLR Materials'!$A:$A,0)),"2026-07")),"2026-07")</f>
        <v>2026-07</v>
      </c>
      <c r="I125" t="str">
        <f>IF($M125&gt;0,"JLR rate card — material code "&amp;$K125,"UK resin distributor. Index-anchored 2026-07 (see RESIN PRICING BASIS). UV-stable styrenic — exterior trim, grilles, mirror caps, roof rails. coolFactor ~2.0 s/mm².")</f>
        <v>UK resin distributor. Index-anchored 2026-07 (see RESIN PRICING BASIS). UV-stable styrenic — exterior trim, grilles, mirror caps, roof rails. coolFactor ~2.0 s/mm².</v>
      </c>
      <c r="J125" t="str">
        <v>Low</v>
      </c>
      <c r="K125" t="str">
        <f>IFERROR(INDEX(Mapping!$C:$C,MATCH($A125,Mapping!$A:$A,0)),"")</f>
        <v/>
      </c>
      <c r="L125">
        <f>IF($K125="",0,COUNTIFS('JLR Materials'!$A:$A,$K125,'JLR Materials'!$C:$C,IF(Settings!$B$2="","&lt;&gt;",Settings!$B$2),'JLR Materials'!$D:$D,IF(Settings!$B$4="","&lt;&gt;",Settings!$B$4)))</f>
        <v>0</v>
      </c>
      <c r="M125">
        <f>IF($L125&lt;&gt;1,0,SUMIFS('JLR Materials'!$E:$E,'JLR Materials'!$A:$A,$K125,'JLR Materials'!$C:$C,IF(Settings!$B$2="","&lt;&gt;",Settings!$B$2),'JLR Materials'!$D:$D,IF(Settings!$B$4="","&lt;&gt;",Settings!$B$4)))</f>
        <v>0</v>
      </c>
      <c r="N125">
        <f>IF($L125&lt;&gt;1,0,SUMIFS('JLR Materials'!$F:$F,'JLR Materials'!$A:$A,$K125,'JLR Materials'!$C:$C,IF(Settings!$B$2="","&lt;&gt;",Settings!$B$2),'JLR Materials'!$D:$D,IF(Settings!$B$4="","&lt;&gt;",Settings!$B$4)))</f>
        <v>0</v>
      </c>
      <c r="O125">
        <f>IF($N125=0,0,IF(Settings!$B$5="percent",$M125*$N125/100,$N125))</f>
        <v>0</v>
      </c>
      <c r="P125">
        <f>IF($L125&lt;&gt;1,0,SUMIFS('JLR Materials'!$G:$G,'JLR Materials'!$A:$A,$K125,'JLR Materials'!$C:$C,IF(Settings!$B$2="","&lt;&gt;",Settings!$B$2),'JLR Materials'!$D:$D,IF(Settings!$B$4="","&lt;&gt;",Settings!$B$4)))</f>
        <v>0</v>
      </c>
    </row>
    <row r="126">
      <c r="A126" t="str">
        <v>mat-san</v>
      </c>
      <c r="B126" t="str">
        <v>SAN (Styrene-Acrylonitrile)</v>
      </c>
      <c r="C126" t="str">
        <v>Thermoplastic</v>
      </c>
      <c r="D126">
        <f>IF($M126&gt;0,$M126,1.75)</f>
        <v>1.75</v>
      </c>
      <c r="E126">
        <f>IF($O126&gt;0,$O126,0.08)</f>
        <v>0.08</v>
      </c>
      <c r="F126">
        <v>1080</v>
      </c>
      <c r="G126" t="str">
        <v>UK</v>
      </c>
      <c r="H126" t="str">
        <f>IF($M126&gt;0,IF($L126&lt;&gt;1,"2026-07",IFERROR(INDEX('JLR Materials'!$D:$D,MATCH($K126,'JLR Materials'!$A:$A,0)),"2026-07")),"2026-07")</f>
        <v>2026-07</v>
      </c>
      <c r="I126" t="str">
        <f>IF($M126&gt;0,"JLR rate card — material code "&amp;$K126,"UK resin distributor. Index-anchored 2026-07. Rigid, clear, chemical-resistant — housewares, cosmetics, lenses. coolFactor ~2.0 s/mm².")</f>
        <v>UK resin distributor. Index-anchored 2026-07. Rigid, clear, chemical-resistant — housewares, cosmetics, lenses. coolFactor ~2.0 s/mm².</v>
      </c>
      <c r="J126" t="str">
        <v>Low</v>
      </c>
      <c r="K126" t="str">
        <f>IFERROR(INDEX(Mapping!$C:$C,MATCH($A126,Mapping!$A:$A,0)),"")</f>
        <v/>
      </c>
      <c r="L126">
        <f>IF($K126="",0,COUNTIFS('JLR Materials'!$A:$A,$K126,'JLR Materials'!$C:$C,IF(Settings!$B$2="","&lt;&gt;",Settings!$B$2),'JLR Materials'!$D:$D,IF(Settings!$B$4="","&lt;&gt;",Settings!$B$4)))</f>
        <v>0</v>
      </c>
      <c r="M126">
        <f>IF($L126&lt;&gt;1,0,SUMIFS('JLR Materials'!$E:$E,'JLR Materials'!$A:$A,$K126,'JLR Materials'!$C:$C,IF(Settings!$B$2="","&lt;&gt;",Settings!$B$2),'JLR Materials'!$D:$D,IF(Settings!$B$4="","&lt;&gt;",Settings!$B$4)))</f>
        <v>0</v>
      </c>
      <c r="N126">
        <f>IF($L126&lt;&gt;1,0,SUMIFS('JLR Materials'!$F:$F,'JLR Materials'!$A:$A,$K126,'JLR Materials'!$C:$C,IF(Settings!$B$2="","&lt;&gt;",Settings!$B$2),'JLR Materials'!$D:$D,IF(Settings!$B$4="","&lt;&gt;",Settings!$B$4)))</f>
        <v>0</v>
      </c>
      <c r="O126">
        <f>IF($N126=0,0,IF(Settings!$B$5="percent",$M126*$N126/100,$N126))</f>
        <v>0</v>
      </c>
      <c r="P126">
        <f>IF($L126&lt;&gt;1,0,SUMIFS('JLR Materials'!$G:$G,'JLR Materials'!$A:$A,$K126,'JLR Materials'!$C:$C,IF(Settings!$B$2="","&lt;&gt;",Settings!$B$2),'JLR Materials'!$D:$D,IF(Settings!$B$4="","&lt;&gt;",Settings!$B$4)))</f>
        <v>0</v>
      </c>
    </row>
    <row r="127">
      <c r="A127" t="str">
        <v>mat-pp-t20</v>
      </c>
      <c r="B127" t="str">
        <v>PP-T20 (20% Talc-filled)</v>
      </c>
      <c r="C127" t="str">
        <v>Thermoplastic</v>
      </c>
      <c r="D127">
        <f>IF($M127&gt;0,$M127,1.25)</f>
        <v>1.25</v>
      </c>
      <c r="E127">
        <f>IF($O127&gt;0,$O127,0.1)</f>
        <v>0.1</v>
      </c>
      <c r="F127">
        <v>1050</v>
      </c>
      <c r="G127" t="str">
        <v>UK</v>
      </c>
      <c r="H127" t="str">
        <f>IF($M127&gt;0,IF($L127&lt;&gt;1,"2026-07",IFERROR(INDEX('JLR Materials'!$D:$D,MATCH($K127,'JLR Materials'!$A:$A,0)),"2026-07")),"2026-07")</f>
        <v>2026-07</v>
      </c>
      <c r="I127" t="str">
        <f>IF($M127&gt;0,"JLR rate card — material code "&amp;$K127,"UK resin distributor. Index-anchored 2026-07. Stiffened PP — instrument-panel carriers, interior trim, HVAC. coolFactor ~3.0 s/mm².")</f>
        <v>UK resin distributor. Index-anchored 2026-07. Stiffened PP — instrument-panel carriers, interior trim, HVAC. coolFactor ~3.0 s/mm².</v>
      </c>
      <c r="J127" t="str">
        <v>Low</v>
      </c>
      <c r="K127" t="str">
        <f>IFERROR(INDEX(Mapping!$C:$C,MATCH($A127,Mapping!$A:$A,0)),"")</f>
        <v/>
      </c>
      <c r="L127">
        <f>IF($K127="",0,COUNTIFS('JLR Materials'!$A:$A,$K127,'JLR Materials'!$C:$C,IF(Settings!$B$2="","&lt;&gt;",Settings!$B$2),'JLR Materials'!$D:$D,IF(Settings!$B$4="","&lt;&gt;",Settings!$B$4)))</f>
        <v>0</v>
      </c>
      <c r="M127">
        <f>IF($L127&lt;&gt;1,0,SUMIFS('JLR Materials'!$E:$E,'JLR Materials'!$A:$A,$K127,'JLR Materials'!$C:$C,IF(Settings!$B$2="","&lt;&gt;",Settings!$B$2),'JLR Materials'!$D:$D,IF(Settings!$B$4="","&lt;&gt;",Settings!$B$4)))</f>
        <v>0</v>
      </c>
      <c r="N127">
        <f>IF($L127&lt;&gt;1,0,SUMIFS('JLR Materials'!$F:$F,'JLR Materials'!$A:$A,$K127,'JLR Materials'!$C:$C,IF(Settings!$B$2="","&lt;&gt;",Settings!$B$2),'JLR Materials'!$D:$D,IF(Settings!$B$4="","&lt;&gt;",Settings!$B$4)))</f>
        <v>0</v>
      </c>
      <c r="O127">
        <f>IF($N127=0,0,IF(Settings!$B$5="percent",$M127*$N127/100,$N127))</f>
        <v>0</v>
      </c>
      <c r="P127">
        <f>IF($L127&lt;&gt;1,0,SUMIFS('JLR Materials'!$G:$G,'JLR Materials'!$A:$A,$K127,'JLR Materials'!$C:$C,IF(Settings!$B$2="","&lt;&gt;",Settings!$B$2),'JLR Materials'!$D:$D,IF(Settings!$B$4="","&lt;&gt;",Settings!$B$4)))</f>
        <v>0</v>
      </c>
    </row>
    <row r="128">
      <c r="A128" t="str">
        <v>mat-pp-t30</v>
      </c>
      <c r="B128" t="str">
        <v>PP-T30 (30% Mineral/Talc-filled)</v>
      </c>
      <c r="C128" t="str">
        <v>Thermoplastic</v>
      </c>
      <c r="D128">
        <f>IF($M128&gt;0,$M128,1.35)</f>
        <v>1.35</v>
      </c>
      <c r="E128">
        <f>IF($O128&gt;0,$O128,0.1)</f>
        <v>0.1</v>
      </c>
      <c r="F128">
        <v>1130</v>
      </c>
      <c r="G128" t="str">
        <v>UK</v>
      </c>
      <c r="H128" t="str">
        <f>IF($M128&gt;0,IF($L128&lt;&gt;1,"2026-07",IFERROR(INDEX('JLR Materials'!$D:$D,MATCH($K128,'JLR Materials'!$A:$A,0)),"2026-07")),"2026-07")</f>
        <v>2026-07</v>
      </c>
      <c r="I128" t="str">
        <f>IF($M128&gt;0,"JLR rate card — material code "&amp;$K128,"UK resin distributor. Index-anchored 2026-07. High-stiffness PP — bumper carriers, door panels, under-body shields. coolFactor ~3.0 s/mm².")</f>
        <v>UK resin distributor. Index-anchored 2026-07. High-stiffness PP — bumper carriers, door panels, under-body shields. coolFactor ~3.0 s/mm².</v>
      </c>
      <c r="J128" t="str">
        <v>Low</v>
      </c>
      <c r="K128" t="str">
        <f>IFERROR(INDEX(Mapping!$C:$C,MATCH($A128,Mapping!$A:$A,0)),"")</f>
        <v/>
      </c>
      <c r="L128">
        <f>IF($K128="",0,COUNTIFS('JLR Materials'!$A:$A,$K128,'JLR Materials'!$C:$C,IF(Settings!$B$2="","&lt;&gt;",Settings!$B$2),'JLR Materials'!$D:$D,IF(Settings!$B$4="","&lt;&gt;",Settings!$B$4)))</f>
        <v>0</v>
      </c>
      <c r="M128">
        <f>IF($L128&lt;&gt;1,0,SUMIFS('JLR Materials'!$E:$E,'JLR Materials'!$A:$A,$K128,'JLR Materials'!$C:$C,IF(Settings!$B$2="","&lt;&gt;",Settings!$B$2),'JLR Materials'!$D:$D,IF(Settings!$B$4="","&lt;&gt;",Settings!$B$4)))</f>
        <v>0</v>
      </c>
      <c r="N128">
        <f>IF($L128&lt;&gt;1,0,SUMIFS('JLR Materials'!$F:$F,'JLR Materials'!$A:$A,$K128,'JLR Materials'!$C:$C,IF(Settings!$B$2="","&lt;&gt;",Settings!$B$2),'JLR Materials'!$D:$D,IF(Settings!$B$4="","&lt;&gt;",Settings!$B$4)))</f>
        <v>0</v>
      </c>
      <c r="O128">
        <f>IF($N128=0,0,IF(Settings!$B$5="percent",$M128*$N128/100,$N128))</f>
        <v>0</v>
      </c>
      <c r="P128">
        <f>IF($L128&lt;&gt;1,0,SUMIFS('JLR Materials'!$G:$G,'JLR Materials'!$A:$A,$K128,'JLR Materials'!$C:$C,IF(Settings!$B$2="","&lt;&gt;",Settings!$B$2),'JLR Materials'!$D:$D,IF(Settings!$B$4="","&lt;&gt;",Settings!$B$4)))</f>
        <v>0</v>
      </c>
    </row>
    <row r="129">
      <c r="A129" t="str">
        <v>mat-pp-lgf30</v>
      </c>
      <c r="B129" t="str">
        <v>PP-LGF30 (Long-Glass PP)</v>
      </c>
      <c r="C129" t="str">
        <v>Thermoplastic</v>
      </c>
      <c r="D129">
        <f>IF($M129&gt;0,$M129,2.6)</f>
        <v>2.6</v>
      </c>
      <c r="E129">
        <f>IF($O129&gt;0,$O129,0.08)</f>
        <v>0.08</v>
      </c>
      <c r="F129">
        <v>1120</v>
      </c>
      <c r="G129" t="str">
        <v>UK</v>
      </c>
      <c r="H129" t="str">
        <f>IF($M129&gt;0,IF($L129&lt;&gt;1,"2026-07",IFERROR(INDEX('JLR Materials'!$D:$D,MATCH($K129,'JLR Materials'!$A:$A,0)),"2026-07")),"2026-07")</f>
        <v>2026-07</v>
      </c>
      <c r="I129" t="str">
        <f>IF($M129&gt;0,"JLR rate card — material code "&amp;$K129,"UK resin distributor. Index-anchored 2026-07. Long-glass-fibre PP — structural front-end carriers, door modules, seat structures (metal replacement). coolFactor ~3.0 s/mm².")</f>
        <v>UK resin distributor. Index-anchored 2026-07. Long-glass-fibre PP — structural front-end carriers, door modules, seat structures (metal replacement). coolFactor ~3.0 s/mm².</v>
      </c>
      <c r="J129" t="str">
        <v>Low</v>
      </c>
      <c r="K129" t="str">
        <f>IFERROR(INDEX(Mapping!$C:$C,MATCH($A129,Mapping!$A:$A,0)),"")</f>
        <v/>
      </c>
      <c r="L129">
        <f>IF($K129="",0,COUNTIFS('JLR Materials'!$A:$A,$K129,'JLR Materials'!$C:$C,IF(Settings!$B$2="","&lt;&gt;",Settings!$B$2),'JLR Materials'!$D:$D,IF(Settings!$B$4="","&lt;&gt;",Settings!$B$4)))</f>
        <v>0</v>
      </c>
      <c r="M129">
        <f>IF($L129&lt;&gt;1,0,SUMIFS('JLR Materials'!$E:$E,'JLR Materials'!$A:$A,$K129,'JLR Materials'!$C:$C,IF(Settings!$B$2="","&lt;&gt;",Settings!$B$2),'JLR Materials'!$D:$D,IF(Settings!$B$4="","&lt;&gt;",Settings!$B$4)))</f>
        <v>0</v>
      </c>
      <c r="N129">
        <f>IF($L129&lt;&gt;1,0,SUMIFS('JLR Materials'!$F:$F,'JLR Materials'!$A:$A,$K129,'JLR Materials'!$C:$C,IF(Settings!$B$2="","&lt;&gt;",Settings!$B$2),'JLR Materials'!$D:$D,IF(Settings!$B$4="","&lt;&gt;",Settings!$B$4)))</f>
        <v>0</v>
      </c>
      <c r="O129">
        <f>IF($N129=0,0,IF(Settings!$B$5="percent",$M129*$N129/100,$N129))</f>
        <v>0</v>
      </c>
      <c r="P129">
        <f>IF($L129&lt;&gt;1,0,SUMIFS('JLR Materials'!$G:$G,'JLR Materials'!$A:$A,$K129,'JLR Materials'!$C:$C,IF(Settings!$B$2="","&lt;&gt;",Settings!$B$2),'JLR Materials'!$D:$D,IF(Settings!$B$4="","&lt;&gt;",Settings!$B$4)))</f>
        <v>0</v>
      </c>
    </row>
    <row r="130">
      <c r="A130" t="str">
        <v>mat-tpo</v>
      </c>
      <c r="B130" t="str">
        <v>TPO (Thermoplastic Olefin)</v>
      </c>
      <c r="C130" t="str">
        <v>Thermoplastic</v>
      </c>
      <c r="D130">
        <f>IF($M130&gt;0,$M130,1.85)</f>
        <v>1.85</v>
      </c>
      <c r="E130">
        <f>IF($O130&gt;0,$O130,0.1)</f>
        <v>0.1</v>
      </c>
      <c r="F130">
        <v>900</v>
      </c>
      <c r="G130" t="str">
        <v>UK</v>
      </c>
      <c r="H130" t="str">
        <f>IF($M130&gt;0,IF($L130&lt;&gt;1,"2026-07",IFERROR(INDEX('JLR Materials'!$D:$D,MATCH($K130,'JLR Materials'!$A:$A,0)),"2026-07")),"2026-07")</f>
        <v>2026-07</v>
      </c>
      <c r="I130" t="str">
        <f>IF($M130&gt;0,"JLR rate card — material code "&amp;$K130,"UK resin distributor. Index-anchored 2026-07. Soft-touch olefinic — bumper fascia, cladding, skin/airbag covers. coolFactor ~3.2 s/mm².")</f>
        <v>UK resin distributor. Index-anchored 2026-07. Soft-touch olefinic — bumper fascia, cladding, skin/airbag covers. coolFactor ~3.2 s/mm².</v>
      </c>
      <c r="J130" t="str">
        <v>Low</v>
      </c>
      <c r="K130" t="str">
        <f>IFERROR(INDEX(Mapping!$C:$C,MATCH($A130,Mapping!$A:$A,0)),"")</f>
        <v/>
      </c>
      <c r="L130">
        <f>IF($K130="",0,COUNTIFS('JLR Materials'!$A:$A,$K130,'JLR Materials'!$C:$C,IF(Settings!$B$2="","&lt;&gt;",Settings!$B$2),'JLR Materials'!$D:$D,IF(Settings!$B$4="","&lt;&gt;",Settings!$B$4)))</f>
        <v>0</v>
      </c>
      <c r="M130">
        <f>IF($L130&lt;&gt;1,0,SUMIFS('JLR Materials'!$E:$E,'JLR Materials'!$A:$A,$K130,'JLR Materials'!$C:$C,IF(Settings!$B$2="","&lt;&gt;",Settings!$B$2),'JLR Materials'!$D:$D,IF(Settings!$B$4="","&lt;&gt;",Settings!$B$4)))</f>
        <v>0</v>
      </c>
      <c r="N130">
        <f>IF($L130&lt;&gt;1,0,SUMIFS('JLR Materials'!$F:$F,'JLR Materials'!$A:$A,$K130,'JLR Materials'!$C:$C,IF(Settings!$B$2="","&lt;&gt;",Settings!$B$2),'JLR Materials'!$D:$D,IF(Settings!$B$4="","&lt;&gt;",Settings!$B$4)))</f>
        <v>0</v>
      </c>
      <c r="O130">
        <f>IF($N130=0,0,IF(Settings!$B$5="percent",$M130*$N130/100,$N130))</f>
        <v>0</v>
      </c>
      <c r="P130">
        <f>IF($L130&lt;&gt;1,0,SUMIFS('JLR Materials'!$G:$G,'JLR Materials'!$A:$A,$K130,'JLR Materials'!$C:$C,IF(Settings!$B$2="","&lt;&gt;",Settings!$B$2),'JLR Materials'!$D:$D,IF(Settings!$B$4="","&lt;&gt;",Settings!$B$4)))</f>
        <v>0</v>
      </c>
    </row>
    <row r="131">
      <c r="A131" t="str">
        <v>mat-tpv</v>
      </c>
      <c r="B131" t="str">
        <v>TPV (Santoprene-type)</v>
      </c>
      <c r="C131" t="str">
        <v>Thermoplastic Elastomer</v>
      </c>
      <c r="D131">
        <f>IF($M131&gt;0,$M131,3.2)</f>
        <v>3.2</v>
      </c>
      <c r="E131">
        <f>IF($O131&gt;0,$O131,0.05)</f>
        <v>0.05</v>
      </c>
      <c r="F131">
        <v>970</v>
      </c>
      <c r="G131" t="str">
        <v>UK</v>
      </c>
      <c r="H131" t="str">
        <f>IF($M131&gt;0,IF($L131&lt;&gt;1,"2026-07",IFERROR(INDEX('JLR Materials'!$D:$D,MATCH($K131,'JLR Materials'!$A:$A,0)),"2026-07")),"2026-07")</f>
        <v>2026-07</v>
      </c>
      <c r="I131" t="str">
        <f>IF($M131&gt;0,"JLR rate card — material code "&amp;$K131,"UK resin distributor. Index-anchored 2026-07. Vulcanised TPE — weatherseals, boots, glass encapsulation, grommets. coolFactor ~4.0 s/mm².")</f>
        <v>UK resin distributor. Index-anchored 2026-07. Vulcanised TPE — weatherseals, boots, glass encapsulation, grommets. coolFactor ~4.0 s/mm².</v>
      </c>
      <c r="J131" t="str">
        <v>Low</v>
      </c>
      <c r="K131" t="str">
        <f>IFERROR(INDEX(Mapping!$C:$C,MATCH($A131,Mapping!$A:$A,0)),"")</f>
        <v/>
      </c>
      <c r="L131">
        <f>IF($K131="",0,COUNTIFS('JLR Materials'!$A:$A,$K131,'JLR Materials'!$C:$C,IF(Settings!$B$2="","&lt;&gt;",Settings!$B$2),'JLR Materials'!$D:$D,IF(Settings!$B$4="","&lt;&gt;",Settings!$B$4)))</f>
        <v>0</v>
      </c>
      <c r="M131">
        <f>IF($L131&lt;&gt;1,0,SUMIFS('JLR Materials'!$E:$E,'JLR Materials'!$A:$A,$K131,'JLR Materials'!$C:$C,IF(Settings!$B$2="","&lt;&gt;",Settings!$B$2),'JLR Materials'!$D:$D,IF(Settings!$B$4="","&lt;&gt;",Settings!$B$4)))</f>
        <v>0</v>
      </c>
      <c r="N131">
        <f>IF($L131&lt;&gt;1,0,SUMIFS('JLR Materials'!$F:$F,'JLR Materials'!$A:$A,$K131,'JLR Materials'!$C:$C,IF(Settings!$B$2="","&lt;&gt;",Settings!$B$2),'JLR Materials'!$D:$D,IF(Settings!$B$4="","&lt;&gt;",Settings!$B$4)))</f>
        <v>0</v>
      </c>
      <c r="O131">
        <f>IF($N131=0,0,IF(Settings!$B$5="percent",$M131*$N131/100,$N131))</f>
        <v>0</v>
      </c>
      <c r="P131">
        <f>IF($L131&lt;&gt;1,0,SUMIFS('JLR Materials'!$G:$G,'JLR Materials'!$A:$A,$K131,'JLR Materials'!$C:$C,IF(Settings!$B$2="","&lt;&gt;",Settings!$B$2),'JLR Materials'!$D:$D,IF(Settings!$B$4="","&lt;&gt;",Settings!$B$4)))</f>
        <v>0</v>
      </c>
    </row>
    <row r="132">
      <c r="A132" t="str">
        <v>mat-pmma</v>
      </c>
      <c r="B132" t="str">
        <v>PMMA (Acrylic)</v>
      </c>
      <c r="C132" t="str">
        <v>Thermoplastic</v>
      </c>
      <c r="D132">
        <f>IF($M132&gt;0,$M132,2.4)</f>
        <v>2.4</v>
      </c>
      <c r="E132">
        <f>IF($O132&gt;0,$O132,0.08)</f>
        <v>0.08</v>
      </c>
      <c r="F132">
        <v>1190</v>
      </c>
      <c r="G132" t="str">
        <v>UK</v>
      </c>
      <c r="H132" t="str">
        <f>IF($M132&gt;0,IF($L132&lt;&gt;1,"2026-07",IFERROR(INDEX('JLR Materials'!$D:$D,MATCH($K132,'JLR Materials'!$A:$A,0)),"2026-07")),"2026-07")</f>
        <v>2026-07</v>
      </c>
      <c r="I132" t="str">
        <f>IF($M132&gt;0,"JLR rate card — material code "&amp;$K132,"UK resin distributor. Index-anchored 2026-07. Optical-clear acrylic — lenses, light guides, tail-lamp, badges. coolFactor ~2.5 s/mm².")</f>
        <v>UK resin distributor. Index-anchored 2026-07. Optical-clear acrylic — lenses, light guides, tail-lamp, badges. coolFactor ~2.5 s/mm².</v>
      </c>
      <c r="J132" t="str">
        <v>Low</v>
      </c>
      <c r="K132" t="str">
        <f>IFERROR(INDEX(Mapping!$C:$C,MATCH($A132,Mapping!$A:$A,0)),"")</f>
        <v/>
      </c>
      <c r="L132">
        <f>IF($K132="",0,COUNTIFS('JLR Materials'!$A:$A,$K132,'JLR Materials'!$C:$C,IF(Settings!$B$2="","&lt;&gt;",Settings!$B$2),'JLR Materials'!$D:$D,IF(Settings!$B$4="","&lt;&gt;",Settings!$B$4)))</f>
        <v>0</v>
      </c>
      <c r="M132">
        <f>IF($L132&lt;&gt;1,0,SUMIFS('JLR Materials'!$E:$E,'JLR Materials'!$A:$A,$K132,'JLR Materials'!$C:$C,IF(Settings!$B$2="","&lt;&gt;",Settings!$B$2),'JLR Materials'!$D:$D,IF(Settings!$B$4="","&lt;&gt;",Settings!$B$4)))</f>
        <v>0</v>
      </c>
      <c r="N132">
        <f>IF($L132&lt;&gt;1,0,SUMIFS('JLR Materials'!$F:$F,'JLR Materials'!$A:$A,$K132,'JLR Materials'!$C:$C,IF(Settings!$B$2="","&lt;&gt;",Settings!$B$2),'JLR Materials'!$D:$D,IF(Settings!$B$4="","&lt;&gt;",Settings!$B$4)))</f>
        <v>0</v>
      </c>
      <c r="O132">
        <f>IF($N132=0,0,IF(Settings!$B$5="percent",$M132*$N132/100,$N132))</f>
        <v>0</v>
      </c>
      <c r="P132">
        <f>IF($L132&lt;&gt;1,0,SUMIFS('JLR Materials'!$G:$G,'JLR Materials'!$A:$A,$K132,'JLR Materials'!$C:$C,IF(Settings!$B$2="","&lt;&gt;",Settings!$B$2),'JLR Materials'!$D:$D,IF(Settings!$B$4="","&lt;&gt;",Settings!$B$4)))</f>
        <v>0</v>
      </c>
    </row>
    <row r="133">
      <c r="A133" t="str">
        <v>mat-pps-gf40</v>
      </c>
      <c r="B133" t="str">
        <v>PPS GF40</v>
      </c>
      <c r="C133" t="str">
        <v>High-Performance Thermoplastic</v>
      </c>
      <c r="D133">
        <f>IF($M133&gt;0,$M133,5.5)</f>
        <v>5.5</v>
      </c>
      <c r="E133">
        <f>IF($O133&gt;0,$O133,0.2)</f>
        <v>0.2</v>
      </c>
      <c r="F133">
        <v>1650</v>
      </c>
      <c r="G133" t="str">
        <v>UK</v>
      </c>
      <c r="H133" t="str">
        <f>IF($M133&gt;0,IF($L133&lt;&gt;1,"2026-07",IFERROR(INDEX('JLR Materials'!$D:$D,MATCH($K133,'JLR Materials'!$A:$A,0)),"2026-07")),"2026-07")</f>
        <v>2026-07</v>
      </c>
      <c r="I133" t="str">
        <f>IF($M133&gt;0,"JLR rate card — material code "&amp;$K133,"UK speciality resin supplier. Index-anchored 2026-07. Polyphenylene-sulfide — under-hood, e-motor components, sensors, pumps, EV. Continuous use ~200°C. coolFactor ~2.5 s/mm².")</f>
        <v>UK speciality resin supplier. Index-anchored 2026-07. Polyphenylene-sulfide — under-hood, e-motor components, sensors, pumps, EV. Continuous use ~200°C. coolFactor ~2.5 s/mm².</v>
      </c>
      <c r="J133" t="str">
        <v>Low</v>
      </c>
      <c r="K133" t="str">
        <f>IFERROR(INDEX(Mapping!$C:$C,MATCH($A133,Mapping!$A:$A,0)),"")</f>
        <v/>
      </c>
      <c r="L133">
        <f>IF($K133="",0,COUNTIFS('JLR Materials'!$A:$A,$K133,'JLR Materials'!$C:$C,IF(Settings!$B$2="","&lt;&gt;",Settings!$B$2),'JLR Materials'!$D:$D,IF(Settings!$B$4="","&lt;&gt;",Settings!$B$4)))</f>
        <v>0</v>
      </c>
      <c r="M133">
        <f>IF($L133&lt;&gt;1,0,SUMIFS('JLR Materials'!$E:$E,'JLR Materials'!$A:$A,$K133,'JLR Materials'!$C:$C,IF(Settings!$B$2="","&lt;&gt;",Settings!$B$2),'JLR Materials'!$D:$D,IF(Settings!$B$4="","&lt;&gt;",Settings!$B$4)))</f>
        <v>0</v>
      </c>
      <c r="N133">
        <f>IF($L133&lt;&gt;1,0,SUMIFS('JLR Materials'!$F:$F,'JLR Materials'!$A:$A,$K133,'JLR Materials'!$C:$C,IF(Settings!$B$2="","&lt;&gt;",Settings!$B$2),'JLR Materials'!$D:$D,IF(Settings!$B$4="","&lt;&gt;",Settings!$B$4)))</f>
        <v>0</v>
      </c>
      <c r="O133">
        <f>IF($N133=0,0,IF(Settings!$B$5="percent",$M133*$N133/100,$N133))</f>
        <v>0</v>
      </c>
      <c r="P133">
        <f>IF($L133&lt;&gt;1,0,SUMIFS('JLR Materials'!$G:$G,'JLR Materials'!$A:$A,$K133,'JLR Materials'!$C:$C,IF(Settings!$B$2="","&lt;&gt;",Settings!$B$2),'JLR Materials'!$D:$D,IF(Settings!$B$4="","&lt;&gt;",Settings!$B$4)))</f>
        <v>0</v>
      </c>
    </row>
    <row r="134">
      <c r="A134" t="str">
        <v>mat-ppa-gf35</v>
      </c>
      <c r="B134" t="str">
        <v>PPA GF35 (High-Temp Polyamide)</v>
      </c>
      <c r="C134" t="str">
        <v>High-Performance Thermoplastic</v>
      </c>
      <c r="D134">
        <f>IF($M134&gt;0,$M134,6.8)</f>
        <v>6.8</v>
      </c>
      <c r="E134">
        <f>IF($O134&gt;0,$O134,0.15)</f>
        <v>0.15</v>
      </c>
      <c r="F134">
        <v>1450</v>
      </c>
      <c r="G134" t="str">
        <v>UK</v>
      </c>
      <c r="H134" t="str">
        <f>IF($M134&gt;0,IF($L134&lt;&gt;1,"2026-07",IFERROR(INDEX('JLR Materials'!$D:$D,MATCH($K134,'JLR Materials'!$A:$A,0)),"2026-07")),"2026-07")</f>
        <v>2026-07</v>
      </c>
      <c r="I134" t="str">
        <f>IF($M134&gt;0,"JLR rate card — material code "&amp;$K134,"UK speciality resin supplier. Index-anchored 2026-07. Semi-aromatic PPA — high-temp connectors, e-mobility, thermal management. coolFactor ~2.2 s/mm².")</f>
        <v>UK speciality resin supplier. Index-anchored 2026-07. Semi-aromatic PPA — high-temp connectors, e-mobility, thermal management. coolFactor ~2.2 s/mm².</v>
      </c>
      <c r="J134" t="str">
        <v>Low</v>
      </c>
      <c r="K134" t="str">
        <f>IFERROR(INDEX(Mapping!$C:$C,MATCH($A134,Mapping!$A:$A,0)),"")</f>
        <v/>
      </c>
      <c r="L134">
        <f>IF($K134="",0,COUNTIFS('JLR Materials'!$A:$A,$K134,'JLR Materials'!$C:$C,IF(Settings!$B$2="","&lt;&gt;",Settings!$B$2),'JLR Materials'!$D:$D,IF(Settings!$B$4="","&lt;&gt;",Settings!$B$4)))</f>
        <v>0</v>
      </c>
      <c r="M134">
        <f>IF($L134&lt;&gt;1,0,SUMIFS('JLR Materials'!$E:$E,'JLR Materials'!$A:$A,$K134,'JLR Materials'!$C:$C,IF(Settings!$B$2="","&lt;&gt;",Settings!$B$2),'JLR Materials'!$D:$D,IF(Settings!$B$4="","&lt;&gt;",Settings!$B$4)))</f>
        <v>0</v>
      </c>
      <c r="N134">
        <f>IF($L134&lt;&gt;1,0,SUMIFS('JLR Materials'!$F:$F,'JLR Materials'!$A:$A,$K134,'JLR Materials'!$C:$C,IF(Settings!$B$2="","&lt;&gt;",Settings!$B$2),'JLR Materials'!$D:$D,IF(Settings!$B$4="","&lt;&gt;",Settings!$B$4)))</f>
        <v>0</v>
      </c>
      <c r="O134">
        <f>IF($N134=0,0,IF(Settings!$B$5="percent",$M134*$N134/100,$N134))</f>
        <v>0</v>
      </c>
      <c r="P134">
        <f>IF($L134&lt;&gt;1,0,SUMIFS('JLR Materials'!$G:$G,'JLR Materials'!$A:$A,$K134,'JLR Materials'!$C:$C,IF(Settings!$B$2="","&lt;&gt;",Settings!$B$2),'JLR Materials'!$D:$D,IF(Settings!$B$4="","&lt;&gt;",Settings!$B$4)))</f>
        <v>0</v>
      </c>
    </row>
    <row r="135">
      <c r="A135" t="str">
        <v>mat-pei</v>
      </c>
      <c r="B135" t="str">
        <v>PEI (Ultem, Unfilled)</v>
      </c>
      <c r="C135" t="str">
        <v>High-Performance Thermoplastic</v>
      </c>
      <c r="D135">
        <f>IF($M135&gt;0,$M135,12.5)</f>
        <v>12.5</v>
      </c>
      <c r="E135">
        <f>IF($O135&gt;0,$O135,0.5)</f>
        <v>0.5</v>
      </c>
      <c r="F135">
        <v>1270</v>
      </c>
      <c r="G135" t="str">
        <v>UK</v>
      </c>
      <c r="H135" t="str">
        <f>IF($M135&gt;0,IF($L135&lt;&gt;1,"2026-07",IFERROR(INDEX('JLR Materials'!$D:$D,MATCH($K135,'JLR Materials'!$A:$A,0)),"2026-07")),"2026-07")</f>
        <v>2026-07</v>
      </c>
      <c r="I135" t="str">
        <f>IF($M135&gt;0,"JLR rate card — material code "&amp;$K135,"UK speciality resin supplier. Index-anchored 2026-07. Polyetherimide — high-temp electrical, aerospace interiors, sterilisable medical. coolFactor ~2.5 s/mm².")</f>
        <v>UK speciality resin supplier. Index-anchored 2026-07. Polyetherimide — high-temp electrical, aerospace interiors, sterilisable medical. coolFactor ~2.5 s/mm².</v>
      </c>
      <c r="J135" t="str">
        <v>Low</v>
      </c>
      <c r="K135" t="str">
        <f>IFERROR(INDEX(Mapping!$C:$C,MATCH($A135,Mapping!$A:$A,0)),"")</f>
        <v/>
      </c>
      <c r="L135">
        <f>IF($K135="",0,COUNTIFS('JLR Materials'!$A:$A,$K135,'JLR Materials'!$C:$C,IF(Settings!$B$2="","&lt;&gt;",Settings!$B$2),'JLR Materials'!$D:$D,IF(Settings!$B$4="","&lt;&gt;",Settings!$B$4)))</f>
        <v>0</v>
      </c>
      <c r="M135">
        <f>IF($L135&lt;&gt;1,0,SUMIFS('JLR Materials'!$E:$E,'JLR Materials'!$A:$A,$K135,'JLR Materials'!$C:$C,IF(Settings!$B$2="","&lt;&gt;",Settings!$B$2),'JLR Materials'!$D:$D,IF(Settings!$B$4="","&lt;&gt;",Settings!$B$4)))</f>
        <v>0</v>
      </c>
      <c r="N135">
        <f>IF($L135&lt;&gt;1,0,SUMIFS('JLR Materials'!$F:$F,'JLR Materials'!$A:$A,$K135,'JLR Materials'!$C:$C,IF(Settings!$B$2="","&lt;&gt;",Settings!$B$2),'JLR Materials'!$D:$D,IF(Settings!$B$4="","&lt;&gt;",Settings!$B$4)))</f>
        <v>0</v>
      </c>
      <c r="O135">
        <f>IF($N135=0,0,IF(Settings!$B$5="percent",$M135*$N135/100,$N135))</f>
        <v>0</v>
      </c>
      <c r="P135">
        <f>IF($L135&lt;&gt;1,0,SUMIFS('JLR Materials'!$G:$G,'JLR Materials'!$A:$A,$K135,'JLR Materials'!$C:$C,IF(Settings!$B$2="","&lt;&gt;",Settings!$B$2),'JLR Materials'!$D:$D,IF(Settings!$B$4="","&lt;&gt;",Settings!$B$4)))</f>
        <v>0</v>
      </c>
    </row>
    <row r="136">
      <c r="A136" t="str">
        <v>mat-pei-gf30</v>
      </c>
      <c r="B136" t="str">
        <v>PEI GF30</v>
      </c>
      <c r="C136" t="str">
        <v>High-Performance Thermoplastic</v>
      </c>
      <c r="D136">
        <f>IF($M136&gt;0,$M136,14)</f>
        <v>14</v>
      </c>
      <c r="E136">
        <f>IF($O136&gt;0,$O136,0.5)</f>
        <v>0.5</v>
      </c>
      <c r="F136">
        <v>1510</v>
      </c>
      <c r="G136" t="str">
        <v>UK</v>
      </c>
      <c r="H136" t="str">
        <f>IF($M136&gt;0,IF($L136&lt;&gt;1,"2026-07",IFERROR(INDEX('JLR Materials'!$D:$D,MATCH($K136,'JLR Materials'!$A:$A,0)),"2026-07")),"2026-07")</f>
        <v>2026-07</v>
      </c>
      <c r="I136" t="str">
        <f>IF($M136&gt;0,"JLR rate card — material code "&amp;$K136,"UK speciality resin supplier. Index-anchored 2026-07. Glass-reinforced PEI — structural high-temp. coolFactor ~2.5 s/mm².")</f>
        <v>UK speciality resin supplier. Index-anchored 2026-07. Glass-reinforced PEI — structural high-temp. coolFactor ~2.5 s/mm².</v>
      </c>
      <c r="J136" t="str">
        <v>Low</v>
      </c>
      <c r="K136" t="str">
        <f>IFERROR(INDEX(Mapping!$C:$C,MATCH($A136,Mapping!$A:$A,0)),"")</f>
        <v/>
      </c>
      <c r="L136">
        <f>IF($K136="",0,COUNTIFS('JLR Materials'!$A:$A,$K136,'JLR Materials'!$C:$C,IF(Settings!$B$2="","&lt;&gt;",Settings!$B$2),'JLR Materials'!$D:$D,IF(Settings!$B$4="","&lt;&gt;",Settings!$B$4)))</f>
        <v>0</v>
      </c>
      <c r="M136">
        <f>IF($L136&lt;&gt;1,0,SUMIFS('JLR Materials'!$E:$E,'JLR Materials'!$A:$A,$K136,'JLR Materials'!$C:$C,IF(Settings!$B$2="","&lt;&gt;",Settings!$B$2),'JLR Materials'!$D:$D,IF(Settings!$B$4="","&lt;&gt;",Settings!$B$4)))</f>
        <v>0</v>
      </c>
      <c r="N136">
        <f>IF($L136&lt;&gt;1,0,SUMIFS('JLR Materials'!$F:$F,'JLR Materials'!$A:$A,$K136,'JLR Materials'!$C:$C,IF(Settings!$B$2="","&lt;&gt;",Settings!$B$2),'JLR Materials'!$D:$D,IF(Settings!$B$4="","&lt;&gt;",Settings!$B$4)))</f>
        <v>0</v>
      </c>
      <c r="O136">
        <f>IF($N136=0,0,IF(Settings!$B$5="percent",$M136*$N136/100,$N136))</f>
        <v>0</v>
      </c>
      <c r="P136">
        <f>IF($L136&lt;&gt;1,0,SUMIFS('JLR Materials'!$G:$G,'JLR Materials'!$A:$A,$K136,'JLR Materials'!$C:$C,IF(Settings!$B$2="","&lt;&gt;",Settings!$B$2),'JLR Materials'!$D:$D,IF(Settings!$B$4="","&lt;&gt;",Settings!$B$4)))</f>
        <v>0</v>
      </c>
    </row>
    <row r="137">
      <c r="A137" t="str">
        <v>mat-lcp-gf30</v>
      </c>
      <c r="B137" t="str">
        <v>LCP GF30 (Liquid-Crystal Polymer)</v>
      </c>
      <c r="C137" t="str">
        <v>High-Performance Thermoplastic</v>
      </c>
      <c r="D137">
        <f>IF($M137&gt;0,$M137,11)</f>
        <v>11</v>
      </c>
      <c r="E137">
        <f>IF($O137&gt;0,$O137,0.3)</f>
        <v>0.3</v>
      </c>
      <c r="F137">
        <v>1620</v>
      </c>
      <c r="G137" t="str">
        <v>UK</v>
      </c>
      <c r="H137" t="str">
        <f>IF($M137&gt;0,IF($L137&lt;&gt;1,"2026-07",IFERROR(INDEX('JLR Materials'!$D:$D,MATCH($K137,'JLR Materials'!$A:$A,0)),"2026-07")),"2026-07")</f>
        <v>2026-07</v>
      </c>
      <c r="I137" t="str">
        <f>IF($M137&gt;0,"JLR rate card — material code "&amp;$K137,"UK speciality resin supplier. Index-anchored 2026-07. Ultra-thin-wall flow — fine-pitch connectors, SMT sockets, sensors. coolFactor ~1.8 s/mm².")</f>
        <v>UK speciality resin supplier. Index-anchored 2026-07. Ultra-thin-wall flow — fine-pitch connectors, SMT sockets, sensors. coolFactor ~1.8 s/mm².</v>
      </c>
      <c r="J137" t="str">
        <v>Low</v>
      </c>
      <c r="K137" t="str">
        <f>IFERROR(INDEX(Mapping!$C:$C,MATCH($A137,Mapping!$A:$A,0)),"")</f>
        <v/>
      </c>
      <c r="L137">
        <f>IF($K137="",0,COUNTIFS('JLR Materials'!$A:$A,$K137,'JLR Materials'!$C:$C,IF(Settings!$B$2="","&lt;&gt;",Settings!$B$2),'JLR Materials'!$D:$D,IF(Settings!$B$4="","&lt;&gt;",Settings!$B$4)))</f>
        <v>0</v>
      </c>
      <c r="M137">
        <f>IF($L137&lt;&gt;1,0,SUMIFS('JLR Materials'!$E:$E,'JLR Materials'!$A:$A,$K137,'JLR Materials'!$C:$C,IF(Settings!$B$2="","&lt;&gt;",Settings!$B$2),'JLR Materials'!$D:$D,IF(Settings!$B$4="","&lt;&gt;",Settings!$B$4)))</f>
        <v>0</v>
      </c>
      <c r="N137">
        <f>IF($L137&lt;&gt;1,0,SUMIFS('JLR Materials'!$F:$F,'JLR Materials'!$A:$A,$K137,'JLR Materials'!$C:$C,IF(Settings!$B$2="","&lt;&gt;",Settings!$B$2),'JLR Materials'!$D:$D,IF(Settings!$B$4="","&lt;&gt;",Settings!$B$4)))</f>
        <v>0</v>
      </c>
      <c r="O137">
        <f>IF($N137=0,0,IF(Settings!$B$5="percent",$M137*$N137/100,$N137))</f>
        <v>0</v>
      </c>
      <c r="P137">
        <f>IF($L137&lt;&gt;1,0,SUMIFS('JLR Materials'!$G:$G,'JLR Materials'!$A:$A,$K137,'JLR Materials'!$C:$C,IF(Settings!$B$2="","&lt;&gt;",Settings!$B$2),'JLR Materials'!$D:$D,IF(Settings!$B$4="","&lt;&gt;",Settings!$B$4)))</f>
        <v>0</v>
      </c>
    </row>
    <row r="138">
      <c r="A138" t="str">
        <v>mat-pa66-gf35</v>
      </c>
      <c r="B138" t="str">
        <v>PA66 GF35</v>
      </c>
      <c r="C138" t="str">
        <v>Thermoplastic</v>
      </c>
      <c r="D138">
        <f>IF($M138&gt;0,$M138,3.3)</f>
        <v>3.3</v>
      </c>
      <c r="E138">
        <f>IF($O138&gt;0,$O138,0.05)</f>
        <v>0.05</v>
      </c>
      <c r="F138">
        <v>1410</v>
      </c>
      <c r="G138" t="str">
        <v>UK</v>
      </c>
      <c r="H138" t="str">
        <f>IF($M138&gt;0,IF($L138&lt;&gt;1,"2026-07",IFERROR(INDEX('JLR Materials'!$D:$D,MATCH($K138,'JLR Materials'!$A:$A,0)),"2026-07")),"2026-07")</f>
        <v>2026-07</v>
      </c>
      <c r="I138" t="str">
        <f>IF($M138&gt;0,"JLR rate card — material code "&amp;$K138,"UK resin distributor. Index-anchored 2026-07. 35% glass PA66 — structural brackets, engine mounts, pedals. coolFactor ~2.0 s/mm².")</f>
        <v>UK resin distributor. Index-anchored 2026-07. 35% glass PA66 — structural brackets, engine mounts, pedals. coolFactor ~2.0 s/mm².</v>
      </c>
      <c r="J138" t="str">
        <v>Low</v>
      </c>
      <c r="K138" t="str">
        <f>IFERROR(INDEX(Mapping!$C:$C,MATCH($A138,Mapping!$A:$A,0)),"")</f>
        <v/>
      </c>
      <c r="L138">
        <f>IF($K138="",0,COUNTIFS('JLR Materials'!$A:$A,$K138,'JLR Materials'!$C:$C,IF(Settings!$B$2="","&lt;&gt;",Settings!$B$2),'JLR Materials'!$D:$D,IF(Settings!$B$4="","&lt;&gt;",Settings!$B$4)))</f>
        <v>0</v>
      </c>
      <c r="M138">
        <f>IF($L138&lt;&gt;1,0,SUMIFS('JLR Materials'!$E:$E,'JLR Materials'!$A:$A,$K138,'JLR Materials'!$C:$C,IF(Settings!$B$2="","&lt;&gt;",Settings!$B$2),'JLR Materials'!$D:$D,IF(Settings!$B$4="","&lt;&gt;",Settings!$B$4)))</f>
        <v>0</v>
      </c>
      <c r="N138">
        <f>IF($L138&lt;&gt;1,0,SUMIFS('JLR Materials'!$F:$F,'JLR Materials'!$A:$A,$K138,'JLR Materials'!$C:$C,IF(Settings!$B$2="","&lt;&gt;",Settings!$B$2),'JLR Materials'!$D:$D,IF(Settings!$B$4="","&lt;&gt;",Settings!$B$4)))</f>
        <v>0</v>
      </c>
      <c r="O138">
        <f>IF($N138=0,0,IF(Settings!$B$5="percent",$M138*$N138/100,$N138))</f>
        <v>0</v>
      </c>
      <c r="P138">
        <f>IF($L138&lt;&gt;1,0,SUMIFS('JLR Materials'!$G:$G,'JLR Materials'!$A:$A,$K138,'JLR Materials'!$C:$C,IF(Settings!$B$2="","&lt;&gt;",Settings!$B$2),'JLR Materials'!$D:$D,IF(Settings!$B$4="","&lt;&gt;",Settings!$B$4)))</f>
        <v>0</v>
      </c>
    </row>
    <row r="139">
      <c r="A139" t="str">
        <v>mat-pa66-gf50</v>
      </c>
      <c r="B139" t="str">
        <v>PA66 GF50</v>
      </c>
      <c r="C139" t="str">
        <v>Thermoplastic</v>
      </c>
      <c r="D139">
        <f>IF($M139&gt;0,$M139,3.55)</f>
        <v>3.55</v>
      </c>
      <c r="E139">
        <f>IF($O139&gt;0,$O139,0.05)</f>
        <v>0.05</v>
      </c>
      <c r="F139">
        <v>1560</v>
      </c>
      <c r="G139" t="str">
        <v>UK</v>
      </c>
      <c r="H139" t="str">
        <f>IF($M139&gt;0,IF($L139&lt;&gt;1,"2026-07",IFERROR(INDEX('JLR Materials'!$D:$D,MATCH($K139,'JLR Materials'!$A:$A,0)),"2026-07")),"2026-07")</f>
        <v>2026-07</v>
      </c>
      <c r="I139" t="str">
        <f>IF($M139&gt;0,"JLR rate card — material code "&amp;$K139,"UK resin distributor. Index-anchored 2026-07. 50% glass PA66 — highest-stiffness metal-replacement structural parts. coolFactor ~2.0 s/mm².")</f>
        <v>UK resin distributor. Index-anchored 2026-07. 50% glass PA66 — highest-stiffness metal-replacement structural parts. coolFactor ~2.0 s/mm².</v>
      </c>
      <c r="J139" t="str">
        <v>Low</v>
      </c>
      <c r="K139" t="str">
        <f>IFERROR(INDEX(Mapping!$C:$C,MATCH($A139,Mapping!$A:$A,0)),"")</f>
        <v/>
      </c>
      <c r="L139">
        <f>IF($K139="",0,COUNTIFS('JLR Materials'!$A:$A,$K139,'JLR Materials'!$C:$C,IF(Settings!$B$2="","&lt;&gt;",Settings!$B$2),'JLR Materials'!$D:$D,IF(Settings!$B$4="","&lt;&gt;",Settings!$B$4)))</f>
        <v>0</v>
      </c>
      <c r="M139">
        <f>IF($L139&lt;&gt;1,0,SUMIFS('JLR Materials'!$E:$E,'JLR Materials'!$A:$A,$K139,'JLR Materials'!$C:$C,IF(Settings!$B$2="","&lt;&gt;",Settings!$B$2),'JLR Materials'!$D:$D,IF(Settings!$B$4="","&lt;&gt;",Settings!$B$4)))</f>
        <v>0</v>
      </c>
      <c r="N139">
        <f>IF($L139&lt;&gt;1,0,SUMIFS('JLR Materials'!$F:$F,'JLR Materials'!$A:$A,$K139,'JLR Materials'!$C:$C,IF(Settings!$B$2="","&lt;&gt;",Settings!$B$2),'JLR Materials'!$D:$D,IF(Settings!$B$4="","&lt;&gt;",Settings!$B$4)))</f>
        <v>0</v>
      </c>
      <c r="O139">
        <f>IF($N139=0,0,IF(Settings!$B$5="percent",$M139*$N139/100,$N139))</f>
        <v>0</v>
      </c>
      <c r="P139">
        <f>IF($L139&lt;&gt;1,0,SUMIFS('JLR Materials'!$G:$G,'JLR Materials'!$A:$A,$K139,'JLR Materials'!$C:$C,IF(Settings!$B$2="","&lt;&gt;",Settings!$B$2),'JLR Materials'!$D:$D,IF(Settings!$B$4="","&lt;&gt;",Settings!$B$4)))</f>
        <v>0</v>
      </c>
    </row>
    <row r="140">
      <c r="A140" t="str">
        <v>mat-pa66-min</v>
      </c>
      <c r="B140" t="str">
        <v>PA66 Mineral-filled (Low-Warp)</v>
      </c>
      <c r="C140" t="str">
        <v>Thermoplastic</v>
      </c>
      <c r="D140">
        <f>IF($M140&gt;0,$M140,3)</f>
        <v>3</v>
      </c>
      <c r="E140">
        <f>IF($O140&gt;0,$O140,0.05)</f>
        <v>0.05</v>
      </c>
      <c r="F140">
        <v>1440</v>
      </c>
      <c r="G140" t="str">
        <v>UK</v>
      </c>
      <c r="H140" t="str">
        <f>IF($M140&gt;0,IF($L140&lt;&gt;1,"2026-07",IFERROR(INDEX('JLR Materials'!$D:$D,MATCH($K140,'JLR Materials'!$A:$A,0)),"2026-07")),"2026-07")</f>
        <v>2026-07</v>
      </c>
      <c r="I140" t="str">
        <f>IF($M140&gt;0,"JLR rate card — material code "&amp;$K140,"UK resin distributor. Index-anchored 2026-07. Mineral-filled PA66 — low-warp precision housings, covers. coolFactor ~2.0 s/mm².")</f>
        <v>UK resin distributor. Index-anchored 2026-07. Mineral-filled PA66 — low-warp precision housings, covers. coolFactor ~2.0 s/mm².</v>
      </c>
      <c r="J140" t="str">
        <v>Low</v>
      </c>
      <c r="K140" t="str">
        <f>IFERROR(INDEX(Mapping!$C:$C,MATCH($A140,Mapping!$A:$A,0)),"")</f>
        <v/>
      </c>
      <c r="L140">
        <f>IF($K140="",0,COUNTIFS('JLR Materials'!$A:$A,$K140,'JLR Materials'!$C:$C,IF(Settings!$B$2="","&lt;&gt;",Settings!$B$2),'JLR Materials'!$D:$D,IF(Settings!$B$4="","&lt;&gt;",Settings!$B$4)))</f>
        <v>0</v>
      </c>
      <c r="M140">
        <f>IF($L140&lt;&gt;1,0,SUMIFS('JLR Materials'!$E:$E,'JLR Materials'!$A:$A,$K140,'JLR Materials'!$C:$C,IF(Settings!$B$2="","&lt;&gt;",Settings!$B$2),'JLR Materials'!$D:$D,IF(Settings!$B$4="","&lt;&gt;",Settings!$B$4)))</f>
        <v>0</v>
      </c>
      <c r="N140">
        <f>IF($L140&lt;&gt;1,0,SUMIFS('JLR Materials'!$F:$F,'JLR Materials'!$A:$A,$K140,'JLR Materials'!$C:$C,IF(Settings!$B$2="","&lt;&gt;",Settings!$B$2),'JLR Materials'!$D:$D,IF(Settings!$B$4="","&lt;&gt;",Settings!$B$4)))</f>
        <v>0</v>
      </c>
      <c r="O140">
        <f>IF($N140=0,0,IF(Settings!$B$5="percent",$M140*$N140/100,$N140))</f>
        <v>0</v>
      </c>
      <c r="P140">
        <f>IF($L140&lt;&gt;1,0,SUMIFS('JLR Materials'!$G:$G,'JLR Materials'!$A:$A,$K140,'JLR Materials'!$C:$C,IF(Settings!$B$2="","&lt;&gt;",Settings!$B$2),'JLR Materials'!$D:$D,IF(Settings!$B$4="","&lt;&gt;",Settings!$B$4)))</f>
        <v>0</v>
      </c>
    </row>
    <row r="141">
      <c r="A141" t="str">
        <v>mat-pa12</v>
      </c>
      <c r="B141" t="str">
        <v>PA12 (Nylon 12)</v>
      </c>
      <c r="C141" t="str">
        <v>Thermoplastic</v>
      </c>
      <c r="D141">
        <f>IF($M141&gt;0,$M141,8.5)</f>
        <v>8.5</v>
      </c>
      <c r="E141">
        <f>IF($O141&gt;0,$O141,0.1)</f>
        <v>0.1</v>
      </c>
      <c r="F141">
        <v>1010</v>
      </c>
      <c r="G141" t="str">
        <v>UK</v>
      </c>
      <c r="H141" t="str">
        <f>IF($M141&gt;0,IF($L141&lt;&gt;1,"2026-07",IFERROR(INDEX('JLR Materials'!$D:$D,MATCH($K141,'JLR Materials'!$A:$A,0)),"2026-07")),"2026-07")</f>
        <v>2026-07</v>
      </c>
      <c r="I141" t="str">
        <f>IF($M141&gt;0,"JLR rate card — material code "&amp;$K141,"UK resin distributor. Index-anchored 2026-07. Low-moisture, flexible polyamide — fuel/brake lines, air-brake tubing, quick-connectors. coolFactor ~2.2 s/mm².")</f>
        <v>UK resin distributor. Index-anchored 2026-07. Low-moisture, flexible polyamide — fuel/brake lines, air-brake tubing, quick-connectors. coolFactor ~2.2 s/mm².</v>
      </c>
      <c r="J141" t="str">
        <v>Low</v>
      </c>
      <c r="K141" t="str">
        <f>IFERROR(INDEX(Mapping!$C:$C,MATCH($A141,Mapping!$A:$A,0)),"")</f>
        <v/>
      </c>
      <c r="L141">
        <f>IF($K141="",0,COUNTIFS('JLR Materials'!$A:$A,$K141,'JLR Materials'!$C:$C,IF(Settings!$B$2="","&lt;&gt;",Settings!$B$2),'JLR Materials'!$D:$D,IF(Settings!$B$4="","&lt;&gt;",Settings!$B$4)))</f>
        <v>0</v>
      </c>
      <c r="M141">
        <f>IF($L141&lt;&gt;1,0,SUMIFS('JLR Materials'!$E:$E,'JLR Materials'!$A:$A,$K141,'JLR Materials'!$C:$C,IF(Settings!$B$2="","&lt;&gt;",Settings!$B$2),'JLR Materials'!$D:$D,IF(Settings!$B$4="","&lt;&gt;",Settings!$B$4)))</f>
        <v>0</v>
      </c>
      <c r="N141">
        <f>IF($L141&lt;&gt;1,0,SUMIFS('JLR Materials'!$F:$F,'JLR Materials'!$A:$A,$K141,'JLR Materials'!$C:$C,IF(Settings!$B$2="","&lt;&gt;",Settings!$B$2),'JLR Materials'!$D:$D,IF(Settings!$B$4="","&lt;&gt;",Settings!$B$4)))</f>
        <v>0</v>
      </c>
      <c r="O141">
        <f>IF($N141=0,0,IF(Settings!$B$5="percent",$M141*$N141/100,$N141))</f>
        <v>0</v>
      </c>
      <c r="P141">
        <f>IF($L141&lt;&gt;1,0,SUMIFS('JLR Materials'!$G:$G,'JLR Materials'!$A:$A,$K141,'JLR Materials'!$C:$C,IF(Settings!$B$2="","&lt;&gt;",Settings!$B$2),'JLR Materials'!$D:$D,IF(Settings!$B$4="","&lt;&gt;",Settings!$B$4)))</f>
        <v>0</v>
      </c>
    </row>
    <row r="142">
      <c r="A142" t="str">
        <v>mat-pc-pbt</v>
      </c>
      <c r="B142" t="str">
        <v>PC/PBT Blend</v>
      </c>
      <c r="C142" t="str">
        <v>Thermoplastic</v>
      </c>
      <c r="D142">
        <f>IF($M142&gt;0,$M142,3.2)</f>
        <v>3.2</v>
      </c>
      <c r="E142">
        <f>IF($O142&gt;0,$O142,0.08)</f>
        <v>0.08</v>
      </c>
      <c r="F142">
        <v>1210</v>
      </c>
      <c r="G142" t="str">
        <v>UK</v>
      </c>
      <c r="H142" t="str">
        <f>IF($M142&gt;0,IF($L142&lt;&gt;1,"2026-07",IFERROR(INDEX('JLR Materials'!$D:$D,MATCH($K142,'JLR Materials'!$A:$A,0)),"2026-07")),"2026-07")</f>
        <v>2026-07</v>
      </c>
      <c r="I142" t="str">
        <f>IF($M142&gt;0,"JLR rate card — material code "&amp;$K142,"UK resin distributor. Index-anchored 2026-07. Impact + chemical resistance — bumper beams, exterior body panels, sill covers. coolFactor ~2.3 s/mm².")</f>
        <v>UK resin distributor. Index-anchored 2026-07. Impact + chemical resistance — bumper beams, exterior body panels, sill covers. coolFactor ~2.3 s/mm².</v>
      </c>
      <c r="J142" t="str">
        <v>Low</v>
      </c>
      <c r="K142" t="str">
        <f>IFERROR(INDEX(Mapping!$C:$C,MATCH($A142,Mapping!$A:$A,0)),"")</f>
        <v/>
      </c>
      <c r="L142">
        <f>IF($K142="",0,COUNTIFS('JLR Materials'!$A:$A,$K142,'JLR Materials'!$C:$C,IF(Settings!$B$2="","&lt;&gt;",Settings!$B$2),'JLR Materials'!$D:$D,IF(Settings!$B$4="","&lt;&gt;",Settings!$B$4)))</f>
        <v>0</v>
      </c>
      <c r="M142">
        <f>IF($L142&lt;&gt;1,0,SUMIFS('JLR Materials'!$E:$E,'JLR Materials'!$A:$A,$K142,'JLR Materials'!$C:$C,IF(Settings!$B$2="","&lt;&gt;",Settings!$B$2),'JLR Materials'!$D:$D,IF(Settings!$B$4="","&lt;&gt;",Settings!$B$4)))</f>
        <v>0</v>
      </c>
      <c r="N142">
        <f>IF($L142&lt;&gt;1,0,SUMIFS('JLR Materials'!$F:$F,'JLR Materials'!$A:$A,$K142,'JLR Materials'!$C:$C,IF(Settings!$B$2="","&lt;&gt;",Settings!$B$2),'JLR Materials'!$D:$D,IF(Settings!$B$4="","&lt;&gt;",Settings!$B$4)))</f>
        <v>0</v>
      </c>
      <c r="O142">
        <f>IF($N142=0,0,IF(Settings!$B$5="percent",$M142*$N142/100,$N142))</f>
        <v>0</v>
      </c>
      <c r="P142">
        <f>IF($L142&lt;&gt;1,0,SUMIFS('JLR Materials'!$G:$G,'JLR Materials'!$A:$A,$K142,'JLR Materials'!$C:$C,IF(Settings!$B$2="","&lt;&gt;",Settings!$B$2),'JLR Materials'!$D:$D,IF(Settings!$B$4="","&lt;&gt;",Settings!$B$4)))</f>
        <v>0</v>
      </c>
    </row>
    <row r="143">
      <c r="A143" t="str">
        <v>mat-mppe</v>
      </c>
      <c r="B143" t="str">
        <v>mPPE / PPO (Noryl-type)</v>
      </c>
      <c r="C143" t="str">
        <v>Thermoplastic</v>
      </c>
      <c r="D143">
        <f>IF($M143&gt;0,$M143,3.4)</f>
        <v>3.4</v>
      </c>
      <c r="E143">
        <f>IF($O143&gt;0,$O143,0.08)</f>
        <v>0.08</v>
      </c>
      <c r="F143">
        <v>1090</v>
      </c>
      <c r="G143" t="str">
        <v>UK</v>
      </c>
      <c r="H143" t="str">
        <f>IF($M143&gt;0,IF($L143&lt;&gt;1,"2026-07",IFERROR(INDEX('JLR Materials'!$D:$D,MATCH($K143,'JLR Materials'!$A:$A,0)),"2026-07")),"2026-07")</f>
        <v>2026-07</v>
      </c>
      <c r="I143" t="str">
        <f>IF($M143&gt;0,"JLR rate card — material code "&amp;$K143,"UK resin distributor. Index-anchored 2026-07. Modified PPE — dimensional stability, low moisture — EV battery components, e-mobility, panels. coolFactor ~2.2 s/mm².")</f>
        <v>UK resin distributor. Index-anchored 2026-07. Modified PPE — dimensional stability, low moisture — EV battery components, e-mobility, panels. coolFactor ~2.2 s/mm².</v>
      </c>
      <c r="J143" t="str">
        <v>Low</v>
      </c>
      <c r="K143" t="str">
        <f>IFERROR(INDEX(Mapping!$C:$C,MATCH($A143,Mapping!$A:$A,0)),"")</f>
        <v/>
      </c>
      <c r="L143">
        <f>IF($K143="",0,COUNTIFS('JLR Materials'!$A:$A,$K143,'JLR Materials'!$C:$C,IF(Settings!$B$2="","&lt;&gt;",Settings!$B$2),'JLR Materials'!$D:$D,IF(Settings!$B$4="","&lt;&gt;",Settings!$B$4)))</f>
        <v>0</v>
      </c>
      <c r="M143">
        <f>IF($L143&lt;&gt;1,0,SUMIFS('JLR Materials'!$E:$E,'JLR Materials'!$A:$A,$K143,'JLR Materials'!$C:$C,IF(Settings!$B$2="","&lt;&gt;",Settings!$B$2),'JLR Materials'!$D:$D,IF(Settings!$B$4="","&lt;&gt;",Settings!$B$4)))</f>
        <v>0</v>
      </c>
      <c r="N143">
        <f>IF($L143&lt;&gt;1,0,SUMIFS('JLR Materials'!$F:$F,'JLR Materials'!$A:$A,$K143,'JLR Materials'!$C:$C,IF(Settings!$B$2="","&lt;&gt;",Settings!$B$2),'JLR Materials'!$D:$D,IF(Settings!$B$4="","&lt;&gt;",Settings!$B$4)))</f>
        <v>0</v>
      </c>
      <c r="O143">
        <f>IF($N143=0,0,IF(Settings!$B$5="percent",$M143*$N143/100,$N143))</f>
        <v>0</v>
      </c>
      <c r="P143">
        <f>IF($L143&lt;&gt;1,0,SUMIFS('JLR Materials'!$G:$G,'JLR Materials'!$A:$A,$K143,'JLR Materials'!$C:$C,IF(Settings!$B$2="","&lt;&gt;",Settings!$B$2),'JLR Materials'!$D:$D,IF(Settings!$B$4="","&lt;&gt;",Settings!$B$4)))</f>
        <v>0</v>
      </c>
    </row>
    <row r="144">
      <c r="A144" t="str">
        <v>mat-pc-fr</v>
      </c>
      <c r="B144" t="str">
        <v>PC FR (UL94 V0)</v>
      </c>
      <c r="C144" t="str">
        <v>Thermoplastic</v>
      </c>
      <c r="D144">
        <f>IF($M144&gt;0,$M144,3.6)</f>
        <v>3.6</v>
      </c>
      <c r="E144">
        <f>IF($O144&gt;0,$O144,0.08)</f>
        <v>0.08</v>
      </c>
      <c r="F144">
        <v>1220</v>
      </c>
      <c r="G144" t="str">
        <v>UK</v>
      </c>
      <c r="H144" t="str">
        <f>IF($M144&gt;0,IF($L144&lt;&gt;1,"2026-07",IFERROR(INDEX('JLR Materials'!$D:$D,MATCH($K144,'JLR Materials'!$A:$A,0)),"2026-07")),"2026-07")</f>
        <v>2026-07</v>
      </c>
      <c r="I144" t="str">
        <f>IF($M144&gt;0,"JLR rate card — material code "&amp;$K144,"UK resin distributor. Index-anchored 2026-07. Flame-retardant PC — EV enclosures, chargers, HV connectors, electronics. coolFactor ~2.5 s/mm².")</f>
        <v>UK resin distributor. Index-anchored 2026-07. Flame-retardant PC — EV enclosures, chargers, HV connectors, electronics. coolFactor ~2.5 s/mm².</v>
      </c>
      <c r="J144" t="str">
        <v>Low</v>
      </c>
      <c r="K144" t="str">
        <f>IFERROR(INDEX(Mapping!$C:$C,MATCH($A144,Mapping!$A:$A,0)),"")</f>
        <v/>
      </c>
      <c r="L144">
        <f>IF($K144="",0,COUNTIFS('JLR Materials'!$A:$A,$K144,'JLR Materials'!$C:$C,IF(Settings!$B$2="","&lt;&gt;",Settings!$B$2),'JLR Materials'!$D:$D,IF(Settings!$B$4="","&lt;&gt;",Settings!$B$4)))</f>
        <v>0</v>
      </c>
      <c r="M144">
        <f>IF($L144&lt;&gt;1,0,SUMIFS('JLR Materials'!$E:$E,'JLR Materials'!$A:$A,$K144,'JLR Materials'!$C:$C,IF(Settings!$B$2="","&lt;&gt;",Settings!$B$2),'JLR Materials'!$D:$D,IF(Settings!$B$4="","&lt;&gt;",Settings!$B$4)))</f>
        <v>0</v>
      </c>
      <c r="N144">
        <f>IF($L144&lt;&gt;1,0,SUMIFS('JLR Materials'!$F:$F,'JLR Materials'!$A:$A,$K144,'JLR Materials'!$C:$C,IF(Settings!$B$2="","&lt;&gt;",Settings!$B$2),'JLR Materials'!$D:$D,IF(Settings!$B$4="","&lt;&gt;",Settings!$B$4)))</f>
        <v>0</v>
      </c>
      <c r="O144">
        <f>IF($N144=0,0,IF(Settings!$B$5="percent",$M144*$N144/100,$N144))</f>
        <v>0</v>
      </c>
      <c r="P144">
        <f>IF($L144&lt;&gt;1,0,SUMIFS('JLR Materials'!$G:$G,'JLR Materials'!$A:$A,$K144,'JLR Materials'!$C:$C,IF(Settings!$B$2="","&lt;&gt;",Settings!$B$2),'JLR Materials'!$D:$D,IF(Settings!$B$4="","&lt;&gt;",Settings!$B$4)))</f>
        <v>0</v>
      </c>
    </row>
    <row r="145">
      <c r="A145" t="str">
        <v>mat-pa66-gf25-fr</v>
      </c>
      <c r="B145" t="str">
        <v>PA66 GF25 FR (UL94 V0)</v>
      </c>
      <c r="C145" t="str">
        <v>Thermoplastic</v>
      </c>
      <c r="D145">
        <f>IF($M145&gt;0,$M145,4.2)</f>
        <v>4.2</v>
      </c>
      <c r="E145">
        <f>IF($O145&gt;0,$O145,0.05)</f>
        <v>0.05</v>
      </c>
      <c r="F145">
        <v>1450</v>
      </c>
      <c r="G145" t="str">
        <v>UK</v>
      </c>
      <c r="H145" t="str">
        <f>IF($M145&gt;0,IF($L145&lt;&gt;1,"2026-07",IFERROR(INDEX('JLR Materials'!$D:$D,MATCH($K145,'JLR Materials'!$A:$A,0)),"2026-07")),"2026-07")</f>
        <v>2026-07</v>
      </c>
      <c r="I145" t="str">
        <f>IF($M145&gt;0,"JLR rate card — material code "&amp;$K145,"UK resin distributor. Index-anchored 2026-07. Halogen-free FR glass-filled PA66 — HV connectors, busbar carriers, EV. coolFactor ~2.0 s/mm².")</f>
        <v>UK resin distributor. Index-anchored 2026-07. Halogen-free FR glass-filled PA66 — HV connectors, busbar carriers, EV. coolFactor ~2.0 s/mm².</v>
      </c>
      <c r="J145" t="str">
        <v>Low</v>
      </c>
      <c r="K145" t="str">
        <f>IFERROR(INDEX(Mapping!$C:$C,MATCH($A145,Mapping!$A:$A,0)),"")</f>
        <v/>
      </c>
      <c r="L145">
        <f>IF($K145="",0,COUNTIFS('JLR Materials'!$A:$A,$K145,'JLR Materials'!$C:$C,IF(Settings!$B$2="","&lt;&gt;",Settings!$B$2),'JLR Materials'!$D:$D,IF(Settings!$B$4="","&lt;&gt;",Settings!$B$4)))</f>
        <v>0</v>
      </c>
      <c r="M145">
        <f>IF($L145&lt;&gt;1,0,SUMIFS('JLR Materials'!$E:$E,'JLR Materials'!$A:$A,$K145,'JLR Materials'!$C:$C,IF(Settings!$B$2="","&lt;&gt;",Settings!$B$2),'JLR Materials'!$D:$D,IF(Settings!$B$4="","&lt;&gt;",Settings!$B$4)))</f>
        <v>0</v>
      </c>
      <c r="N145">
        <f>IF($L145&lt;&gt;1,0,SUMIFS('JLR Materials'!$F:$F,'JLR Materials'!$A:$A,$K145,'JLR Materials'!$C:$C,IF(Settings!$B$2="","&lt;&gt;",Settings!$B$2),'JLR Materials'!$D:$D,IF(Settings!$B$4="","&lt;&gt;",Settings!$B$4)))</f>
        <v>0</v>
      </c>
      <c r="O145">
        <f>IF($N145=0,0,IF(Settings!$B$5="percent",$M145*$N145/100,$N145))</f>
        <v>0</v>
      </c>
      <c r="P145">
        <f>IF($L145&lt;&gt;1,0,SUMIFS('JLR Materials'!$G:$G,'JLR Materials'!$A:$A,$K145,'JLR Materials'!$C:$C,IF(Settings!$B$2="","&lt;&gt;",Settings!$B$2),'JLR Materials'!$D:$D,IF(Settings!$B$4="","&lt;&gt;",Settings!$B$4)))</f>
        <v>0</v>
      </c>
    </row>
    <row r="146">
      <c r="A146" t="str">
        <v>mat-pcr-pp</v>
      </c>
      <c r="B146" t="str">
        <v>PCR PP (Post-Consumer Recycled)</v>
      </c>
      <c r="C146" t="str">
        <v>Thermoplastic</v>
      </c>
      <c r="D146">
        <f>IF($M146&gt;0,$M146,0.95)</f>
        <v>0.95</v>
      </c>
      <c r="E146">
        <f>IF($O146&gt;0,$O146,0.1)</f>
        <v>0.1</v>
      </c>
      <c r="F146">
        <v>905</v>
      </c>
      <c r="G146" t="str">
        <v>UK</v>
      </c>
      <c r="H146" t="str">
        <f>IF($M146&gt;0,IF($L146&lt;&gt;1,"2026-07",IFERROR(INDEX('JLR Materials'!$D:$D,MATCH($K146,'JLR Materials'!$A:$A,0)),"2026-07")),"2026-07")</f>
        <v>2026-07</v>
      </c>
      <c r="I146" t="str">
        <f>IF($M146&gt;0,"JLR rate card — material code "&amp;$K146,"UK recycler. Index-anchored 2026-07. Recycled PP — non-visible trim, wheel-arch liners, under-body. ~10% cheaper than virgin, far lower CO₂; wider property tolerance. coolFactor ~3.16 s/mm².")</f>
        <v>UK recycler. Index-anchored 2026-07. Recycled PP — non-visible trim, wheel-arch liners, under-body. ~10% cheaper than virgin, far lower CO₂; wider property tolerance. coolFactor ~3.16 s/mm².</v>
      </c>
      <c r="J146" t="str">
        <v>Low</v>
      </c>
      <c r="K146" t="str">
        <f>IFERROR(INDEX(Mapping!$C:$C,MATCH($A146,Mapping!$A:$A,0)),"")</f>
        <v/>
      </c>
      <c r="L146">
        <f>IF($K146="",0,COUNTIFS('JLR Materials'!$A:$A,$K146,'JLR Materials'!$C:$C,IF(Settings!$B$2="","&lt;&gt;",Settings!$B$2),'JLR Materials'!$D:$D,IF(Settings!$B$4="","&lt;&gt;",Settings!$B$4)))</f>
        <v>0</v>
      </c>
      <c r="M146">
        <f>IF($L146&lt;&gt;1,0,SUMIFS('JLR Materials'!$E:$E,'JLR Materials'!$A:$A,$K146,'JLR Materials'!$C:$C,IF(Settings!$B$2="","&lt;&gt;",Settings!$B$2),'JLR Materials'!$D:$D,IF(Settings!$B$4="","&lt;&gt;",Settings!$B$4)))</f>
        <v>0</v>
      </c>
      <c r="N146">
        <f>IF($L146&lt;&gt;1,0,SUMIFS('JLR Materials'!$F:$F,'JLR Materials'!$A:$A,$K146,'JLR Materials'!$C:$C,IF(Settings!$B$2="","&lt;&gt;",Settings!$B$2),'JLR Materials'!$D:$D,IF(Settings!$B$4="","&lt;&gt;",Settings!$B$4)))</f>
        <v>0</v>
      </c>
      <c r="O146">
        <f>IF($N146=0,0,IF(Settings!$B$5="percent",$M146*$N146/100,$N146))</f>
        <v>0</v>
      </c>
      <c r="P146">
        <f>IF($L146&lt;&gt;1,0,SUMIFS('JLR Materials'!$G:$G,'JLR Materials'!$A:$A,$K146,'JLR Materials'!$C:$C,IF(Settings!$B$2="","&lt;&gt;",Settings!$B$2),'JLR Materials'!$D:$D,IF(Settings!$B$4="","&lt;&gt;",Settings!$B$4)))</f>
        <v>0</v>
      </c>
    </row>
    <row r="147">
      <c r="A147" t="str">
        <v>mat-bio-pa610</v>
      </c>
      <c r="B147" t="str">
        <v>Bio-PA610 (Castor-based)</v>
      </c>
      <c r="C147" t="str">
        <v>High-Performance Thermoplastic</v>
      </c>
      <c r="D147">
        <f>IF($M147&gt;0,$M147,5.5)</f>
        <v>5.5</v>
      </c>
      <c r="E147">
        <f>IF($O147&gt;0,$O147,0.1)</f>
        <v>0.1</v>
      </c>
      <c r="F147">
        <v>1070</v>
      </c>
      <c r="G147" t="str">
        <v>UK</v>
      </c>
      <c r="H147" t="str">
        <f>IF($M147&gt;0,IF($L147&lt;&gt;1,"2026-07",IFERROR(INDEX('JLR Materials'!$D:$D,MATCH($K147,'JLR Materials'!$A:$A,0)),"2026-07")),"2026-07")</f>
        <v>2026-07</v>
      </c>
      <c r="I147" t="str">
        <f>IF($M147&gt;0,"JLR rate card — material code "&amp;$K147,"UK resin distributor. Index-anchored 2026-07. Partly bio-based polyamide — low moisture uptake, sustainable structural/fuel-system parts. coolFactor ~2.1 s/mm².")</f>
        <v>UK resin distributor. Index-anchored 2026-07. Partly bio-based polyamide — low moisture uptake, sustainable structural/fuel-system parts. coolFactor ~2.1 s/mm².</v>
      </c>
      <c r="J147" t="str">
        <v>Low</v>
      </c>
      <c r="K147" t="str">
        <f>IFERROR(INDEX(Mapping!$C:$C,MATCH($A147,Mapping!$A:$A,0)),"")</f>
        <v/>
      </c>
      <c r="L147">
        <f>IF($K147="",0,COUNTIFS('JLR Materials'!$A:$A,$K147,'JLR Materials'!$C:$C,IF(Settings!$B$2="","&lt;&gt;",Settings!$B$2),'JLR Materials'!$D:$D,IF(Settings!$B$4="","&lt;&gt;",Settings!$B$4)))</f>
        <v>0</v>
      </c>
      <c r="M147">
        <f>IF($L147&lt;&gt;1,0,SUMIFS('JLR Materials'!$E:$E,'JLR Materials'!$A:$A,$K147,'JLR Materials'!$C:$C,IF(Settings!$B$2="","&lt;&gt;",Settings!$B$2),'JLR Materials'!$D:$D,IF(Settings!$B$4="","&lt;&gt;",Settings!$B$4)))</f>
        <v>0</v>
      </c>
      <c r="N147">
        <f>IF($L147&lt;&gt;1,0,SUMIFS('JLR Materials'!$F:$F,'JLR Materials'!$A:$A,$K147,'JLR Materials'!$C:$C,IF(Settings!$B$2="","&lt;&gt;",Settings!$B$2),'JLR Materials'!$D:$D,IF(Settings!$B$4="","&lt;&gt;",Settings!$B$4)))</f>
        <v>0</v>
      </c>
      <c r="O147">
        <f>IF($N147=0,0,IF(Settings!$B$5="percent",$M147*$N147/100,$N147))</f>
        <v>0</v>
      </c>
      <c r="P147">
        <f>IF($L147&lt;&gt;1,0,SUMIFS('JLR Materials'!$G:$G,'JLR Materials'!$A:$A,$K147,'JLR Materials'!$C:$C,IF(Settings!$B$2="","&lt;&gt;",Settings!$B$2),'JLR Materials'!$D:$D,IF(Settings!$B$4="","&lt;&gt;",Settings!$B$4)))</f>
        <v>0</v>
      </c>
    </row>
    <row r="148">
      <c r="A148" t="str">
        <v>mat-pc-glazing</v>
      </c>
      <c r="B148" t="str">
        <v>PC Glazing Grade (Automotive)</v>
      </c>
      <c r="C148" t="str">
        <v>Thermoplastic</v>
      </c>
      <c r="D148">
        <f>IF($M148&gt;0,$M148,4.2)</f>
        <v>4.2</v>
      </c>
      <c r="E148">
        <f>IF($O148&gt;0,$O148,0.08)</f>
        <v>0.08</v>
      </c>
      <c r="F148">
        <v>1200</v>
      </c>
      <c r="G148" t="str">
        <v>UK</v>
      </c>
      <c r="H148" t="str">
        <f>IF($M148&gt;0,IF($L148&lt;&gt;1,"2026-07",IFERROR(INDEX('JLR Materials'!$D:$D,MATCH($K148,'JLR Materials'!$A:$A,0)),"2026-07")),"2026-07")</f>
        <v>2026-07</v>
      </c>
      <c r="I148" t="str">
        <f>IF($M148&gt;0,"JLR rate card — material code "&amp;$K148,"UK resin distributor. Index-anchored 2026-07. Hard-coat-ready PC for polycarbonate glazing — panoramic roofs, fixed side windows, lightweighting vs glass. coolFactor ~2.5 s/mm².")</f>
        <v>UK resin distributor. Index-anchored 2026-07. Hard-coat-ready PC for polycarbonate glazing — panoramic roofs, fixed side windows, lightweighting vs glass. coolFactor ~2.5 s/mm².</v>
      </c>
      <c r="J148" t="str">
        <v>Low</v>
      </c>
      <c r="K148" t="str">
        <f>IFERROR(INDEX(Mapping!$C:$C,MATCH($A148,Mapping!$A:$A,0)),"")</f>
        <v/>
      </c>
      <c r="L148">
        <f>IF($K148="",0,COUNTIFS('JLR Materials'!$A:$A,$K148,'JLR Materials'!$C:$C,IF(Settings!$B$2="","&lt;&gt;",Settings!$B$2),'JLR Materials'!$D:$D,IF(Settings!$B$4="","&lt;&gt;",Settings!$B$4)))</f>
        <v>0</v>
      </c>
      <c r="M148">
        <f>IF($L148&lt;&gt;1,0,SUMIFS('JLR Materials'!$E:$E,'JLR Materials'!$A:$A,$K148,'JLR Materials'!$C:$C,IF(Settings!$B$2="","&lt;&gt;",Settings!$B$2),'JLR Materials'!$D:$D,IF(Settings!$B$4="","&lt;&gt;",Settings!$B$4)))</f>
        <v>0</v>
      </c>
      <c r="N148">
        <f>IF($L148&lt;&gt;1,0,SUMIFS('JLR Materials'!$F:$F,'JLR Materials'!$A:$A,$K148,'JLR Materials'!$C:$C,IF(Settings!$B$2="","&lt;&gt;",Settings!$B$2),'JLR Materials'!$D:$D,IF(Settings!$B$4="","&lt;&gt;",Settings!$B$4)))</f>
        <v>0</v>
      </c>
      <c r="O148">
        <f>IF($N148=0,0,IF(Settings!$B$5="percent",$M148*$N148/100,$N148))</f>
        <v>0</v>
      </c>
      <c r="P148">
        <f>IF($L148&lt;&gt;1,0,SUMIFS('JLR Materials'!$G:$G,'JLR Materials'!$A:$A,$K148,'JLR Materials'!$C:$C,IF(Settings!$B$2="","&lt;&gt;",Settings!$B$2),'JLR Materials'!$D:$D,IF(Settings!$B$4="","&lt;&gt;",Settings!$B$4)))</f>
        <v>0</v>
      </c>
    </row>
    <row r="149">
      <c r="A149" t="str">
        <v>mat-adc12</v>
      </c>
      <c r="B149" t="str">
        <v>ADC12 / A383</v>
      </c>
      <c r="C149" t="str">
        <v>Die Cast Aluminium</v>
      </c>
      <c r="D149">
        <f>IF($M149&gt;0,$M149,2.78)</f>
        <v>2.78</v>
      </c>
      <c r="E149">
        <f>IF($O149&gt;0,$O149,0.55)</f>
        <v>0.55</v>
      </c>
      <c r="F149">
        <v>2700</v>
      </c>
      <c r="G149" t="str">
        <v>UK</v>
      </c>
      <c r="H149" t="str">
        <f>IF($M149&gt;0,IF($L149&lt;&gt;1,"2026-07",IFERROR(INDEX('JLR Materials'!$D:$D,MATCH($K149,'JLR Materials'!$A:$A,0)),"2026-07")),"2026-07")</f>
        <v>2026-07</v>
      </c>
      <c r="I149" t="str">
        <f>IF($M149&gt;0,"JLR rate card — material code "&amp;$K149,"UK Al alloy ingot, Jun 2026. Index-anchored 2026-07 (see CASTING PRICING BASIS).")</f>
        <v>UK Al alloy ingot, Jun 2026. Index-anchored 2026-07 (see CASTING PRICING BASIS).</v>
      </c>
      <c r="J149" t="str">
        <v>Medium</v>
      </c>
      <c r="K149" t="str">
        <f>IFERROR(INDEX(Mapping!$C:$C,MATCH($A149,Mapping!$A:$A,0)),"")</f>
        <v/>
      </c>
      <c r="L149">
        <f>IF($K149="",0,COUNTIFS('JLR Materials'!$A:$A,$K149,'JLR Materials'!$C:$C,IF(Settings!$B$2="","&lt;&gt;",Settings!$B$2),'JLR Materials'!$D:$D,IF(Settings!$B$4="","&lt;&gt;",Settings!$B$4)))</f>
        <v>0</v>
      </c>
      <c r="M149">
        <f>IF($L149&lt;&gt;1,0,SUMIFS('JLR Materials'!$E:$E,'JLR Materials'!$A:$A,$K149,'JLR Materials'!$C:$C,IF(Settings!$B$2="","&lt;&gt;",Settings!$B$2),'JLR Materials'!$D:$D,IF(Settings!$B$4="","&lt;&gt;",Settings!$B$4)))</f>
        <v>0</v>
      </c>
      <c r="N149">
        <f>IF($L149&lt;&gt;1,0,SUMIFS('JLR Materials'!$F:$F,'JLR Materials'!$A:$A,$K149,'JLR Materials'!$C:$C,IF(Settings!$B$2="","&lt;&gt;",Settings!$B$2),'JLR Materials'!$D:$D,IF(Settings!$B$4="","&lt;&gt;",Settings!$B$4)))</f>
        <v>0</v>
      </c>
      <c r="O149">
        <f>IF($N149=0,0,IF(Settings!$B$5="percent",$M149*$N149/100,$N149))</f>
        <v>0</v>
      </c>
      <c r="P149">
        <f>IF($L149&lt;&gt;1,0,SUMIFS('JLR Materials'!$G:$G,'JLR Materials'!$A:$A,$K149,'JLR Materials'!$C:$C,IF(Settings!$B$2="","&lt;&gt;",Settings!$B$2),'JLR Materials'!$D:$D,IF(Settings!$B$4="","&lt;&gt;",Settings!$B$4)))</f>
        <v>0</v>
      </c>
    </row>
    <row r="150">
      <c r="A150" t="str">
        <v>mat-a380</v>
      </c>
      <c r="B150" t="str">
        <v>A380 / EN AC-46000 (Al-Si Die-Cast Alloy)</v>
      </c>
      <c r="C150" t="str">
        <v>Die Cast Aluminium</v>
      </c>
      <c r="D150">
        <f>IF($M150&gt;0,$M150,2.83)</f>
        <v>2.83</v>
      </c>
      <c r="E150">
        <f>IF($O150&gt;0,$O150,0.55)</f>
        <v>0.55</v>
      </c>
      <c r="F150">
        <v>2680</v>
      </c>
      <c r="G150" t="str">
        <v>UK</v>
      </c>
      <c r="H150" t="str">
        <f>IF($M150&gt;0,IF($L150&lt;&gt;1,"2026-07",IFERROR(INDEX('JLR Materials'!$D:$D,MATCH($K150,'JLR Materials'!$A:$A,0)),"2026-07")),"2026-07")</f>
        <v>2026-07</v>
      </c>
      <c r="I150" t="str">
        <f>IF($M150&gt;0,"JLR rate card — material code "&amp;$K150,"UK Al alloy ingot, Jun 2026. Index-anchored 2026-07 (see CASTING PRICING BASIS).")</f>
        <v>UK Al alloy ingot, Jun 2026. Index-anchored 2026-07 (see CASTING PRICING BASIS).</v>
      </c>
      <c r="J150" t="str">
        <v>Medium</v>
      </c>
      <c r="K150" t="str">
        <f>IFERROR(INDEX(Mapping!$C:$C,MATCH($A150,Mapping!$A:$A,0)),"")</f>
        <v/>
      </c>
      <c r="L150">
        <f>IF($K150="",0,COUNTIFS('JLR Materials'!$A:$A,$K150,'JLR Materials'!$C:$C,IF(Settings!$B$2="","&lt;&gt;",Settings!$B$2),'JLR Materials'!$D:$D,IF(Settings!$B$4="","&lt;&gt;",Settings!$B$4)))</f>
        <v>0</v>
      </c>
      <c r="M150">
        <f>IF($L150&lt;&gt;1,0,SUMIFS('JLR Materials'!$E:$E,'JLR Materials'!$A:$A,$K150,'JLR Materials'!$C:$C,IF(Settings!$B$2="","&lt;&gt;",Settings!$B$2),'JLR Materials'!$D:$D,IF(Settings!$B$4="","&lt;&gt;",Settings!$B$4)))</f>
        <v>0</v>
      </c>
      <c r="N150">
        <f>IF($L150&lt;&gt;1,0,SUMIFS('JLR Materials'!$F:$F,'JLR Materials'!$A:$A,$K150,'JLR Materials'!$C:$C,IF(Settings!$B$2="","&lt;&gt;",Settings!$B$2),'JLR Materials'!$D:$D,IF(Settings!$B$4="","&lt;&gt;",Settings!$B$4)))</f>
        <v>0</v>
      </c>
      <c r="O150">
        <f>IF($N150=0,0,IF(Settings!$B$5="percent",$M150*$N150/100,$N150))</f>
        <v>0</v>
      </c>
      <c r="P150">
        <f>IF($L150&lt;&gt;1,0,SUMIFS('JLR Materials'!$G:$G,'JLR Materials'!$A:$A,$K150,'JLR Materials'!$C:$C,IF(Settings!$B$2="","&lt;&gt;",Settings!$B$2),'JLR Materials'!$D:$D,IF(Settings!$B$4="","&lt;&gt;",Settings!$B$4)))</f>
        <v>0</v>
      </c>
    </row>
    <row r="151">
      <c r="A151" t="str">
        <v>mat-gjl250</v>
      </c>
      <c r="B151" t="str">
        <v>EN-GJL-250</v>
      </c>
      <c r="C151" t="str">
        <v>Grey Cast Iron</v>
      </c>
      <c r="D151">
        <f>IF($M151&gt;0,$M151,0.64)</f>
        <v>0.64</v>
      </c>
      <c r="E151">
        <f>IF($O151&gt;0,$O151,0.12)</f>
        <v>0.12</v>
      </c>
      <c r="F151">
        <v>7200</v>
      </c>
      <c r="G151" t="str">
        <v>UK</v>
      </c>
      <c r="H151" t="str">
        <f>IF($M151&gt;0,IF($L151&lt;&gt;1,"2026-07",IFERROR(INDEX('JLR Materials'!$D:$D,MATCH($K151,'JLR Materials'!$A:$A,0)),"2026-07")),"2026-07")</f>
        <v>2026-07</v>
      </c>
      <c r="I151" t="str">
        <f>IF($M151&gt;0,"JLR rate card — material code "&amp;$K151,"UK iron foundry, Jun 2026. Index-anchored 2026-07 (see CASTING PRICING BASIS).")</f>
        <v>UK iron foundry, Jun 2026. Index-anchored 2026-07 (see CASTING PRICING BASIS).</v>
      </c>
      <c r="J151" t="str">
        <v>Low</v>
      </c>
      <c r="K151" t="str">
        <f>IFERROR(INDEX(Mapping!$C:$C,MATCH($A151,Mapping!$A:$A,0)),"")</f>
        <v/>
      </c>
      <c r="L151">
        <f>IF($K151="",0,COUNTIFS('JLR Materials'!$A:$A,$K151,'JLR Materials'!$C:$C,IF(Settings!$B$2="","&lt;&gt;",Settings!$B$2),'JLR Materials'!$D:$D,IF(Settings!$B$4="","&lt;&gt;",Settings!$B$4)))</f>
        <v>0</v>
      </c>
      <c r="M151">
        <f>IF($L151&lt;&gt;1,0,SUMIFS('JLR Materials'!$E:$E,'JLR Materials'!$A:$A,$K151,'JLR Materials'!$C:$C,IF(Settings!$B$2="","&lt;&gt;",Settings!$B$2),'JLR Materials'!$D:$D,IF(Settings!$B$4="","&lt;&gt;",Settings!$B$4)))</f>
        <v>0</v>
      </c>
      <c r="N151">
        <f>IF($L151&lt;&gt;1,0,SUMIFS('JLR Materials'!$F:$F,'JLR Materials'!$A:$A,$K151,'JLR Materials'!$C:$C,IF(Settings!$B$2="","&lt;&gt;",Settings!$B$2),'JLR Materials'!$D:$D,IF(Settings!$B$4="","&lt;&gt;",Settings!$B$4)))</f>
        <v>0</v>
      </c>
      <c r="O151">
        <f>IF($N151=0,0,IF(Settings!$B$5="percent",$M151*$N151/100,$N151))</f>
        <v>0</v>
      </c>
      <c r="P151">
        <f>IF($L151&lt;&gt;1,0,SUMIFS('JLR Materials'!$G:$G,'JLR Materials'!$A:$A,$K151,'JLR Materials'!$C:$C,IF(Settings!$B$2="","&lt;&gt;",Settings!$B$2),'JLR Materials'!$D:$D,IF(Settings!$B$4="","&lt;&gt;",Settings!$B$4)))</f>
        <v>0</v>
      </c>
    </row>
    <row r="152">
      <c r="A152" t="str">
        <v>mat-lm25</v>
      </c>
      <c r="B152" t="str">
        <v>LM25 / A356</v>
      </c>
      <c r="C152" t="str">
        <v>Gravity/Sand Aluminium</v>
      </c>
      <c r="D152">
        <f>IF($M152&gt;0,$M152,3.04)</f>
        <v>3.04</v>
      </c>
      <c r="E152">
        <f>IF($O152&gt;0,$O152,0.55)</f>
        <v>0.55</v>
      </c>
      <c r="F152">
        <v>2680</v>
      </c>
      <c r="G152" t="str">
        <v>UK</v>
      </c>
      <c r="H152" t="str">
        <f>IF($M152&gt;0,IF($L152&lt;&gt;1,"2026-07",IFERROR(INDEX('JLR Materials'!$D:$D,MATCH($K152,'JLR Materials'!$A:$A,0)),"2026-07")),"2026-07")</f>
        <v>2026-07</v>
      </c>
      <c r="I152" t="str">
        <f>IF($M152&gt;0,"JLR rate card — material code "&amp;$K152,"UK Al alloy ingot, Jun 2026. Index-anchored 2026-07 (see CASTING PRICING BASIS).")</f>
        <v>UK Al alloy ingot, Jun 2026. Index-anchored 2026-07 (see CASTING PRICING BASIS).</v>
      </c>
      <c r="J152" t="str">
        <v>Medium</v>
      </c>
      <c r="K152" t="str">
        <f>IFERROR(INDEX(Mapping!$C:$C,MATCH($A152,Mapping!$A:$A,0)),"")</f>
        <v/>
      </c>
      <c r="L152">
        <f>IF($K152="",0,COUNTIFS('JLR Materials'!$A:$A,$K152,'JLR Materials'!$C:$C,IF(Settings!$B$2="","&lt;&gt;",Settings!$B$2),'JLR Materials'!$D:$D,IF(Settings!$B$4="","&lt;&gt;",Settings!$B$4)))</f>
        <v>0</v>
      </c>
      <c r="M152">
        <f>IF($L152&lt;&gt;1,0,SUMIFS('JLR Materials'!$E:$E,'JLR Materials'!$A:$A,$K152,'JLR Materials'!$C:$C,IF(Settings!$B$2="","&lt;&gt;",Settings!$B$2),'JLR Materials'!$D:$D,IF(Settings!$B$4="","&lt;&gt;",Settings!$B$4)))</f>
        <v>0</v>
      </c>
      <c r="N152">
        <f>IF($L152&lt;&gt;1,0,SUMIFS('JLR Materials'!$F:$F,'JLR Materials'!$A:$A,$K152,'JLR Materials'!$C:$C,IF(Settings!$B$2="","&lt;&gt;",Settings!$B$2),'JLR Materials'!$D:$D,IF(Settings!$B$4="","&lt;&gt;",Settings!$B$4)))</f>
        <v>0</v>
      </c>
      <c r="O152">
        <f>IF($N152=0,0,IF(Settings!$B$5="percent",$M152*$N152/100,$N152))</f>
        <v>0</v>
      </c>
      <c r="P152">
        <f>IF($L152&lt;&gt;1,0,SUMIFS('JLR Materials'!$G:$G,'JLR Materials'!$A:$A,$K152,'JLR Materials'!$C:$C,IF(Settings!$B$2="","&lt;&gt;",Settings!$B$2),'JLR Materials'!$D:$D,IF(Settings!$B$4="","&lt;&gt;",Settings!$B$4)))</f>
        <v>0</v>
      </c>
    </row>
    <row r="153">
      <c r="A153" t="str">
        <v>mat-gjl350</v>
      </c>
      <c r="B153" t="str">
        <v>EN-GJL-350</v>
      </c>
      <c r="C153" t="str">
        <v>Grey Cast Iron</v>
      </c>
      <c r="D153">
        <f>IF($M153&gt;0,$M153,0.74)</f>
        <v>0.74</v>
      </c>
      <c r="E153">
        <f>IF($O153&gt;0,$O153,0.12)</f>
        <v>0.12</v>
      </c>
      <c r="F153">
        <v>7200</v>
      </c>
      <c r="G153" t="str">
        <v>UK</v>
      </c>
      <c r="H153" t="str">
        <f>IF($M153&gt;0,IF($L153&lt;&gt;1,"2026-07",IFERROR(INDEX('JLR Materials'!$D:$D,MATCH($K153,'JLR Materials'!$A:$A,0)),"2026-07")),"2026-07")</f>
        <v>2026-07</v>
      </c>
      <c r="I153" t="str">
        <f>IF($M153&gt;0,"JLR rate card — material code "&amp;$K153,"UK iron foundry, Jun 2026. Index-anchored 2026-07 (see CASTING PRICING BASIS).")</f>
        <v>UK iron foundry, Jun 2026. Index-anchored 2026-07 (see CASTING PRICING BASIS).</v>
      </c>
      <c r="J153" t="str">
        <v>Low</v>
      </c>
      <c r="K153" t="str">
        <f>IFERROR(INDEX(Mapping!$C:$C,MATCH($A153,Mapping!$A:$A,0)),"")</f>
        <v/>
      </c>
      <c r="L153">
        <f>IF($K153="",0,COUNTIFS('JLR Materials'!$A:$A,$K153,'JLR Materials'!$C:$C,IF(Settings!$B$2="","&lt;&gt;",Settings!$B$2),'JLR Materials'!$D:$D,IF(Settings!$B$4="","&lt;&gt;",Settings!$B$4)))</f>
        <v>0</v>
      </c>
      <c r="M153">
        <f>IF($L153&lt;&gt;1,0,SUMIFS('JLR Materials'!$E:$E,'JLR Materials'!$A:$A,$K153,'JLR Materials'!$C:$C,IF(Settings!$B$2="","&lt;&gt;",Settings!$B$2),'JLR Materials'!$D:$D,IF(Settings!$B$4="","&lt;&gt;",Settings!$B$4)))</f>
        <v>0</v>
      </c>
      <c r="N153">
        <f>IF($L153&lt;&gt;1,0,SUMIFS('JLR Materials'!$F:$F,'JLR Materials'!$A:$A,$K153,'JLR Materials'!$C:$C,IF(Settings!$B$2="","&lt;&gt;",Settings!$B$2),'JLR Materials'!$D:$D,IF(Settings!$B$4="","&lt;&gt;",Settings!$B$4)))</f>
        <v>0</v>
      </c>
      <c r="O153">
        <f>IF($N153=0,0,IF(Settings!$B$5="percent",$M153*$N153/100,$N153))</f>
        <v>0</v>
      </c>
      <c r="P153">
        <f>IF($L153&lt;&gt;1,0,SUMIFS('JLR Materials'!$G:$G,'JLR Materials'!$A:$A,$K153,'JLR Materials'!$C:$C,IF(Settings!$B$2="","&lt;&gt;",Settings!$B$2),'JLR Materials'!$D:$D,IF(Settings!$B$4="","&lt;&gt;",Settings!$B$4)))</f>
        <v>0</v>
      </c>
    </row>
    <row r="154">
      <c r="A154" t="str">
        <v>mat-bronze-c905</v>
      </c>
      <c r="B154" t="str">
        <v>C905 Phosphor Bronze</v>
      </c>
      <c r="C154" t="str">
        <v>Copper Alloy</v>
      </c>
      <c r="D154">
        <f>IF($M154&gt;0,$M154,8.9)</f>
        <v>8.9</v>
      </c>
      <c r="E154">
        <f>IF($O154&gt;0,$O154,2.8)</f>
        <v>2.8</v>
      </c>
      <c r="F154">
        <v>8800</v>
      </c>
      <c r="G154" t="str">
        <v>UK</v>
      </c>
      <c r="H154" t="str">
        <f>IF($M154&gt;0,IF($L154&lt;&gt;1,"2026-07",IFERROR(INDEX('JLR Materials'!$D:$D,MATCH($K154,'JLR Materials'!$A:$A,0)),"2026-07")),"2026-07")</f>
        <v>2026-07</v>
      </c>
      <c r="I154" t="str">
        <f>IF($M154&gt;0,"JLR rate card — material code "&amp;$K154,"UK copper alloy distributor, Jun 2026. Index-anchored 2026-07 (see CASTING PRICING BASIS).")</f>
        <v>UK copper alloy distributor, Jun 2026. Index-anchored 2026-07 (see CASTING PRICING BASIS).</v>
      </c>
      <c r="J154" t="str">
        <v>Low</v>
      </c>
      <c r="K154" t="str">
        <f>IFERROR(INDEX(Mapping!$C:$C,MATCH($A154,Mapping!$A:$A,0)),"")</f>
        <v/>
      </c>
      <c r="L154">
        <f>IF($K154="",0,COUNTIFS('JLR Materials'!$A:$A,$K154,'JLR Materials'!$C:$C,IF(Settings!$B$2="","&lt;&gt;",Settings!$B$2),'JLR Materials'!$D:$D,IF(Settings!$B$4="","&lt;&gt;",Settings!$B$4)))</f>
        <v>0</v>
      </c>
      <c r="M154">
        <f>IF($L154&lt;&gt;1,0,SUMIFS('JLR Materials'!$E:$E,'JLR Materials'!$A:$A,$K154,'JLR Materials'!$C:$C,IF(Settings!$B$2="","&lt;&gt;",Settings!$B$2),'JLR Materials'!$D:$D,IF(Settings!$B$4="","&lt;&gt;",Settings!$B$4)))</f>
        <v>0</v>
      </c>
      <c r="N154">
        <f>IF($L154&lt;&gt;1,0,SUMIFS('JLR Materials'!$F:$F,'JLR Materials'!$A:$A,$K154,'JLR Materials'!$C:$C,IF(Settings!$B$2="","&lt;&gt;",Settings!$B$2),'JLR Materials'!$D:$D,IF(Settings!$B$4="","&lt;&gt;",Settings!$B$4)))</f>
        <v>0</v>
      </c>
      <c r="O154">
        <f>IF($N154=0,0,IF(Settings!$B$5="percent",$M154*$N154/100,$N154))</f>
        <v>0</v>
      </c>
      <c r="P154">
        <f>IF($L154&lt;&gt;1,0,SUMIFS('JLR Materials'!$G:$G,'JLR Materials'!$A:$A,$K154,'JLR Materials'!$C:$C,IF(Settings!$B$2="","&lt;&gt;",Settings!$B$2),'JLR Materials'!$D:$D,IF(Settings!$B$4="","&lt;&gt;",Settings!$B$4)))</f>
        <v>0</v>
      </c>
    </row>
    <row r="155">
      <c r="A155" t="str">
        <v>mat-mag-az91</v>
      </c>
      <c r="B155" t="str">
        <v>AZ91D Magnesium Die Cast</v>
      </c>
      <c r="C155" t="str">
        <v>Magnesium Alloy</v>
      </c>
      <c r="D155">
        <f>IF($M155&gt;0,$M155,3.99)</f>
        <v>3.99</v>
      </c>
      <c r="E155">
        <f>IF($O155&gt;0,$O155,0.8)</f>
        <v>0.8</v>
      </c>
      <c r="F155">
        <v>1810</v>
      </c>
      <c r="G155" t="str">
        <v>UK</v>
      </c>
      <c r="H155" t="str">
        <f>IF($M155&gt;0,IF($L155&lt;&gt;1,"2026-07",IFERROR(INDEX('JLR Materials'!$D:$D,MATCH($K155,'JLR Materials'!$A:$A,0)),"2026-07")),"2026-07")</f>
        <v>2026-07</v>
      </c>
      <c r="I155" t="str">
        <f>IF($M155&gt;0,"JLR rate card — material code "&amp;$K155,"UK Mg alloy ingot, Jun 2026. Index-anchored 2026-07 (see CASTING PRICING BASIS).")</f>
        <v>UK Mg alloy ingot, Jun 2026. Index-anchored 2026-07 (see CASTING PRICING BASIS).</v>
      </c>
      <c r="J155" t="str">
        <v>Low</v>
      </c>
      <c r="K155" t="str">
        <f>IFERROR(INDEX(Mapping!$C:$C,MATCH($A155,Mapping!$A:$A,0)),"")</f>
        <v/>
      </c>
      <c r="L155">
        <f>IF($K155="",0,COUNTIFS('JLR Materials'!$A:$A,$K155,'JLR Materials'!$C:$C,IF(Settings!$B$2="","&lt;&gt;",Settings!$B$2),'JLR Materials'!$D:$D,IF(Settings!$B$4="","&lt;&gt;",Settings!$B$4)))</f>
        <v>0</v>
      </c>
      <c r="M155">
        <f>IF($L155&lt;&gt;1,0,SUMIFS('JLR Materials'!$E:$E,'JLR Materials'!$A:$A,$K155,'JLR Materials'!$C:$C,IF(Settings!$B$2="","&lt;&gt;",Settings!$B$2),'JLR Materials'!$D:$D,IF(Settings!$B$4="","&lt;&gt;",Settings!$B$4)))</f>
        <v>0</v>
      </c>
      <c r="N155">
        <f>IF($L155&lt;&gt;1,0,SUMIFS('JLR Materials'!$F:$F,'JLR Materials'!$A:$A,$K155,'JLR Materials'!$C:$C,IF(Settings!$B$2="","&lt;&gt;",Settings!$B$2),'JLR Materials'!$D:$D,IF(Settings!$B$4="","&lt;&gt;",Settings!$B$4)))</f>
        <v>0</v>
      </c>
      <c r="O155">
        <f>IF($N155=0,0,IF(Settings!$B$5="percent",$M155*$N155/100,$N155))</f>
        <v>0</v>
      </c>
      <c r="P155">
        <f>IF($L155&lt;&gt;1,0,SUMIFS('JLR Materials'!$G:$G,'JLR Materials'!$A:$A,$K155,'JLR Materials'!$C:$C,IF(Settings!$B$2="","&lt;&gt;",Settings!$B$2),'JLR Materials'!$D:$D,IF(Settings!$B$4="","&lt;&gt;",Settings!$B$4)))</f>
        <v>0</v>
      </c>
    </row>
    <row r="156">
      <c r="A156" t="str">
        <v>mat-ss304-cast</v>
      </c>
      <c r="B156" t="str">
        <v>CF8 / 304 Cast Stainless</v>
      </c>
      <c r="C156" t="str">
        <v>Cast Stainless Steel</v>
      </c>
      <c r="D156">
        <f>IF($M156&gt;0,$M156,5.04)</f>
        <v>5.04</v>
      </c>
      <c r="E156">
        <f>IF($O156&gt;0,$O156,1.2)</f>
        <v>1.2</v>
      </c>
      <c r="F156">
        <v>7900</v>
      </c>
      <c r="G156" t="str">
        <v>UK</v>
      </c>
      <c r="H156" t="str">
        <f>IF($M156&gt;0,IF($L156&lt;&gt;1,"2026-07",IFERROR(INDEX('JLR Materials'!$D:$D,MATCH($K156,'JLR Materials'!$A:$A,0)),"2026-07")),"2026-07")</f>
        <v>2026-07</v>
      </c>
      <c r="I156" t="str">
        <f>IF($M156&gt;0,"JLR rate card — material code "&amp;$K156,"UK stainless foundry, Jun 2026. Index-anchored 2026-07 (see CASTING PRICING BASIS).")</f>
        <v>UK stainless foundry, Jun 2026. Index-anchored 2026-07 (see CASTING PRICING BASIS).</v>
      </c>
      <c r="J156" t="str">
        <v>Low</v>
      </c>
      <c r="K156" t="str">
        <f>IFERROR(INDEX(Mapping!$C:$C,MATCH($A156,Mapping!$A:$A,0)),"")</f>
        <v/>
      </c>
      <c r="L156">
        <f>IF($K156="",0,COUNTIFS('JLR Materials'!$A:$A,$K156,'JLR Materials'!$C:$C,IF(Settings!$B$2="","&lt;&gt;",Settings!$B$2),'JLR Materials'!$D:$D,IF(Settings!$B$4="","&lt;&gt;",Settings!$B$4)))</f>
        <v>0</v>
      </c>
      <c r="M156">
        <f>IF($L156&lt;&gt;1,0,SUMIFS('JLR Materials'!$E:$E,'JLR Materials'!$A:$A,$K156,'JLR Materials'!$C:$C,IF(Settings!$B$2="","&lt;&gt;",Settings!$B$2),'JLR Materials'!$D:$D,IF(Settings!$B$4="","&lt;&gt;",Settings!$B$4)))</f>
        <v>0</v>
      </c>
      <c r="N156">
        <f>IF($L156&lt;&gt;1,0,SUMIFS('JLR Materials'!$F:$F,'JLR Materials'!$A:$A,$K156,'JLR Materials'!$C:$C,IF(Settings!$B$2="","&lt;&gt;",Settings!$B$2),'JLR Materials'!$D:$D,IF(Settings!$B$4="","&lt;&gt;",Settings!$B$4)))</f>
        <v>0</v>
      </c>
      <c r="O156">
        <f>IF($N156=0,0,IF(Settings!$B$5="percent",$M156*$N156/100,$N156))</f>
        <v>0</v>
      </c>
      <c r="P156">
        <f>IF($L156&lt;&gt;1,0,SUMIFS('JLR Materials'!$G:$G,'JLR Materials'!$A:$A,$K156,'JLR Materials'!$C:$C,IF(Settings!$B$2="","&lt;&gt;",Settings!$B$2),'JLR Materials'!$D:$D,IF(Settings!$B$4="","&lt;&gt;",Settings!$B$4)))</f>
        <v>0</v>
      </c>
    </row>
    <row r="157">
      <c r="A157" t="str">
        <v>mat-adc12-secondary</v>
      </c>
      <c r="B157" t="str">
        <v>ADC12 Secondary (recycled)</v>
      </c>
      <c r="C157" t="str">
        <v>Die Cast Aluminium</v>
      </c>
      <c r="D157">
        <f>IF($M157&gt;0,$M157,2.05)</f>
        <v>2.05</v>
      </c>
      <c r="E157">
        <f>IF($O157&gt;0,$O157,0.45)</f>
        <v>0.45</v>
      </c>
      <c r="F157">
        <v>2700</v>
      </c>
      <c r="G157" t="str">
        <v>UK</v>
      </c>
      <c r="H157" t="str">
        <f>IF($M157&gt;0,IF($L157&lt;&gt;1,"2026-07",IFERROR(INDEX('JLR Materials'!$D:$D,MATCH($K157,'JLR Materials'!$A:$A,0)),"2026-07")),"2026-07")</f>
        <v>2026-07</v>
      </c>
      <c r="I157" t="str">
        <f>IF($M157&gt;0,"JLR rate card — material code "&amp;$K157,"UK secondary Al alloy ingot — lower purity, suitable for non-structural castings. Index-anchored 2026-07 (see CASTING PRICING BASIS).")</f>
        <v>UK secondary Al alloy ingot — lower purity, suitable for non-structural castings. Index-anchored 2026-07 (see CASTING PRICING BASIS).</v>
      </c>
      <c r="J157" t="str">
        <v>Low</v>
      </c>
      <c r="K157" t="str">
        <f>IFERROR(INDEX(Mapping!$C:$C,MATCH($A157,Mapping!$A:$A,0)),"")</f>
        <v/>
      </c>
      <c r="L157">
        <f>IF($K157="",0,COUNTIFS('JLR Materials'!$A:$A,$K157,'JLR Materials'!$C:$C,IF(Settings!$B$2="","&lt;&gt;",Settings!$B$2),'JLR Materials'!$D:$D,IF(Settings!$B$4="","&lt;&gt;",Settings!$B$4)))</f>
        <v>0</v>
      </c>
      <c r="M157">
        <f>IF($L157&lt;&gt;1,0,SUMIFS('JLR Materials'!$E:$E,'JLR Materials'!$A:$A,$K157,'JLR Materials'!$C:$C,IF(Settings!$B$2="","&lt;&gt;",Settings!$B$2),'JLR Materials'!$D:$D,IF(Settings!$B$4="","&lt;&gt;",Settings!$B$4)))</f>
        <v>0</v>
      </c>
      <c r="N157">
        <f>IF($L157&lt;&gt;1,0,SUMIFS('JLR Materials'!$F:$F,'JLR Materials'!$A:$A,$K157,'JLR Materials'!$C:$C,IF(Settings!$B$2="","&lt;&gt;",Settings!$B$2),'JLR Materials'!$D:$D,IF(Settings!$B$4="","&lt;&gt;",Settings!$B$4)))</f>
        <v>0</v>
      </c>
      <c r="O157">
        <f>IF($N157=0,0,IF(Settings!$B$5="percent",$M157*$N157/100,$N157))</f>
        <v>0</v>
      </c>
      <c r="P157">
        <f>IF($L157&lt;&gt;1,0,SUMIFS('JLR Materials'!$G:$G,'JLR Materials'!$A:$A,$K157,'JLR Materials'!$C:$C,IF(Settings!$B$2="","&lt;&gt;",Settings!$B$2),'JLR Materials'!$D:$D,IF(Settings!$B$4="","&lt;&gt;",Settings!$B$4)))</f>
        <v>0</v>
      </c>
    </row>
    <row r="158">
      <c r="A158" t="str">
        <v>mat-alsi10mg</v>
      </c>
      <c r="B158" t="str">
        <v>AlSi10Mg (A360/Scalmalloy)</v>
      </c>
      <c r="C158" t="str">
        <v>Die Cast Aluminium</v>
      </c>
      <c r="D158">
        <f>IF($M158&gt;0,$M158,2.94)</f>
        <v>2.94</v>
      </c>
      <c r="E158">
        <f>IF($O158&gt;0,$O158,0.55)</f>
        <v>0.55</v>
      </c>
      <c r="F158">
        <v>2670</v>
      </c>
      <c r="G158" t="str">
        <v>UK</v>
      </c>
      <c r="H158" t="str">
        <f>IF($M158&gt;0,IF($L158&lt;&gt;1,"2026-07",IFERROR(INDEX('JLR Materials'!$D:$D,MATCH($K158,'JLR Materials'!$A:$A,0)),"2026-07")),"2026-07")</f>
        <v>2026-07</v>
      </c>
      <c r="I158" t="str">
        <f>IF($M158&gt;0,"JLR rate card — material code "&amp;$K158,"Premium structural HPDC alloy, T5 heat treated. UK Al alloy ingot Jun 2026. Index-anchored 2026-07 (see CASTING PRICING BASIS).")</f>
        <v>Premium structural HPDC alloy, T5 heat treated. UK Al alloy ingot Jun 2026. Index-anchored 2026-07 (see CASTING PRICING BASIS).</v>
      </c>
      <c r="J158" t="str">
        <v>Medium</v>
      </c>
      <c r="K158" t="str">
        <f>IFERROR(INDEX(Mapping!$C:$C,MATCH($A158,Mapping!$A:$A,0)),"")</f>
        <v/>
      </c>
      <c r="L158">
        <f>IF($K158="",0,COUNTIFS('JLR Materials'!$A:$A,$K158,'JLR Materials'!$C:$C,IF(Settings!$B$2="","&lt;&gt;",Settings!$B$2),'JLR Materials'!$D:$D,IF(Settings!$B$4="","&lt;&gt;",Settings!$B$4)))</f>
        <v>0</v>
      </c>
      <c r="M158">
        <f>IF($L158&lt;&gt;1,0,SUMIFS('JLR Materials'!$E:$E,'JLR Materials'!$A:$A,$K158,'JLR Materials'!$C:$C,IF(Settings!$B$2="","&lt;&gt;",Settings!$B$2),'JLR Materials'!$D:$D,IF(Settings!$B$4="","&lt;&gt;",Settings!$B$4)))</f>
        <v>0</v>
      </c>
      <c r="N158">
        <f>IF($L158&lt;&gt;1,0,SUMIFS('JLR Materials'!$F:$F,'JLR Materials'!$A:$A,$K158,'JLR Materials'!$C:$C,IF(Settings!$B$2="","&lt;&gt;",Settings!$B$2),'JLR Materials'!$D:$D,IF(Settings!$B$4="","&lt;&gt;",Settings!$B$4)))</f>
        <v>0</v>
      </c>
      <c r="O158">
        <f>IF($N158=0,0,IF(Settings!$B$5="percent",$M158*$N158/100,$N158))</f>
        <v>0</v>
      </c>
      <c r="P158">
        <f>IF($L158&lt;&gt;1,0,SUMIFS('JLR Materials'!$G:$G,'JLR Materials'!$A:$A,$K158,'JLR Materials'!$C:$C,IF(Settings!$B$2="","&lt;&gt;",Settings!$B$2),'JLR Materials'!$D:$D,IF(Settings!$B$4="","&lt;&gt;",Settings!$B$4)))</f>
        <v>0</v>
      </c>
    </row>
    <row r="159">
      <c r="A159" t="str">
        <v>mat-a365</v>
      </c>
      <c r="B159" t="str">
        <v>A365 / AlSi7Mg</v>
      </c>
      <c r="C159" t="str">
        <v>Die Cast Aluminium</v>
      </c>
      <c r="D159">
        <f>IF($M159&gt;0,$M159,2.83)</f>
        <v>2.83</v>
      </c>
      <c r="E159">
        <f>IF($O159&gt;0,$O159,0.52)</f>
        <v>0.52</v>
      </c>
      <c r="F159">
        <v>2680</v>
      </c>
      <c r="G159" t="str">
        <v>UK</v>
      </c>
      <c r="H159" t="str">
        <f>IF($M159&gt;0,IF($L159&lt;&gt;1,"2026-07",IFERROR(INDEX('JLR Materials'!$D:$D,MATCH($K159,'JLR Materials'!$A:$A,0)),"2026-07")),"2026-07")</f>
        <v>2026-07</v>
      </c>
      <c r="I159" t="str">
        <f>IF($M159&gt;0,"JLR rate card — material code "&amp;$K159,"Structural automotive HPDC alloy (EDU housings, battery trays). UK Jun 2026. Index-anchored 2026-07 (see CASTING PRICING BASIS).")</f>
        <v>Structural automotive HPDC alloy (EDU housings, battery trays). UK Jun 2026. Index-anchored 2026-07 (see CASTING PRICING BASIS).</v>
      </c>
      <c r="J159" t="str">
        <v>Medium</v>
      </c>
      <c r="K159" t="str">
        <f>IFERROR(INDEX(Mapping!$C:$C,MATCH($A159,Mapping!$A:$A,0)),"")</f>
        <v/>
      </c>
      <c r="L159">
        <f>IF($K159="",0,COUNTIFS('JLR Materials'!$A:$A,$K159,'JLR Materials'!$C:$C,IF(Settings!$B$2="","&lt;&gt;",Settings!$B$2),'JLR Materials'!$D:$D,IF(Settings!$B$4="","&lt;&gt;",Settings!$B$4)))</f>
        <v>0</v>
      </c>
      <c r="M159">
        <f>IF($L159&lt;&gt;1,0,SUMIFS('JLR Materials'!$E:$E,'JLR Materials'!$A:$A,$K159,'JLR Materials'!$C:$C,IF(Settings!$B$2="","&lt;&gt;",Settings!$B$2),'JLR Materials'!$D:$D,IF(Settings!$B$4="","&lt;&gt;",Settings!$B$4)))</f>
        <v>0</v>
      </c>
      <c r="N159">
        <f>IF($L159&lt;&gt;1,0,SUMIFS('JLR Materials'!$F:$F,'JLR Materials'!$A:$A,$K159,'JLR Materials'!$C:$C,IF(Settings!$B$2="","&lt;&gt;",Settings!$B$2),'JLR Materials'!$D:$D,IF(Settings!$B$4="","&lt;&gt;",Settings!$B$4)))</f>
        <v>0</v>
      </c>
      <c r="O159">
        <f>IF($N159=0,0,IF(Settings!$B$5="percent",$M159*$N159/100,$N159))</f>
        <v>0</v>
      </c>
      <c r="P159">
        <f>IF($L159&lt;&gt;1,0,SUMIFS('JLR Materials'!$G:$G,'JLR Materials'!$A:$A,$K159,'JLR Materials'!$C:$C,IF(Settings!$B$2="","&lt;&gt;",Settings!$B$2),'JLR Materials'!$D:$D,IF(Settings!$B$4="","&lt;&gt;",Settings!$B$4)))</f>
        <v>0</v>
      </c>
    </row>
    <row r="160">
      <c r="A160" t="str">
        <v>mat-zamak3</v>
      </c>
      <c r="B160" t="str">
        <v>Zamak 3 (Zinc Die Cast)</v>
      </c>
      <c r="C160" t="str">
        <v>Zinc Die Cast</v>
      </c>
      <c r="D160">
        <f>IF($M160&gt;0,$M160,2.47)</f>
        <v>2.47</v>
      </c>
      <c r="E160">
        <f>IF($O160&gt;0,$O160,1.2)</f>
        <v>1.2</v>
      </c>
      <c r="F160">
        <v>6600</v>
      </c>
      <c r="G160" t="str">
        <v>UK</v>
      </c>
      <c r="H160" t="str">
        <f>IF($M160&gt;0,IF($L160&lt;&gt;1,"2026-07",IFERROR(INDEX('JLR Materials'!$D:$D,MATCH($K160,'JLR Materials'!$A:$A,0)),"2026-07")),"2026-07")</f>
        <v>2026-07</v>
      </c>
      <c r="I160" t="str">
        <f>IF($M160&gt;0,"JLR rate card — material code "&amp;$K160,"Zamak 3 zinc alloy ingot, UK distributor Jun 2026. Index-anchored 2026-07 (see CASTING PRICING BASIS).")</f>
        <v>Zamak 3 zinc alloy ingot, UK distributor Jun 2026. Index-anchored 2026-07 (see CASTING PRICING BASIS).</v>
      </c>
      <c r="J160" t="str">
        <v>Medium</v>
      </c>
      <c r="K160" t="str">
        <f>IFERROR(INDEX(Mapping!$C:$C,MATCH($A160,Mapping!$A:$A,0)),"")</f>
        <v/>
      </c>
      <c r="L160">
        <f>IF($K160="",0,COUNTIFS('JLR Materials'!$A:$A,$K160,'JLR Materials'!$C:$C,IF(Settings!$B$2="","&lt;&gt;",Settings!$B$2),'JLR Materials'!$D:$D,IF(Settings!$B$4="","&lt;&gt;",Settings!$B$4)))</f>
        <v>0</v>
      </c>
      <c r="M160">
        <f>IF($L160&lt;&gt;1,0,SUMIFS('JLR Materials'!$E:$E,'JLR Materials'!$A:$A,$K160,'JLR Materials'!$C:$C,IF(Settings!$B$2="","&lt;&gt;",Settings!$B$2),'JLR Materials'!$D:$D,IF(Settings!$B$4="","&lt;&gt;",Settings!$B$4)))</f>
        <v>0</v>
      </c>
      <c r="N160">
        <f>IF($L160&lt;&gt;1,0,SUMIFS('JLR Materials'!$F:$F,'JLR Materials'!$A:$A,$K160,'JLR Materials'!$C:$C,IF(Settings!$B$2="","&lt;&gt;",Settings!$B$2),'JLR Materials'!$D:$D,IF(Settings!$B$4="","&lt;&gt;",Settings!$B$4)))</f>
        <v>0</v>
      </c>
      <c r="O160">
        <f>IF($N160=0,0,IF(Settings!$B$5="percent",$M160*$N160/100,$N160))</f>
        <v>0</v>
      </c>
      <c r="P160">
        <f>IF($L160&lt;&gt;1,0,SUMIFS('JLR Materials'!$G:$G,'JLR Materials'!$A:$A,$K160,'JLR Materials'!$C:$C,IF(Settings!$B$2="","&lt;&gt;",Settings!$B$2),'JLR Materials'!$D:$D,IF(Settings!$B$4="","&lt;&gt;",Settings!$B$4)))</f>
        <v>0</v>
      </c>
    </row>
    <row r="161">
      <c r="A161" t="str">
        <v>mat-zamak5</v>
      </c>
      <c r="B161" t="str">
        <v>Zamak 5 (Zinc Die Cast, Hi-Strength)</v>
      </c>
      <c r="C161" t="str">
        <v>Zinc Die Cast</v>
      </c>
      <c r="D161">
        <f>IF($M161&gt;0,$M161,2.52)</f>
        <v>2.52</v>
      </c>
      <c r="E161">
        <f>IF($O161&gt;0,$O161,1.2)</f>
        <v>1.2</v>
      </c>
      <c r="F161">
        <v>6600</v>
      </c>
      <c r="G161" t="str">
        <v>UK</v>
      </c>
      <c r="H161" t="str">
        <f>IF($M161&gt;0,IF($L161&lt;&gt;1,"2026-07",IFERROR(INDEX('JLR Materials'!$D:$D,MATCH($K161,'JLR Materials'!$A:$A,0)),"2026-07")),"2026-07")</f>
        <v>2026-07</v>
      </c>
      <c r="I161" t="str">
        <f>IF($M161&gt;0,"JLR rate card — material code "&amp;$K161,"Zamak 5 zinc alloy ingot, higher strength than Zamak 3. UK Jun 2026. Index-anchored 2026-07 (see CASTING PRICING BASIS).")</f>
        <v>Zamak 5 zinc alloy ingot, higher strength than Zamak 3. UK Jun 2026. Index-anchored 2026-07 (see CASTING PRICING BASIS).</v>
      </c>
      <c r="J161" t="str">
        <v>Medium</v>
      </c>
      <c r="K161" t="str">
        <f>IFERROR(INDEX(Mapping!$C:$C,MATCH($A161,Mapping!$A:$A,0)),"")</f>
        <v/>
      </c>
      <c r="L161">
        <f>IF($K161="",0,COUNTIFS('JLR Materials'!$A:$A,$K161,'JLR Materials'!$C:$C,IF(Settings!$B$2="","&lt;&gt;",Settings!$B$2),'JLR Materials'!$D:$D,IF(Settings!$B$4="","&lt;&gt;",Settings!$B$4)))</f>
        <v>0</v>
      </c>
      <c r="M161">
        <f>IF($L161&lt;&gt;1,0,SUMIFS('JLR Materials'!$E:$E,'JLR Materials'!$A:$A,$K161,'JLR Materials'!$C:$C,IF(Settings!$B$2="","&lt;&gt;",Settings!$B$2),'JLR Materials'!$D:$D,IF(Settings!$B$4="","&lt;&gt;",Settings!$B$4)))</f>
        <v>0</v>
      </c>
      <c r="N161">
        <f>IF($L161&lt;&gt;1,0,SUMIFS('JLR Materials'!$F:$F,'JLR Materials'!$A:$A,$K161,'JLR Materials'!$C:$C,IF(Settings!$B$2="","&lt;&gt;",Settings!$B$2),'JLR Materials'!$D:$D,IF(Settings!$B$4="","&lt;&gt;",Settings!$B$4)))</f>
        <v>0</v>
      </c>
      <c r="O161">
        <f>IF($N161=0,0,IF(Settings!$B$5="percent",$M161*$N161/100,$N161))</f>
        <v>0</v>
      </c>
      <c r="P161">
        <f>IF($L161&lt;&gt;1,0,SUMIFS('JLR Materials'!$G:$G,'JLR Materials'!$A:$A,$K161,'JLR Materials'!$C:$C,IF(Settings!$B$2="","&lt;&gt;",Settings!$B$2),'JLR Materials'!$D:$D,IF(Settings!$B$4="","&lt;&gt;",Settings!$B$4)))</f>
        <v>0</v>
      </c>
    </row>
    <row r="162">
      <c r="A162" t="str">
        <v>mat-gjs400</v>
      </c>
      <c r="B162" t="str">
        <v>EN-GJS-400-15 (Ductile Iron)</v>
      </c>
      <c r="C162" t="str">
        <v>Ductile Cast Iron</v>
      </c>
      <c r="D162">
        <f>IF($M162&gt;0,$M162,0.82)</f>
        <v>0.82</v>
      </c>
      <c r="E162">
        <f>IF($O162&gt;0,$O162,0.15)</f>
        <v>0.15</v>
      </c>
      <c r="F162">
        <v>7100</v>
      </c>
      <c r="G162" t="str">
        <v>UK</v>
      </c>
      <c r="H162" t="str">
        <f>IF($M162&gt;0,IF($L162&lt;&gt;1,"2026-07",IFERROR(INDEX('JLR Materials'!$D:$D,MATCH($K162,'JLR Materials'!$A:$A,0)),"2026-07")),"2026-07")</f>
        <v>2026-07</v>
      </c>
      <c r="I162" t="str">
        <f>IF($M162&gt;0,"JLR rate card — material code "&amp;$K162,"Spheroidal graphite cast iron — highest volume casting material globally. UK foundry Jun 2026. Index-anchored 2026-07 (see CASTING PRICING BASIS).")</f>
        <v>Spheroidal graphite cast iron — highest volume casting material globally. UK foundry Jun 2026. Index-anchored 2026-07 (see CASTING PRICING BASIS).</v>
      </c>
      <c r="J162" t="str">
        <v>Low</v>
      </c>
      <c r="K162" t="str">
        <f>IFERROR(INDEX(Mapping!$C:$C,MATCH($A162,Mapping!$A:$A,0)),"")</f>
        <v/>
      </c>
      <c r="L162">
        <f>IF($K162="",0,COUNTIFS('JLR Materials'!$A:$A,$K162,'JLR Materials'!$C:$C,IF(Settings!$B$2="","&lt;&gt;",Settings!$B$2),'JLR Materials'!$D:$D,IF(Settings!$B$4="","&lt;&gt;",Settings!$B$4)))</f>
        <v>0</v>
      </c>
      <c r="M162">
        <f>IF($L162&lt;&gt;1,0,SUMIFS('JLR Materials'!$E:$E,'JLR Materials'!$A:$A,$K162,'JLR Materials'!$C:$C,IF(Settings!$B$2="","&lt;&gt;",Settings!$B$2),'JLR Materials'!$D:$D,IF(Settings!$B$4="","&lt;&gt;",Settings!$B$4)))</f>
        <v>0</v>
      </c>
      <c r="N162">
        <f>IF($L162&lt;&gt;1,0,SUMIFS('JLR Materials'!$F:$F,'JLR Materials'!$A:$A,$K162,'JLR Materials'!$C:$C,IF(Settings!$B$2="","&lt;&gt;",Settings!$B$2),'JLR Materials'!$D:$D,IF(Settings!$B$4="","&lt;&gt;",Settings!$B$4)))</f>
        <v>0</v>
      </c>
      <c r="O162">
        <f>IF($N162=0,0,IF(Settings!$B$5="percent",$M162*$N162/100,$N162))</f>
        <v>0</v>
      </c>
      <c r="P162">
        <f>IF($L162&lt;&gt;1,0,SUMIFS('JLR Materials'!$G:$G,'JLR Materials'!$A:$A,$K162,'JLR Materials'!$C:$C,IF(Settings!$B$2="","&lt;&gt;",Settings!$B$2),'JLR Materials'!$D:$D,IF(Settings!$B$4="","&lt;&gt;",Settings!$B$4)))</f>
        <v>0</v>
      </c>
    </row>
    <row r="163">
      <c r="A163" t="str">
        <v>mat-gjs600</v>
      </c>
      <c r="B163" t="str">
        <v>EN-GJS-600-3 (Ductile Iron Hi-Strength)</v>
      </c>
      <c r="C163" t="str">
        <v>Ductile Cast Iron</v>
      </c>
      <c r="D163">
        <f>IF($M163&gt;0,$M163,0.9)</f>
        <v>0.9</v>
      </c>
      <c r="E163">
        <f>IF($O163&gt;0,$O163,0.15)</f>
        <v>0.15</v>
      </c>
      <c r="F163">
        <v>7100</v>
      </c>
      <c r="G163" t="str">
        <v>UK</v>
      </c>
      <c r="H163" t="str">
        <f>IF($M163&gt;0,IF($L163&lt;&gt;1,"2026-07",IFERROR(INDEX('JLR Materials'!$D:$D,MATCH($K163,'JLR Materials'!$A:$A,0)),"2026-07")),"2026-07")</f>
        <v>2026-07</v>
      </c>
      <c r="I163" t="str">
        <f>IF($M163&gt;0,"JLR rate card — material code "&amp;$K163,"High-strength ductile iron for crankshafts, diff housings. UK foundry Jun 2026. Index-anchored 2026-07 (see CASTING PRICING BASIS).")</f>
        <v>High-strength ductile iron for crankshafts, diff housings. UK foundry Jun 2026. Index-anchored 2026-07 (see CASTING PRICING BASIS).</v>
      </c>
      <c r="J163" t="str">
        <v>Low</v>
      </c>
      <c r="K163" t="str">
        <f>IFERROR(INDEX(Mapping!$C:$C,MATCH($A163,Mapping!$A:$A,0)),"")</f>
        <v/>
      </c>
      <c r="L163">
        <f>IF($K163="",0,COUNTIFS('JLR Materials'!$A:$A,$K163,'JLR Materials'!$C:$C,IF(Settings!$B$2="","&lt;&gt;",Settings!$B$2),'JLR Materials'!$D:$D,IF(Settings!$B$4="","&lt;&gt;",Settings!$B$4)))</f>
        <v>0</v>
      </c>
      <c r="M163">
        <f>IF($L163&lt;&gt;1,0,SUMIFS('JLR Materials'!$E:$E,'JLR Materials'!$A:$A,$K163,'JLR Materials'!$C:$C,IF(Settings!$B$2="","&lt;&gt;",Settings!$B$2),'JLR Materials'!$D:$D,IF(Settings!$B$4="","&lt;&gt;",Settings!$B$4)))</f>
        <v>0</v>
      </c>
      <c r="N163">
        <f>IF($L163&lt;&gt;1,0,SUMIFS('JLR Materials'!$F:$F,'JLR Materials'!$A:$A,$K163,'JLR Materials'!$C:$C,IF(Settings!$B$2="","&lt;&gt;",Settings!$B$2),'JLR Materials'!$D:$D,IF(Settings!$B$4="","&lt;&gt;",Settings!$B$4)))</f>
        <v>0</v>
      </c>
      <c r="O163">
        <f>IF($N163=0,0,IF(Settings!$B$5="percent",$M163*$N163/100,$N163))</f>
        <v>0</v>
      </c>
      <c r="P163">
        <f>IF($L163&lt;&gt;1,0,SUMIFS('JLR Materials'!$G:$G,'JLR Materials'!$A:$A,$K163,'JLR Materials'!$C:$C,IF(Settings!$B$2="","&lt;&gt;",Settings!$B$2),'JLR Materials'!$D:$D,IF(Settings!$B$4="","&lt;&gt;",Settings!$B$4)))</f>
        <v>0</v>
      </c>
    </row>
    <row r="164">
      <c r="A164" t="str">
        <v>mat-aural5</v>
      </c>
      <c r="B164" t="str">
        <v>Aural-5 (AlSi9MnMg, Rheinfelden)</v>
      </c>
      <c r="C164" t="str">
        <v>Structural HPDC Aluminium</v>
      </c>
      <c r="D164">
        <f>IF($M164&gt;0,$M164,3.12)</f>
        <v>3.12</v>
      </c>
      <c r="E164">
        <f>IF($O164&gt;0,$O164,0.58)</f>
        <v>0.58</v>
      </c>
      <c r="F164">
        <v>2680</v>
      </c>
      <c r="G164" t="str">
        <v>UK</v>
      </c>
      <c r="H164" t="str">
        <f>IF($M164&gt;0,IF($L164&lt;&gt;1,"2026-07",IFERROR(INDEX('JLR Materials'!$D:$D,MATCH($K164,'JLR Materials'!$A:$A,0)),"2026-07")),"2026-07")</f>
        <v>2026-07</v>
      </c>
      <c r="I164" t="str">
        <f>IF($M164&gt;0,"JLR rate card — material code "&amp;$K164,"Index-anchored 2026-07 (see CASTING PRICING BASIS). Ductile structural HPDC — shock towers, self-pierce-rivetable body nodes; T5/T7 heat treat.")</f>
        <v>Index-anchored 2026-07 (see CASTING PRICING BASIS). Ductile structural HPDC — shock towers, self-pierce-rivetable body nodes; T5/T7 heat treat.</v>
      </c>
      <c r="J164" t="str">
        <v>Medium</v>
      </c>
      <c r="K164" t="str">
        <f>IFERROR(INDEX(Mapping!$C:$C,MATCH($A164,Mapping!$A:$A,0)),"")</f>
        <v/>
      </c>
      <c r="L164">
        <f>IF($K164="",0,COUNTIFS('JLR Materials'!$A:$A,$K164,'JLR Materials'!$C:$C,IF(Settings!$B$2="","&lt;&gt;",Settings!$B$2),'JLR Materials'!$D:$D,IF(Settings!$B$4="","&lt;&gt;",Settings!$B$4)))</f>
        <v>0</v>
      </c>
      <c r="M164">
        <f>IF($L164&lt;&gt;1,0,SUMIFS('JLR Materials'!$E:$E,'JLR Materials'!$A:$A,$K164,'JLR Materials'!$C:$C,IF(Settings!$B$2="","&lt;&gt;",Settings!$B$2),'JLR Materials'!$D:$D,IF(Settings!$B$4="","&lt;&gt;",Settings!$B$4)))</f>
        <v>0</v>
      </c>
      <c r="N164">
        <f>IF($L164&lt;&gt;1,0,SUMIFS('JLR Materials'!$F:$F,'JLR Materials'!$A:$A,$K164,'JLR Materials'!$C:$C,IF(Settings!$B$2="","&lt;&gt;",Settings!$B$2),'JLR Materials'!$D:$D,IF(Settings!$B$4="","&lt;&gt;",Settings!$B$4)))</f>
        <v>0</v>
      </c>
      <c r="O164">
        <f>IF($N164=0,0,IF(Settings!$B$5="percent",$M164*$N164/100,$N164))</f>
        <v>0</v>
      </c>
      <c r="P164">
        <f>IF($L164&lt;&gt;1,0,SUMIFS('JLR Materials'!$G:$G,'JLR Materials'!$A:$A,$K164,'JLR Materials'!$C:$C,IF(Settings!$B$2="","&lt;&gt;",Settings!$B$2),'JLR Materials'!$D:$D,IF(Settings!$B$4="","&lt;&gt;",Settings!$B$4)))</f>
        <v>0</v>
      </c>
    </row>
    <row r="165">
      <c r="A165" t="str">
        <v>mat-silafont36</v>
      </c>
      <c r="B165" t="str">
        <v>Silafont-36 (AlSi10MnMg)</v>
      </c>
      <c r="C165" t="str">
        <v>Structural HPDC Aluminium</v>
      </c>
      <c r="D165">
        <f>IF($M165&gt;0,$M165,3.15)</f>
        <v>3.15</v>
      </c>
      <c r="E165">
        <f>IF($O165&gt;0,$O165,0.58)</f>
        <v>0.58</v>
      </c>
      <c r="F165">
        <v>2670</v>
      </c>
      <c r="G165" t="str">
        <v>UK</v>
      </c>
      <c r="H165" t="str">
        <f>IF($M165&gt;0,IF($L165&lt;&gt;1,"2026-07",IFERROR(INDEX('JLR Materials'!$D:$D,MATCH($K165,'JLR Materials'!$A:$A,0)),"2026-07")),"2026-07")</f>
        <v>2026-07</v>
      </c>
      <c r="I165" t="str">
        <f>IF($M165&gt;0,"JLR rate card — material code "&amp;$K165,"Index-anchored 2026-07 (see CASTING PRICING BASIS). Crash-relevant structural HPDC — battery trays, longitudinal rails, megacastings; high elongation after T7.")</f>
        <v>Index-anchored 2026-07 (see CASTING PRICING BASIS). Crash-relevant structural HPDC — battery trays, longitudinal rails, megacastings; high elongation after T7.</v>
      </c>
      <c r="J165" t="str">
        <v>Medium</v>
      </c>
      <c r="K165" t="str">
        <f>IFERROR(INDEX(Mapping!$C:$C,MATCH($A165,Mapping!$A:$A,0)),"")</f>
        <v/>
      </c>
      <c r="L165">
        <f>IF($K165="",0,COUNTIFS('JLR Materials'!$A:$A,$K165,'JLR Materials'!$C:$C,IF(Settings!$B$2="","&lt;&gt;",Settings!$B$2),'JLR Materials'!$D:$D,IF(Settings!$B$4="","&lt;&gt;",Settings!$B$4)))</f>
        <v>0</v>
      </c>
      <c r="M165">
        <f>IF($L165&lt;&gt;1,0,SUMIFS('JLR Materials'!$E:$E,'JLR Materials'!$A:$A,$K165,'JLR Materials'!$C:$C,IF(Settings!$B$2="","&lt;&gt;",Settings!$B$2),'JLR Materials'!$D:$D,IF(Settings!$B$4="","&lt;&gt;",Settings!$B$4)))</f>
        <v>0</v>
      </c>
      <c r="N165">
        <f>IF($L165&lt;&gt;1,0,SUMIFS('JLR Materials'!$F:$F,'JLR Materials'!$A:$A,$K165,'JLR Materials'!$C:$C,IF(Settings!$B$2="","&lt;&gt;",Settings!$B$2),'JLR Materials'!$D:$D,IF(Settings!$B$4="","&lt;&gt;",Settings!$B$4)))</f>
        <v>0</v>
      </c>
      <c r="O165">
        <f>IF($N165=0,0,IF(Settings!$B$5="percent",$M165*$N165/100,$N165))</f>
        <v>0</v>
      </c>
      <c r="P165">
        <f>IF($L165&lt;&gt;1,0,SUMIFS('JLR Materials'!$G:$G,'JLR Materials'!$A:$A,$K165,'JLR Materials'!$C:$C,IF(Settings!$B$2="","&lt;&gt;",Settings!$B$2),'JLR Materials'!$D:$D,IF(Settings!$B$4="","&lt;&gt;",Settings!$B$4)))</f>
        <v>0</v>
      </c>
    </row>
    <row r="166">
      <c r="A166" t="str">
        <v>mat-castasil37</v>
      </c>
      <c r="B166" t="str">
        <v>Castasil-37 (AlSi9MnMoZr)</v>
      </c>
      <c r="C166" t="str">
        <v>Structural HPDC Aluminium</v>
      </c>
      <c r="D166">
        <f>IF($M166&gt;0,$M166,3.08)</f>
        <v>3.08</v>
      </c>
      <c r="E166">
        <f>IF($O166&gt;0,$O166,0.58)</f>
        <v>0.58</v>
      </c>
      <c r="F166">
        <v>2670</v>
      </c>
      <c r="G166" t="str">
        <v>UK</v>
      </c>
      <c r="H166" t="str">
        <f>IF($M166&gt;0,IF($L166&lt;&gt;1,"2026-07",IFERROR(INDEX('JLR Materials'!$D:$D,MATCH($K166,'JLR Materials'!$A:$A,0)),"2026-07")),"2026-07")</f>
        <v>2026-07</v>
      </c>
      <c r="I166" t="str">
        <f>IF($M166&gt;0,"JLR rate card — material code "&amp;$K166,"Index-anchored 2026-07 (see CASTING PRICING BASIS). As-cast high-ductility HPDC needing no heat treatment — cross-car beams, structural brackets; dimensionally stable.")</f>
        <v>Index-anchored 2026-07 (see CASTING PRICING BASIS). As-cast high-ductility HPDC needing no heat treatment — cross-car beams, structural brackets; dimensionally stable.</v>
      </c>
      <c r="J166" t="str">
        <v>Medium</v>
      </c>
      <c r="K166" t="str">
        <f>IFERROR(INDEX(Mapping!$C:$C,MATCH($A166,Mapping!$A:$A,0)),"")</f>
        <v/>
      </c>
      <c r="L166">
        <f>IF($K166="",0,COUNTIFS('JLR Materials'!$A:$A,$K166,'JLR Materials'!$C:$C,IF(Settings!$B$2="","&lt;&gt;",Settings!$B$2),'JLR Materials'!$D:$D,IF(Settings!$B$4="","&lt;&gt;",Settings!$B$4)))</f>
        <v>0</v>
      </c>
      <c r="M166">
        <f>IF($L166&lt;&gt;1,0,SUMIFS('JLR Materials'!$E:$E,'JLR Materials'!$A:$A,$K166,'JLR Materials'!$C:$C,IF(Settings!$B$2="","&lt;&gt;",Settings!$B$2),'JLR Materials'!$D:$D,IF(Settings!$B$4="","&lt;&gt;",Settings!$B$4)))</f>
        <v>0</v>
      </c>
      <c r="N166">
        <f>IF($L166&lt;&gt;1,0,SUMIFS('JLR Materials'!$F:$F,'JLR Materials'!$A:$A,$K166,'JLR Materials'!$C:$C,IF(Settings!$B$2="","&lt;&gt;",Settings!$B$2),'JLR Materials'!$D:$D,IF(Settings!$B$4="","&lt;&gt;",Settings!$B$4)))</f>
        <v>0</v>
      </c>
      <c r="O166">
        <f>IF($N166=0,0,IF(Settings!$B$5="percent",$M166*$N166/100,$N166))</f>
        <v>0</v>
      </c>
      <c r="P166">
        <f>IF($L166&lt;&gt;1,0,SUMIFS('JLR Materials'!$G:$G,'JLR Materials'!$A:$A,$K166,'JLR Materials'!$C:$C,IF(Settings!$B$2="","&lt;&gt;",Settings!$B$2),'JLR Materials'!$D:$D,IF(Settings!$B$4="","&lt;&gt;",Settings!$B$4)))</f>
        <v>0</v>
      </c>
    </row>
    <row r="167">
      <c r="A167" t="str">
        <v>mat-magsimal59</v>
      </c>
      <c r="B167" t="str">
        <v>Magsimal-59 (AlMg5Si2Mn)</v>
      </c>
      <c r="C167" t="str">
        <v>Structural HPDC Aluminium</v>
      </c>
      <c r="D167">
        <f>IF($M167&gt;0,$M167,3.22)</f>
        <v>3.22</v>
      </c>
      <c r="E167">
        <f>IF($O167&gt;0,$O167,0.58)</f>
        <v>0.58</v>
      </c>
      <c r="F167">
        <v>2650</v>
      </c>
      <c r="G167" t="str">
        <v>UK</v>
      </c>
      <c r="H167" t="str">
        <f>IF($M167&gt;0,IF($L167&lt;&gt;1,"2026-07",IFERROR(INDEX('JLR Materials'!$D:$D,MATCH($K167,'JLR Materials'!$A:$A,0)),"2026-07")),"2026-07")</f>
        <v>2026-07</v>
      </c>
      <c r="I167" t="str">
        <f>IF($M167&gt;0,"JLR rate card — material code "&amp;$K167,"Index-anchored 2026-07 (see CASTING PRICING BASIS). High-strength/high-ductility as-cast HPDC — chassis nodes, suspension parts; excellent corrosion resistance.")</f>
        <v>Index-anchored 2026-07 (see CASTING PRICING BASIS). High-strength/high-ductility as-cast HPDC — chassis nodes, suspension parts; excellent corrosion resistance.</v>
      </c>
      <c r="J167" t="str">
        <v>Medium</v>
      </c>
      <c r="K167" t="str">
        <f>IFERROR(INDEX(Mapping!$C:$C,MATCH($A167,Mapping!$A:$A,0)),"")</f>
        <v/>
      </c>
      <c r="L167">
        <f>IF($K167="",0,COUNTIFS('JLR Materials'!$A:$A,$K167,'JLR Materials'!$C:$C,IF(Settings!$B$2="","&lt;&gt;",Settings!$B$2),'JLR Materials'!$D:$D,IF(Settings!$B$4="","&lt;&gt;",Settings!$B$4)))</f>
        <v>0</v>
      </c>
      <c r="M167">
        <f>IF($L167&lt;&gt;1,0,SUMIFS('JLR Materials'!$E:$E,'JLR Materials'!$A:$A,$K167,'JLR Materials'!$C:$C,IF(Settings!$B$2="","&lt;&gt;",Settings!$B$2),'JLR Materials'!$D:$D,IF(Settings!$B$4="","&lt;&gt;",Settings!$B$4)))</f>
        <v>0</v>
      </c>
      <c r="N167">
        <f>IF($L167&lt;&gt;1,0,SUMIFS('JLR Materials'!$F:$F,'JLR Materials'!$A:$A,$K167,'JLR Materials'!$C:$C,IF(Settings!$B$2="","&lt;&gt;",Settings!$B$2),'JLR Materials'!$D:$D,IF(Settings!$B$4="","&lt;&gt;",Settings!$B$4)))</f>
        <v>0</v>
      </c>
      <c r="O167">
        <f>IF($N167=0,0,IF(Settings!$B$5="percent",$M167*$N167/100,$N167))</f>
        <v>0</v>
      </c>
      <c r="P167">
        <f>IF($L167&lt;&gt;1,0,SUMIFS('JLR Materials'!$G:$G,'JLR Materials'!$A:$A,$K167,'JLR Materials'!$C:$C,IF(Settings!$B$2="","&lt;&gt;",Settings!$B$2),'JLR Materials'!$D:$D,IF(Settings!$B$4="","&lt;&gt;",Settings!$B$4)))</f>
        <v>0</v>
      </c>
    </row>
    <row r="168">
      <c r="A168" t="str">
        <v>mat-al-hpdc-lowco2</v>
      </c>
      <c r="B168" t="str">
        <v>Low-CO₂ Recycled HPDC (AlSi10MnMg)</v>
      </c>
      <c r="C168" t="str">
        <v>Structural HPDC Aluminium</v>
      </c>
      <c r="D168">
        <f>IF($M168&gt;0,$M168,3.05)</f>
        <v>3.05</v>
      </c>
      <c r="E168">
        <f>IF($O168&gt;0,$O168,0.6)</f>
        <v>0.6</v>
      </c>
      <c r="F168">
        <v>2670</v>
      </c>
      <c r="G168" t="str">
        <v>UK</v>
      </c>
      <c r="H168" t="str">
        <f>IF($M168&gt;0,IF($L168&lt;&gt;1,"2026-07",IFERROR(INDEX('JLR Materials'!$D:$D,MATCH($K168,'JLR Materials'!$A:$A,0)),"2026-07")),"2026-07")</f>
        <v>2026-07</v>
      </c>
      <c r="I168" t="str">
        <f>IF($M168&gt;0,"JLR rate card — material code "&amp;$K168,"Index-anchored 2026-07 (see CASTING PRICING BASIS). ≥75% recycled-content structural HPDC alloy — same mechanicals as Silafont, ~3–4 kg CO₂/kg vs ~8–20 for primary; OEM green-casting programmes.")</f>
        <v>Index-anchored 2026-07 (see CASTING PRICING BASIS). ≥75% recycled-content structural HPDC alloy — same mechanicals as Silafont, ~3–4 kg CO₂/kg vs ~8–20 for primary; OEM green-casting programmes.</v>
      </c>
      <c r="J168" t="str">
        <v>Low</v>
      </c>
      <c r="K168" t="str">
        <f>IFERROR(INDEX(Mapping!$C:$C,MATCH($A168,Mapping!$A:$A,0)),"")</f>
        <v/>
      </c>
      <c r="L168">
        <f>IF($K168="",0,COUNTIFS('JLR Materials'!$A:$A,$K168,'JLR Materials'!$C:$C,IF(Settings!$B$2="","&lt;&gt;",Settings!$B$2),'JLR Materials'!$D:$D,IF(Settings!$B$4="","&lt;&gt;",Settings!$B$4)))</f>
        <v>0</v>
      </c>
      <c r="M168">
        <f>IF($L168&lt;&gt;1,0,SUMIFS('JLR Materials'!$E:$E,'JLR Materials'!$A:$A,$K168,'JLR Materials'!$C:$C,IF(Settings!$B$2="","&lt;&gt;",Settings!$B$2),'JLR Materials'!$D:$D,IF(Settings!$B$4="","&lt;&gt;",Settings!$B$4)))</f>
        <v>0</v>
      </c>
      <c r="N168">
        <f>IF($L168&lt;&gt;1,0,SUMIFS('JLR Materials'!$F:$F,'JLR Materials'!$A:$A,$K168,'JLR Materials'!$C:$C,IF(Settings!$B$2="","&lt;&gt;",Settings!$B$2),'JLR Materials'!$D:$D,IF(Settings!$B$4="","&lt;&gt;",Settings!$B$4)))</f>
        <v>0</v>
      </c>
      <c r="O168">
        <f>IF($N168=0,0,IF(Settings!$B$5="percent",$M168*$N168/100,$N168))</f>
        <v>0</v>
      </c>
      <c r="P168">
        <f>IF($L168&lt;&gt;1,0,SUMIFS('JLR Materials'!$G:$G,'JLR Materials'!$A:$A,$K168,'JLR Materials'!$C:$C,IF(Settings!$B$2="","&lt;&gt;",Settings!$B$2),'JLR Materials'!$D:$D,IF(Settings!$B$4="","&lt;&gt;",Settings!$B$4)))</f>
        <v>0</v>
      </c>
    </row>
    <row r="169">
      <c r="A169" t="str">
        <v>mat-htf-gigacast</v>
      </c>
      <c r="B169" t="str">
        <v>Heat-Treat-Free Giga-Casting Alloy (Xiaomi Titan / Tesla-class)</v>
      </c>
      <c r="C169" t="str">
        <v>Structural HPDC Aluminium</v>
      </c>
      <c r="D169">
        <f>IF($M169&gt;0,$M169,3.35)</f>
        <v>3.35</v>
      </c>
      <c r="E169">
        <f>IF($O169&gt;0,$O169,0.6)</f>
        <v>0.6</v>
      </c>
      <c r="F169">
        <v>2680</v>
      </c>
      <c r="G169" t="str">
        <v>UK</v>
      </c>
      <c r="H169" t="str">
        <f>IF($M169&gt;0,IF($L169&lt;&gt;1,"2026-07",IFERROR(INDEX('JLR Materials'!$D:$D,MATCH($K169,'JLR Materials'!$A:$A,0)),"2026-07")),"2026-07")</f>
        <v>2026-07</v>
      </c>
      <c r="I169" t="str">
        <f>IF($M169&gt;0,"JLR rate card — material code "&amp;$K169,"Index-anchored 2026-07 (see CASTING PRICING BASIS). Self-developed heat-treat-free AlSi(Mn)Mg family for single-piece rear/front-underbody megacastings on 6,000–9,000T+ giga-presses (Xiaomi \"Titan Metal\", Tesla HTF, BYD). As-cast ductility, no distortion-prone T7; represents the OEM self-alloyed class — override price with the actual supply quote.")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t="str">
        <v>Low</v>
      </c>
      <c r="K169" t="str">
        <f>IFERROR(INDEX(Mapping!$C:$C,MATCH($A169,Mapping!$A:$A,0)),"")</f>
        <v/>
      </c>
      <c r="L169">
        <f>IF($K169="",0,COUNTIFS('JLR Materials'!$A:$A,$K169,'JLR Materials'!$C:$C,IF(Settings!$B$2="","&lt;&gt;",Settings!$B$2),'JLR Materials'!$D:$D,IF(Settings!$B$4="","&lt;&gt;",Settings!$B$4)))</f>
        <v>0</v>
      </c>
      <c r="M169">
        <f>IF($L169&lt;&gt;1,0,SUMIFS('JLR Materials'!$E:$E,'JLR Materials'!$A:$A,$K169,'JLR Materials'!$C:$C,IF(Settings!$B$2="","&lt;&gt;",Settings!$B$2),'JLR Materials'!$D:$D,IF(Settings!$B$4="","&lt;&gt;",Settings!$B$4)))</f>
        <v>0</v>
      </c>
      <c r="N169">
        <f>IF($L169&lt;&gt;1,0,SUMIFS('JLR Materials'!$F:$F,'JLR Materials'!$A:$A,$K169,'JLR Materials'!$C:$C,IF(Settings!$B$2="","&lt;&gt;",Settings!$B$2),'JLR Materials'!$D:$D,IF(Settings!$B$4="","&lt;&gt;",Settings!$B$4)))</f>
        <v>0</v>
      </c>
      <c r="O169">
        <f>IF($N169=0,0,IF(Settings!$B$5="percent",$M169*$N169/100,$N169))</f>
        <v>0</v>
      </c>
      <c r="P169">
        <f>IF($L169&lt;&gt;1,0,SUMIFS('JLR Materials'!$G:$G,'JLR Materials'!$A:$A,$K169,'JLR Materials'!$C:$C,IF(Settings!$B$2="","&lt;&gt;",Settings!$B$2),'JLR Materials'!$D:$D,IF(Settings!$B$4="","&lt;&gt;",Settings!$B$4)))</f>
        <v>0</v>
      </c>
    </row>
    <row r="170">
      <c r="A170" t="str">
        <v>mat-a413</v>
      </c>
      <c r="B170" t="str">
        <v>A413 / AlSi12 (Eutectic Die Cast)</v>
      </c>
      <c r="C170" t="str">
        <v>Die Cast Aluminium</v>
      </c>
      <c r="D170">
        <f>IF($M170&gt;0,$M170,2.8)</f>
        <v>2.8</v>
      </c>
      <c r="E170">
        <f>IF($O170&gt;0,$O170,0.54)</f>
        <v>0.54</v>
      </c>
      <c r="F170">
        <v>2660</v>
      </c>
      <c r="G170" t="str">
        <v>UK</v>
      </c>
      <c r="H170" t="str">
        <f>IF($M170&gt;0,IF($L170&lt;&gt;1,"2026-07",IFERROR(INDEX('JLR Materials'!$D:$D,MATCH($K170,'JLR Materials'!$A:$A,0)),"2026-07")),"2026-07")</f>
        <v>2026-07</v>
      </c>
      <c r="I170" t="str">
        <f>IF($M170&gt;0,"JLR rate card — material code "&amp;$K170,"Index-anchored 2026-07 (see CASTING PRICING BASIS). Near-eutectic high-fluidity alloy — thin-wall pressure-tight housings, pump bodies, intricate die castings.")</f>
        <v>Index-anchored 2026-07 (see CASTING PRICING BASIS). Near-eutectic high-fluidity alloy — thin-wall pressure-tight housings, pump bodies, intricate die castings.</v>
      </c>
      <c r="J170" t="str">
        <v>Medium</v>
      </c>
      <c r="K170" t="str">
        <f>IFERROR(INDEX(Mapping!$C:$C,MATCH($A170,Mapping!$A:$A,0)),"")</f>
        <v/>
      </c>
      <c r="L170">
        <f>IF($K170="",0,COUNTIFS('JLR Materials'!$A:$A,$K170,'JLR Materials'!$C:$C,IF(Settings!$B$2="","&lt;&gt;",Settings!$B$2),'JLR Materials'!$D:$D,IF(Settings!$B$4="","&lt;&gt;",Settings!$B$4)))</f>
        <v>0</v>
      </c>
      <c r="M170">
        <f>IF($L170&lt;&gt;1,0,SUMIFS('JLR Materials'!$E:$E,'JLR Materials'!$A:$A,$K170,'JLR Materials'!$C:$C,IF(Settings!$B$2="","&lt;&gt;",Settings!$B$2),'JLR Materials'!$D:$D,IF(Settings!$B$4="","&lt;&gt;",Settings!$B$4)))</f>
        <v>0</v>
      </c>
      <c r="N170">
        <f>IF($L170&lt;&gt;1,0,SUMIFS('JLR Materials'!$F:$F,'JLR Materials'!$A:$A,$K170,'JLR Materials'!$C:$C,IF(Settings!$B$2="","&lt;&gt;",Settings!$B$2),'JLR Materials'!$D:$D,IF(Settings!$B$4="","&lt;&gt;",Settings!$B$4)))</f>
        <v>0</v>
      </c>
      <c r="O170">
        <f>IF($N170=0,0,IF(Settings!$B$5="percent",$M170*$N170/100,$N170))</f>
        <v>0</v>
      </c>
      <c r="P170">
        <f>IF($L170&lt;&gt;1,0,SUMIFS('JLR Materials'!$G:$G,'JLR Materials'!$A:$A,$K170,'JLR Materials'!$C:$C,IF(Settings!$B$2="","&lt;&gt;",Settings!$B$2),'JLR Materials'!$D:$D,IF(Settings!$B$4="","&lt;&gt;",Settings!$B$4)))</f>
        <v>0</v>
      </c>
    </row>
    <row r="171">
      <c r="A171" t="str">
        <v>mat-a319</v>
      </c>
      <c r="B171" t="str">
        <v>A319 / AlSi6Cu4</v>
      </c>
      <c r="C171" t="str">
        <v>Die Cast Aluminium</v>
      </c>
      <c r="D171">
        <f>IF($M171&gt;0,$M171,2.76)</f>
        <v>2.76</v>
      </c>
      <c r="E171">
        <f>IF($O171&gt;0,$O171,0.54)</f>
        <v>0.54</v>
      </c>
      <c r="F171">
        <v>2790</v>
      </c>
      <c r="G171" t="str">
        <v>UK</v>
      </c>
      <c r="H171" t="str">
        <f>IF($M171&gt;0,IF($L171&lt;&gt;1,"2026-07",IFERROR(INDEX('JLR Materials'!$D:$D,MATCH($K171,'JLR Materials'!$A:$A,0)),"2026-07")),"2026-07")</f>
        <v>2026-07</v>
      </c>
      <c r="I171" t="str">
        <f>IF($M171&gt;0,"JLR rate card — material code "&amp;$K171,"Index-anchored 2026-07 (see CASTING PRICING BASIS). General-purpose Al-Si-Cu — sand/permanent-mould engine blocks, manifolds, cylinder heads; good machinability.")</f>
        <v>Index-anchored 2026-07 (see CASTING PRICING BASIS). General-purpose Al-Si-Cu — sand/permanent-mould engine blocks, manifolds, cylinder heads; good machinability.</v>
      </c>
      <c r="J171" t="str">
        <v>Medium</v>
      </c>
      <c r="K171" t="str">
        <f>IFERROR(INDEX(Mapping!$C:$C,MATCH($A171,Mapping!$A:$A,0)),"")</f>
        <v/>
      </c>
      <c r="L171">
        <f>IF($K171="",0,COUNTIFS('JLR Materials'!$A:$A,$K171,'JLR Materials'!$C:$C,IF(Settings!$B$2="","&lt;&gt;",Settings!$B$2),'JLR Materials'!$D:$D,IF(Settings!$B$4="","&lt;&gt;",Settings!$B$4)))</f>
        <v>0</v>
      </c>
      <c r="M171">
        <f>IF($L171&lt;&gt;1,0,SUMIFS('JLR Materials'!$E:$E,'JLR Materials'!$A:$A,$K171,'JLR Materials'!$C:$C,IF(Settings!$B$2="","&lt;&gt;",Settings!$B$2),'JLR Materials'!$D:$D,IF(Settings!$B$4="","&lt;&gt;",Settings!$B$4)))</f>
        <v>0</v>
      </c>
      <c r="N171">
        <f>IF($L171&lt;&gt;1,0,SUMIFS('JLR Materials'!$F:$F,'JLR Materials'!$A:$A,$K171,'JLR Materials'!$C:$C,IF(Settings!$B$2="","&lt;&gt;",Settings!$B$2),'JLR Materials'!$D:$D,IF(Settings!$B$4="","&lt;&gt;",Settings!$B$4)))</f>
        <v>0</v>
      </c>
      <c r="O171">
        <f>IF($N171=0,0,IF(Settings!$B$5="percent",$M171*$N171/100,$N171))</f>
        <v>0</v>
      </c>
      <c r="P171">
        <f>IF($L171&lt;&gt;1,0,SUMIFS('JLR Materials'!$G:$G,'JLR Materials'!$A:$A,$K171,'JLR Materials'!$C:$C,IF(Settings!$B$2="","&lt;&gt;",Settings!$B$2),'JLR Materials'!$D:$D,IF(Settings!$B$4="","&lt;&gt;",Settings!$B$4)))</f>
        <v>0</v>
      </c>
    </row>
    <row r="172">
      <c r="A172" t="str">
        <v>mat-a390</v>
      </c>
      <c r="B172" t="str">
        <v>A390 / AlSi17Cu (Hypereutectic)</v>
      </c>
      <c r="C172" t="str">
        <v>Die Cast Aluminium</v>
      </c>
      <c r="D172">
        <f>IF($M172&gt;0,$M172,3.32)</f>
        <v>3.32</v>
      </c>
      <c r="E172">
        <f>IF($O172&gt;0,$O172,0.55)</f>
        <v>0.55</v>
      </c>
      <c r="F172">
        <v>2730</v>
      </c>
      <c r="G172" t="str">
        <v>UK</v>
      </c>
      <c r="H172" t="str">
        <f>IF($M172&gt;0,IF($L172&lt;&gt;1,"2026-07",IFERROR(INDEX('JLR Materials'!$D:$D,MATCH($K172,'JLR Materials'!$A:$A,0)),"2026-07")),"2026-07")</f>
        <v>2026-07</v>
      </c>
      <c r="I172" t="str">
        <f>IF($M172&gt;0,"JLR rate card — material code "&amp;$K172,"Index-anchored 2026-07 (see CASTING PRICING BASIS). Hypereutectic wear-resistant alloy — compressor scrolls, pistons, cylinder liners; low CTE, high hardness.")</f>
        <v>Index-anchored 2026-07 (see CASTING PRICING BASIS). Hypereutectic wear-resistant alloy — compressor scrolls, pistons, cylinder liners; low CTE, high hardness.</v>
      </c>
      <c r="J172" t="str">
        <v>Medium</v>
      </c>
      <c r="K172" t="str">
        <f>IFERROR(INDEX(Mapping!$C:$C,MATCH($A172,Mapping!$A:$A,0)),"")</f>
        <v/>
      </c>
      <c r="L172">
        <f>IF($K172="",0,COUNTIFS('JLR Materials'!$A:$A,$K172,'JLR Materials'!$C:$C,IF(Settings!$B$2="","&lt;&gt;",Settings!$B$2),'JLR Materials'!$D:$D,IF(Settings!$B$4="","&lt;&gt;",Settings!$B$4)))</f>
        <v>0</v>
      </c>
      <c r="M172">
        <f>IF($L172&lt;&gt;1,0,SUMIFS('JLR Materials'!$E:$E,'JLR Materials'!$A:$A,$K172,'JLR Materials'!$C:$C,IF(Settings!$B$2="","&lt;&gt;",Settings!$B$2),'JLR Materials'!$D:$D,IF(Settings!$B$4="","&lt;&gt;",Settings!$B$4)))</f>
        <v>0</v>
      </c>
      <c r="N172">
        <f>IF($L172&lt;&gt;1,0,SUMIFS('JLR Materials'!$F:$F,'JLR Materials'!$A:$A,$K172,'JLR Materials'!$C:$C,IF(Settings!$B$2="","&lt;&gt;",Settings!$B$2),'JLR Materials'!$D:$D,IF(Settings!$B$4="","&lt;&gt;",Settings!$B$4)))</f>
        <v>0</v>
      </c>
      <c r="O172">
        <f>IF($N172=0,0,IF(Settings!$B$5="percent",$M172*$N172/100,$N172))</f>
        <v>0</v>
      </c>
      <c r="P172">
        <f>IF($L172&lt;&gt;1,0,SUMIFS('JLR Materials'!$G:$G,'JLR Materials'!$A:$A,$K172,'JLR Materials'!$C:$C,IF(Settings!$B$2="","&lt;&gt;",Settings!$B$2),'JLR Materials'!$D:$D,IF(Settings!$B$4="","&lt;&gt;",Settings!$B$4)))</f>
        <v>0</v>
      </c>
    </row>
    <row r="173">
      <c r="A173" t="str">
        <v>mat-a357</v>
      </c>
      <c r="B173" t="str">
        <v>A357 / AlSi7Mg0.6 (Premium T6)</v>
      </c>
      <c r="C173" t="str">
        <v>Gravity/Sand Aluminium</v>
      </c>
      <c r="D173">
        <f>IF($M173&gt;0,$M173,3.26)</f>
        <v>3.26</v>
      </c>
      <c r="E173">
        <f>IF($O173&gt;0,$O173,0.56)</f>
        <v>0.56</v>
      </c>
      <c r="F173">
        <v>2680</v>
      </c>
      <c r="G173" t="str">
        <v>UK</v>
      </c>
      <c r="H173" t="str">
        <f>IF($M173&gt;0,IF($L173&lt;&gt;1,"2026-07",IFERROR(INDEX('JLR Materials'!$D:$D,MATCH($K173,'JLR Materials'!$A:$A,0)),"2026-07")),"2026-07")</f>
        <v>2026-07</v>
      </c>
      <c r="I173" t="str">
        <f>IF($M173&gt;0,"JLR rate card — material code "&amp;$K173,"Index-anchored 2026-07 (see CASTING PRICING BASIS). Premium high-integrity T6 alloy — aerospace structural, motorsport wheels, suspension uprights; HIP-capable.")</f>
        <v>Index-anchored 2026-07 (see CASTING PRICING BASIS). Premium high-integrity T6 alloy — aerospace structural, motorsport wheels, suspension uprights; HIP-capable.</v>
      </c>
      <c r="J173" t="str">
        <v>Medium</v>
      </c>
      <c r="K173" t="str">
        <f>IFERROR(INDEX(Mapping!$C:$C,MATCH($A173,Mapping!$A:$A,0)),"")</f>
        <v/>
      </c>
      <c r="L173">
        <f>IF($K173="",0,COUNTIFS('JLR Materials'!$A:$A,$K173,'JLR Materials'!$C:$C,IF(Settings!$B$2="","&lt;&gt;",Settings!$B$2),'JLR Materials'!$D:$D,IF(Settings!$B$4="","&lt;&gt;",Settings!$B$4)))</f>
        <v>0</v>
      </c>
      <c r="M173">
        <f>IF($L173&lt;&gt;1,0,SUMIFS('JLR Materials'!$E:$E,'JLR Materials'!$A:$A,$K173,'JLR Materials'!$C:$C,IF(Settings!$B$2="","&lt;&gt;",Settings!$B$2),'JLR Materials'!$D:$D,IF(Settings!$B$4="","&lt;&gt;",Settings!$B$4)))</f>
        <v>0</v>
      </c>
      <c r="N173">
        <f>IF($L173&lt;&gt;1,0,SUMIFS('JLR Materials'!$F:$F,'JLR Materials'!$A:$A,$K173,'JLR Materials'!$C:$C,IF(Settings!$B$2="","&lt;&gt;",Settings!$B$2),'JLR Materials'!$D:$D,IF(Settings!$B$4="","&lt;&gt;",Settings!$B$4)))</f>
        <v>0</v>
      </c>
      <c r="O173">
        <f>IF($N173=0,0,IF(Settings!$B$5="percent",$M173*$N173/100,$N173))</f>
        <v>0</v>
      </c>
      <c r="P173">
        <f>IF($L173&lt;&gt;1,0,SUMIFS('JLR Materials'!$G:$G,'JLR Materials'!$A:$A,$K173,'JLR Materials'!$C:$C,IF(Settings!$B$2="","&lt;&gt;",Settings!$B$2),'JLR Materials'!$D:$D,IF(Settings!$B$4="","&lt;&gt;",Settings!$B$4)))</f>
        <v>0</v>
      </c>
    </row>
    <row r="174">
      <c r="A174" t="str">
        <v>mat-gjl200</v>
      </c>
      <c r="B174" t="str">
        <v>EN-GJL-200 (Grey Iron)</v>
      </c>
      <c r="C174" t="str">
        <v>Grey Cast Iron</v>
      </c>
      <c r="D174">
        <f>IF($M174&gt;0,$M174,0.6)</f>
        <v>0.6</v>
      </c>
      <c r="E174">
        <f>IF($O174&gt;0,$O174,0.12)</f>
        <v>0.12</v>
      </c>
      <c r="F174">
        <v>7200</v>
      </c>
      <c r="G174" t="str">
        <v>UK</v>
      </c>
      <c r="H174" t="str">
        <f>IF($M174&gt;0,IF($L174&lt;&gt;1,"2026-07",IFERROR(INDEX('JLR Materials'!$D:$D,MATCH($K174,'JLR Materials'!$A:$A,0)),"2026-07")),"2026-07")</f>
        <v>2026-07</v>
      </c>
      <c r="I174" t="str">
        <f>IF($M174&gt;0,"JLR rate card — material code "&amp;$K174,"Index-anchored 2026-07 (see CASTING PRICING BASIS). General-purpose grey iron — housings, covers, counterweights; good damping and machinability.")</f>
        <v>Index-anchored 2026-07 (see CASTING PRICING BASIS). General-purpose grey iron — housings, covers, counterweights; good damping and machinability.</v>
      </c>
      <c r="J174" t="str">
        <v>Low</v>
      </c>
      <c r="K174" t="str">
        <f>IFERROR(INDEX(Mapping!$C:$C,MATCH($A174,Mapping!$A:$A,0)),"")</f>
        <v/>
      </c>
      <c r="L174">
        <f>IF($K174="",0,COUNTIFS('JLR Materials'!$A:$A,$K174,'JLR Materials'!$C:$C,IF(Settings!$B$2="","&lt;&gt;",Settings!$B$2),'JLR Materials'!$D:$D,IF(Settings!$B$4="","&lt;&gt;",Settings!$B$4)))</f>
        <v>0</v>
      </c>
      <c r="M174">
        <f>IF($L174&lt;&gt;1,0,SUMIFS('JLR Materials'!$E:$E,'JLR Materials'!$A:$A,$K174,'JLR Materials'!$C:$C,IF(Settings!$B$2="","&lt;&gt;",Settings!$B$2),'JLR Materials'!$D:$D,IF(Settings!$B$4="","&lt;&gt;",Settings!$B$4)))</f>
        <v>0</v>
      </c>
      <c r="N174">
        <f>IF($L174&lt;&gt;1,0,SUMIFS('JLR Materials'!$F:$F,'JLR Materials'!$A:$A,$K174,'JLR Materials'!$C:$C,IF(Settings!$B$2="","&lt;&gt;",Settings!$B$2),'JLR Materials'!$D:$D,IF(Settings!$B$4="","&lt;&gt;",Settings!$B$4)))</f>
        <v>0</v>
      </c>
      <c r="O174">
        <f>IF($N174=0,0,IF(Settings!$B$5="percent",$M174*$N174/100,$N174))</f>
        <v>0</v>
      </c>
      <c r="P174">
        <f>IF($L174&lt;&gt;1,0,SUMIFS('JLR Materials'!$G:$G,'JLR Materials'!$A:$A,$K174,'JLR Materials'!$C:$C,IF(Settings!$B$2="","&lt;&gt;",Settings!$B$2),'JLR Materials'!$D:$D,IF(Settings!$B$4="","&lt;&gt;",Settings!$B$4)))</f>
        <v>0</v>
      </c>
    </row>
    <row r="175">
      <c r="A175" t="str">
        <v>mat-gjl300</v>
      </c>
      <c r="B175" t="str">
        <v>EN-GJL-300 (Grey Iron Hi-Strength)</v>
      </c>
      <c r="C175" t="str">
        <v>Grey Cast Iron</v>
      </c>
      <c r="D175">
        <f>IF($M175&gt;0,$M175,0.7)</f>
        <v>0.7</v>
      </c>
      <c r="E175">
        <f>IF($O175&gt;0,$O175,0.12)</f>
        <v>0.12</v>
      </c>
      <c r="F175">
        <v>7200</v>
      </c>
      <c r="G175" t="str">
        <v>UK</v>
      </c>
      <c r="H175" t="str">
        <f>IF($M175&gt;0,IF($L175&lt;&gt;1,"2026-07",IFERROR(INDEX('JLR Materials'!$D:$D,MATCH($K175,'JLR Materials'!$A:$A,0)),"2026-07")),"2026-07")</f>
        <v>2026-07</v>
      </c>
      <c r="I175" t="str">
        <f>IF($M175&gt;0,"JLR rate card — material code "&amp;$K175,"Index-anchored 2026-07 (see CASTING PRICING BASIS). Higher-strength grey iron — engine blocks, brake discs/drums, machine-tool structures.")</f>
        <v>Index-anchored 2026-07 (see CASTING PRICING BASIS). Higher-strength grey iron — engine blocks, brake discs/drums, machine-tool structures.</v>
      </c>
      <c r="J175" t="str">
        <v>Low</v>
      </c>
      <c r="K175" t="str">
        <f>IFERROR(INDEX(Mapping!$C:$C,MATCH($A175,Mapping!$A:$A,0)),"")</f>
        <v/>
      </c>
      <c r="L175">
        <f>IF($K175="",0,COUNTIFS('JLR Materials'!$A:$A,$K175,'JLR Materials'!$C:$C,IF(Settings!$B$2="","&lt;&gt;",Settings!$B$2),'JLR Materials'!$D:$D,IF(Settings!$B$4="","&lt;&gt;",Settings!$B$4)))</f>
        <v>0</v>
      </c>
      <c r="M175">
        <f>IF($L175&lt;&gt;1,0,SUMIFS('JLR Materials'!$E:$E,'JLR Materials'!$A:$A,$K175,'JLR Materials'!$C:$C,IF(Settings!$B$2="","&lt;&gt;",Settings!$B$2),'JLR Materials'!$D:$D,IF(Settings!$B$4="","&lt;&gt;",Settings!$B$4)))</f>
        <v>0</v>
      </c>
      <c r="N175">
        <f>IF($L175&lt;&gt;1,0,SUMIFS('JLR Materials'!$F:$F,'JLR Materials'!$A:$A,$K175,'JLR Materials'!$C:$C,IF(Settings!$B$2="","&lt;&gt;",Settings!$B$2),'JLR Materials'!$D:$D,IF(Settings!$B$4="","&lt;&gt;",Settings!$B$4)))</f>
        <v>0</v>
      </c>
      <c r="O175">
        <f>IF($N175=0,0,IF(Settings!$B$5="percent",$M175*$N175/100,$N175))</f>
        <v>0</v>
      </c>
      <c r="P175">
        <f>IF($L175&lt;&gt;1,0,SUMIFS('JLR Materials'!$G:$G,'JLR Materials'!$A:$A,$K175,'JLR Materials'!$C:$C,IF(Settings!$B$2="","&lt;&gt;",Settings!$B$2),'JLR Materials'!$D:$D,IF(Settings!$B$4="","&lt;&gt;",Settings!$B$4)))</f>
        <v>0</v>
      </c>
    </row>
    <row r="176">
      <c r="A176" t="str">
        <v>mat-gjs500</v>
      </c>
      <c r="B176" t="str">
        <v>EN-GJS-500-7 (Ductile Iron)</v>
      </c>
      <c r="C176" t="str">
        <v>Ductile Cast Iron</v>
      </c>
      <c r="D176">
        <f>IF($M176&gt;0,$M176,0.86)</f>
        <v>0.86</v>
      </c>
      <c r="E176">
        <f>IF($O176&gt;0,$O176,0.15)</f>
        <v>0.15</v>
      </c>
      <c r="F176">
        <v>7100</v>
      </c>
      <c r="G176" t="str">
        <v>UK</v>
      </c>
      <c r="H176" t="str">
        <f>IF($M176&gt;0,IF($L176&lt;&gt;1,"2026-07",IFERROR(INDEX('JLR Materials'!$D:$D,MATCH($K176,'JLR Materials'!$A:$A,0)),"2026-07")),"2026-07")</f>
        <v>2026-07</v>
      </c>
      <c r="I176" t="str">
        <f>IF($M176&gt;0,"JLR rate card — material code "&amp;$K176,"Index-anchored 2026-07 (see CASTING PRICING BASIS). Mid-grade ductile iron — steering knuckles, hubs, brackets; balance of strength and ductility.")</f>
        <v>Index-anchored 2026-07 (see CASTING PRICING BASIS). Mid-grade ductile iron — steering knuckles, hubs, brackets; balance of strength and ductility.</v>
      </c>
      <c r="J176" t="str">
        <v>Low</v>
      </c>
      <c r="K176" t="str">
        <f>IFERROR(INDEX(Mapping!$C:$C,MATCH($A176,Mapping!$A:$A,0)),"")</f>
        <v/>
      </c>
      <c r="L176">
        <f>IF($K176="",0,COUNTIFS('JLR Materials'!$A:$A,$K176,'JLR Materials'!$C:$C,IF(Settings!$B$2="","&lt;&gt;",Settings!$B$2),'JLR Materials'!$D:$D,IF(Settings!$B$4="","&lt;&gt;",Settings!$B$4)))</f>
        <v>0</v>
      </c>
      <c r="M176">
        <f>IF($L176&lt;&gt;1,0,SUMIFS('JLR Materials'!$E:$E,'JLR Materials'!$A:$A,$K176,'JLR Materials'!$C:$C,IF(Settings!$B$2="","&lt;&gt;",Settings!$B$2),'JLR Materials'!$D:$D,IF(Settings!$B$4="","&lt;&gt;",Settings!$B$4)))</f>
        <v>0</v>
      </c>
      <c r="N176">
        <f>IF($L176&lt;&gt;1,0,SUMIFS('JLR Materials'!$F:$F,'JLR Materials'!$A:$A,$K176,'JLR Materials'!$C:$C,IF(Settings!$B$2="","&lt;&gt;",Settings!$B$2),'JLR Materials'!$D:$D,IF(Settings!$B$4="","&lt;&gt;",Settings!$B$4)))</f>
        <v>0</v>
      </c>
      <c r="O176">
        <f>IF($N176=0,0,IF(Settings!$B$5="percent",$M176*$N176/100,$N176))</f>
        <v>0</v>
      </c>
      <c r="P176">
        <f>IF($L176&lt;&gt;1,0,SUMIFS('JLR Materials'!$G:$G,'JLR Materials'!$A:$A,$K176,'JLR Materials'!$C:$C,IF(Settings!$B$2="","&lt;&gt;",Settings!$B$2),'JLR Materials'!$D:$D,IF(Settings!$B$4="","&lt;&gt;",Settings!$B$4)))</f>
        <v>0</v>
      </c>
    </row>
    <row r="177">
      <c r="A177" t="str">
        <v>mat-gjs700</v>
      </c>
      <c r="B177" t="str">
        <v>EN-GJS-700-2 (Ductile Iron Hi-Strength)</v>
      </c>
      <c r="C177" t="str">
        <v>Ductile Cast Iron</v>
      </c>
      <c r="D177">
        <f>IF($M177&gt;0,$M177,0.95)</f>
        <v>0.95</v>
      </c>
      <c r="E177">
        <f>IF($O177&gt;0,$O177,0.15)</f>
        <v>0.15</v>
      </c>
      <c r="F177">
        <v>7100</v>
      </c>
      <c r="G177" t="str">
        <v>UK</v>
      </c>
      <c r="H177" t="str">
        <f>IF($M177&gt;0,IF($L177&lt;&gt;1,"2026-07",IFERROR(INDEX('JLR Materials'!$D:$D,MATCH($K177,'JLR Materials'!$A:$A,0)),"2026-07")),"2026-07")</f>
        <v>2026-07</v>
      </c>
      <c r="I177" t="str">
        <f>IF($M177&gt;0,"JLR rate card — material code "&amp;$K177,"Index-anchored 2026-07 (see CASTING PRICING BASIS). High-strength ductile iron — heavy-duty gears, crankshafts, hydraulic bodies.")</f>
        <v>Index-anchored 2026-07 (see CASTING PRICING BASIS). High-strength ductile iron — heavy-duty gears, crankshafts, hydraulic bodies.</v>
      </c>
      <c r="J177" t="str">
        <v>Low</v>
      </c>
      <c r="K177" t="str">
        <f>IFERROR(INDEX(Mapping!$C:$C,MATCH($A177,Mapping!$A:$A,0)),"")</f>
        <v/>
      </c>
      <c r="L177">
        <f>IF($K177="",0,COUNTIFS('JLR Materials'!$A:$A,$K177,'JLR Materials'!$C:$C,IF(Settings!$B$2="","&lt;&gt;",Settings!$B$2),'JLR Materials'!$D:$D,IF(Settings!$B$4="","&lt;&gt;",Settings!$B$4)))</f>
        <v>0</v>
      </c>
      <c r="M177">
        <f>IF($L177&lt;&gt;1,0,SUMIFS('JLR Materials'!$E:$E,'JLR Materials'!$A:$A,$K177,'JLR Materials'!$C:$C,IF(Settings!$B$2="","&lt;&gt;",Settings!$B$2),'JLR Materials'!$D:$D,IF(Settings!$B$4="","&lt;&gt;",Settings!$B$4)))</f>
        <v>0</v>
      </c>
      <c r="N177">
        <f>IF($L177&lt;&gt;1,0,SUMIFS('JLR Materials'!$F:$F,'JLR Materials'!$A:$A,$K177,'JLR Materials'!$C:$C,IF(Settings!$B$2="","&lt;&gt;",Settings!$B$2),'JLR Materials'!$D:$D,IF(Settings!$B$4="","&lt;&gt;",Settings!$B$4)))</f>
        <v>0</v>
      </c>
      <c r="O177">
        <f>IF($N177=0,0,IF(Settings!$B$5="percent",$M177*$N177/100,$N177))</f>
        <v>0</v>
      </c>
      <c r="P177">
        <f>IF($L177&lt;&gt;1,0,SUMIFS('JLR Materials'!$G:$G,'JLR Materials'!$A:$A,$K177,'JLR Materials'!$C:$C,IF(Settings!$B$2="","&lt;&gt;",Settings!$B$2),'JLR Materials'!$D:$D,IF(Settings!$B$4="","&lt;&gt;",Settings!$B$4)))</f>
        <v>0</v>
      </c>
    </row>
    <row r="178">
      <c r="A178" t="str">
        <v>mat-gjv450</v>
      </c>
      <c r="B178" t="str">
        <v>EN-GJV-450 (Compacted Graphite Iron)</v>
      </c>
      <c r="C178" t="str">
        <v>Compacted Graphite Iron</v>
      </c>
      <c r="D178">
        <f>IF($M178&gt;0,$M178,1.12)</f>
        <v>1.12</v>
      </c>
      <c r="E178">
        <f>IF($O178&gt;0,$O178,0.16)</f>
        <v>0.16</v>
      </c>
      <c r="F178">
        <v>7100</v>
      </c>
      <c r="G178" t="str">
        <v>UK</v>
      </c>
      <c r="H178" t="str">
        <f>IF($M178&gt;0,IF($L178&lt;&gt;1,"2026-07",IFERROR(INDEX('JLR Materials'!$D:$D,MATCH($K178,'JLR Materials'!$A:$A,0)),"2026-07")),"2026-07")</f>
        <v>2026-07</v>
      </c>
      <c r="I178" t="str">
        <f>IF($M178&gt;0,"JLR rate card — material code "&amp;$K178,"Index-anchored 2026-07 (see CASTING PRICING BASIS). CGI — high-output diesel cylinder blocks/heads, exhaust manifolds; ~75% stronger than grey iron with better thermal fatigue.")</f>
        <v>Index-anchored 2026-07 (see CASTING PRICING BASIS). CGI — high-output diesel cylinder blocks/heads, exhaust manifolds; ~75% stronger than grey iron with better thermal fatigue.</v>
      </c>
      <c r="J178" t="str">
        <v>Low</v>
      </c>
      <c r="K178" t="str">
        <f>IFERROR(INDEX(Mapping!$C:$C,MATCH($A178,Mapping!$A:$A,0)),"")</f>
        <v/>
      </c>
      <c r="L178">
        <f>IF($K178="",0,COUNTIFS('JLR Materials'!$A:$A,$K178,'JLR Materials'!$C:$C,IF(Settings!$B$2="","&lt;&gt;",Settings!$B$2),'JLR Materials'!$D:$D,IF(Settings!$B$4="","&lt;&gt;",Settings!$B$4)))</f>
        <v>0</v>
      </c>
      <c r="M178">
        <f>IF($L178&lt;&gt;1,0,SUMIFS('JLR Materials'!$E:$E,'JLR Materials'!$A:$A,$K178,'JLR Materials'!$C:$C,IF(Settings!$B$2="","&lt;&gt;",Settings!$B$2),'JLR Materials'!$D:$D,IF(Settings!$B$4="","&lt;&gt;",Settings!$B$4)))</f>
        <v>0</v>
      </c>
      <c r="N178">
        <f>IF($L178&lt;&gt;1,0,SUMIFS('JLR Materials'!$F:$F,'JLR Materials'!$A:$A,$K178,'JLR Materials'!$C:$C,IF(Settings!$B$2="","&lt;&gt;",Settings!$B$2),'JLR Materials'!$D:$D,IF(Settings!$B$4="","&lt;&gt;",Settings!$B$4)))</f>
        <v>0</v>
      </c>
      <c r="O178">
        <f>IF($N178=0,0,IF(Settings!$B$5="percent",$M178*$N178/100,$N178))</f>
        <v>0</v>
      </c>
      <c r="P178">
        <f>IF($L178&lt;&gt;1,0,SUMIFS('JLR Materials'!$G:$G,'JLR Materials'!$A:$A,$K178,'JLR Materials'!$C:$C,IF(Settings!$B$2="","&lt;&gt;",Settings!$B$2),'JLR Materials'!$D:$D,IF(Settings!$B$4="","&lt;&gt;",Settings!$B$4)))</f>
        <v>0</v>
      </c>
    </row>
    <row r="179">
      <c r="A179" t="str">
        <v>mat-simo</v>
      </c>
      <c r="B179" t="str">
        <v>EN-GJS-SiMo (Heat-Resistant Ductile)</v>
      </c>
      <c r="C179" t="str">
        <v>Ductile Cast Iron</v>
      </c>
      <c r="D179">
        <f>IF($M179&gt;0,$M179,1.35)</f>
        <v>1.35</v>
      </c>
      <c r="E179">
        <f>IF($O179&gt;0,$O179,0.16)</f>
        <v>0.16</v>
      </c>
      <c r="F179">
        <v>7100</v>
      </c>
      <c r="G179" t="str">
        <v>UK</v>
      </c>
      <c r="H179" t="str">
        <f>IF($M179&gt;0,IF($L179&lt;&gt;1,"2026-07",IFERROR(INDEX('JLR Materials'!$D:$D,MATCH($K179,'JLR Materials'!$A:$A,0)),"2026-07")),"2026-07")</f>
        <v>2026-07</v>
      </c>
      <c r="I179" t="str">
        <f>IF($M179&gt;0,"JLR rate card — material code "&amp;$K179,"Index-anchored 2026-07 (see CASTING PRICING BASIS). SiMo heat-resistant ductile iron — exhaust manifolds, turbocharger housings; stable to ~800°C.")</f>
        <v>Index-anchored 2026-07 (see CASTING PRICING BASIS). SiMo heat-resistant ductile iron — exhaust manifolds, turbocharger housings; stable to ~800°C.</v>
      </c>
      <c r="J179" t="str">
        <v>Low</v>
      </c>
      <c r="K179" t="str">
        <f>IFERROR(INDEX(Mapping!$C:$C,MATCH($A179,Mapping!$A:$A,0)),"")</f>
        <v/>
      </c>
      <c r="L179">
        <f>IF($K179="",0,COUNTIFS('JLR Materials'!$A:$A,$K179,'JLR Materials'!$C:$C,IF(Settings!$B$2="","&lt;&gt;",Settings!$B$2),'JLR Materials'!$D:$D,IF(Settings!$B$4="","&lt;&gt;",Settings!$B$4)))</f>
        <v>0</v>
      </c>
      <c r="M179">
        <f>IF($L179&lt;&gt;1,0,SUMIFS('JLR Materials'!$E:$E,'JLR Materials'!$A:$A,$K179,'JLR Materials'!$C:$C,IF(Settings!$B$2="","&lt;&gt;",Settings!$B$2),'JLR Materials'!$D:$D,IF(Settings!$B$4="","&lt;&gt;",Settings!$B$4)))</f>
        <v>0</v>
      </c>
      <c r="N179">
        <f>IF($L179&lt;&gt;1,0,SUMIFS('JLR Materials'!$F:$F,'JLR Materials'!$A:$A,$K179,'JLR Materials'!$C:$C,IF(Settings!$B$2="","&lt;&gt;",Settings!$B$2),'JLR Materials'!$D:$D,IF(Settings!$B$4="","&lt;&gt;",Settings!$B$4)))</f>
        <v>0</v>
      </c>
      <c r="O179">
        <f>IF($N179=0,0,IF(Settings!$B$5="percent",$M179*$N179/100,$N179))</f>
        <v>0</v>
      </c>
      <c r="P179">
        <f>IF($L179&lt;&gt;1,0,SUMIFS('JLR Materials'!$G:$G,'JLR Materials'!$A:$A,$K179,'JLR Materials'!$C:$C,IF(Settings!$B$2="","&lt;&gt;",Settings!$B$2),'JLR Materials'!$D:$D,IF(Settings!$B$4="","&lt;&gt;",Settings!$B$4)))</f>
        <v>0</v>
      </c>
    </row>
    <row r="180">
      <c r="A180" t="str">
        <v>mat-adi</v>
      </c>
      <c r="B180" t="str">
        <v>EN-GJS-800 ADI (Austempered Ductile Iron)</v>
      </c>
      <c r="C180" t="str">
        <v>Ductile Cast Iron</v>
      </c>
      <c r="D180">
        <f>IF($M180&gt;0,$M180,1.58)</f>
        <v>1.58</v>
      </c>
      <c r="E180">
        <f>IF($O180&gt;0,$O180,0.16)</f>
        <v>0.16</v>
      </c>
      <c r="F180">
        <v>7100</v>
      </c>
      <c r="G180" t="str">
        <v>UK</v>
      </c>
      <c r="H180" t="str">
        <f>IF($M180&gt;0,IF($L180&lt;&gt;1,"2026-07",IFERROR(INDEX('JLR Materials'!$D:$D,MATCH($K180,'JLR Materials'!$A:$A,0)),"2026-07")),"2026-07")</f>
        <v>2026-07</v>
      </c>
      <c r="I180" t="str">
        <f>IF($M180&gt;0,"JLR rate card — material code "&amp;$K180,"Index-anchored 2026-07 (see CASTING PRICING BASIS). Austempered ductile iron — gears, crankshafts, suspension arms; steel-like strength at lower weight/cost, austempering heat-treat included.")</f>
        <v>Index-anchored 2026-07 (see CASTING PRICING BASIS). Austempered ductile iron — gears, crankshafts, suspension arms; steel-like strength at lower weight/cost, austempering heat-treat included.</v>
      </c>
      <c r="J180" t="str">
        <v>Low</v>
      </c>
      <c r="K180" t="str">
        <f>IFERROR(INDEX(Mapping!$C:$C,MATCH($A180,Mapping!$A:$A,0)),"")</f>
        <v/>
      </c>
      <c r="L180">
        <f>IF($K180="",0,COUNTIFS('JLR Materials'!$A:$A,$K180,'JLR Materials'!$C:$C,IF(Settings!$B$2="","&lt;&gt;",Settings!$B$2),'JLR Materials'!$D:$D,IF(Settings!$B$4="","&lt;&gt;",Settings!$B$4)))</f>
        <v>0</v>
      </c>
      <c r="M180">
        <f>IF($L180&lt;&gt;1,0,SUMIFS('JLR Materials'!$E:$E,'JLR Materials'!$A:$A,$K180,'JLR Materials'!$C:$C,IF(Settings!$B$2="","&lt;&gt;",Settings!$B$2),'JLR Materials'!$D:$D,IF(Settings!$B$4="","&lt;&gt;",Settings!$B$4)))</f>
        <v>0</v>
      </c>
      <c r="N180">
        <f>IF($L180&lt;&gt;1,0,SUMIFS('JLR Materials'!$F:$F,'JLR Materials'!$A:$A,$K180,'JLR Materials'!$C:$C,IF(Settings!$B$2="","&lt;&gt;",Settings!$B$2),'JLR Materials'!$D:$D,IF(Settings!$B$4="","&lt;&gt;",Settings!$B$4)))</f>
        <v>0</v>
      </c>
      <c r="O180">
        <f>IF($N180=0,0,IF(Settings!$B$5="percent",$M180*$N180/100,$N180))</f>
        <v>0</v>
      </c>
      <c r="P180">
        <f>IF($L180&lt;&gt;1,0,SUMIFS('JLR Materials'!$G:$G,'JLR Materials'!$A:$A,$K180,'JLR Materials'!$C:$C,IF(Settings!$B$2="","&lt;&gt;",Settings!$B$2),'JLR Materials'!$D:$D,IF(Settings!$B$4="","&lt;&gt;",Settings!$B$4)))</f>
        <v>0</v>
      </c>
    </row>
    <row r="181">
      <c r="A181" t="str">
        <v>mat-mag-am60</v>
      </c>
      <c r="B181" t="str">
        <v>AM60B Magnesium Die Cast</v>
      </c>
      <c r="C181" t="str">
        <v>Magnesium Alloy</v>
      </c>
      <c r="D181">
        <f>IF($M181&gt;0,$M181,3.85)</f>
        <v>3.85</v>
      </c>
      <c r="E181">
        <f>IF($O181&gt;0,$O181,0.8)</f>
        <v>0.8</v>
      </c>
      <c r="F181">
        <v>1800</v>
      </c>
      <c r="G181" t="str">
        <v>UK</v>
      </c>
      <c r="H181" t="str">
        <f>IF($M181&gt;0,IF($L181&lt;&gt;1,"2026-07",IFERROR(INDEX('JLR Materials'!$D:$D,MATCH($K181,'JLR Materials'!$A:$A,0)),"2026-07")),"2026-07")</f>
        <v>2026-07</v>
      </c>
      <c r="I181" t="str">
        <f>IF($M181&gt;0,"JLR rate card — material code "&amp;$K181,"Index-anchored 2026-07 (see CASTING PRICING BASIS). High-ductility Mg — steering wheels, seat frames, instrument-panel beams; better elongation than AZ91.")</f>
        <v>Index-anchored 2026-07 (see CASTING PRICING BASIS). High-ductility Mg — steering wheels, seat frames, instrument-panel beams; better elongation than AZ91.</v>
      </c>
      <c r="J181" t="str">
        <v>Low</v>
      </c>
      <c r="K181" t="str">
        <f>IFERROR(INDEX(Mapping!$C:$C,MATCH($A181,Mapping!$A:$A,0)),"")</f>
        <v/>
      </c>
      <c r="L181">
        <f>IF($K181="",0,COUNTIFS('JLR Materials'!$A:$A,$K181,'JLR Materials'!$C:$C,IF(Settings!$B$2="","&lt;&gt;",Settings!$B$2),'JLR Materials'!$D:$D,IF(Settings!$B$4="","&lt;&gt;",Settings!$B$4)))</f>
        <v>0</v>
      </c>
      <c r="M181">
        <f>IF($L181&lt;&gt;1,0,SUMIFS('JLR Materials'!$E:$E,'JLR Materials'!$A:$A,$K181,'JLR Materials'!$C:$C,IF(Settings!$B$2="","&lt;&gt;",Settings!$B$2),'JLR Materials'!$D:$D,IF(Settings!$B$4="","&lt;&gt;",Settings!$B$4)))</f>
        <v>0</v>
      </c>
      <c r="N181">
        <f>IF($L181&lt;&gt;1,0,SUMIFS('JLR Materials'!$F:$F,'JLR Materials'!$A:$A,$K181,'JLR Materials'!$C:$C,IF(Settings!$B$2="","&lt;&gt;",Settings!$B$2),'JLR Materials'!$D:$D,IF(Settings!$B$4="","&lt;&gt;",Settings!$B$4)))</f>
        <v>0</v>
      </c>
      <c r="O181">
        <f>IF($N181=0,0,IF(Settings!$B$5="percent",$M181*$N181/100,$N181))</f>
        <v>0</v>
      </c>
      <c r="P181">
        <f>IF($L181&lt;&gt;1,0,SUMIFS('JLR Materials'!$G:$G,'JLR Materials'!$A:$A,$K181,'JLR Materials'!$C:$C,IF(Settings!$B$2="","&lt;&gt;",Settings!$B$2),'JLR Materials'!$D:$D,IF(Settings!$B$4="","&lt;&gt;",Settings!$B$4)))</f>
        <v>0</v>
      </c>
    </row>
    <row r="182">
      <c r="A182" t="str">
        <v>mat-mag-am50</v>
      </c>
      <c r="B182" t="str">
        <v>AM50A Magnesium Die Cast</v>
      </c>
      <c r="C182" t="str">
        <v>Magnesium Alloy</v>
      </c>
      <c r="D182">
        <f>IF($M182&gt;0,$M182,3.9)</f>
        <v>3.9</v>
      </c>
      <c r="E182">
        <f>IF($O182&gt;0,$O182,0.8)</f>
        <v>0.8</v>
      </c>
      <c r="F182">
        <v>1770</v>
      </c>
      <c r="G182" t="str">
        <v>UK</v>
      </c>
      <c r="H182" t="str">
        <f>IF($M182&gt;0,IF($L182&lt;&gt;1,"2026-07",IFERROR(INDEX('JLR Materials'!$D:$D,MATCH($K182,'JLR Materials'!$A:$A,0)),"2026-07")),"2026-07")</f>
        <v>2026-07</v>
      </c>
      <c r="I182" t="str">
        <f>IF($M182&gt;0,"JLR rate card — material code "&amp;$K182,"Index-anchored 2026-07 (see CASTING PRICING BASIS). Highest-ductility standard Mg die-cast alloy — safety-critical energy-absorbing structures, IP beams, brackets.")</f>
        <v>Index-anchored 2026-07 (see CASTING PRICING BASIS). Highest-ductility standard Mg die-cast alloy — safety-critical energy-absorbing structures, IP beams, brackets.</v>
      </c>
      <c r="J182" t="str">
        <v>Low</v>
      </c>
      <c r="K182" t="str">
        <f>IFERROR(INDEX(Mapping!$C:$C,MATCH($A182,Mapping!$A:$A,0)),"")</f>
        <v/>
      </c>
      <c r="L182">
        <f>IF($K182="",0,COUNTIFS('JLR Materials'!$A:$A,$K182,'JLR Materials'!$C:$C,IF(Settings!$B$2="","&lt;&gt;",Settings!$B$2),'JLR Materials'!$D:$D,IF(Settings!$B$4="","&lt;&gt;",Settings!$B$4)))</f>
        <v>0</v>
      </c>
      <c r="M182">
        <f>IF($L182&lt;&gt;1,0,SUMIFS('JLR Materials'!$E:$E,'JLR Materials'!$A:$A,$K182,'JLR Materials'!$C:$C,IF(Settings!$B$2="","&lt;&gt;",Settings!$B$2),'JLR Materials'!$D:$D,IF(Settings!$B$4="","&lt;&gt;",Settings!$B$4)))</f>
        <v>0</v>
      </c>
      <c r="N182">
        <f>IF($L182&lt;&gt;1,0,SUMIFS('JLR Materials'!$F:$F,'JLR Materials'!$A:$A,$K182,'JLR Materials'!$C:$C,IF(Settings!$B$2="","&lt;&gt;",Settings!$B$2),'JLR Materials'!$D:$D,IF(Settings!$B$4="","&lt;&gt;",Settings!$B$4)))</f>
        <v>0</v>
      </c>
      <c r="O182">
        <f>IF($N182=0,0,IF(Settings!$B$5="percent",$M182*$N182/100,$N182))</f>
        <v>0</v>
      </c>
      <c r="P182">
        <f>IF($L182&lt;&gt;1,0,SUMIFS('JLR Materials'!$G:$G,'JLR Materials'!$A:$A,$K182,'JLR Materials'!$C:$C,IF(Settings!$B$2="","&lt;&gt;",Settings!$B$2),'JLR Materials'!$D:$D,IF(Settings!$B$4="","&lt;&gt;",Settings!$B$4)))</f>
        <v>0</v>
      </c>
    </row>
    <row r="183">
      <c r="A183" t="str">
        <v>mat-mag-ae44</v>
      </c>
      <c r="B183" t="str">
        <v>AE44 Magnesium (Creep-Resistant)</v>
      </c>
      <c r="C183" t="str">
        <v>Magnesium Alloy</v>
      </c>
      <c r="D183">
        <f>IF($M183&gt;0,$M183,5.2)</f>
        <v>5.2</v>
      </c>
      <c r="E183">
        <f>IF($O183&gt;0,$O183,0.9)</f>
        <v>0.9</v>
      </c>
      <c r="F183">
        <v>1820</v>
      </c>
      <c r="G183" t="str">
        <v>UK</v>
      </c>
      <c r="H183" t="str">
        <f>IF($M183&gt;0,IF($L183&lt;&gt;1,"2026-07",IFERROR(INDEX('JLR Materials'!$D:$D,MATCH($K183,'JLR Materials'!$A:$A,0)),"2026-07")),"2026-07")</f>
        <v>2026-07</v>
      </c>
      <c r="I183" t="str">
        <f>IF($M183&gt;0,"JLR rate card — material code "&amp;$K183,"Index-anchored 2026-07 (see CASTING PRICING BASIS). Rare-earth (Ce/La) creep-resistant Mg — powertrain, engine cradles, transmission cases at elevated temperature; RE adder over AZ/AM grades.")</f>
        <v>Index-anchored 2026-07 (see CASTING PRICING BASIS). Rare-earth (Ce/La) creep-resistant Mg — powertrain, engine cradles, transmission cases at elevated temperature; RE adder over AZ/AM grades.</v>
      </c>
      <c r="J183" t="str">
        <v>Low</v>
      </c>
      <c r="K183" t="str">
        <f>IFERROR(INDEX(Mapping!$C:$C,MATCH($A183,Mapping!$A:$A,0)),"")</f>
        <v/>
      </c>
      <c r="L183">
        <f>IF($K183="",0,COUNTIFS('JLR Materials'!$A:$A,$K183,'JLR Materials'!$C:$C,IF(Settings!$B$2="","&lt;&gt;",Settings!$B$2),'JLR Materials'!$D:$D,IF(Settings!$B$4="","&lt;&gt;",Settings!$B$4)))</f>
        <v>0</v>
      </c>
      <c r="M183">
        <f>IF($L183&lt;&gt;1,0,SUMIFS('JLR Materials'!$E:$E,'JLR Materials'!$A:$A,$K183,'JLR Materials'!$C:$C,IF(Settings!$B$2="","&lt;&gt;",Settings!$B$2),'JLR Materials'!$D:$D,IF(Settings!$B$4="","&lt;&gt;",Settings!$B$4)))</f>
        <v>0</v>
      </c>
      <c r="N183">
        <f>IF($L183&lt;&gt;1,0,SUMIFS('JLR Materials'!$F:$F,'JLR Materials'!$A:$A,$K183,'JLR Materials'!$C:$C,IF(Settings!$B$2="","&lt;&gt;",Settings!$B$2),'JLR Materials'!$D:$D,IF(Settings!$B$4="","&lt;&gt;",Settings!$B$4)))</f>
        <v>0</v>
      </c>
      <c r="O183">
        <f>IF($N183=0,0,IF(Settings!$B$5="percent",$M183*$N183/100,$N183))</f>
        <v>0</v>
      </c>
      <c r="P183">
        <f>IF($L183&lt;&gt;1,0,SUMIFS('JLR Materials'!$G:$G,'JLR Materials'!$A:$A,$K183,'JLR Materials'!$C:$C,IF(Settings!$B$2="","&lt;&gt;",Settings!$B$2),'JLR Materials'!$D:$D,IF(Settings!$B$4="","&lt;&gt;",Settings!$B$4)))</f>
        <v>0</v>
      </c>
    </row>
    <row r="184">
      <c r="A184" t="str">
        <v>mat-za8</v>
      </c>
      <c r="B184" t="str">
        <v>ZA-8 (Zinc-Aluminium Die Cast)</v>
      </c>
      <c r="C184" t="str">
        <v>Zinc Die Cast</v>
      </c>
      <c r="D184">
        <f>IF($M184&gt;0,$M184,2.82)</f>
        <v>2.82</v>
      </c>
      <c r="E184">
        <f>IF($O184&gt;0,$O184,1.25)</f>
        <v>1.25</v>
      </c>
      <c r="F184">
        <v>6300</v>
      </c>
      <c r="G184" t="str">
        <v>UK</v>
      </c>
      <c r="H184" t="str">
        <f>IF($M184&gt;0,IF($L184&lt;&gt;1,"2026-07",IFERROR(INDEX('JLR Materials'!$D:$D,MATCH($K184,'JLR Materials'!$A:$A,0)),"2026-07")),"2026-07")</f>
        <v>2026-07</v>
      </c>
      <c r="I184" t="str">
        <f>IF($M184&gt;0,"JLR rate card — material code "&amp;$K184,"Index-anchored 2026-07 (see CASTING PRICING BASIS). Hot-chamber ZA-8 — higher strength/creep than Zamak; hardware, gears, bushings.")</f>
        <v>Index-anchored 2026-07 (see CASTING PRICING BASIS). Hot-chamber ZA-8 — higher strength/creep than Zamak; hardware, gears, bushings.</v>
      </c>
      <c r="J184" t="str">
        <v>Low</v>
      </c>
      <c r="K184" t="str">
        <f>IFERROR(INDEX(Mapping!$C:$C,MATCH($A184,Mapping!$A:$A,0)),"")</f>
        <v/>
      </c>
      <c r="L184">
        <f>IF($K184="",0,COUNTIFS('JLR Materials'!$A:$A,$K184,'JLR Materials'!$C:$C,IF(Settings!$B$2="","&lt;&gt;",Settings!$B$2),'JLR Materials'!$D:$D,IF(Settings!$B$4="","&lt;&gt;",Settings!$B$4)))</f>
        <v>0</v>
      </c>
      <c r="M184">
        <f>IF($L184&lt;&gt;1,0,SUMIFS('JLR Materials'!$E:$E,'JLR Materials'!$A:$A,$K184,'JLR Materials'!$C:$C,IF(Settings!$B$2="","&lt;&gt;",Settings!$B$2),'JLR Materials'!$D:$D,IF(Settings!$B$4="","&lt;&gt;",Settings!$B$4)))</f>
        <v>0</v>
      </c>
      <c r="N184">
        <f>IF($L184&lt;&gt;1,0,SUMIFS('JLR Materials'!$F:$F,'JLR Materials'!$A:$A,$K184,'JLR Materials'!$C:$C,IF(Settings!$B$2="","&lt;&gt;",Settings!$B$2),'JLR Materials'!$D:$D,IF(Settings!$B$4="","&lt;&gt;",Settings!$B$4)))</f>
        <v>0</v>
      </c>
      <c r="O184">
        <f>IF($N184=0,0,IF(Settings!$B$5="percent",$M184*$N184/100,$N184))</f>
        <v>0</v>
      </c>
      <c r="P184">
        <f>IF($L184&lt;&gt;1,0,SUMIFS('JLR Materials'!$G:$G,'JLR Materials'!$A:$A,$K184,'JLR Materials'!$C:$C,IF(Settings!$B$2="","&lt;&gt;",Settings!$B$2),'JLR Materials'!$D:$D,IF(Settings!$B$4="","&lt;&gt;",Settings!$B$4)))</f>
        <v>0</v>
      </c>
    </row>
    <row r="185">
      <c r="A185" t="str">
        <v>mat-za27</v>
      </c>
      <c r="B185" t="str">
        <v>ZA-27 (High-Strength Zinc-Aluminium)</v>
      </c>
      <c r="C185" t="str">
        <v>Zinc Die Cast</v>
      </c>
      <c r="D185">
        <f>IF($M185&gt;0,$M185,3.1)</f>
        <v>3.1</v>
      </c>
      <c r="E185">
        <f>IF($O185&gt;0,$O185,1.15)</f>
        <v>1.15</v>
      </c>
      <c r="F185">
        <v>5000</v>
      </c>
      <c r="G185" t="str">
        <v>UK</v>
      </c>
      <c r="H185" t="str">
        <f>IF($M185&gt;0,IF($L185&lt;&gt;1,"2026-07",IFERROR(INDEX('JLR Materials'!$D:$D,MATCH($K185,'JLR Materials'!$A:$A,0)),"2026-07")),"2026-07")</f>
        <v>2026-07</v>
      </c>
      <c r="I185" t="str">
        <f>IF($M185&gt;0,"JLR rate card — material code "&amp;$K185,"Index-anchored 2026-07 (see CASTING PRICING BASIS). Highest-strength ZA alloy — bronze-replacement bearings, high-load gravity/sand castings; lower density than Zamak.")</f>
        <v>Index-anchored 2026-07 (see CASTING PRICING BASIS). Highest-strength ZA alloy — bronze-replacement bearings, high-load gravity/sand castings; lower density than Zamak.</v>
      </c>
      <c r="J185" t="str">
        <v>Low</v>
      </c>
      <c r="K185" t="str">
        <f>IFERROR(INDEX(Mapping!$C:$C,MATCH($A185,Mapping!$A:$A,0)),"")</f>
        <v/>
      </c>
      <c r="L185">
        <f>IF($K185="",0,COUNTIFS('JLR Materials'!$A:$A,$K185,'JLR Materials'!$C:$C,IF(Settings!$B$2="","&lt;&gt;",Settings!$B$2),'JLR Materials'!$D:$D,IF(Settings!$B$4="","&lt;&gt;",Settings!$B$4)))</f>
        <v>0</v>
      </c>
      <c r="M185">
        <f>IF($L185&lt;&gt;1,0,SUMIFS('JLR Materials'!$E:$E,'JLR Materials'!$A:$A,$K185,'JLR Materials'!$C:$C,IF(Settings!$B$2="","&lt;&gt;",Settings!$B$2),'JLR Materials'!$D:$D,IF(Settings!$B$4="","&lt;&gt;",Settings!$B$4)))</f>
        <v>0</v>
      </c>
      <c r="N185">
        <f>IF($L185&lt;&gt;1,0,SUMIFS('JLR Materials'!$F:$F,'JLR Materials'!$A:$A,$K185,'JLR Materials'!$C:$C,IF(Settings!$B$2="","&lt;&gt;",Settings!$B$2),'JLR Materials'!$D:$D,IF(Settings!$B$4="","&lt;&gt;",Settings!$B$4)))</f>
        <v>0</v>
      </c>
      <c r="O185">
        <f>IF($N185=0,0,IF(Settings!$B$5="percent",$M185*$N185/100,$N185))</f>
        <v>0</v>
      </c>
      <c r="P185">
        <f>IF($L185&lt;&gt;1,0,SUMIFS('JLR Materials'!$G:$G,'JLR Materials'!$A:$A,$K185,'JLR Materials'!$C:$C,IF(Settings!$B$2="","&lt;&gt;",Settings!$B$2),'JLR Materials'!$D:$D,IF(Settings!$B$4="","&lt;&gt;",Settings!$B$4)))</f>
        <v>0</v>
      </c>
    </row>
    <row r="186">
      <c r="A186" t="str">
        <v>mat-gs-c25</v>
      </c>
      <c r="B186" t="str">
        <v>GS-C25 (Cast Carbon Steel)</v>
      </c>
      <c r="C186" t="str">
        <v>Cast Carbon Steel</v>
      </c>
      <c r="D186">
        <f>IF($M186&gt;0,$M186,2.1)</f>
        <v>2.1</v>
      </c>
      <c r="E186">
        <f>IF($O186&gt;0,$O186,0.28)</f>
        <v>0.28</v>
      </c>
      <c r="F186">
        <v>7850</v>
      </c>
      <c r="G186" t="str">
        <v>UK</v>
      </c>
      <c r="H186" t="str">
        <f>IF($M186&gt;0,IF($L186&lt;&gt;1,"2026-07",IFERROR(INDEX('JLR Materials'!$D:$D,MATCH($K186,'JLR Materials'!$A:$A,0)),"2026-07")),"2026-07")</f>
        <v>2026-07</v>
      </c>
      <c r="I186" t="str">
        <f>IF($M186&gt;0,"JLR rate card — material code "&amp;$K186,"Index-anchored 2026-07 (see CASTING PRICING BASIS). General-purpose cast carbon steel — structural brackets, valve bodies, machine frames; weldable, machinable.")</f>
        <v>Index-anchored 2026-07 (see CASTING PRICING BASIS). General-purpose cast carbon steel — structural brackets, valve bodies, machine frames; weldable, machinable.</v>
      </c>
      <c r="J186" t="str">
        <v>Low</v>
      </c>
      <c r="K186" t="str">
        <f>IFERROR(INDEX(Mapping!$C:$C,MATCH($A186,Mapping!$A:$A,0)),"")</f>
        <v/>
      </c>
      <c r="L186">
        <f>IF($K186="",0,COUNTIFS('JLR Materials'!$A:$A,$K186,'JLR Materials'!$C:$C,IF(Settings!$B$2="","&lt;&gt;",Settings!$B$2),'JLR Materials'!$D:$D,IF(Settings!$B$4="","&lt;&gt;",Settings!$B$4)))</f>
        <v>0</v>
      </c>
      <c r="M186">
        <f>IF($L186&lt;&gt;1,0,SUMIFS('JLR Materials'!$E:$E,'JLR Materials'!$A:$A,$K186,'JLR Materials'!$C:$C,IF(Settings!$B$2="","&lt;&gt;",Settings!$B$2),'JLR Materials'!$D:$D,IF(Settings!$B$4="","&lt;&gt;",Settings!$B$4)))</f>
        <v>0</v>
      </c>
      <c r="N186">
        <f>IF($L186&lt;&gt;1,0,SUMIFS('JLR Materials'!$F:$F,'JLR Materials'!$A:$A,$K186,'JLR Materials'!$C:$C,IF(Settings!$B$2="","&lt;&gt;",Settings!$B$2),'JLR Materials'!$D:$D,IF(Settings!$B$4="","&lt;&gt;",Settings!$B$4)))</f>
        <v>0</v>
      </c>
      <c r="O186">
        <f>IF($N186=0,0,IF(Settings!$B$5="percent",$M186*$N186/100,$N186))</f>
        <v>0</v>
      </c>
      <c r="P186">
        <f>IF($L186&lt;&gt;1,0,SUMIFS('JLR Materials'!$G:$G,'JLR Materials'!$A:$A,$K186,'JLR Materials'!$C:$C,IF(Settings!$B$2="","&lt;&gt;",Settings!$B$2),'JLR Materials'!$D:$D,IF(Settings!$B$4="","&lt;&gt;",Settings!$B$4)))</f>
        <v>0</v>
      </c>
    </row>
    <row r="187">
      <c r="A187" t="str">
        <v>mat-17-4ph-cast</v>
      </c>
      <c r="B187" t="str">
        <v>17-4PH (Investment Cast Stainless)</v>
      </c>
      <c r="C187" t="str">
        <v>Cast Stainless Steel</v>
      </c>
      <c r="D187">
        <f>IF($M187&gt;0,$M187,9.5)</f>
        <v>9.5</v>
      </c>
      <c r="E187">
        <f>IF($O187&gt;0,$O187,1.5)</f>
        <v>1.5</v>
      </c>
      <c r="F187">
        <v>7800</v>
      </c>
      <c r="G187" t="str">
        <v>UK</v>
      </c>
      <c r="H187" t="str">
        <f>IF($M187&gt;0,IF($L187&lt;&gt;1,"2026-07",IFERROR(INDEX('JLR Materials'!$D:$D,MATCH($K187,'JLR Materials'!$A:$A,0)),"2026-07")),"2026-07")</f>
        <v>2026-07</v>
      </c>
      <c r="I187" t="str">
        <f>IF($M187&gt;0,"JLR rate card — material code "&amp;$K187,"Index-anchored 2026-07 (see CASTING PRICING BASIS). Precipitation-hardening martensitic stainless investment casting — pump/valve internals, aerospace fittings, high strength + corrosion resistance.")</f>
        <v>Index-anchored 2026-07 (see CASTING PRICING BASIS). Precipitation-hardening martensitic stainless investment casting — pump/valve internals, aerospace fittings, high strength + corrosion resistance.</v>
      </c>
      <c r="J187" t="str">
        <v>Low</v>
      </c>
      <c r="K187" t="str">
        <f>IFERROR(INDEX(Mapping!$C:$C,MATCH($A187,Mapping!$A:$A,0)),"")</f>
        <v/>
      </c>
      <c r="L187">
        <f>IF($K187="",0,COUNTIFS('JLR Materials'!$A:$A,$K187,'JLR Materials'!$C:$C,IF(Settings!$B$2="","&lt;&gt;",Settings!$B$2),'JLR Materials'!$D:$D,IF(Settings!$B$4="","&lt;&gt;",Settings!$B$4)))</f>
        <v>0</v>
      </c>
      <c r="M187">
        <f>IF($L187&lt;&gt;1,0,SUMIFS('JLR Materials'!$E:$E,'JLR Materials'!$A:$A,$K187,'JLR Materials'!$C:$C,IF(Settings!$B$2="","&lt;&gt;",Settings!$B$2),'JLR Materials'!$D:$D,IF(Settings!$B$4="","&lt;&gt;",Settings!$B$4)))</f>
        <v>0</v>
      </c>
      <c r="N187">
        <f>IF($L187&lt;&gt;1,0,SUMIFS('JLR Materials'!$F:$F,'JLR Materials'!$A:$A,$K187,'JLR Materials'!$C:$C,IF(Settings!$B$2="","&lt;&gt;",Settings!$B$2),'JLR Materials'!$D:$D,IF(Settings!$B$4="","&lt;&gt;",Settings!$B$4)))</f>
        <v>0</v>
      </c>
      <c r="O187">
        <f>IF($N187=0,0,IF(Settings!$B$5="percent",$M187*$N187/100,$N187))</f>
        <v>0</v>
      </c>
      <c r="P187">
        <f>IF($L187&lt;&gt;1,0,SUMIFS('JLR Materials'!$G:$G,'JLR Materials'!$A:$A,$K187,'JLR Materials'!$C:$C,IF(Settings!$B$2="","&lt;&gt;",Settings!$B$2),'JLR Materials'!$D:$D,IF(Settings!$B$4="","&lt;&gt;",Settings!$B$4)))</f>
        <v>0</v>
      </c>
    </row>
    <row r="188">
      <c r="A188" t="str">
        <v>mat-inconel718-cast</v>
      </c>
      <c r="B188" t="str">
        <v>Inconel 718 (Investment Cast Superalloy)</v>
      </c>
      <c r="C188" t="str">
        <v>Nickel Superalloy Casting</v>
      </c>
      <c r="D188">
        <f>IF($M188&gt;0,$M188,42)</f>
        <v>42</v>
      </c>
      <c r="E188">
        <f>IF($O188&gt;0,$O188,8)</f>
        <v>8</v>
      </c>
      <c r="F188">
        <v>8190</v>
      </c>
      <c r="G188" t="str">
        <v>UK</v>
      </c>
      <c r="H188" t="str">
        <f>IF($M188&gt;0,IF($L188&lt;&gt;1,"2026-07",IFERROR(INDEX('JLR Materials'!$D:$D,MATCH($K188,'JLR Materials'!$A:$A,0)),"2026-07")),"2026-07")</f>
        <v>2026-07</v>
      </c>
      <c r="I188" t="str">
        <f>IF($M188&gt;0,"JLR rate card — material code "&amp;$K188,"Index-anchored 2026-07 (see CASTING PRICING BASIS). Ni-Cr-Fe superalloy investment casting — turbine/hot-section, high-temperature structural; nickel + cobalt dominated, low casting yield.")</f>
        <v>Index-anchored 2026-07 (see CASTING PRICING BASIS). Ni-Cr-Fe superalloy investment casting — turbine/hot-section, high-temperature structural; nickel + cobalt dominated, low casting yield.</v>
      </c>
      <c r="J188" t="str">
        <v>Low</v>
      </c>
      <c r="K188" t="str">
        <f>IFERROR(INDEX(Mapping!$C:$C,MATCH($A188,Mapping!$A:$A,0)),"")</f>
        <v/>
      </c>
      <c r="L188">
        <f>IF($K188="",0,COUNTIFS('JLR Materials'!$A:$A,$K188,'JLR Materials'!$C:$C,IF(Settings!$B$2="","&lt;&gt;",Settings!$B$2),'JLR Materials'!$D:$D,IF(Settings!$B$4="","&lt;&gt;",Settings!$B$4)))</f>
        <v>0</v>
      </c>
      <c r="M188">
        <f>IF($L188&lt;&gt;1,0,SUMIFS('JLR Materials'!$E:$E,'JLR Materials'!$A:$A,$K188,'JLR Materials'!$C:$C,IF(Settings!$B$2="","&lt;&gt;",Settings!$B$2),'JLR Materials'!$D:$D,IF(Settings!$B$4="","&lt;&gt;",Settings!$B$4)))</f>
        <v>0</v>
      </c>
      <c r="N188">
        <f>IF($L188&lt;&gt;1,0,SUMIFS('JLR Materials'!$F:$F,'JLR Materials'!$A:$A,$K188,'JLR Materials'!$C:$C,IF(Settings!$B$2="","&lt;&gt;",Settings!$B$2),'JLR Materials'!$D:$D,IF(Settings!$B$4="","&lt;&gt;",Settings!$B$4)))</f>
        <v>0</v>
      </c>
      <c r="O188">
        <f>IF($N188=0,0,IF(Settings!$B$5="percent",$M188*$N188/100,$N188))</f>
        <v>0</v>
      </c>
      <c r="P188">
        <f>IF($L188&lt;&gt;1,0,SUMIFS('JLR Materials'!$G:$G,'JLR Materials'!$A:$A,$K188,'JLR Materials'!$C:$C,IF(Settings!$B$2="","&lt;&gt;",Settings!$B$2),'JLR Materials'!$D:$D,IF(Settings!$B$4="","&lt;&gt;",Settings!$B$4)))</f>
        <v>0</v>
      </c>
    </row>
    <row r="189">
      <c r="A189" t="str">
        <v>mat-steel1020</v>
      </c>
      <c r="B189" t="str">
        <v>1020 / S20C</v>
      </c>
      <c r="C189" t="str">
        <v>Carbon Steel Billet</v>
      </c>
      <c r="D189">
        <f>IF($M189&gt;0,$M189,0.82)</f>
        <v>0.82</v>
      </c>
      <c r="E189">
        <f>IF($O189&gt;0,$O189,0.19)</f>
        <v>0.19</v>
      </c>
      <c r="F189">
        <v>7850</v>
      </c>
      <c r="G189" t="str">
        <v>UK</v>
      </c>
      <c r="H189" t="str">
        <f>IF($M189&gt;0,IF($L189&lt;&gt;1,"2026-07",IFERROR(INDEX('JLR Materials'!$D:$D,MATCH($K189,'JLR Materials'!$A:$A,0)),"2026-07")),"2026-07")</f>
        <v>2026-07</v>
      </c>
      <c r="I189" t="str">
        <f>IF($M189&gt;0,"JLR rate card — material code "&amp;$K189,"UK steel billet, Jun 2026. Index-anchored 2026-07 (see FORGING PRICING BASIS).")</f>
        <v>UK steel billet, Jun 2026. Index-anchored 2026-07 (see FORGING PRICING BASIS).</v>
      </c>
      <c r="J189" t="str">
        <v>Medium</v>
      </c>
      <c r="K189" t="str">
        <f>IFERROR(INDEX(Mapping!$C:$C,MATCH($A189,Mapping!$A:$A,0)),"")</f>
        <v/>
      </c>
      <c r="L189">
        <f>IF($K189="",0,COUNTIFS('JLR Materials'!$A:$A,$K189,'JLR Materials'!$C:$C,IF(Settings!$B$2="","&lt;&gt;",Settings!$B$2),'JLR Materials'!$D:$D,IF(Settings!$B$4="","&lt;&gt;",Settings!$B$4)))</f>
        <v>0</v>
      </c>
      <c r="M189">
        <f>IF($L189&lt;&gt;1,0,SUMIFS('JLR Materials'!$E:$E,'JLR Materials'!$A:$A,$K189,'JLR Materials'!$C:$C,IF(Settings!$B$2="","&lt;&gt;",Settings!$B$2),'JLR Materials'!$D:$D,IF(Settings!$B$4="","&lt;&gt;",Settings!$B$4)))</f>
        <v>0</v>
      </c>
      <c r="N189">
        <f>IF($L189&lt;&gt;1,0,SUMIFS('JLR Materials'!$F:$F,'JLR Materials'!$A:$A,$K189,'JLR Materials'!$C:$C,IF(Settings!$B$2="","&lt;&gt;",Settings!$B$2),'JLR Materials'!$D:$D,IF(Settings!$B$4="","&lt;&gt;",Settings!$B$4)))</f>
        <v>0</v>
      </c>
      <c r="O189">
        <f>IF($N189=0,0,IF(Settings!$B$5="percent",$M189*$N189/100,$N189))</f>
        <v>0</v>
      </c>
      <c r="P189">
        <f>IF($L189&lt;&gt;1,0,SUMIFS('JLR Materials'!$G:$G,'JLR Materials'!$A:$A,$K189,'JLR Materials'!$C:$C,IF(Settings!$B$2="","&lt;&gt;",Settings!$B$2),'JLR Materials'!$D:$D,IF(Settings!$B$4="","&lt;&gt;",Settings!$B$4)))</f>
        <v>0</v>
      </c>
    </row>
    <row r="190">
      <c r="A190" t="str">
        <v>mat-steel4340</v>
      </c>
      <c r="B190" t="str">
        <v>4340 / 40NiCrMo22 / EN24 (Ni-Cr-Mo Alloy Steel)</v>
      </c>
      <c r="C190" t="str">
        <v>Alloy Steel Billet</v>
      </c>
      <c r="D190">
        <f>IF($M190&gt;0,$M190,1.45)</f>
        <v>1.45</v>
      </c>
      <c r="E190">
        <f>IF($O190&gt;0,$O190,0.22)</f>
        <v>0.22</v>
      </c>
      <c r="F190">
        <v>7850</v>
      </c>
      <c r="G190" t="str">
        <v>UK</v>
      </c>
      <c r="H190" t="str">
        <f>IF($M190&gt;0,IF($L190&lt;&gt;1,"2026-07",IFERROR(INDEX('JLR Materials'!$D:$D,MATCH($K190,'JLR Materials'!$A:$A,0)),"2026-07")),"2026-07")</f>
        <v>2026-07</v>
      </c>
      <c r="I190" t="str">
        <f>IF($M190&gt;0,"JLR rate card — material code "&amp;$K190,"UK alloy billet, Jun 2026. Index-anchored 2026-07 (see FORGING PRICING BASIS).")</f>
        <v>UK alloy billet, Jun 2026. Index-anchored 2026-07 (see FORGING PRICING BASIS).</v>
      </c>
      <c r="J190" t="str">
        <v>Medium</v>
      </c>
      <c r="K190" t="str">
        <f>IFERROR(INDEX(Mapping!$C:$C,MATCH($A190,Mapping!$A:$A,0)),"")</f>
        <v/>
      </c>
      <c r="L190">
        <f>IF($K190="",0,COUNTIFS('JLR Materials'!$A:$A,$K190,'JLR Materials'!$C:$C,IF(Settings!$B$2="","&lt;&gt;",Settings!$B$2),'JLR Materials'!$D:$D,IF(Settings!$B$4="","&lt;&gt;",Settings!$B$4)))</f>
        <v>0</v>
      </c>
      <c r="M190">
        <f>IF($L190&lt;&gt;1,0,SUMIFS('JLR Materials'!$E:$E,'JLR Materials'!$A:$A,$K190,'JLR Materials'!$C:$C,IF(Settings!$B$2="","&lt;&gt;",Settings!$B$2),'JLR Materials'!$D:$D,IF(Settings!$B$4="","&lt;&gt;",Settings!$B$4)))</f>
        <v>0</v>
      </c>
      <c r="N190">
        <f>IF($L190&lt;&gt;1,0,SUMIFS('JLR Materials'!$F:$F,'JLR Materials'!$A:$A,$K190,'JLR Materials'!$C:$C,IF(Settings!$B$2="","&lt;&gt;",Settings!$B$2),'JLR Materials'!$D:$D,IF(Settings!$B$4="","&lt;&gt;",Settings!$B$4)))</f>
        <v>0</v>
      </c>
      <c r="O190">
        <f>IF($N190=0,0,IF(Settings!$B$5="percent",$M190*$N190/100,$N190))</f>
        <v>0</v>
      </c>
      <c r="P190">
        <f>IF($L190&lt;&gt;1,0,SUMIFS('JLR Materials'!$G:$G,'JLR Materials'!$A:$A,$K190,'JLR Materials'!$C:$C,IF(Settings!$B$2="","&lt;&gt;",Settings!$B$2),'JLR Materials'!$D:$D,IF(Settings!$B$4="","&lt;&gt;",Settings!$B$4)))</f>
        <v>0</v>
      </c>
    </row>
    <row r="191">
      <c r="A191" t="str">
        <v>mat-steel1141</v>
      </c>
      <c r="B191" t="str">
        <v>1141 / 1144 (Free-Machining)</v>
      </c>
      <c r="C191" t="str">
        <v>Carbon Steel Billet</v>
      </c>
      <c r="D191">
        <f>IF($M191&gt;0,$M191,1.05)</f>
        <v>1.05</v>
      </c>
      <c r="E191">
        <f>IF($O191&gt;0,$O191,0.19)</f>
        <v>0.19</v>
      </c>
      <c r="F191">
        <v>7850</v>
      </c>
      <c r="G191" t="str">
        <v>UK</v>
      </c>
      <c r="H191" t="str">
        <f>IF($M191&gt;0,IF($L191&lt;&gt;1,"2026-07",IFERROR(INDEX('JLR Materials'!$D:$D,MATCH($K191,'JLR Materials'!$A:$A,0)),"2026-07")),"2026-07")</f>
        <v>2026-07</v>
      </c>
      <c r="I191" t="str">
        <f>IF($M191&gt;0,"JLR rate card — material code "&amp;$K191,"Index-anchored 2026-07 (see FORGING PRICING BASIS). Resulphurised free-machining carbon steel — high-volume machined forgings, studs, couplings.")</f>
        <v>Index-anchored 2026-07 (see FORGING PRICING BASIS). Resulphurised free-machining carbon steel — high-volume machined forgings, studs, couplings.</v>
      </c>
      <c r="J191" t="str">
        <v>Medium</v>
      </c>
      <c r="K191" t="str">
        <f>IFERROR(INDEX(Mapping!$C:$C,MATCH($A191,Mapping!$A:$A,0)),"")</f>
        <v/>
      </c>
      <c r="L191">
        <f>IF($K191="",0,COUNTIFS('JLR Materials'!$A:$A,$K191,'JLR Materials'!$C:$C,IF(Settings!$B$2="","&lt;&gt;",Settings!$B$2),'JLR Materials'!$D:$D,IF(Settings!$B$4="","&lt;&gt;",Settings!$B$4)))</f>
        <v>0</v>
      </c>
      <c r="M191">
        <f>IF($L191&lt;&gt;1,0,SUMIFS('JLR Materials'!$E:$E,'JLR Materials'!$A:$A,$K191,'JLR Materials'!$C:$C,IF(Settings!$B$2="","&lt;&gt;",Settings!$B$2),'JLR Materials'!$D:$D,IF(Settings!$B$4="","&lt;&gt;",Settings!$B$4)))</f>
        <v>0</v>
      </c>
      <c r="N191">
        <f>IF($L191&lt;&gt;1,0,SUMIFS('JLR Materials'!$F:$F,'JLR Materials'!$A:$A,$K191,'JLR Materials'!$C:$C,IF(Settings!$B$2="","&lt;&gt;",Settings!$B$2),'JLR Materials'!$D:$D,IF(Settings!$B$4="","&lt;&gt;",Settings!$B$4)))</f>
        <v>0</v>
      </c>
      <c r="O191">
        <f>IF($N191=0,0,IF(Settings!$B$5="percent",$M191*$N191/100,$N191))</f>
        <v>0</v>
      </c>
      <c r="P191">
        <f>IF($L191&lt;&gt;1,0,SUMIFS('JLR Materials'!$G:$G,'JLR Materials'!$A:$A,$K191,'JLR Materials'!$C:$C,IF(Settings!$B$2="","&lt;&gt;",Settings!$B$2),'JLR Materials'!$D:$D,IF(Settings!$B$4="","&lt;&gt;",Settings!$B$4)))</f>
        <v>0</v>
      </c>
    </row>
    <row r="192">
      <c r="A192" t="str">
        <v>mat-steel-38mnvs6</v>
      </c>
      <c r="B192" t="str">
        <v>38MnVS6 (Microalloyed)</v>
      </c>
      <c r="C192" t="str">
        <v>Microalloyed Steel Billet</v>
      </c>
      <c r="D192">
        <f>IF($M192&gt;0,$M192,1.15)</f>
        <v>1.15</v>
      </c>
      <c r="E192">
        <f>IF($O192&gt;0,$O192,0.2)</f>
        <v>0.2</v>
      </c>
      <c r="F192">
        <v>7850</v>
      </c>
      <c r="G192" t="str">
        <v>UK</v>
      </c>
      <c r="H192" t="str">
        <f>IF($M192&gt;0,IF($L192&lt;&gt;1,"2026-07",IFERROR(INDEX('JLR Materials'!$D:$D,MATCH($K192,'JLR Materials'!$A:$A,0)),"2026-07")),"2026-07")</f>
        <v>2026-07</v>
      </c>
      <c r="I192" t="str">
        <f>IF($M192&gt;0,"JLR rate card — material code "&amp;$K192,"Index-anchored 2026-07 (see FORGING PRICING BASIS). Air-hardening V-microalloyed steel — con-rods, crankshafts; controlled-cooled from forge heat, no separate Q&amp;T.")</f>
        <v>Index-anchored 2026-07 (see FORGING PRICING BASIS). Air-hardening V-microalloyed steel — con-rods, crankshafts; controlled-cooled from forge heat, no separate Q&amp;T.</v>
      </c>
      <c r="J192" t="str">
        <v>Medium</v>
      </c>
      <c r="K192" t="str">
        <f>IFERROR(INDEX(Mapping!$C:$C,MATCH($A192,Mapping!$A:$A,0)),"")</f>
        <v/>
      </c>
      <c r="L192">
        <f>IF($K192="",0,COUNTIFS('JLR Materials'!$A:$A,$K192,'JLR Materials'!$C:$C,IF(Settings!$B$2="","&lt;&gt;",Settings!$B$2),'JLR Materials'!$D:$D,IF(Settings!$B$4="","&lt;&gt;",Settings!$B$4)))</f>
        <v>0</v>
      </c>
      <c r="M192">
        <f>IF($L192&lt;&gt;1,0,SUMIFS('JLR Materials'!$E:$E,'JLR Materials'!$A:$A,$K192,'JLR Materials'!$C:$C,IF(Settings!$B$2="","&lt;&gt;",Settings!$B$2),'JLR Materials'!$D:$D,IF(Settings!$B$4="","&lt;&gt;",Settings!$B$4)))</f>
        <v>0</v>
      </c>
      <c r="N192">
        <f>IF($L192&lt;&gt;1,0,SUMIFS('JLR Materials'!$F:$F,'JLR Materials'!$A:$A,$K192,'JLR Materials'!$C:$C,IF(Settings!$B$2="","&lt;&gt;",Settings!$B$2),'JLR Materials'!$D:$D,IF(Settings!$B$4="","&lt;&gt;",Settings!$B$4)))</f>
        <v>0</v>
      </c>
      <c r="O192">
        <f>IF($N192=0,0,IF(Settings!$B$5="percent",$M192*$N192/100,$N192))</f>
        <v>0</v>
      </c>
      <c r="P192">
        <f>IF($L192&lt;&gt;1,0,SUMIFS('JLR Materials'!$G:$G,'JLR Materials'!$A:$A,$K192,'JLR Materials'!$C:$C,IF(Settings!$B$2="","&lt;&gt;",Settings!$B$2),'JLR Materials'!$D:$D,IF(Settings!$B$4="","&lt;&gt;",Settings!$B$4)))</f>
        <v>0</v>
      </c>
    </row>
    <row r="193">
      <c r="A193" t="str">
        <v>mat-steel4130</v>
      </c>
      <c r="B193" t="str">
        <v>4130 / 25CrMo4</v>
      </c>
      <c r="C193" t="str">
        <v>Alloy Steel Billet</v>
      </c>
      <c r="D193">
        <f>IF($M193&gt;0,$M193,1.6)</f>
        <v>1.6</v>
      </c>
      <c r="E193">
        <f>IF($O193&gt;0,$O193,0.22)</f>
        <v>0.22</v>
      </c>
      <c r="F193">
        <v>7850</v>
      </c>
      <c r="G193" t="str">
        <v>UK</v>
      </c>
      <c r="H193" t="str">
        <f>IF($M193&gt;0,IF($L193&lt;&gt;1,"2026-07",IFERROR(INDEX('JLR Materials'!$D:$D,MATCH($K193,'JLR Materials'!$A:$A,0)),"2026-07")),"2026-07")</f>
        <v>2026-07</v>
      </c>
      <c r="I193" t="str">
        <f>IF($M193&gt;0,"JLR rate card — material code "&amp;$K193,"Index-anchored 2026-07 (see FORGING PRICING BASIS). Weldable chromoly — aerospace/pressure fittings, tube-and-node structures.")</f>
        <v>Index-anchored 2026-07 (see FORGING PRICING BASIS). Weldable chromoly — aerospace/pressure fittings, tube-and-node structures.</v>
      </c>
      <c r="J193" t="str">
        <v>Medium</v>
      </c>
      <c r="K193" t="str">
        <f>IFERROR(INDEX(Mapping!$C:$C,MATCH($A193,Mapping!$A:$A,0)),"")</f>
        <v/>
      </c>
      <c r="L193">
        <f>IF($K193="",0,COUNTIFS('JLR Materials'!$A:$A,$K193,'JLR Materials'!$C:$C,IF(Settings!$B$2="","&lt;&gt;",Settings!$B$2),'JLR Materials'!$D:$D,IF(Settings!$B$4="","&lt;&gt;",Settings!$B$4)))</f>
        <v>0</v>
      </c>
      <c r="M193">
        <f>IF($L193&lt;&gt;1,0,SUMIFS('JLR Materials'!$E:$E,'JLR Materials'!$A:$A,$K193,'JLR Materials'!$C:$C,IF(Settings!$B$2="","&lt;&gt;",Settings!$B$2),'JLR Materials'!$D:$D,IF(Settings!$B$4="","&lt;&gt;",Settings!$B$4)))</f>
        <v>0</v>
      </c>
      <c r="N193">
        <f>IF($L193&lt;&gt;1,0,SUMIFS('JLR Materials'!$F:$F,'JLR Materials'!$A:$A,$K193,'JLR Materials'!$C:$C,IF(Settings!$B$2="","&lt;&gt;",Settings!$B$2),'JLR Materials'!$D:$D,IF(Settings!$B$4="","&lt;&gt;",Settings!$B$4)))</f>
        <v>0</v>
      </c>
      <c r="O193">
        <f>IF($N193=0,0,IF(Settings!$B$5="percent",$M193*$N193/100,$N193))</f>
        <v>0</v>
      </c>
      <c r="P193">
        <f>IF($L193&lt;&gt;1,0,SUMIFS('JLR Materials'!$G:$G,'JLR Materials'!$A:$A,$K193,'JLR Materials'!$C:$C,IF(Settings!$B$2="","&lt;&gt;",Settings!$B$2),'JLR Materials'!$D:$D,IF(Settings!$B$4="","&lt;&gt;",Settings!$B$4)))</f>
        <v>0</v>
      </c>
    </row>
    <row r="194">
      <c r="A194" t="str">
        <v>mat-steel8620</v>
      </c>
      <c r="B194" t="str">
        <v>8620 (Case-Hardening)</v>
      </c>
      <c r="C194" t="str">
        <v>Alloy Steel Billet</v>
      </c>
      <c r="D194">
        <f>IF($M194&gt;0,$M194,1.5)</f>
        <v>1.5</v>
      </c>
      <c r="E194">
        <f>IF($O194&gt;0,$O194,0.22)</f>
        <v>0.22</v>
      </c>
      <c r="F194">
        <v>7850</v>
      </c>
      <c r="G194" t="str">
        <v>UK</v>
      </c>
      <c r="H194" t="str">
        <f>IF($M194&gt;0,IF($L194&lt;&gt;1,"2026-07",IFERROR(INDEX('JLR Materials'!$D:$D,MATCH($K194,'JLR Materials'!$A:$A,0)),"2026-07")),"2026-07")</f>
        <v>2026-07</v>
      </c>
      <c r="I194" t="str">
        <f>IF($M194&gt;0,"JLR rate card — material code "&amp;$K194,"Index-anchored 2026-07 (see FORGING PRICING BASIS). Carburising gear steel — pinions, ring gears, bearings; tough core + hard case.")</f>
        <v>Index-anchored 2026-07 (see FORGING PRICING BASIS). Carburising gear steel — pinions, ring gears, bearings; tough core + hard case.</v>
      </c>
      <c r="J194" t="str">
        <v>Medium</v>
      </c>
      <c r="K194" t="str">
        <f>IFERROR(INDEX(Mapping!$C:$C,MATCH($A194,Mapping!$A:$A,0)),"")</f>
        <v/>
      </c>
      <c r="L194">
        <f>IF($K194="",0,COUNTIFS('JLR Materials'!$A:$A,$K194,'JLR Materials'!$C:$C,IF(Settings!$B$2="","&lt;&gt;",Settings!$B$2),'JLR Materials'!$D:$D,IF(Settings!$B$4="","&lt;&gt;",Settings!$B$4)))</f>
        <v>0</v>
      </c>
      <c r="M194">
        <f>IF($L194&lt;&gt;1,0,SUMIFS('JLR Materials'!$E:$E,'JLR Materials'!$A:$A,$K194,'JLR Materials'!$C:$C,IF(Settings!$B$2="","&lt;&gt;",Settings!$B$2),'JLR Materials'!$D:$D,IF(Settings!$B$4="","&lt;&gt;",Settings!$B$4)))</f>
        <v>0</v>
      </c>
      <c r="N194">
        <f>IF($L194&lt;&gt;1,0,SUMIFS('JLR Materials'!$F:$F,'JLR Materials'!$A:$A,$K194,'JLR Materials'!$C:$C,IF(Settings!$B$2="","&lt;&gt;",Settings!$B$2),'JLR Materials'!$D:$D,IF(Settings!$B$4="","&lt;&gt;",Settings!$B$4)))</f>
        <v>0</v>
      </c>
      <c r="O194">
        <f>IF($N194=0,0,IF(Settings!$B$5="percent",$M194*$N194/100,$N194))</f>
        <v>0</v>
      </c>
      <c r="P194">
        <f>IF($L194&lt;&gt;1,0,SUMIFS('JLR Materials'!$G:$G,'JLR Materials'!$A:$A,$K194,'JLR Materials'!$C:$C,IF(Settings!$B$2="","&lt;&gt;",Settings!$B$2),'JLR Materials'!$D:$D,IF(Settings!$B$4="","&lt;&gt;",Settings!$B$4)))</f>
        <v>0</v>
      </c>
    </row>
    <row r="195">
      <c r="A195" t="str">
        <v>mat-steel-20mncr5</v>
      </c>
      <c r="B195" t="str">
        <v>20MnCr5 (Gear Steel)</v>
      </c>
      <c r="C195" t="str">
        <v>Alloy Steel Billet</v>
      </c>
      <c r="D195">
        <f>IF($M195&gt;0,$M195,1.48)</f>
        <v>1.48</v>
      </c>
      <c r="E195">
        <f>IF($O195&gt;0,$O195,0.22)</f>
        <v>0.22</v>
      </c>
      <c r="F195">
        <v>7850</v>
      </c>
      <c r="G195" t="str">
        <v>UK</v>
      </c>
      <c r="H195" t="str">
        <f>IF($M195&gt;0,IF($L195&lt;&gt;1,"2026-07",IFERROR(INDEX('JLR Materials'!$D:$D,MATCH($K195,'JLR Materials'!$A:$A,0)),"2026-07")),"2026-07")</f>
        <v>2026-07</v>
      </c>
      <c r="I195" t="str">
        <f>IF($M195&gt;0,"JLR rate card — material code "&amp;$K195,"Index-anchored 2026-07 (see FORGING PRICING BASIS). European case-hardening gear steel — transmission gears, shafts; excellent hardenability and grain control.")</f>
        <v>Index-anchored 2026-07 (see FORGING PRICING BASIS). European case-hardening gear steel — transmission gears, shafts; excellent hardenability and grain control.</v>
      </c>
      <c r="J195" t="str">
        <v>Medium</v>
      </c>
      <c r="K195" t="str">
        <f>IFERROR(INDEX(Mapping!$C:$C,MATCH($A195,Mapping!$A:$A,0)),"")</f>
        <v/>
      </c>
      <c r="L195">
        <f>IF($K195="",0,COUNTIFS('JLR Materials'!$A:$A,$K195,'JLR Materials'!$C:$C,IF(Settings!$B$2="","&lt;&gt;",Settings!$B$2),'JLR Materials'!$D:$D,IF(Settings!$B$4="","&lt;&gt;",Settings!$B$4)))</f>
        <v>0</v>
      </c>
      <c r="M195">
        <f>IF($L195&lt;&gt;1,0,SUMIFS('JLR Materials'!$E:$E,'JLR Materials'!$A:$A,$K195,'JLR Materials'!$C:$C,IF(Settings!$B$2="","&lt;&gt;",Settings!$B$2),'JLR Materials'!$D:$D,IF(Settings!$B$4="","&lt;&gt;",Settings!$B$4)))</f>
        <v>0</v>
      </c>
      <c r="N195">
        <f>IF($L195&lt;&gt;1,0,SUMIFS('JLR Materials'!$F:$F,'JLR Materials'!$A:$A,$K195,'JLR Materials'!$C:$C,IF(Settings!$B$2="","&lt;&gt;",Settings!$B$2),'JLR Materials'!$D:$D,IF(Settings!$B$4="","&lt;&gt;",Settings!$B$4)))</f>
        <v>0</v>
      </c>
      <c r="O195">
        <f>IF($N195=0,0,IF(Settings!$B$5="percent",$M195*$N195/100,$N195))</f>
        <v>0</v>
      </c>
      <c r="P195">
        <f>IF($L195&lt;&gt;1,0,SUMIFS('JLR Materials'!$G:$G,'JLR Materials'!$A:$A,$K195,'JLR Materials'!$C:$C,IF(Settings!$B$2="","&lt;&gt;",Settings!$B$2),'JLR Materials'!$D:$D,IF(Settings!$B$4="","&lt;&gt;",Settings!$B$4)))</f>
        <v>0</v>
      </c>
    </row>
    <row r="196">
      <c r="A196" t="str">
        <v>mat-steel-52100</v>
      </c>
      <c r="B196" t="str">
        <v>52100 / 100Cr6 (Bearing Steel)</v>
      </c>
      <c r="C196" t="str">
        <v>Alloy Steel Billet</v>
      </c>
      <c r="D196">
        <f>IF($M196&gt;0,$M196,1.7)</f>
        <v>1.7</v>
      </c>
      <c r="E196">
        <f>IF($O196&gt;0,$O196,0.22)</f>
        <v>0.22</v>
      </c>
      <c r="F196">
        <v>7810</v>
      </c>
      <c r="G196" t="str">
        <v>UK</v>
      </c>
      <c r="H196" t="str">
        <f>IF($M196&gt;0,IF($L196&lt;&gt;1,"2026-07",IFERROR(INDEX('JLR Materials'!$D:$D,MATCH($K196,'JLR Materials'!$A:$A,0)),"2026-07")),"2026-07")</f>
        <v>2026-07</v>
      </c>
      <c r="I196" t="str">
        <f>IF($M196&gt;0,"JLR rate card — material code "&amp;$K196,"Index-anchored 2026-07 (see FORGING PRICING BASIS). High-carbon chromium bearing steel — rings, rollers, races; clean, through-hardening.")</f>
        <v>Index-anchored 2026-07 (see FORGING PRICING BASIS). High-carbon chromium bearing steel — rings, rollers, races; clean, through-hardening.</v>
      </c>
      <c r="J196" t="str">
        <v>Medium</v>
      </c>
      <c r="K196" t="str">
        <f>IFERROR(INDEX(Mapping!$C:$C,MATCH($A196,Mapping!$A:$A,0)),"")</f>
        <v/>
      </c>
      <c r="L196">
        <f>IF($K196="",0,COUNTIFS('JLR Materials'!$A:$A,$K196,'JLR Materials'!$C:$C,IF(Settings!$B$2="","&lt;&gt;",Settings!$B$2),'JLR Materials'!$D:$D,IF(Settings!$B$4="","&lt;&gt;",Settings!$B$4)))</f>
        <v>0</v>
      </c>
      <c r="M196">
        <f>IF($L196&lt;&gt;1,0,SUMIFS('JLR Materials'!$E:$E,'JLR Materials'!$A:$A,$K196,'JLR Materials'!$C:$C,IF(Settings!$B$2="","&lt;&gt;",Settings!$B$2),'JLR Materials'!$D:$D,IF(Settings!$B$4="","&lt;&gt;",Settings!$B$4)))</f>
        <v>0</v>
      </c>
      <c r="N196">
        <f>IF($L196&lt;&gt;1,0,SUMIFS('JLR Materials'!$F:$F,'JLR Materials'!$A:$A,$K196,'JLR Materials'!$C:$C,IF(Settings!$B$2="","&lt;&gt;",Settings!$B$2),'JLR Materials'!$D:$D,IF(Settings!$B$4="","&lt;&gt;",Settings!$B$4)))</f>
        <v>0</v>
      </c>
      <c r="O196">
        <f>IF($N196=0,0,IF(Settings!$B$5="percent",$M196*$N196/100,$N196))</f>
        <v>0</v>
      </c>
      <c r="P196">
        <f>IF($L196&lt;&gt;1,0,SUMIFS('JLR Materials'!$G:$G,'JLR Materials'!$A:$A,$K196,'JLR Materials'!$C:$C,IF(Settings!$B$2="","&lt;&gt;",Settings!$B$2),'JLR Materials'!$D:$D,IF(Settings!$B$4="","&lt;&gt;",Settings!$B$4)))</f>
        <v>0</v>
      </c>
    </row>
    <row r="197">
      <c r="A197" t="str">
        <v>mat-steel-300m</v>
      </c>
      <c r="B197" t="str">
        <v>300M (UHS Aerospace)</v>
      </c>
      <c r="C197" t="str">
        <v>Alloy Steel Billet</v>
      </c>
      <c r="D197">
        <f>IF($M197&gt;0,$M197,3.8)</f>
        <v>3.8</v>
      </c>
      <c r="E197">
        <f>IF($O197&gt;0,$O197,0.3)</f>
        <v>0.3</v>
      </c>
      <c r="F197">
        <v>7830</v>
      </c>
      <c r="G197" t="str">
        <v>UK</v>
      </c>
      <c r="H197" t="str">
        <f>IF($M197&gt;0,IF($L197&lt;&gt;1,"2026-07",IFERROR(INDEX('JLR Materials'!$D:$D,MATCH($K197,'JLR Materials'!$A:$A,0)),"2026-07")),"2026-07")</f>
        <v>2026-07</v>
      </c>
      <c r="I197" t="str">
        <f>IF($M197&gt;0,"JLR rate card — material code "&amp;$K197,"Index-anchored 2026-07 (see FORGING PRICING BASIS). Ultra-high-strength Si-modified 4340 — landing gear, aerospace structural; VAR remelt, tight cleanliness.")</f>
        <v>Index-anchored 2026-07 (see FORGING PRICING BASIS). Ultra-high-strength Si-modified 4340 — landing gear, aerospace structural; VAR remelt, tight cleanliness.</v>
      </c>
      <c r="J197" t="str">
        <v>Low</v>
      </c>
      <c r="K197" t="str">
        <f>IFERROR(INDEX(Mapping!$C:$C,MATCH($A197,Mapping!$A:$A,0)),"")</f>
        <v/>
      </c>
      <c r="L197">
        <f>IF($K197="",0,COUNTIFS('JLR Materials'!$A:$A,$K197,'JLR Materials'!$C:$C,IF(Settings!$B$2="","&lt;&gt;",Settings!$B$2),'JLR Materials'!$D:$D,IF(Settings!$B$4="","&lt;&gt;",Settings!$B$4)))</f>
        <v>0</v>
      </c>
      <c r="M197">
        <f>IF($L197&lt;&gt;1,0,SUMIFS('JLR Materials'!$E:$E,'JLR Materials'!$A:$A,$K197,'JLR Materials'!$C:$C,IF(Settings!$B$2="","&lt;&gt;",Settings!$B$2),'JLR Materials'!$D:$D,IF(Settings!$B$4="","&lt;&gt;",Settings!$B$4)))</f>
        <v>0</v>
      </c>
      <c r="N197">
        <f>IF($L197&lt;&gt;1,0,SUMIFS('JLR Materials'!$F:$F,'JLR Materials'!$A:$A,$K197,'JLR Materials'!$C:$C,IF(Settings!$B$2="","&lt;&gt;",Settings!$B$2),'JLR Materials'!$D:$D,IF(Settings!$B$4="","&lt;&gt;",Settings!$B$4)))</f>
        <v>0</v>
      </c>
      <c r="O197">
        <f>IF($N197=0,0,IF(Settings!$B$5="percent",$M197*$N197/100,$N197))</f>
        <v>0</v>
      </c>
      <c r="P197">
        <f>IF($L197&lt;&gt;1,0,SUMIFS('JLR Materials'!$G:$G,'JLR Materials'!$A:$A,$K197,'JLR Materials'!$C:$C,IF(Settings!$B$2="","&lt;&gt;",Settings!$B$2),'JLR Materials'!$D:$D,IF(Settings!$B$4="","&lt;&gt;",Settings!$B$4)))</f>
        <v>0</v>
      </c>
    </row>
    <row r="198">
      <c r="A198" t="str">
        <v>mat-ss410-bar</v>
      </c>
      <c r="B198" t="str">
        <v>410 (Martensitic Stainless Bar)</v>
      </c>
      <c r="C198" t="str">
        <v>Stainless Steel Billet</v>
      </c>
      <c r="D198">
        <f>IF($M198&gt;0,$M198,3.6)</f>
        <v>3.6</v>
      </c>
      <c r="E198">
        <f>IF($O198&gt;0,$O198,0.9)</f>
        <v>0.9</v>
      </c>
      <c r="F198">
        <v>7740</v>
      </c>
      <c r="G198" t="str">
        <v>UK</v>
      </c>
      <c r="H198" t="str">
        <f>IF($M198&gt;0,IF($L198&lt;&gt;1,"2026-07",IFERROR(INDEX('JLR Materials'!$D:$D,MATCH($K198,'JLR Materials'!$A:$A,0)),"2026-07")),"2026-07")</f>
        <v>2026-07</v>
      </c>
      <c r="I198" t="str">
        <f>IF($M198&gt;0,"JLR rate card — material code "&amp;$K198,"Index-anchored 2026-07 (see FORGING PRICING BASIS). Hardenable martensitic stainless — valve stems, fasteners, turbine blades; moderate corrosion resistance.")</f>
        <v>Index-anchored 2026-07 (see FORGING PRICING BASIS). Hardenable martensitic stainless — valve stems, fasteners, turbine blades; moderate corrosion resistance.</v>
      </c>
      <c r="J198" t="str">
        <v>Low</v>
      </c>
      <c r="K198" t="str">
        <f>IFERROR(INDEX(Mapping!$C:$C,MATCH($A198,Mapping!$A:$A,0)),"")</f>
        <v/>
      </c>
      <c r="L198">
        <f>IF($K198="",0,COUNTIFS('JLR Materials'!$A:$A,$K198,'JLR Materials'!$C:$C,IF(Settings!$B$2="","&lt;&gt;",Settings!$B$2),'JLR Materials'!$D:$D,IF(Settings!$B$4="","&lt;&gt;",Settings!$B$4)))</f>
        <v>0</v>
      </c>
      <c r="M198">
        <f>IF($L198&lt;&gt;1,0,SUMIFS('JLR Materials'!$E:$E,'JLR Materials'!$A:$A,$K198,'JLR Materials'!$C:$C,IF(Settings!$B$2="","&lt;&gt;",Settings!$B$2),'JLR Materials'!$D:$D,IF(Settings!$B$4="","&lt;&gt;",Settings!$B$4)))</f>
        <v>0</v>
      </c>
      <c r="N198">
        <f>IF($L198&lt;&gt;1,0,SUMIFS('JLR Materials'!$F:$F,'JLR Materials'!$A:$A,$K198,'JLR Materials'!$C:$C,IF(Settings!$B$2="","&lt;&gt;",Settings!$B$2),'JLR Materials'!$D:$D,IF(Settings!$B$4="","&lt;&gt;",Settings!$B$4)))</f>
        <v>0</v>
      </c>
      <c r="O198">
        <f>IF($N198=0,0,IF(Settings!$B$5="percent",$M198*$N198/100,$N198))</f>
        <v>0</v>
      </c>
      <c r="P198">
        <f>IF($L198&lt;&gt;1,0,SUMIFS('JLR Materials'!$G:$G,'JLR Materials'!$A:$A,$K198,'JLR Materials'!$C:$C,IF(Settings!$B$2="","&lt;&gt;",Settings!$B$2),'JLR Materials'!$D:$D,IF(Settings!$B$4="","&lt;&gt;",Settings!$B$4)))</f>
        <v>0</v>
      </c>
    </row>
    <row r="199">
      <c r="A199" t="str">
        <v>mat-ss304l-bar</v>
      </c>
      <c r="B199" t="str">
        <v>304L (Austenitic Stainless Bar)</v>
      </c>
      <c r="C199" t="str">
        <v>Stainless Steel Billet</v>
      </c>
      <c r="D199">
        <f>IF($M199&gt;0,$M199,4.6)</f>
        <v>4.6</v>
      </c>
      <c r="E199">
        <f>IF($O199&gt;0,$O199,1.2)</f>
        <v>1.2</v>
      </c>
      <c r="F199">
        <v>8000</v>
      </c>
      <c r="G199" t="str">
        <v>UK</v>
      </c>
      <c r="H199" t="str">
        <f>IF($M199&gt;0,IF($L199&lt;&gt;1,"2026-07",IFERROR(INDEX('JLR Materials'!$D:$D,MATCH($K199,'JLR Materials'!$A:$A,0)),"2026-07")),"2026-07")</f>
        <v>2026-07</v>
      </c>
      <c r="I199" t="str">
        <f>IF($M199&gt;0,"JLR rate card — material code "&amp;$K199,"Index-anchored 2026-07 (see FORGING PRICING BASIS). General-purpose austenitic forging bar — flanges, fittings, food/chemical; Ni/Cr surcharge driven.")</f>
        <v>Index-anchored 2026-07 (see FORGING PRICING BASIS). General-purpose austenitic forging bar — flanges, fittings, food/chemical; Ni/Cr surcharge driven.</v>
      </c>
      <c r="J199" t="str">
        <v>Low</v>
      </c>
      <c r="K199" t="str">
        <f>IFERROR(INDEX(Mapping!$C:$C,MATCH($A199,Mapping!$A:$A,0)),"")</f>
        <v/>
      </c>
      <c r="L199">
        <f>IF($K199="",0,COUNTIFS('JLR Materials'!$A:$A,$K199,'JLR Materials'!$C:$C,IF(Settings!$B$2="","&lt;&gt;",Settings!$B$2),'JLR Materials'!$D:$D,IF(Settings!$B$4="","&lt;&gt;",Settings!$B$4)))</f>
        <v>0</v>
      </c>
      <c r="M199">
        <f>IF($L199&lt;&gt;1,0,SUMIFS('JLR Materials'!$E:$E,'JLR Materials'!$A:$A,$K199,'JLR Materials'!$C:$C,IF(Settings!$B$2="","&lt;&gt;",Settings!$B$2),'JLR Materials'!$D:$D,IF(Settings!$B$4="","&lt;&gt;",Settings!$B$4)))</f>
        <v>0</v>
      </c>
      <c r="N199">
        <f>IF($L199&lt;&gt;1,0,SUMIFS('JLR Materials'!$F:$F,'JLR Materials'!$A:$A,$K199,'JLR Materials'!$C:$C,IF(Settings!$B$2="","&lt;&gt;",Settings!$B$2),'JLR Materials'!$D:$D,IF(Settings!$B$4="","&lt;&gt;",Settings!$B$4)))</f>
        <v>0</v>
      </c>
      <c r="O199">
        <f>IF($N199=0,0,IF(Settings!$B$5="percent",$M199*$N199/100,$N199))</f>
        <v>0</v>
      </c>
      <c r="P199">
        <f>IF($L199&lt;&gt;1,0,SUMIFS('JLR Materials'!$G:$G,'JLR Materials'!$A:$A,$K199,'JLR Materials'!$C:$C,IF(Settings!$B$2="","&lt;&gt;",Settings!$B$2),'JLR Materials'!$D:$D,IF(Settings!$B$4="","&lt;&gt;",Settings!$B$4)))</f>
        <v>0</v>
      </c>
    </row>
    <row r="200">
      <c r="A200" t="str">
        <v>mat-ss316l-bar</v>
      </c>
      <c r="B200" t="str">
        <v>316L (Austenitic Stainless Bar)</v>
      </c>
      <c r="C200" t="str">
        <v>Stainless Steel Billet</v>
      </c>
      <c r="D200">
        <f>IF($M200&gt;0,$M200,6.2)</f>
        <v>6.2</v>
      </c>
      <c r="E200">
        <f>IF($O200&gt;0,$O200,1.4)</f>
        <v>1.4</v>
      </c>
      <c r="F200">
        <v>8000</v>
      </c>
      <c r="G200" t="str">
        <v>UK</v>
      </c>
      <c r="H200" t="str">
        <f>IF($M200&gt;0,IF($L200&lt;&gt;1,"2026-07",IFERROR(INDEX('JLR Materials'!$D:$D,MATCH($K200,'JLR Materials'!$A:$A,0)),"2026-07")),"2026-07")</f>
        <v>2026-07</v>
      </c>
      <c r="I200" t="str">
        <f>IF($M200&gt;0,"JLR rate card — material code "&amp;$K200,"Index-anchored 2026-07 (see FORGING PRICING BASIS). Mo-bearing austenitic — marine/chemical flanges, valve bodies; higher pitting resistance than 304.")</f>
        <v>Index-anchored 2026-07 (see FORGING PRICING BASIS). Mo-bearing austenitic — marine/chemical flanges, valve bodies; higher pitting resistance than 304.</v>
      </c>
      <c r="J200" t="str">
        <v>Low</v>
      </c>
      <c r="K200" t="str">
        <f>IFERROR(INDEX(Mapping!$C:$C,MATCH($A200,Mapping!$A:$A,0)),"")</f>
        <v/>
      </c>
      <c r="L200">
        <f>IF($K200="",0,COUNTIFS('JLR Materials'!$A:$A,$K200,'JLR Materials'!$C:$C,IF(Settings!$B$2="","&lt;&gt;",Settings!$B$2),'JLR Materials'!$D:$D,IF(Settings!$B$4="","&lt;&gt;",Settings!$B$4)))</f>
        <v>0</v>
      </c>
      <c r="M200">
        <f>IF($L200&lt;&gt;1,0,SUMIFS('JLR Materials'!$E:$E,'JLR Materials'!$A:$A,$K200,'JLR Materials'!$C:$C,IF(Settings!$B$2="","&lt;&gt;",Settings!$B$2),'JLR Materials'!$D:$D,IF(Settings!$B$4="","&lt;&gt;",Settings!$B$4)))</f>
        <v>0</v>
      </c>
      <c r="N200">
        <f>IF($L200&lt;&gt;1,0,SUMIFS('JLR Materials'!$F:$F,'JLR Materials'!$A:$A,$K200,'JLR Materials'!$C:$C,IF(Settings!$B$2="","&lt;&gt;",Settings!$B$2),'JLR Materials'!$D:$D,IF(Settings!$B$4="","&lt;&gt;",Settings!$B$4)))</f>
        <v>0</v>
      </c>
      <c r="O200">
        <f>IF($N200=0,0,IF(Settings!$B$5="percent",$M200*$N200/100,$N200))</f>
        <v>0</v>
      </c>
      <c r="P200">
        <f>IF($L200&lt;&gt;1,0,SUMIFS('JLR Materials'!$G:$G,'JLR Materials'!$A:$A,$K200,'JLR Materials'!$C:$C,IF(Settings!$B$2="","&lt;&gt;",Settings!$B$2),'JLR Materials'!$D:$D,IF(Settings!$B$4="","&lt;&gt;",Settings!$B$4)))</f>
        <v>0</v>
      </c>
    </row>
    <row r="201">
      <c r="A201" t="str">
        <v>mat-ss17-4ph-bar</v>
      </c>
      <c r="B201" t="str">
        <v>17-4PH (PH Stainless Bar)</v>
      </c>
      <c r="C201" t="str">
        <v>Stainless Steel Billet</v>
      </c>
      <c r="D201">
        <f>IF($M201&gt;0,$M201,9.2)</f>
        <v>9.2</v>
      </c>
      <c r="E201">
        <f>IF($O201&gt;0,$O201,1.6)</f>
        <v>1.6</v>
      </c>
      <c r="F201">
        <v>7800</v>
      </c>
      <c r="G201" t="str">
        <v>UK</v>
      </c>
      <c r="H201" t="str">
        <f>IF($M201&gt;0,IF($L201&lt;&gt;1,"2026-07",IFERROR(INDEX('JLR Materials'!$D:$D,MATCH($K201,'JLR Materials'!$A:$A,0)),"2026-07")),"2026-07")</f>
        <v>2026-07</v>
      </c>
      <c r="I201" t="str">
        <f>IF($M201&gt;0,"JLR rate card — material code "&amp;$K201,"Index-anchored 2026-07 (see FORGING PRICING BASIS). Precipitation-hardening martensitic stainless — aerospace fittings, pump/valve, high strength + corrosion.")</f>
        <v>Index-anchored 2026-07 (see FORGING PRICING BASIS). Precipitation-hardening martensitic stainless — aerospace fittings, pump/valve, high strength + corrosion.</v>
      </c>
      <c r="J201" t="str">
        <v>Low</v>
      </c>
      <c r="K201" t="str">
        <f>IFERROR(INDEX(Mapping!$C:$C,MATCH($A201,Mapping!$A:$A,0)),"")</f>
        <v/>
      </c>
      <c r="L201">
        <f>IF($K201="",0,COUNTIFS('JLR Materials'!$A:$A,$K201,'JLR Materials'!$C:$C,IF(Settings!$B$2="","&lt;&gt;",Settings!$B$2),'JLR Materials'!$D:$D,IF(Settings!$B$4="","&lt;&gt;",Settings!$B$4)))</f>
        <v>0</v>
      </c>
      <c r="M201">
        <f>IF($L201&lt;&gt;1,0,SUMIFS('JLR Materials'!$E:$E,'JLR Materials'!$A:$A,$K201,'JLR Materials'!$C:$C,IF(Settings!$B$2="","&lt;&gt;",Settings!$B$2),'JLR Materials'!$D:$D,IF(Settings!$B$4="","&lt;&gt;",Settings!$B$4)))</f>
        <v>0</v>
      </c>
      <c r="N201">
        <f>IF($L201&lt;&gt;1,0,SUMIFS('JLR Materials'!$F:$F,'JLR Materials'!$A:$A,$K201,'JLR Materials'!$C:$C,IF(Settings!$B$2="","&lt;&gt;",Settings!$B$2),'JLR Materials'!$D:$D,IF(Settings!$B$4="","&lt;&gt;",Settings!$B$4)))</f>
        <v>0</v>
      </c>
      <c r="O201">
        <f>IF($N201=0,0,IF(Settings!$B$5="percent",$M201*$N201/100,$N201))</f>
        <v>0</v>
      </c>
      <c r="P201">
        <f>IF($L201&lt;&gt;1,0,SUMIFS('JLR Materials'!$G:$G,'JLR Materials'!$A:$A,$K201,'JLR Materials'!$C:$C,IF(Settings!$B$2="","&lt;&gt;",Settings!$B$2),'JLR Materials'!$D:$D,IF(Settings!$B$4="","&lt;&gt;",Settings!$B$4)))</f>
        <v>0</v>
      </c>
    </row>
    <row r="202">
      <c r="A202" t="str">
        <v>mat-ss15-5ph-bar</v>
      </c>
      <c r="B202" t="str">
        <v>15-5PH (PH Stainless Bar)</v>
      </c>
      <c r="C202" t="str">
        <v>Stainless Steel Billet</v>
      </c>
      <c r="D202">
        <f>IF($M202&gt;0,$M202,9.8)</f>
        <v>9.8</v>
      </c>
      <c r="E202">
        <f>IF($O202&gt;0,$O202,1.6)</f>
        <v>1.6</v>
      </c>
      <c r="F202">
        <v>7800</v>
      </c>
      <c r="G202" t="str">
        <v>UK</v>
      </c>
      <c r="H202" t="str">
        <f>IF($M202&gt;0,IF($L202&lt;&gt;1,"2026-07",IFERROR(INDEX('JLR Materials'!$D:$D,MATCH($K202,'JLR Materials'!$A:$A,0)),"2026-07")),"2026-07")</f>
        <v>2026-07</v>
      </c>
      <c r="I202" t="str">
        <f>IF($M202&gt;0,"JLR rate card — material code "&amp;$K202,"Index-anchored 2026-07 (see FORGING PRICING BASIS). Transverse-toughness PH stainless — aerospace structural, landing-gear fittings; cleaner than 17-4.")</f>
        <v>Index-anchored 2026-07 (see FORGING PRICING BASIS). Transverse-toughness PH stainless — aerospace structural, landing-gear fittings; cleaner than 17-4.</v>
      </c>
      <c r="J202" t="str">
        <v>Low</v>
      </c>
      <c r="K202" t="str">
        <f>IFERROR(INDEX(Mapping!$C:$C,MATCH($A202,Mapping!$A:$A,0)),"")</f>
        <v/>
      </c>
      <c r="L202">
        <f>IF($K202="",0,COUNTIFS('JLR Materials'!$A:$A,$K202,'JLR Materials'!$C:$C,IF(Settings!$B$2="","&lt;&gt;",Settings!$B$2),'JLR Materials'!$D:$D,IF(Settings!$B$4="","&lt;&gt;",Settings!$B$4)))</f>
        <v>0</v>
      </c>
      <c r="M202">
        <f>IF($L202&lt;&gt;1,0,SUMIFS('JLR Materials'!$E:$E,'JLR Materials'!$A:$A,$K202,'JLR Materials'!$C:$C,IF(Settings!$B$2="","&lt;&gt;",Settings!$B$2),'JLR Materials'!$D:$D,IF(Settings!$B$4="","&lt;&gt;",Settings!$B$4)))</f>
        <v>0</v>
      </c>
      <c r="N202">
        <f>IF($L202&lt;&gt;1,0,SUMIFS('JLR Materials'!$F:$F,'JLR Materials'!$A:$A,$K202,'JLR Materials'!$C:$C,IF(Settings!$B$2="","&lt;&gt;",Settings!$B$2),'JLR Materials'!$D:$D,IF(Settings!$B$4="","&lt;&gt;",Settings!$B$4)))</f>
        <v>0</v>
      </c>
      <c r="O202">
        <f>IF($N202=0,0,IF(Settings!$B$5="percent",$M202*$N202/100,$N202))</f>
        <v>0</v>
      </c>
      <c r="P202">
        <f>IF($L202&lt;&gt;1,0,SUMIFS('JLR Materials'!$G:$G,'JLR Materials'!$A:$A,$K202,'JLR Materials'!$C:$C,IF(Settings!$B$2="","&lt;&gt;",Settings!$B$2),'JLR Materials'!$D:$D,IF(Settings!$B$4="","&lt;&gt;",Settings!$B$4)))</f>
        <v>0</v>
      </c>
    </row>
    <row r="203">
      <c r="A203" t="str">
        <v>mat-al6061-forge</v>
      </c>
      <c r="B203" t="str">
        <v>6061 (Al Forging Stock)</v>
      </c>
      <c r="C203" t="str">
        <v>Aluminium Forging Billet</v>
      </c>
      <c r="D203">
        <f>IF($M203&gt;0,$M203,3.4)</f>
        <v>3.4</v>
      </c>
      <c r="E203">
        <f>IF($O203&gt;0,$O203,0.55)</f>
        <v>0.55</v>
      </c>
      <c r="F203">
        <v>2700</v>
      </c>
      <c r="G203" t="str">
        <v>UK</v>
      </c>
      <c r="H203" t="str">
        <f>IF($M203&gt;0,IF($L203&lt;&gt;1,"2026-07",IFERROR(INDEX('JLR Materials'!$D:$D,MATCH($K203,'JLR Materials'!$A:$A,0)),"2026-07")),"2026-07")</f>
        <v>2026-07</v>
      </c>
      <c r="I203" t="str">
        <f>IF($M203&gt;0,"JLR rate card — material code "&amp;$K203,"Index-anchored 2026-07 (see FORGING PRICING BASIS). General-purpose forged aluminium — brackets, fittings, structural; T6 heat-treatable, weldable.")</f>
        <v>Index-anchored 2026-07 (see FORGING PRICING BASIS). General-purpose forged aluminium — brackets, fittings, structural; T6 heat-treatable, weldable.</v>
      </c>
      <c r="J203" t="str">
        <v>Medium</v>
      </c>
      <c r="K203" t="str">
        <f>IFERROR(INDEX(Mapping!$C:$C,MATCH($A203,Mapping!$A:$A,0)),"")</f>
        <v/>
      </c>
      <c r="L203">
        <f>IF($K203="",0,COUNTIFS('JLR Materials'!$A:$A,$K203,'JLR Materials'!$C:$C,IF(Settings!$B$2="","&lt;&gt;",Settings!$B$2),'JLR Materials'!$D:$D,IF(Settings!$B$4="","&lt;&gt;",Settings!$B$4)))</f>
        <v>0</v>
      </c>
      <c r="M203">
        <f>IF($L203&lt;&gt;1,0,SUMIFS('JLR Materials'!$E:$E,'JLR Materials'!$A:$A,$K203,'JLR Materials'!$C:$C,IF(Settings!$B$2="","&lt;&gt;",Settings!$B$2),'JLR Materials'!$D:$D,IF(Settings!$B$4="","&lt;&gt;",Settings!$B$4)))</f>
        <v>0</v>
      </c>
      <c r="N203">
        <f>IF($L203&lt;&gt;1,0,SUMIFS('JLR Materials'!$F:$F,'JLR Materials'!$A:$A,$K203,'JLR Materials'!$C:$C,IF(Settings!$B$2="","&lt;&gt;",Settings!$B$2),'JLR Materials'!$D:$D,IF(Settings!$B$4="","&lt;&gt;",Settings!$B$4)))</f>
        <v>0</v>
      </c>
      <c r="O203">
        <f>IF($N203=0,0,IF(Settings!$B$5="percent",$M203*$N203/100,$N203))</f>
        <v>0</v>
      </c>
      <c r="P203">
        <f>IF($L203&lt;&gt;1,0,SUMIFS('JLR Materials'!$G:$G,'JLR Materials'!$A:$A,$K203,'JLR Materials'!$C:$C,IF(Settings!$B$2="","&lt;&gt;",Settings!$B$2),'JLR Materials'!$D:$D,IF(Settings!$B$4="","&lt;&gt;",Settings!$B$4)))</f>
        <v>0</v>
      </c>
    </row>
    <row r="204">
      <c r="A204" t="str">
        <v>mat-al6082-forge</v>
      </c>
      <c r="B204" t="str">
        <v>6082 (Al Forging Stock)</v>
      </c>
      <c r="C204" t="str">
        <v>Aluminium Forging Billet</v>
      </c>
      <c r="D204">
        <f>IF($M204&gt;0,$M204,3.3)</f>
        <v>3.3</v>
      </c>
      <c r="E204">
        <f>IF($O204&gt;0,$O204,0.55)</f>
        <v>0.55</v>
      </c>
      <c r="F204">
        <v>2700</v>
      </c>
      <c r="G204" t="str">
        <v>UK</v>
      </c>
      <c r="H204" t="str">
        <f>IF($M204&gt;0,IF($L204&lt;&gt;1,"2026-07",IFERROR(INDEX('JLR Materials'!$D:$D,MATCH($K204,'JLR Materials'!$A:$A,0)),"2026-07")),"2026-07")</f>
        <v>2026-07</v>
      </c>
      <c r="I204" t="str">
        <f>IF($M204&gt;0,"JLR rate card — material code "&amp;$K204,"Index-anchored 2026-07 (see FORGING PRICING BASIS). European structural forging alloy — suspension arms, chassis brackets; higher strength than 6061.")</f>
        <v>Index-anchored 2026-07 (see FORGING PRICING BASIS). European structural forging alloy — suspension arms, chassis brackets; higher strength than 6061.</v>
      </c>
      <c r="J204" t="str">
        <v>Medium</v>
      </c>
      <c r="K204" t="str">
        <f>IFERROR(INDEX(Mapping!$C:$C,MATCH($A204,Mapping!$A:$A,0)),"")</f>
        <v/>
      </c>
      <c r="L204">
        <f>IF($K204="",0,COUNTIFS('JLR Materials'!$A:$A,$K204,'JLR Materials'!$C:$C,IF(Settings!$B$2="","&lt;&gt;",Settings!$B$2),'JLR Materials'!$D:$D,IF(Settings!$B$4="","&lt;&gt;",Settings!$B$4)))</f>
        <v>0</v>
      </c>
      <c r="M204">
        <f>IF($L204&lt;&gt;1,0,SUMIFS('JLR Materials'!$E:$E,'JLR Materials'!$A:$A,$K204,'JLR Materials'!$C:$C,IF(Settings!$B$2="","&lt;&gt;",Settings!$B$2),'JLR Materials'!$D:$D,IF(Settings!$B$4="","&lt;&gt;",Settings!$B$4)))</f>
        <v>0</v>
      </c>
      <c r="N204">
        <f>IF($L204&lt;&gt;1,0,SUMIFS('JLR Materials'!$F:$F,'JLR Materials'!$A:$A,$K204,'JLR Materials'!$C:$C,IF(Settings!$B$2="","&lt;&gt;",Settings!$B$2),'JLR Materials'!$D:$D,IF(Settings!$B$4="","&lt;&gt;",Settings!$B$4)))</f>
        <v>0</v>
      </c>
      <c r="O204">
        <f>IF($N204=0,0,IF(Settings!$B$5="percent",$M204*$N204/100,$N204))</f>
        <v>0</v>
      </c>
      <c r="P204">
        <f>IF($L204&lt;&gt;1,0,SUMIFS('JLR Materials'!$G:$G,'JLR Materials'!$A:$A,$K204,'JLR Materials'!$C:$C,IF(Settings!$B$2="","&lt;&gt;",Settings!$B$2),'JLR Materials'!$D:$D,IF(Settings!$B$4="","&lt;&gt;",Settings!$B$4)))</f>
        <v>0</v>
      </c>
    </row>
    <row r="205">
      <c r="A205" t="str">
        <v>mat-al7075-forge</v>
      </c>
      <c r="B205" t="str">
        <v>7075 (Al Forging Stock)</v>
      </c>
      <c r="C205" t="str">
        <v>Aluminium Forging Billet</v>
      </c>
      <c r="D205">
        <f>IF($M205&gt;0,$M205,4.6)</f>
        <v>4.6</v>
      </c>
      <c r="E205">
        <f>IF($O205&gt;0,$O205,0.55)</f>
        <v>0.55</v>
      </c>
      <c r="F205">
        <v>2810</v>
      </c>
      <c r="G205" t="str">
        <v>UK</v>
      </c>
      <c r="H205" t="str">
        <f>IF($M205&gt;0,IF($L205&lt;&gt;1,"2026-07",IFERROR(INDEX('JLR Materials'!$D:$D,MATCH($K205,'JLR Materials'!$A:$A,0)),"2026-07")),"2026-07")</f>
        <v>2026-07</v>
      </c>
      <c r="I205" t="str">
        <f>IF($M205&gt;0,"JLR rate card — material code "&amp;$K205,"Index-anchored 2026-07 (see FORGING PRICING BASIS). High-strength Al-Zn — aerospace/defence structural forgings, motorsport uprights; T73 for SCC resistance.")</f>
        <v>Index-anchored 2026-07 (see FORGING PRICING BASIS). High-strength Al-Zn — aerospace/defence structural forgings, motorsport uprights; T73 for SCC resistance.</v>
      </c>
      <c r="J205" t="str">
        <v>Medium</v>
      </c>
      <c r="K205" t="str">
        <f>IFERROR(INDEX(Mapping!$C:$C,MATCH($A205,Mapping!$A:$A,0)),"")</f>
        <v/>
      </c>
      <c r="L205">
        <f>IF($K205="",0,COUNTIFS('JLR Materials'!$A:$A,$K205,'JLR Materials'!$C:$C,IF(Settings!$B$2="","&lt;&gt;",Settings!$B$2),'JLR Materials'!$D:$D,IF(Settings!$B$4="","&lt;&gt;",Settings!$B$4)))</f>
        <v>0</v>
      </c>
      <c r="M205">
        <f>IF($L205&lt;&gt;1,0,SUMIFS('JLR Materials'!$E:$E,'JLR Materials'!$A:$A,$K205,'JLR Materials'!$C:$C,IF(Settings!$B$2="","&lt;&gt;",Settings!$B$2),'JLR Materials'!$D:$D,IF(Settings!$B$4="","&lt;&gt;",Settings!$B$4)))</f>
        <v>0</v>
      </c>
      <c r="N205">
        <f>IF($L205&lt;&gt;1,0,SUMIFS('JLR Materials'!$F:$F,'JLR Materials'!$A:$A,$K205,'JLR Materials'!$C:$C,IF(Settings!$B$2="","&lt;&gt;",Settings!$B$2),'JLR Materials'!$D:$D,IF(Settings!$B$4="","&lt;&gt;",Settings!$B$4)))</f>
        <v>0</v>
      </c>
      <c r="O205">
        <f>IF($N205=0,0,IF(Settings!$B$5="percent",$M205*$N205/100,$N205))</f>
        <v>0</v>
      </c>
      <c r="P205">
        <f>IF($L205&lt;&gt;1,0,SUMIFS('JLR Materials'!$G:$G,'JLR Materials'!$A:$A,$K205,'JLR Materials'!$C:$C,IF(Settings!$B$2="","&lt;&gt;",Settings!$B$2),'JLR Materials'!$D:$D,IF(Settings!$B$4="","&lt;&gt;",Settings!$B$4)))</f>
        <v>0</v>
      </c>
    </row>
    <row r="206">
      <c r="A206" t="str">
        <v>mat-al2618-forge</v>
      </c>
      <c r="B206" t="str">
        <v>2618 (Al-Cu Piston/Aero)</v>
      </c>
      <c r="C206" t="str">
        <v>Aluminium Forging Billet</v>
      </c>
      <c r="D206">
        <f>IF($M206&gt;0,$M206,5.2)</f>
        <v>5.2</v>
      </c>
      <c r="E206">
        <f>IF($O206&gt;0,$O206,0.55)</f>
        <v>0.55</v>
      </c>
      <c r="F206">
        <v>2760</v>
      </c>
      <c r="G206" t="str">
        <v>UK</v>
      </c>
      <c r="H206" t="str">
        <f>IF($M206&gt;0,IF($L206&lt;&gt;1,"2026-07",IFERROR(INDEX('JLR Materials'!$D:$D,MATCH($K206,'JLR Materials'!$A:$A,0)),"2026-07")),"2026-07")</f>
        <v>2026-07</v>
      </c>
      <c r="I206" t="str">
        <f>IF($M206&gt;0,"JLR rate card — material code "&amp;$K206,"Index-anchored 2026-07 (see FORGING PRICING BASIS). Elevated-temperature Al-Cu — forged pistons, compressor/turbo wheels; creep-resistant to ~200°C.")</f>
        <v>Index-anchored 2026-07 (see FORGING PRICING BASIS). Elevated-temperature Al-Cu — forged pistons, compressor/turbo wheels; creep-resistant to ~200°C.</v>
      </c>
      <c r="J206" t="str">
        <v>Low</v>
      </c>
      <c r="K206" t="str">
        <f>IFERROR(INDEX(Mapping!$C:$C,MATCH($A206,Mapping!$A:$A,0)),"")</f>
        <v/>
      </c>
      <c r="L206">
        <f>IF($K206="",0,COUNTIFS('JLR Materials'!$A:$A,$K206,'JLR Materials'!$C:$C,IF(Settings!$B$2="","&lt;&gt;",Settings!$B$2),'JLR Materials'!$D:$D,IF(Settings!$B$4="","&lt;&gt;",Settings!$B$4)))</f>
        <v>0</v>
      </c>
      <c r="M206">
        <f>IF($L206&lt;&gt;1,0,SUMIFS('JLR Materials'!$E:$E,'JLR Materials'!$A:$A,$K206,'JLR Materials'!$C:$C,IF(Settings!$B$2="","&lt;&gt;",Settings!$B$2),'JLR Materials'!$D:$D,IF(Settings!$B$4="","&lt;&gt;",Settings!$B$4)))</f>
        <v>0</v>
      </c>
      <c r="N206">
        <f>IF($L206&lt;&gt;1,0,SUMIFS('JLR Materials'!$F:$F,'JLR Materials'!$A:$A,$K206,'JLR Materials'!$C:$C,IF(Settings!$B$2="","&lt;&gt;",Settings!$B$2),'JLR Materials'!$D:$D,IF(Settings!$B$4="","&lt;&gt;",Settings!$B$4)))</f>
        <v>0</v>
      </c>
      <c r="O206">
        <f>IF($N206=0,0,IF(Settings!$B$5="percent",$M206*$N206/100,$N206))</f>
        <v>0</v>
      </c>
      <c r="P206">
        <f>IF($L206&lt;&gt;1,0,SUMIFS('JLR Materials'!$G:$G,'JLR Materials'!$A:$A,$K206,'JLR Materials'!$C:$C,IF(Settings!$B$2="","&lt;&gt;",Settings!$B$2),'JLR Materials'!$D:$D,IF(Settings!$B$4="","&lt;&gt;",Settings!$B$4)))</f>
        <v>0</v>
      </c>
    </row>
    <row r="207">
      <c r="A207" t="str">
        <v>mat-ti-cp-gr2</v>
      </c>
      <c r="B207" t="str">
        <v>CP Titanium Grade 2 (Forging Bar)</v>
      </c>
      <c r="C207" t="str">
        <v>Titanium Forging Billet</v>
      </c>
      <c r="D207">
        <f>IF($M207&gt;0,$M207,26)</f>
        <v>26</v>
      </c>
      <c r="E207">
        <f>IF($O207&gt;0,$O207,4)</f>
        <v>4</v>
      </c>
      <c r="F207">
        <v>4510</v>
      </c>
      <c r="G207" t="str">
        <v>UK</v>
      </c>
      <c r="H207" t="str">
        <f>IF($M207&gt;0,IF($L207&lt;&gt;1,"2026-07",IFERROR(INDEX('JLR Materials'!$D:$D,MATCH($K207,'JLR Materials'!$A:$A,0)),"2026-07")),"2026-07")</f>
        <v>2026-07</v>
      </c>
      <c r="I207" t="str">
        <f>IF($M207&gt;0,"JLR rate card — material code "&amp;$K207,"Index-anchored 2026-07 (see FORGING PRICING BASIS). Commercially-pure titanium — chemical/marine, medical, corrosion service; readily forged/formed.")</f>
        <v>Index-anchored 2026-07 (see FORGING PRICING BASIS). Commercially-pure titanium — chemical/marine, medical, corrosion service; readily forged/formed.</v>
      </c>
      <c r="J207" t="str">
        <v>Low</v>
      </c>
      <c r="K207" t="str">
        <f>IFERROR(INDEX(Mapping!$C:$C,MATCH($A207,Mapping!$A:$A,0)),"")</f>
        <v/>
      </c>
      <c r="L207">
        <f>IF($K207="",0,COUNTIFS('JLR Materials'!$A:$A,$K207,'JLR Materials'!$C:$C,IF(Settings!$B$2="","&lt;&gt;",Settings!$B$2),'JLR Materials'!$D:$D,IF(Settings!$B$4="","&lt;&gt;",Settings!$B$4)))</f>
        <v>0</v>
      </c>
      <c r="M207">
        <f>IF($L207&lt;&gt;1,0,SUMIFS('JLR Materials'!$E:$E,'JLR Materials'!$A:$A,$K207,'JLR Materials'!$C:$C,IF(Settings!$B$2="","&lt;&gt;",Settings!$B$2),'JLR Materials'!$D:$D,IF(Settings!$B$4="","&lt;&gt;",Settings!$B$4)))</f>
        <v>0</v>
      </c>
      <c r="N207">
        <f>IF($L207&lt;&gt;1,0,SUMIFS('JLR Materials'!$F:$F,'JLR Materials'!$A:$A,$K207,'JLR Materials'!$C:$C,IF(Settings!$B$2="","&lt;&gt;",Settings!$B$2),'JLR Materials'!$D:$D,IF(Settings!$B$4="","&lt;&gt;",Settings!$B$4)))</f>
        <v>0</v>
      </c>
      <c r="O207">
        <f>IF($N207=0,0,IF(Settings!$B$5="percent",$M207*$N207/100,$N207))</f>
        <v>0</v>
      </c>
      <c r="P207">
        <f>IF($L207&lt;&gt;1,0,SUMIFS('JLR Materials'!$G:$G,'JLR Materials'!$A:$A,$K207,'JLR Materials'!$C:$C,IF(Settings!$B$2="","&lt;&gt;",Settings!$B$2),'JLR Materials'!$D:$D,IF(Settings!$B$4="","&lt;&gt;",Settings!$B$4)))</f>
        <v>0</v>
      </c>
    </row>
    <row r="208">
      <c r="A208" t="str">
        <v>mat-ti-6al4v-forge</v>
      </c>
      <c r="B208" t="str">
        <v>Ti-6Al-4V Grade 5 (Forging Bar)</v>
      </c>
      <c r="C208" t="str">
        <v>Titanium Forging Billet</v>
      </c>
      <c r="D208">
        <f>IF($M208&gt;0,$M208,38)</f>
        <v>38</v>
      </c>
      <c r="E208">
        <f>IF($O208&gt;0,$O208,5.5)</f>
        <v>5.5</v>
      </c>
      <c r="F208">
        <v>4430</v>
      </c>
      <c r="G208" t="str">
        <v>UK</v>
      </c>
      <c r="H208" t="str">
        <f>IF($M208&gt;0,IF($L208&lt;&gt;1,"2026-07",IFERROR(INDEX('JLR Materials'!$D:$D,MATCH($K208,'JLR Materials'!$A:$A,0)),"2026-07")),"2026-07")</f>
        <v>2026-07</v>
      </c>
      <c r="I208" t="str">
        <f>IF($M208&gt;0,"JLR rate card — material code "&amp;$K208,"Index-anchored 2026-07 (see FORGING PRICING BASIS). Workhorse aerospace/medical titanium — airframe/engine forgings, implants; high strength-to-weight, β-forged for toughness.")</f>
        <v>Index-anchored 2026-07 (see FORGING PRICING BASIS). Workhorse aerospace/medical titanium — airframe/engine forgings, implants; high strength-to-weight, β-forged for toughness.</v>
      </c>
      <c r="J208" t="str">
        <v>Low</v>
      </c>
      <c r="K208" t="str">
        <f>IFERROR(INDEX(Mapping!$C:$C,MATCH($A208,Mapping!$A:$A,0)),"")</f>
        <v/>
      </c>
      <c r="L208">
        <f>IF($K208="",0,COUNTIFS('JLR Materials'!$A:$A,$K208,'JLR Materials'!$C:$C,IF(Settings!$B$2="","&lt;&gt;",Settings!$B$2),'JLR Materials'!$D:$D,IF(Settings!$B$4="","&lt;&gt;",Settings!$B$4)))</f>
        <v>0</v>
      </c>
      <c r="M208">
        <f>IF($L208&lt;&gt;1,0,SUMIFS('JLR Materials'!$E:$E,'JLR Materials'!$A:$A,$K208,'JLR Materials'!$C:$C,IF(Settings!$B$2="","&lt;&gt;",Settings!$B$2),'JLR Materials'!$D:$D,IF(Settings!$B$4="","&lt;&gt;",Settings!$B$4)))</f>
        <v>0</v>
      </c>
      <c r="N208">
        <f>IF($L208&lt;&gt;1,0,SUMIFS('JLR Materials'!$F:$F,'JLR Materials'!$A:$A,$K208,'JLR Materials'!$C:$C,IF(Settings!$B$2="","&lt;&gt;",Settings!$B$2),'JLR Materials'!$D:$D,IF(Settings!$B$4="","&lt;&gt;",Settings!$B$4)))</f>
        <v>0</v>
      </c>
      <c r="O208">
        <f>IF($N208=0,0,IF(Settings!$B$5="percent",$M208*$N208/100,$N208))</f>
        <v>0</v>
      </c>
      <c r="P208">
        <f>IF($L208&lt;&gt;1,0,SUMIFS('JLR Materials'!$G:$G,'JLR Materials'!$A:$A,$K208,'JLR Materials'!$C:$C,IF(Settings!$B$2="","&lt;&gt;",Settings!$B$2),'JLR Materials'!$D:$D,IF(Settings!$B$4="","&lt;&gt;",Settings!$B$4)))</f>
        <v>0</v>
      </c>
    </row>
    <row r="209">
      <c r="A209" t="str">
        <v>mat-inconel718-forge</v>
      </c>
      <c r="B209" t="str">
        <v>Inconel 718 (Forging Bar)</v>
      </c>
      <c r="C209" t="str">
        <v>Nickel Superalloy Billet</v>
      </c>
      <c r="D209">
        <f>IF($M209&gt;0,$M209,44)</f>
        <v>44</v>
      </c>
      <c r="E209">
        <f>IF($O209&gt;0,$O209,8)</f>
        <v>8</v>
      </c>
      <c r="F209">
        <v>8190</v>
      </c>
      <c r="G209" t="str">
        <v>UK</v>
      </c>
      <c r="H209" t="str">
        <f>IF($M209&gt;0,IF($L209&lt;&gt;1,"2026-07",IFERROR(INDEX('JLR Materials'!$D:$D,MATCH($K209,'JLR Materials'!$A:$A,0)),"2026-07")),"2026-07")</f>
        <v>2026-07</v>
      </c>
      <c r="I209" t="str">
        <f>IF($M209&gt;0,"JLR rate card — material code "&amp;$K209,"Index-anchored 2026-07 (see FORGING PRICING BASIS). Age-hardenable Ni-Cr superalloy — turbine discs, shafts, rings; VIM/VAR remelt, high hot-strength.")</f>
        <v>Index-anchored 2026-07 (see FORGING PRICING BASIS). Age-hardenable Ni-Cr superalloy — turbine discs, shafts, rings; VIM/VAR remelt, high hot-strength.</v>
      </c>
      <c r="J209" t="str">
        <v>Low</v>
      </c>
      <c r="K209" t="str">
        <f>IFERROR(INDEX(Mapping!$C:$C,MATCH($A209,Mapping!$A:$A,0)),"")</f>
        <v/>
      </c>
      <c r="L209">
        <f>IF($K209="",0,COUNTIFS('JLR Materials'!$A:$A,$K209,'JLR Materials'!$C:$C,IF(Settings!$B$2="","&lt;&gt;",Settings!$B$2),'JLR Materials'!$D:$D,IF(Settings!$B$4="","&lt;&gt;",Settings!$B$4)))</f>
        <v>0</v>
      </c>
      <c r="M209">
        <f>IF($L209&lt;&gt;1,0,SUMIFS('JLR Materials'!$E:$E,'JLR Materials'!$A:$A,$K209,'JLR Materials'!$C:$C,IF(Settings!$B$2="","&lt;&gt;",Settings!$B$2),'JLR Materials'!$D:$D,IF(Settings!$B$4="","&lt;&gt;",Settings!$B$4)))</f>
        <v>0</v>
      </c>
      <c r="N209">
        <f>IF($L209&lt;&gt;1,0,SUMIFS('JLR Materials'!$F:$F,'JLR Materials'!$A:$A,$K209,'JLR Materials'!$C:$C,IF(Settings!$B$2="","&lt;&gt;",Settings!$B$2),'JLR Materials'!$D:$D,IF(Settings!$B$4="","&lt;&gt;",Settings!$B$4)))</f>
        <v>0</v>
      </c>
      <c r="O209">
        <f>IF($N209=0,0,IF(Settings!$B$5="percent",$M209*$N209/100,$N209))</f>
        <v>0</v>
      </c>
      <c r="P209">
        <f>IF($L209&lt;&gt;1,0,SUMIFS('JLR Materials'!$G:$G,'JLR Materials'!$A:$A,$K209,'JLR Materials'!$C:$C,IF(Settings!$B$2="","&lt;&gt;",Settings!$B$2),'JLR Materials'!$D:$D,IF(Settings!$B$4="","&lt;&gt;",Settings!$B$4)))</f>
        <v>0</v>
      </c>
    </row>
    <row r="210">
      <c r="A210" t="str">
        <v>mat-waspaloy-forge</v>
      </c>
      <c r="B210" t="str">
        <v>Waspaloy (Forging Bar)</v>
      </c>
      <c r="C210" t="str">
        <v>Nickel Superalloy Billet</v>
      </c>
      <c r="D210">
        <f>IF($M210&gt;0,$M210,70)</f>
        <v>70</v>
      </c>
      <c r="E210">
        <f>IF($O210&gt;0,$O210,12)</f>
        <v>12</v>
      </c>
      <c r="F210">
        <v>8190</v>
      </c>
      <c r="G210" t="str">
        <v>UK</v>
      </c>
      <c r="H210" t="str">
        <f>IF($M210&gt;0,IF($L210&lt;&gt;1,"2026-07",IFERROR(INDEX('JLR Materials'!$D:$D,MATCH($K210,'JLR Materials'!$A:$A,0)),"2026-07")),"2026-07")</f>
        <v>2026-07</v>
      </c>
      <c r="I210" t="str">
        <f>IF($M210&gt;0,"JLR rate card — material code "&amp;$K210,"Index-anchored 2026-07 (see FORGING PRICING BASIS). Co-strengthened Ni superalloy — hot-section turbine discs, seals; retains strength to ~700°C, Co adder over 718.")</f>
        <v>Index-anchored 2026-07 (see FORGING PRICING BASIS). Co-strengthened Ni superalloy — hot-section turbine discs, seals; retains strength to ~700°C, Co adder over 718.</v>
      </c>
      <c r="J210" t="str">
        <v>Low</v>
      </c>
      <c r="K210" t="str">
        <f>IFERROR(INDEX(Mapping!$C:$C,MATCH($A210,Mapping!$A:$A,0)),"")</f>
        <v/>
      </c>
      <c r="L210">
        <f>IF($K210="",0,COUNTIFS('JLR Materials'!$A:$A,$K210,'JLR Materials'!$C:$C,IF(Settings!$B$2="","&lt;&gt;",Settings!$B$2),'JLR Materials'!$D:$D,IF(Settings!$B$4="","&lt;&gt;",Settings!$B$4)))</f>
        <v>0</v>
      </c>
      <c r="M210">
        <f>IF($L210&lt;&gt;1,0,SUMIFS('JLR Materials'!$E:$E,'JLR Materials'!$A:$A,$K210,'JLR Materials'!$C:$C,IF(Settings!$B$2="","&lt;&gt;",Settings!$B$2),'JLR Materials'!$D:$D,IF(Settings!$B$4="","&lt;&gt;",Settings!$B$4)))</f>
        <v>0</v>
      </c>
      <c r="N210">
        <f>IF($L210&lt;&gt;1,0,SUMIFS('JLR Materials'!$F:$F,'JLR Materials'!$A:$A,$K210,'JLR Materials'!$C:$C,IF(Settings!$B$2="","&lt;&gt;",Settings!$B$2),'JLR Materials'!$D:$D,IF(Settings!$B$4="","&lt;&gt;",Settings!$B$4)))</f>
        <v>0</v>
      </c>
      <c r="O210">
        <f>IF($N210=0,0,IF(Settings!$B$5="percent",$M210*$N210/100,$N210))</f>
        <v>0</v>
      </c>
      <c r="P210">
        <f>IF($L210&lt;&gt;1,0,SUMIFS('JLR Materials'!$G:$G,'JLR Materials'!$A:$A,$K210,'JLR Materials'!$C:$C,IF(Settings!$B$2="","&lt;&gt;",Settings!$B$2),'JLR Materials'!$D:$D,IF(Settings!$B$4="","&lt;&gt;",Settings!$B$4)))</f>
        <v>0</v>
      </c>
    </row>
    <row r="211">
      <c r="A211" t="str">
        <v>mat-inconel625-forge</v>
      </c>
      <c r="B211" t="str">
        <v>Inconel 625 (Forging Bar)</v>
      </c>
      <c r="C211" t="str">
        <v>Nickel Superalloy Billet</v>
      </c>
      <c r="D211">
        <f>IF($M211&gt;0,$M211,38)</f>
        <v>38</v>
      </c>
      <c r="E211">
        <f>IF($O211&gt;0,$O211,7)</f>
        <v>7</v>
      </c>
      <c r="F211">
        <v>8440</v>
      </c>
      <c r="G211" t="str">
        <v>UK</v>
      </c>
      <c r="H211" t="str">
        <f>IF($M211&gt;0,IF($L211&lt;&gt;1,"2026-07",IFERROR(INDEX('JLR Materials'!$D:$D,MATCH($K211,'JLR Materials'!$A:$A,0)),"2026-07")),"2026-07")</f>
        <v>2026-07</v>
      </c>
      <c r="I211" t="str">
        <f>IF($M211&gt;0,"JLR rate card — material code "&amp;$K211,"Index-anchored 2026-07 (see FORGING PRICING BASIS). Solid-solution Ni-Cr-Mo — marine/chemical, exhaust, subsea; excellent corrosion + weldability, non-age-hardening.")</f>
        <v>Index-anchored 2026-07 (see FORGING PRICING BASIS). Solid-solution Ni-Cr-Mo — marine/chemical, exhaust, subsea; excellent corrosion + weldability, non-age-hardening.</v>
      </c>
      <c r="J211" t="str">
        <v>Low</v>
      </c>
      <c r="K211" t="str">
        <f>IFERROR(INDEX(Mapping!$C:$C,MATCH($A211,Mapping!$A:$A,0)),"")</f>
        <v/>
      </c>
      <c r="L211">
        <f>IF($K211="",0,COUNTIFS('JLR Materials'!$A:$A,$K211,'JLR Materials'!$C:$C,IF(Settings!$B$2="","&lt;&gt;",Settings!$B$2),'JLR Materials'!$D:$D,IF(Settings!$B$4="","&lt;&gt;",Settings!$B$4)))</f>
        <v>0</v>
      </c>
      <c r="M211">
        <f>IF($L211&lt;&gt;1,0,SUMIFS('JLR Materials'!$E:$E,'JLR Materials'!$A:$A,$K211,'JLR Materials'!$C:$C,IF(Settings!$B$2="","&lt;&gt;",Settings!$B$2),'JLR Materials'!$D:$D,IF(Settings!$B$4="","&lt;&gt;",Settings!$B$4)))</f>
        <v>0</v>
      </c>
      <c r="N211">
        <f>IF($L211&lt;&gt;1,0,SUMIFS('JLR Materials'!$F:$F,'JLR Materials'!$A:$A,$K211,'JLR Materials'!$C:$C,IF(Settings!$B$2="","&lt;&gt;",Settings!$B$2),'JLR Materials'!$D:$D,IF(Settings!$B$4="","&lt;&gt;",Settings!$B$4)))</f>
        <v>0</v>
      </c>
      <c r="O211">
        <f>IF($N211=0,0,IF(Settings!$B$5="percent",$M211*$N211/100,$N211))</f>
        <v>0</v>
      </c>
      <c r="P211">
        <f>IF($L211&lt;&gt;1,0,SUMIFS('JLR Materials'!$G:$G,'JLR Materials'!$A:$A,$K211,'JLR Materials'!$C:$C,IF(Settings!$B$2="","&lt;&gt;",Settings!$B$2),'JLR Materials'!$D:$D,IF(Settings!$B$4="","&lt;&gt;",Settings!$B$4)))</f>
        <v>0</v>
      </c>
    </row>
    <row r="212">
      <c r="A212" t="str">
        <v>mat-hastelloy-c276-forge</v>
      </c>
      <c r="B212" t="str">
        <v>Hastelloy C-276 (Forging Bar)</v>
      </c>
      <c r="C212" t="str">
        <v>Nickel Superalloy Billet</v>
      </c>
      <c r="D212">
        <f>IF($M212&gt;0,$M212,55)</f>
        <v>55</v>
      </c>
      <c r="E212">
        <f>IF($O212&gt;0,$O212,9)</f>
        <v>9</v>
      </c>
      <c r="F212">
        <v>8890</v>
      </c>
      <c r="G212" t="str">
        <v>UK</v>
      </c>
      <c r="H212" t="str">
        <f>IF($M212&gt;0,IF($L212&lt;&gt;1,"2026-07",IFERROR(INDEX('JLR Materials'!$D:$D,MATCH($K212,'JLR Materials'!$A:$A,0)),"2026-07")),"2026-07")</f>
        <v>2026-07</v>
      </c>
      <c r="I212" t="str">
        <f>IF($M212&gt;0,"JLR rate card — material code "&amp;$K212,"Index-anchored 2026-07 (see FORGING PRICING BASIS). Ni-Mo-Cr — severe chemical/acid, flue-gas, subsea valves; outstanding pitting/crevice resistance, high Mo adder.")</f>
        <v>Index-anchored 2026-07 (see FORGING PRICING BASIS). Ni-Mo-Cr — severe chemical/acid, flue-gas, subsea valves; outstanding pitting/crevice resistance, high Mo adder.</v>
      </c>
      <c r="J212" t="str">
        <v>Low</v>
      </c>
      <c r="K212" t="str">
        <f>IFERROR(INDEX(Mapping!$C:$C,MATCH($A212,Mapping!$A:$A,0)),"")</f>
        <v/>
      </c>
      <c r="L212">
        <f>IF($K212="",0,COUNTIFS('JLR Materials'!$A:$A,$K212,'JLR Materials'!$C:$C,IF(Settings!$B$2="","&lt;&gt;",Settings!$B$2),'JLR Materials'!$D:$D,IF(Settings!$B$4="","&lt;&gt;",Settings!$B$4)))</f>
        <v>0</v>
      </c>
      <c r="M212">
        <f>IF($L212&lt;&gt;1,0,SUMIFS('JLR Materials'!$E:$E,'JLR Materials'!$A:$A,$K212,'JLR Materials'!$C:$C,IF(Settings!$B$2="","&lt;&gt;",Settings!$B$2),'JLR Materials'!$D:$D,IF(Settings!$B$4="","&lt;&gt;",Settings!$B$4)))</f>
        <v>0</v>
      </c>
      <c r="N212">
        <f>IF($L212&lt;&gt;1,0,SUMIFS('JLR Materials'!$F:$F,'JLR Materials'!$A:$A,$K212,'JLR Materials'!$C:$C,IF(Settings!$B$2="","&lt;&gt;",Settings!$B$2),'JLR Materials'!$D:$D,IF(Settings!$B$4="","&lt;&gt;",Settings!$B$4)))</f>
        <v>0</v>
      </c>
      <c r="O212">
        <f>IF($N212=0,0,IF(Settings!$B$5="percent",$M212*$N212/100,$N212))</f>
        <v>0</v>
      </c>
      <c r="P212">
        <f>IF($L212&lt;&gt;1,0,SUMIFS('JLR Materials'!$G:$G,'JLR Materials'!$A:$A,$K212,'JLR Materials'!$C:$C,IF(Settings!$B$2="","&lt;&gt;",Settings!$B$2),'JLR Materials'!$D:$D,IF(Settings!$B$4="","&lt;&gt;",Settings!$B$4)))</f>
        <v>0</v>
      </c>
    </row>
    <row r="213">
      <c r="A213" t="str">
        <v>mat-monel400-forge</v>
      </c>
      <c r="B213" t="str">
        <v>Monel 400 (Forging Bar)</v>
      </c>
      <c r="C213" t="str">
        <v>Nickel Alloy Billet</v>
      </c>
      <c r="D213">
        <f>IF($M213&gt;0,$M213,28)</f>
        <v>28</v>
      </c>
      <c r="E213">
        <f>IF($O213&gt;0,$O213,5)</f>
        <v>5</v>
      </c>
      <c r="F213">
        <v>8800</v>
      </c>
      <c r="G213" t="str">
        <v>UK</v>
      </c>
      <c r="H213" t="str">
        <f>IF($M213&gt;0,IF($L213&lt;&gt;1,"2026-07",IFERROR(INDEX('JLR Materials'!$D:$D,MATCH($K213,'JLR Materials'!$A:$A,0)),"2026-07")),"2026-07")</f>
        <v>2026-07</v>
      </c>
      <c r="I213" t="str">
        <f>IF($M213&gt;0,"JLR rate card — material code "&amp;$K213,"Index-anchored 2026-07 (see FORGING PRICING BASIS). Ni-Cu — marine shafting, valves, seawater service; resists chlorides and HF, non-hardenable.")</f>
        <v>Index-anchored 2026-07 (see FORGING PRICING BASIS). Ni-Cu — marine shafting, valves, seawater service; resists chlorides and HF, non-hardenable.</v>
      </c>
      <c r="J213" t="str">
        <v>Low</v>
      </c>
      <c r="K213" t="str">
        <f>IFERROR(INDEX(Mapping!$C:$C,MATCH($A213,Mapping!$A:$A,0)),"")</f>
        <v/>
      </c>
      <c r="L213">
        <f>IF($K213="",0,COUNTIFS('JLR Materials'!$A:$A,$K213,'JLR Materials'!$C:$C,IF(Settings!$B$2="","&lt;&gt;",Settings!$B$2),'JLR Materials'!$D:$D,IF(Settings!$B$4="","&lt;&gt;",Settings!$B$4)))</f>
        <v>0</v>
      </c>
      <c r="M213">
        <f>IF($L213&lt;&gt;1,0,SUMIFS('JLR Materials'!$E:$E,'JLR Materials'!$A:$A,$K213,'JLR Materials'!$C:$C,IF(Settings!$B$2="","&lt;&gt;",Settings!$B$2),'JLR Materials'!$D:$D,IF(Settings!$B$4="","&lt;&gt;",Settings!$B$4)))</f>
        <v>0</v>
      </c>
      <c r="N213">
        <f>IF($L213&lt;&gt;1,0,SUMIFS('JLR Materials'!$F:$F,'JLR Materials'!$A:$A,$K213,'JLR Materials'!$C:$C,IF(Settings!$B$2="","&lt;&gt;",Settings!$B$2),'JLR Materials'!$D:$D,IF(Settings!$B$4="","&lt;&gt;",Settings!$B$4)))</f>
        <v>0</v>
      </c>
      <c r="O213">
        <f>IF($N213=0,0,IF(Settings!$B$5="percent",$M213*$N213/100,$N213))</f>
        <v>0</v>
      </c>
      <c r="P213">
        <f>IF($L213&lt;&gt;1,0,SUMIFS('JLR Materials'!$G:$G,'JLR Materials'!$A:$A,$K213,'JLR Materials'!$C:$C,IF(Settings!$B$2="","&lt;&gt;",Settings!$B$2),'JLR Materials'!$D:$D,IF(Settings!$B$4="","&lt;&gt;",Settings!$B$4)))</f>
        <v>0</v>
      </c>
    </row>
    <row r="214">
      <c r="A214" t="str">
        <v>mat-ti-6242-forge</v>
      </c>
      <c r="B214" t="str">
        <v>Ti-6Al-2Sn-4Zr-2Mo (Forging Bar)</v>
      </c>
      <c r="C214" t="str">
        <v>Titanium Forging Billet</v>
      </c>
      <c r="D214">
        <f>IF($M214&gt;0,$M214,52)</f>
        <v>52</v>
      </c>
      <c r="E214">
        <f>IF($O214&gt;0,$O214,6.5)</f>
        <v>6.5</v>
      </c>
      <c r="F214">
        <v>4540</v>
      </c>
      <c r="G214" t="str">
        <v>UK</v>
      </c>
      <c r="H214" t="str">
        <f>IF($M214&gt;0,IF($L214&lt;&gt;1,"2026-07",IFERROR(INDEX('JLR Materials'!$D:$D,MATCH($K214,'JLR Materials'!$A:$A,0)),"2026-07")),"2026-07")</f>
        <v>2026-07</v>
      </c>
      <c r="I214" t="str">
        <f>IF($M214&gt;0,"JLR rate card — material code "&amp;$K214,"Index-anchored 2026-07 (see FORGING PRICING BASIS). Near-α high-temp titanium — compressor discs/blades to ~540°C, engine forgings; premium over Ti-6Al-4V.")</f>
        <v>Index-anchored 2026-07 (see FORGING PRICING BASIS). Near-α high-temp titanium — compressor discs/blades to ~540°C, engine forgings; premium over Ti-6Al-4V.</v>
      </c>
      <c r="J214" t="str">
        <v>Low</v>
      </c>
      <c r="K214" t="str">
        <f>IFERROR(INDEX(Mapping!$C:$C,MATCH($A214,Mapping!$A:$A,0)),"")</f>
        <v/>
      </c>
      <c r="L214">
        <f>IF($K214="",0,COUNTIFS('JLR Materials'!$A:$A,$K214,'JLR Materials'!$C:$C,IF(Settings!$B$2="","&lt;&gt;",Settings!$B$2),'JLR Materials'!$D:$D,IF(Settings!$B$4="","&lt;&gt;",Settings!$B$4)))</f>
        <v>0</v>
      </c>
      <c r="M214">
        <f>IF($L214&lt;&gt;1,0,SUMIFS('JLR Materials'!$E:$E,'JLR Materials'!$A:$A,$K214,'JLR Materials'!$C:$C,IF(Settings!$B$2="","&lt;&gt;",Settings!$B$2),'JLR Materials'!$D:$D,IF(Settings!$B$4="","&lt;&gt;",Settings!$B$4)))</f>
        <v>0</v>
      </c>
      <c r="N214">
        <f>IF($L214&lt;&gt;1,0,SUMIFS('JLR Materials'!$F:$F,'JLR Materials'!$A:$A,$K214,'JLR Materials'!$C:$C,IF(Settings!$B$2="","&lt;&gt;",Settings!$B$2),'JLR Materials'!$D:$D,IF(Settings!$B$4="","&lt;&gt;",Settings!$B$4)))</f>
        <v>0</v>
      </c>
      <c r="O214">
        <f>IF($N214=0,0,IF(Settings!$B$5="percent",$M214*$N214/100,$N214))</f>
        <v>0</v>
      </c>
      <c r="P214">
        <f>IF($L214&lt;&gt;1,0,SUMIFS('JLR Materials'!$G:$G,'JLR Materials'!$A:$A,$K214,'JLR Materials'!$C:$C,IF(Settings!$B$2="","&lt;&gt;",Settings!$B$2),'JLR Materials'!$D:$D,IF(Settings!$B$4="","&lt;&gt;",Settings!$B$4)))</f>
        <v>0</v>
      </c>
    </row>
    <row r="215">
      <c r="A215" t="str">
        <v>mat-al7050-forge</v>
      </c>
      <c r="B215" t="str">
        <v>7050 (Al-Zn Aero Forging Stock)</v>
      </c>
      <c r="C215" t="str">
        <v>Aluminium Forging Billet</v>
      </c>
      <c r="D215">
        <f>IF($M215&gt;0,$M215,8.5)</f>
        <v>8.5</v>
      </c>
      <c r="E215">
        <f>IF($O215&gt;0,$O215,1.1)</f>
        <v>1.1</v>
      </c>
      <c r="F215">
        <v>2830</v>
      </c>
      <c r="G215" t="str">
        <v>UK</v>
      </c>
      <c r="H215" t="str">
        <f>IF($M215&gt;0,IF($L215&lt;&gt;1,"2026-07",IFERROR(INDEX('JLR Materials'!$D:$D,MATCH($K215,'JLR Materials'!$A:$A,0)),"2026-07")),"2026-07")</f>
        <v>2026-07</v>
      </c>
      <c r="I215" t="str">
        <f>IF($M215&gt;0,"JLR rate card — material code "&amp;$K215,"Index-anchored 2026-07 (see FORGING PRICING BASIS). High-strength aerospace 7xxx — thick-section airframe fittings, bulkheads; better SCC resistance than 7075.")</f>
        <v>Index-anchored 2026-07 (see FORGING PRICING BASIS). High-strength aerospace 7xxx — thick-section airframe fittings, bulkheads; better SCC resistance than 7075.</v>
      </c>
      <c r="J215" t="str">
        <v>Low</v>
      </c>
      <c r="K215" t="str">
        <f>IFERROR(INDEX(Mapping!$C:$C,MATCH($A215,Mapping!$A:$A,0)),"")</f>
        <v/>
      </c>
      <c r="L215">
        <f>IF($K215="",0,COUNTIFS('JLR Materials'!$A:$A,$K215,'JLR Materials'!$C:$C,IF(Settings!$B$2="","&lt;&gt;",Settings!$B$2),'JLR Materials'!$D:$D,IF(Settings!$B$4="","&lt;&gt;",Settings!$B$4)))</f>
        <v>0</v>
      </c>
      <c r="M215">
        <f>IF($L215&lt;&gt;1,0,SUMIFS('JLR Materials'!$E:$E,'JLR Materials'!$A:$A,$K215,'JLR Materials'!$C:$C,IF(Settings!$B$2="","&lt;&gt;",Settings!$B$2),'JLR Materials'!$D:$D,IF(Settings!$B$4="","&lt;&gt;",Settings!$B$4)))</f>
        <v>0</v>
      </c>
      <c r="N215">
        <f>IF($L215&lt;&gt;1,0,SUMIFS('JLR Materials'!$F:$F,'JLR Materials'!$A:$A,$K215,'JLR Materials'!$C:$C,IF(Settings!$B$2="","&lt;&gt;",Settings!$B$2),'JLR Materials'!$D:$D,IF(Settings!$B$4="","&lt;&gt;",Settings!$B$4)))</f>
        <v>0</v>
      </c>
      <c r="O215">
        <f>IF($N215=0,0,IF(Settings!$B$5="percent",$M215*$N215/100,$N215))</f>
        <v>0</v>
      </c>
      <c r="P215">
        <f>IF($L215&lt;&gt;1,0,SUMIFS('JLR Materials'!$G:$G,'JLR Materials'!$A:$A,$K215,'JLR Materials'!$C:$C,IF(Settings!$B$2="","&lt;&gt;",Settings!$B$2),'JLR Materials'!$D:$D,IF(Settings!$B$4="","&lt;&gt;",Settings!$B$4)))</f>
        <v>0</v>
      </c>
    </row>
    <row r="216">
      <c r="A216" t="str">
        <v>mat-mg-az31-forge</v>
      </c>
      <c r="B216" t="str">
        <v>AZ31B (Mg Forging Bar)</v>
      </c>
      <c r="C216" t="str">
        <v>Magnesium Forging Billet</v>
      </c>
      <c r="D216">
        <f>IF($M216&gt;0,$M216,6.5)</f>
        <v>6.5</v>
      </c>
      <c r="E216">
        <f>IF($O216&gt;0,$O216,0.9)</f>
        <v>0.9</v>
      </c>
      <c r="F216">
        <v>1770</v>
      </c>
      <c r="G216" t="str">
        <v>UK</v>
      </c>
      <c r="H216" t="str">
        <f>IF($M216&gt;0,IF($L216&lt;&gt;1,"2026-07",IFERROR(INDEX('JLR Materials'!$D:$D,MATCH($K216,'JLR Materials'!$A:$A,0)),"2026-07")),"2026-07")</f>
        <v>2026-07</v>
      </c>
      <c r="I216" t="str">
        <f>IF($M216&gt;0,"JLR rate card — material code "&amp;$K216,"Index-anchored 2026-07 (see FORGING PRICING BASIS). Wrought Mg-Al-Zn — lightweight brackets, aerospace/defence, portable structures; forged warm (~300–400°C).")</f>
        <v>Index-anchored 2026-07 (see FORGING PRICING BASIS). Wrought Mg-Al-Zn — lightweight brackets, aerospace/defence, portable structures; forged warm (~300–400°C).</v>
      </c>
      <c r="J216" t="str">
        <v>Low</v>
      </c>
      <c r="K216" t="str">
        <f>IFERROR(INDEX(Mapping!$C:$C,MATCH($A216,Mapping!$A:$A,0)),"")</f>
        <v/>
      </c>
      <c r="L216">
        <f>IF($K216="",0,COUNTIFS('JLR Materials'!$A:$A,$K216,'JLR Materials'!$C:$C,IF(Settings!$B$2="","&lt;&gt;",Settings!$B$2),'JLR Materials'!$D:$D,IF(Settings!$B$4="","&lt;&gt;",Settings!$B$4)))</f>
        <v>0</v>
      </c>
      <c r="M216">
        <f>IF($L216&lt;&gt;1,0,SUMIFS('JLR Materials'!$E:$E,'JLR Materials'!$A:$A,$K216,'JLR Materials'!$C:$C,IF(Settings!$B$2="","&lt;&gt;",Settings!$B$2),'JLR Materials'!$D:$D,IF(Settings!$B$4="","&lt;&gt;",Settings!$B$4)))</f>
        <v>0</v>
      </c>
      <c r="N216">
        <f>IF($L216&lt;&gt;1,0,SUMIFS('JLR Materials'!$F:$F,'JLR Materials'!$A:$A,$K216,'JLR Materials'!$C:$C,IF(Settings!$B$2="","&lt;&gt;",Settings!$B$2),'JLR Materials'!$D:$D,IF(Settings!$B$4="","&lt;&gt;",Settings!$B$4)))</f>
        <v>0</v>
      </c>
      <c r="O216">
        <f>IF($N216=0,0,IF(Settings!$B$5="percent",$M216*$N216/100,$N216))</f>
        <v>0</v>
      </c>
      <c r="P216">
        <f>IF($L216&lt;&gt;1,0,SUMIFS('JLR Materials'!$G:$G,'JLR Materials'!$A:$A,$K216,'JLR Materials'!$C:$C,IF(Settings!$B$2="","&lt;&gt;",Settings!$B$2),'JLR Materials'!$D:$D,IF(Settings!$B$4="","&lt;&gt;",Settings!$B$4)))</f>
        <v>0</v>
      </c>
    </row>
    <row r="217">
      <c r="A217" t="str">
        <v>mat-brass-cz122-forge</v>
      </c>
      <c r="B217" t="str">
        <v>CZ122 / CW617N (Forging Brass)</v>
      </c>
      <c r="C217" t="str">
        <v>Copper Alloy Billet</v>
      </c>
      <c r="D217">
        <f>IF($M217&gt;0,$M217,7.2)</f>
        <v>7.2</v>
      </c>
      <c r="E217">
        <f>IF($O217&gt;0,$O217,3)</f>
        <v>3</v>
      </c>
      <c r="F217">
        <v>8500</v>
      </c>
      <c r="G217" t="str">
        <v>UK</v>
      </c>
      <c r="H217" t="str">
        <f>IF($M217&gt;0,IF($L217&lt;&gt;1,"2026-07",IFERROR(INDEX('JLR Materials'!$D:$D,MATCH($K217,'JLR Materials'!$A:$A,0)),"2026-07")),"2026-07")</f>
        <v>2026-07</v>
      </c>
      <c r="I217" t="str">
        <f>IF($M217&gt;0,"JLR rate card — material code "&amp;$K217,"Index-anchored 2026-07 (see FORGING PRICING BASIS). Hot-stamping brass — valve bodies, fittings, plumbing; excellent forgeability and machinability.")</f>
        <v>Index-anchored 2026-07 (see FORGING PRICING BASIS). Hot-stamping brass — valve bodies, fittings, plumbing; excellent forgeability and machinability.</v>
      </c>
      <c r="J217" t="str">
        <v>Low</v>
      </c>
      <c r="K217" t="str">
        <f>IFERROR(INDEX(Mapping!$C:$C,MATCH($A217,Mapping!$A:$A,0)),"")</f>
        <v/>
      </c>
      <c r="L217">
        <f>IF($K217="",0,COUNTIFS('JLR Materials'!$A:$A,$K217,'JLR Materials'!$C:$C,IF(Settings!$B$2="","&lt;&gt;",Settings!$B$2),'JLR Materials'!$D:$D,IF(Settings!$B$4="","&lt;&gt;",Settings!$B$4)))</f>
        <v>0</v>
      </c>
      <c r="M217">
        <f>IF($L217&lt;&gt;1,0,SUMIFS('JLR Materials'!$E:$E,'JLR Materials'!$A:$A,$K217,'JLR Materials'!$C:$C,IF(Settings!$B$2="","&lt;&gt;",Settings!$B$2),'JLR Materials'!$D:$D,IF(Settings!$B$4="","&lt;&gt;",Settings!$B$4)))</f>
        <v>0</v>
      </c>
      <c r="N217">
        <f>IF($L217&lt;&gt;1,0,SUMIFS('JLR Materials'!$F:$F,'JLR Materials'!$A:$A,$K217,'JLR Materials'!$C:$C,IF(Settings!$B$2="","&lt;&gt;",Settings!$B$2),'JLR Materials'!$D:$D,IF(Settings!$B$4="","&lt;&gt;",Settings!$B$4)))</f>
        <v>0</v>
      </c>
      <c r="O217">
        <f>IF($N217=0,0,IF(Settings!$B$5="percent",$M217*$N217/100,$N217))</f>
        <v>0</v>
      </c>
      <c r="P217">
        <f>IF($L217&lt;&gt;1,0,SUMIFS('JLR Materials'!$G:$G,'JLR Materials'!$A:$A,$K217,'JLR Materials'!$C:$C,IF(Settings!$B$2="","&lt;&gt;",Settings!$B$2),'JLR Materials'!$D:$D,IF(Settings!$B$4="","&lt;&gt;",Settings!$B$4)))</f>
        <v>0</v>
      </c>
    </row>
    <row r="218">
      <c r="A218" t="str">
        <v>mat-paint-ecoat</v>
      </c>
      <c r="B218" t="str">
        <v>E-coat (Cathodic)</v>
      </c>
      <c r="C218" t="str">
        <v>Paint</v>
      </c>
      <c r="D218">
        <f>IF($M218&gt;0,$M218,3.68)</f>
        <v>3.68</v>
      </c>
      <c r="E218">
        <f>IF($O218&gt;0,$O218,0)</f>
        <v>0</v>
      </c>
      <c r="F218">
        <v>1300</v>
      </c>
      <c r="G218" t="str">
        <v>UK</v>
      </c>
      <c r="H218" t="str">
        <f>IF($M218&gt;0,IF($L218&lt;&gt;1,"2026-07",IFERROR(INDEX('JLR Materials'!$D:$D,MATCH($K218,'JLR Materials'!$A:$A,0)),"2026-07")),"2026-07")</f>
        <v>2026-07</v>
      </c>
      <c r="I218" t="str">
        <f>IF($M218&gt;0,"JLR rate card — material code "&amp;$K218,"UK coating supplier, Jun 2026. Index-anchored 2026-07 refresh.")</f>
        <v>UK coating supplier, Jun 2026. Index-anchored 2026-07 refresh.</v>
      </c>
      <c r="J218" t="str">
        <v>Low</v>
      </c>
      <c r="K218" t="str">
        <f>IFERROR(INDEX(Mapping!$C:$C,MATCH($A218,Mapping!$A:$A,0)),"")</f>
        <v/>
      </c>
      <c r="L218">
        <f>IF($K218="",0,COUNTIFS('JLR Materials'!$A:$A,$K218,'JLR Materials'!$C:$C,IF(Settings!$B$2="","&lt;&gt;",Settings!$B$2),'JLR Materials'!$D:$D,IF(Settings!$B$4="","&lt;&gt;",Settings!$B$4)))</f>
        <v>0</v>
      </c>
      <c r="M218">
        <f>IF($L218&lt;&gt;1,0,SUMIFS('JLR Materials'!$E:$E,'JLR Materials'!$A:$A,$K218,'JLR Materials'!$C:$C,IF(Settings!$B$2="","&lt;&gt;",Settings!$B$2),'JLR Materials'!$D:$D,IF(Settings!$B$4="","&lt;&gt;",Settings!$B$4)))</f>
        <v>0</v>
      </c>
      <c r="N218">
        <f>IF($L218&lt;&gt;1,0,SUMIFS('JLR Materials'!$F:$F,'JLR Materials'!$A:$A,$K218,'JLR Materials'!$C:$C,IF(Settings!$B$2="","&lt;&gt;",Settings!$B$2),'JLR Materials'!$D:$D,IF(Settings!$B$4="","&lt;&gt;",Settings!$B$4)))</f>
        <v>0</v>
      </c>
      <c r="O218">
        <f>IF($N218=0,0,IF(Settings!$B$5="percent",$M218*$N218/100,$N218))</f>
        <v>0</v>
      </c>
      <c r="P218">
        <f>IF($L218&lt;&gt;1,0,SUMIFS('JLR Materials'!$G:$G,'JLR Materials'!$A:$A,$K218,'JLR Materials'!$C:$C,IF(Settings!$B$2="","&lt;&gt;",Settings!$B$2),'JLR Materials'!$D:$D,IF(Settings!$B$4="","&lt;&gt;",Settings!$B$4)))</f>
        <v>0</v>
      </c>
    </row>
    <row r="219">
      <c r="A219" t="str">
        <v>mat-paint-primer</v>
      </c>
      <c r="B219" t="str">
        <v>2K Primer</v>
      </c>
      <c r="C219" t="str">
        <v>Paint</v>
      </c>
      <c r="D219">
        <f>IF($M219&gt;0,$M219,6.1)</f>
        <v>6.1</v>
      </c>
      <c r="E219">
        <f>IF($O219&gt;0,$O219,0)</f>
        <v>0</v>
      </c>
      <c r="F219">
        <v>1350</v>
      </c>
      <c r="G219" t="str">
        <v>UK</v>
      </c>
      <c r="H219" t="str">
        <f>IF($M219&gt;0,IF($L219&lt;&gt;1,"2026-07",IFERROR(INDEX('JLR Materials'!$D:$D,MATCH($K219,'JLR Materials'!$A:$A,0)),"2026-07")),"2026-07")</f>
        <v>2026-07</v>
      </c>
      <c r="I219" t="str">
        <f>IF($M219&gt;0,"JLR rate card — material code "&amp;$K219,"UK coating supplier, Jun 2026. Index-anchored 2026-07 refresh.")</f>
        <v>UK coating supplier, Jun 2026. Index-anchored 2026-07 refresh.</v>
      </c>
      <c r="J219" t="str">
        <v>Low</v>
      </c>
      <c r="K219" t="str">
        <f>IFERROR(INDEX(Mapping!$C:$C,MATCH($A219,Mapping!$A:$A,0)),"")</f>
        <v/>
      </c>
      <c r="L219">
        <f>IF($K219="",0,COUNTIFS('JLR Materials'!$A:$A,$K219,'JLR Materials'!$C:$C,IF(Settings!$B$2="","&lt;&gt;",Settings!$B$2),'JLR Materials'!$D:$D,IF(Settings!$B$4="","&lt;&gt;",Settings!$B$4)))</f>
        <v>0</v>
      </c>
      <c r="M219">
        <f>IF($L219&lt;&gt;1,0,SUMIFS('JLR Materials'!$E:$E,'JLR Materials'!$A:$A,$K219,'JLR Materials'!$C:$C,IF(Settings!$B$2="","&lt;&gt;",Settings!$B$2),'JLR Materials'!$D:$D,IF(Settings!$B$4="","&lt;&gt;",Settings!$B$4)))</f>
        <v>0</v>
      </c>
      <c r="N219">
        <f>IF($L219&lt;&gt;1,0,SUMIFS('JLR Materials'!$F:$F,'JLR Materials'!$A:$A,$K219,'JLR Materials'!$C:$C,IF(Settings!$B$2="","&lt;&gt;",Settings!$B$2),'JLR Materials'!$D:$D,IF(Settings!$B$4="","&lt;&gt;",Settings!$B$4)))</f>
        <v>0</v>
      </c>
      <c r="O219">
        <f>IF($N219=0,0,IF(Settings!$B$5="percent",$M219*$N219/100,$N219))</f>
        <v>0</v>
      </c>
      <c r="P219">
        <f>IF($L219&lt;&gt;1,0,SUMIFS('JLR Materials'!$G:$G,'JLR Materials'!$A:$A,$K219,'JLR Materials'!$C:$C,IF(Settings!$B$2="","&lt;&gt;",Settings!$B$2),'JLR Materials'!$D:$D,IF(Settings!$B$4="","&lt;&gt;",Settings!$B$4)))</f>
        <v>0</v>
      </c>
    </row>
    <row r="220">
      <c r="A220" t="str">
        <v>mat-paint-basecoat</v>
      </c>
      <c r="B220" t="str">
        <v>Waterborne Basecoat</v>
      </c>
      <c r="C220" t="str">
        <v>Paint</v>
      </c>
      <c r="D220">
        <f>IF($M220&gt;0,$M220,8.62)</f>
        <v>8.62</v>
      </c>
      <c r="E220">
        <f>IF($O220&gt;0,$O220,0)</f>
        <v>0</v>
      </c>
      <c r="F220">
        <v>1250</v>
      </c>
      <c r="G220" t="str">
        <v>UK</v>
      </c>
      <c r="H220" t="str">
        <f>IF($M220&gt;0,IF($L220&lt;&gt;1,"2026-07",IFERROR(INDEX('JLR Materials'!$D:$D,MATCH($K220,'JLR Materials'!$A:$A,0)),"2026-07")),"2026-07")</f>
        <v>2026-07</v>
      </c>
      <c r="I220" t="str">
        <f>IF($M220&gt;0,"JLR rate card — material code "&amp;$K220,"UK coating supplier, Jun 2026. Index-anchored 2026-07 refresh.")</f>
        <v>UK coating supplier, Jun 2026. Index-anchored 2026-07 refresh.</v>
      </c>
      <c r="J220" t="str">
        <v>Low</v>
      </c>
      <c r="K220" t="str">
        <f>IFERROR(INDEX(Mapping!$C:$C,MATCH($A220,Mapping!$A:$A,0)),"")</f>
        <v/>
      </c>
      <c r="L220">
        <f>IF($K220="",0,COUNTIFS('JLR Materials'!$A:$A,$K220,'JLR Materials'!$C:$C,IF(Settings!$B$2="","&lt;&gt;",Settings!$B$2),'JLR Materials'!$D:$D,IF(Settings!$B$4="","&lt;&gt;",Settings!$B$4)))</f>
        <v>0</v>
      </c>
      <c r="M220">
        <f>IF($L220&lt;&gt;1,0,SUMIFS('JLR Materials'!$E:$E,'JLR Materials'!$A:$A,$K220,'JLR Materials'!$C:$C,IF(Settings!$B$2="","&lt;&gt;",Settings!$B$2),'JLR Materials'!$D:$D,IF(Settings!$B$4="","&lt;&gt;",Settings!$B$4)))</f>
        <v>0</v>
      </c>
      <c r="N220">
        <f>IF($L220&lt;&gt;1,0,SUMIFS('JLR Materials'!$F:$F,'JLR Materials'!$A:$A,$K220,'JLR Materials'!$C:$C,IF(Settings!$B$2="","&lt;&gt;",Settings!$B$2),'JLR Materials'!$D:$D,IF(Settings!$B$4="","&lt;&gt;",Settings!$B$4)))</f>
        <v>0</v>
      </c>
      <c r="O220">
        <f>IF($N220=0,0,IF(Settings!$B$5="percent",$M220*$N220/100,$N220))</f>
        <v>0</v>
      </c>
      <c r="P220">
        <f>IF($L220&lt;&gt;1,0,SUMIFS('JLR Materials'!$G:$G,'JLR Materials'!$A:$A,$K220,'JLR Materials'!$C:$C,IF(Settings!$B$2="","&lt;&gt;",Settings!$B$2),'JLR Materials'!$D:$D,IF(Settings!$B$4="","&lt;&gt;",Settings!$B$4)))</f>
        <v>0</v>
      </c>
    </row>
    <row r="221">
      <c r="A221" t="str">
        <v>mat-paint-clearcoat</v>
      </c>
      <c r="B221" t="str">
        <v>2K Clearcoat</v>
      </c>
      <c r="C221" t="str">
        <v>Paint</v>
      </c>
      <c r="D221">
        <f>IF($M221&gt;0,$M221,9.98)</f>
        <v>9.98</v>
      </c>
      <c r="E221">
        <f>IF($O221&gt;0,$O221,0)</f>
        <v>0</v>
      </c>
      <c r="F221">
        <v>1100</v>
      </c>
      <c r="G221" t="str">
        <v>UK</v>
      </c>
      <c r="H221" t="str">
        <f>IF($M221&gt;0,IF($L221&lt;&gt;1,"2026-07",IFERROR(INDEX('JLR Materials'!$D:$D,MATCH($K221,'JLR Materials'!$A:$A,0)),"2026-07")),"2026-07")</f>
        <v>2026-07</v>
      </c>
      <c r="I221" t="str">
        <f>IF($M221&gt;0,"JLR rate card — material code "&amp;$K221,"UK coating supplier, Jun 2026. Index-anchored 2026-07 refresh.")</f>
        <v>UK coating supplier, Jun 2026. Index-anchored 2026-07 refresh.</v>
      </c>
      <c r="J221" t="str">
        <v>Low</v>
      </c>
      <c r="K221" t="str">
        <f>IFERROR(INDEX(Mapping!$C:$C,MATCH($A221,Mapping!$A:$A,0)),"")</f>
        <v/>
      </c>
      <c r="L221">
        <f>IF($K221="",0,COUNTIFS('JLR Materials'!$A:$A,$K221,'JLR Materials'!$C:$C,IF(Settings!$B$2="","&lt;&gt;",Settings!$B$2),'JLR Materials'!$D:$D,IF(Settings!$B$4="","&lt;&gt;",Settings!$B$4)))</f>
        <v>0</v>
      </c>
      <c r="M221">
        <f>IF($L221&lt;&gt;1,0,SUMIFS('JLR Materials'!$E:$E,'JLR Materials'!$A:$A,$K221,'JLR Materials'!$C:$C,IF(Settings!$B$2="","&lt;&gt;",Settings!$B$2),'JLR Materials'!$D:$D,IF(Settings!$B$4="","&lt;&gt;",Settings!$B$4)))</f>
        <v>0</v>
      </c>
      <c r="N221">
        <f>IF($L221&lt;&gt;1,0,SUMIFS('JLR Materials'!$F:$F,'JLR Materials'!$A:$A,$K221,'JLR Materials'!$C:$C,IF(Settings!$B$2="","&lt;&gt;",Settings!$B$2),'JLR Materials'!$D:$D,IF(Settings!$B$4="","&lt;&gt;",Settings!$B$4)))</f>
        <v>0</v>
      </c>
      <c r="O221">
        <f>IF($N221=0,0,IF(Settings!$B$5="percent",$M221*$N221/100,$N221))</f>
        <v>0</v>
      </c>
      <c r="P221">
        <f>IF($L221&lt;&gt;1,0,SUMIFS('JLR Materials'!$G:$G,'JLR Materials'!$A:$A,$K221,'JLR Materials'!$C:$C,IF(Settings!$B$2="","&lt;&gt;",Settings!$B$2),'JLR Materials'!$D:$D,IF(Settings!$B$4="","&lt;&gt;",Settings!$B$4)))</f>
        <v>0</v>
      </c>
    </row>
    <row r="222">
      <c r="A222" t="str">
        <v>mat-paint-powder</v>
      </c>
      <c r="B222" t="str">
        <v>Powder Coat (Polyester)</v>
      </c>
      <c r="C222" t="str">
        <v>Paint</v>
      </c>
      <c r="D222">
        <f>IF($M222&gt;0,$M222,3.36)</f>
        <v>3.36</v>
      </c>
      <c r="E222">
        <f>IF($O222&gt;0,$O222,0.5)</f>
        <v>0.5</v>
      </c>
      <c r="F222">
        <v>1400</v>
      </c>
      <c r="G222" t="str">
        <v>UK</v>
      </c>
      <c r="H222" t="str">
        <f>IF($M222&gt;0,IF($L222&lt;&gt;1,"2026-07",IFERROR(INDEX('JLR Materials'!$D:$D,MATCH($K222,'JLR Materials'!$A:$A,0)),"2026-07")),"2026-07")</f>
        <v>2026-07</v>
      </c>
      <c r="I222" t="str">
        <f>IF($M222&gt;0,"JLR rate card — material code "&amp;$K222,"UK powder coat supplier, Jun 2026. Index-anchored 2026-07 refresh.")</f>
        <v>UK powder coat supplier, Jun 2026. Index-anchored 2026-07 refresh.</v>
      </c>
      <c r="J222" t="str">
        <v>Medium</v>
      </c>
      <c r="K222" t="str">
        <f>IFERROR(INDEX(Mapping!$C:$C,MATCH($A222,Mapping!$A:$A,0)),"")</f>
        <v/>
      </c>
      <c r="L222">
        <f>IF($K222="",0,COUNTIFS('JLR Materials'!$A:$A,$K222,'JLR Materials'!$C:$C,IF(Settings!$B$2="","&lt;&gt;",Settings!$B$2),'JLR Materials'!$D:$D,IF(Settings!$B$4="","&lt;&gt;",Settings!$B$4)))</f>
        <v>0</v>
      </c>
      <c r="M222">
        <f>IF($L222&lt;&gt;1,0,SUMIFS('JLR Materials'!$E:$E,'JLR Materials'!$A:$A,$K222,'JLR Materials'!$C:$C,IF(Settings!$B$2="","&lt;&gt;",Settings!$B$2),'JLR Materials'!$D:$D,IF(Settings!$B$4="","&lt;&gt;",Settings!$B$4)))</f>
        <v>0</v>
      </c>
      <c r="N222">
        <f>IF($L222&lt;&gt;1,0,SUMIFS('JLR Materials'!$F:$F,'JLR Materials'!$A:$A,$K222,'JLR Materials'!$C:$C,IF(Settings!$B$2="","&lt;&gt;",Settings!$B$2),'JLR Materials'!$D:$D,IF(Settings!$B$4="","&lt;&gt;",Settings!$B$4)))</f>
        <v>0</v>
      </c>
      <c r="O222">
        <f>IF($N222=0,0,IF(Settings!$B$5="percent",$M222*$N222/100,$N222))</f>
        <v>0</v>
      </c>
      <c r="P222">
        <f>IF($L222&lt;&gt;1,0,SUMIFS('JLR Materials'!$G:$G,'JLR Materials'!$A:$A,$K222,'JLR Materials'!$C:$C,IF(Settings!$B$2="","&lt;&gt;",Settings!$B$2),'JLR Materials'!$D:$D,IF(Settings!$B$4="","&lt;&gt;",Settings!$B$4)))</f>
        <v>0</v>
      </c>
    </row>
    <row r="223">
      <c r="A223" t="str">
        <v>mat-paint-1k-primer</v>
      </c>
      <c r="B223" t="str">
        <v>1K Etch Primer</v>
      </c>
      <c r="C223" t="str">
        <v>Paint</v>
      </c>
      <c r="D223">
        <f>IF($M223&gt;0,$M223,5.4)</f>
        <v>5.4</v>
      </c>
      <c r="E223">
        <f>IF($O223&gt;0,$O223,0)</f>
        <v>0</v>
      </c>
      <c r="F223">
        <v>1300</v>
      </c>
      <c r="G223" t="str">
        <v>UK</v>
      </c>
      <c r="H223" t="str">
        <f>IF($M223&gt;0,IF($L223&lt;&gt;1,"2026-07",IFERROR(INDEX('JLR Materials'!$D:$D,MATCH($K223,'JLR Materials'!$A:$A,0)),"2026-07")),"2026-07")</f>
        <v>2026-07</v>
      </c>
      <c r="I223" t="str">
        <f>IF($M223&gt;0,"JLR rate card — material code "&amp;$K223,"Index-anchored 2026-07. Single-pack etch/adhesion primer — pretreat for aluminium/mixed substrates.")</f>
        <v>Index-anchored 2026-07. Single-pack etch/adhesion primer — pretreat for aluminium/mixed substrates.</v>
      </c>
      <c r="J223" t="str">
        <v>Low</v>
      </c>
      <c r="K223" t="str">
        <f>IFERROR(INDEX(Mapping!$C:$C,MATCH($A223,Mapping!$A:$A,0)),"")</f>
        <v/>
      </c>
      <c r="L223">
        <f>IF($K223="",0,COUNTIFS('JLR Materials'!$A:$A,$K223,'JLR Materials'!$C:$C,IF(Settings!$B$2="","&lt;&gt;",Settings!$B$2),'JLR Materials'!$D:$D,IF(Settings!$B$4="","&lt;&gt;",Settings!$B$4)))</f>
        <v>0</v>
      </c>
      <c r="M223">
        <f>IF($L223&lt;&gt;1,0,SUMIFS('JLR Materials'!$E:$E,'JLR Materials'!$A:$A,$K223,'JLR Materials'!$C:$C,IF(Settings!$B$2="","&lt;&gt;",Settings!$B$2),'JLR Materials'!$D:$D,IF(Settings!$B$4="","&lt;&gt;",Settings!$B$4)))</f>
        <v>0</v>
      </c>
      <c r="N223">
        <f>IF($L223&lt;&gt;1,0,SUMIFS('JLR Materials'!$F:$F,'JLR Materials'!$A:$A,$K223,'JLR Materials'!$C:$C,IF(Settings!$B$2="","&lt;&gt;",Settings!$B$2),'JLR Materials'!$D:$D,IF(Settings!$B$4="","&lt;&gt;",Settings!$B$4)))</f>
        <v>0</v>
      </c>
      <c r="O223">
        <f>IF($N223=0,0,IF(Settings!$B$5="percent",$M223*$N223/100,$N223))</f>
        <v>0</v>
      </c>
      <c r="P223">
        <f>IF($L223&lt;&gt;1,0,SUMIFS('JLR Materials'!$G:$G,'JLR Materials'!$A:$A,$K223,'JLR Materials'!$C:$C,IF(Settings!$B$2="","&lt;&gt;",Settings!$B$2),'JLR Materials'!$D:$D,IF(Settings!$B$4="","&lt;&gt;",Settings!$B$4)))</f>
        <v>0</v>
      </c>
    </row>
    <row r="224">
      <c r="A224" t="str">
        <v>mat-paint-sb-basecoat</v>
      </c>
      <c r="B224" t="str">
        <v>Solventborne Basecoat</v>
      </c>
      <c r="C224" t="str">
        <v>Paint</v>
      </c>
      <c r="D224">
        <f>IF($M224&gt;0,$M224,9.2)</f>
        <v>9.2</v>
      </c>
      <c r="E224">
        <f>IF($O224&gt;0,$O224,0)</f>
        <v>0</v>
      </c>
      <c r="F224">
        <v>1050</v>
      </c>
      <c r="G224" t="str">
        <v>UK</v>
      </c>
      <c r="H224" t="str">
        <f>IF($M224&gt;0,IF($L224&lt;&gt;1,"2026-07",IFERROR(INDEX('JLR Materials'!$D:$D,MATCH($K224,'JLR Materials'!$A:$A,0)),"2026-07")),"2026-07")</f>
        <v>2026-07</v>
      </c>
      <c r="I224" t="str">
        <f>IF($M224&gt;0,"JLR rate card — material code "&amp;$K224,"Index-anchored 2026-07. Solventborne colour basecoat — refinish/low-volume lines where waterborne cure is impractical.")</f>
        <v>Index-anchored 2026-07. Solventborne colour basecoat — refinish/low-volume lines where waterborne cure is impractical.</v>
      </c>
      <c r="J224" t="str">
        <v>Low</v>
      </c>
      <c r="K224" t="str">
        <f>IFERROR(INDEX(Mapping!$C:$C,MATCH($A224,Mapping!$A:$A,0)),"")</f>
        <v/>
      </c>
      <c r="L224">
        <f>IF($K224="",0,COUNTIFS('JLR Materials'!$A:$A,$K224,'JLR Materials'!$C:$C,IF(Settings!$B$2="","&lt;&gt;",Settings!$B$2),'JLR Materials'!$D:$D,IF(Settings!$B$4="","&lt;&gt;",Settings!$B$4)))</f>
        <v>0</v>
      </c>
      <c r="M224">
        <f>IF($L224&lt;&gt;1,0,SUMIFS('JLR Materials'!$E:$E,'JLR Materials'!$A:$A,$K224,'JLR Materials'!$C:$C,IF(Settings!$B$2="","&lt;&gt;",Settings!$B$2),'JLR Materials'!$D:$D,IF(Settings!$B$4="","&lt;&gt;",Settings!$B$4)))</f>
        <v>0</v>
      </c>
      <c r="N224">
        <f>IF($L224&lt;&gt;1,0,SUMIFS('JLR Materials'!$F:$F,'JLR Materials'!$A:$A,$K224,'JLR Materials'!$C:$C,IF(Settings!$B$2="","&lt;&gt;",Settings!$B$2),'JLR Materials'!$D:$D,IF(Settings!$B$4="","&lt;&gt;",Settings!$B$4)))</f>
        <v>0</v>
      </c>
      <c r="O224">
        <f>IF($N224=0,0,IF(Settings!$B$5="percent",$M224*$N224/100,$N224))</f>
        <v>0</v>
      </c>
      <c r="P224">
        <f>IF($L224&lt;&gt;1,0,SUMIFS('JLR Materials'!$G:$G,'JLR Materials'!$A:$A,$K224,'JLR Materials'!$C:$C,IF(Settings!$B$2="","&lt;&gt;",Settings!$B$2),'JLR Materials'!$D:$D,IF(Settings!$B$4="","&lt;&gt;",Settings!$B$4)))</f>
        <v>0</v>
      </c>
    </row>
    <row r="225">
      <c r="A225" t="str">
        <v>mat-paint-uv-clear</v>
      </c>
      <c r="B225" t="str">
        <v>UV-Cure Clearcoat</v>
      </c>
      <c r="C225" t="str">
        <v>Paint</v>
      </c>
      <c r="D225">
        <f>IF($M225&gt;0,$M225,14.5)</f>
        <v>14.5</v>
      </c>
      <c r="E225">
        <f>IF($O225&gt;0,$O225,0)</f>
        <v>0</v>
      </c>
      <c r="F225">
        <v>1080</v>
      </c>
      <c r="G225" t="str">
        <v>UK</v>
      </c>
      <c r="H225" t="str">
        <f>IF($M225&gt;0,IF($L225&lt;&gt;1,"2026-07",IFERROR(INDEX('JLR Materials'!$D:$D,MATCH($K225,'JLR Materials'!$A:$A,0)),"2026-07")),"2026-07")</f>
        <v>2026-07</v>
      </c>
      <c r="I225" t="str">
        <f>IF($M225&gt;0,"JLR rate card — material code "&amp;$K225,"Index-anchored 2026-07. UV-cure clearcoat — instant cure, high scratch resistance, headlamp lenses and trim.")</f>
        <v>Index-anchored 2026-07. UV-cure clearcoat — instant cure, high scratch resistance, headlamp lenses and trim.</v>
      </c>
      <c r="J225" t="str">
        <v>Low</v>
      </c>
      <c r="K225" t="str">
        <f>IFERROR(INDEX(Mapping!$C:$C,MATCH($A225,Mapping!$A:$A,0)),"")</f>
        <v/>
      </c>
      <c r="L225">
        <f>IF($K225="",0,COUNTIFS('JLR Materials'!$A:$A,$K225,'JLR Materials'!$C:$C,IF(Settings!$B$2="","&lt;&gt;",Settings!$B$2),'JLR Materials'!$D:$D,IF(Settings!$B$4="","&lt;&gt;",Settings!$B$4)))</f>
        <v>0</v>
      </c>
      <c r="M225">
        <f>IF($L225&lt;&gt;1,0,SUMIFS('JLR Materials'!$E:$E,'JLR Materials'!$A:$A,$K225,'JLR Materials'!$C:$C,IF(Settings!$B$2="","&lt;&gt;",Settings!$B$2),'JLR Materials'!$D:$D,IF(Settings!$B$4="","&lt;&gt;",Settings!$B$4)))</f>
        <v>0</v>
      </c>
      <c r="N225">
        <f>IF($L225&lt;&gt;1,0,SUMIFS('JLR Materials'!$F:$F,'JLR Materials'!$A:$A,$K225,'JLR Materials'!$C:$C,IF(Settings!$B$2="","&lt;&gt;",Settings!$B$2),'JLR Materials'!$D:$D,IF(Settings!$B$4="","&lt;&gt;",Settings!$B$4)))</f>
        <v>0</v>
      </c>
      <c r="O225">
        <f>IF($N225=0,0,IF(Settings!$B$5="percent",$M225*$N225/100,$N225))</f>
        <v>0</v>
      </c>
      <c r="P225">
        <f>IF($L225&lt;&gt;1,0,SUMIFS('JLR Materials'!$G:$G,'JLR Materials'!$A:$A,$K225,'JLR Materials'!$C:$C,IF(Settings!$B$2="","&lt;&gt;",Settings!$B$2),'JLR Materials'!$D:$D,IF(Settings!$B$4="","&lt;&gt;",Settings!$B$4)))</f>
        <v>0</v>
      </c>
    </row>
    <row r="226">
      <c r="A226" t="str">
        <v>mat-paint-pvc-underbody</v>
      </c>
      <c r="B226" t="str">
        <v>PVC Underbody / Anti-Chip Sealer</v>
      </c>
      <c r="C226" t="str">
        <v>Paint</v>
      </c>
      <c r="D226">
        <f>IF($M226&gt;0,$M226,2.6)</f>
        <v>2.6</v>
      </c>
      <c r="E226">
        <f>IF($O226&gt;0,$O226,0)</f>
        <v>0</v>
      </c>
      <c r="F226">
        <v>1250</v>
      </c>
      <c r="G226" t="str">
        <v>UK</v>
      </c>
      <c r="H226" t="str">
        <f>IF($M226&gt;0,IF($L226&lt;&gt;1,"2026-07",IFERROR(INDEX('JLR Materials'!$D:$D,MATCH($K226,'JLR Materials'!$A:$A,0)),"2026-07")),"2026-07")</f>
        <v>2026-07</v>
      </c>
      <c r="I226" t="str">
        <f>IF($M226&gt;0,"JLR rate card — material code "&amp;$K226,"Index-anchored 2026-07. Sprayable PVC underbody/anti-chip coating — sills, wheel arches, stone-chip protection.")</f>
        <v>Index-anchored 2026-07. Sprayable PVC underbody/anti-chip coating — sills, wheel arches, stone-chip protection.</v>
      </c>
      <c r="J226" t="str">
        <v>Low</v>
      </c>
      <c r="K226" t="str">
        <f>IFERROR(INDEX(Mapping!$C:$C,MATCH($A226,Mapping!$A:$A,0)),"")</f>
        <v/>
      </c>
      <c r="L226">
        <f>IF($K226="",0,COUNTIFS('JLR Materials'!$A:$A,$K226,'JLR Materials'!$C:$C,IF(Settings!$B$2="","&lt;&gt;",Settings!$B$2),'JLR Materials'!$D:$D,IF(Settings!$B$4="","&lt;&gt;",Settings!$B$4)))</f>
        <v>0</v>
      </c>
      <c r="M226">
        <f>IF($L226&lt;&gt;1,0,SUMIFS('JLR Materials'!$E:$E,'JLR Materials'!$A:$A,$K226,'JLR Materials'!$C:$C,IF(Settings!$B$2="","&lt;&gt;",Settings!$B$2),'JLR Materials'!$D:$D,IF(Settings!$B$4="","&lt;&gt;",Settings!$B$4)))</f>
        <v>0</v>
      </c>
      <c r="N226">
        <f>IF($L226&lt;&gt;1,0,SUMIFS('JLR Materials'!$F:$F,'JLR Materials'!$A:$A,$K226,'JLR Materials'!$C:$C,IF(Settings!$B$2="","&lt;&gt;",Settings!$B$2),'JLR Materials'!$D:$D,IF(Settings!$B$4="","&lt;&gt;",Settings!$B$4)))</f>
        <v>0</v>
      </c>
      <c r="O226">
        <f>IF($N226=0,0,IF(Settings!$B$5="percent",$M226*$N226/100,$N226))</f>
        <v>0</v>
      </c>
      <c r="P226">
        <f>IF($L226&lt;&gt;1,0,SUMIFS('JLR Materials'!$G:$G,'JLR Materials'!$A:$A,$K226,'JLR Materials'!$C:$C,IF(Settings!$B$2="","&lt;&gt;",Settings!$B$2),'JLR Materials'!$D:$D,IF(Settings!$B$4="","&lt;&gt;",Settings!$B$4)))</f>
        <v>0</v>
      </c>
    </row>
    <row r="227">
      <c r="A227" t="str">
        <v>mat-pp-bm</v>
      </c>
      <c r="B227" t="str">
        <v>PP Blow Grade (MFI 1.0, random co-polymer)</v>
      </c>
      <c r="C227" t="str">
        <v>Blow Moulding</v>
      </c>
      <c r="D227">
        <f>IF($M227&gt;0,$M227,1.08)</f>
        <v>1.08</v>
      </c>
      <c r="E227">
        <f>IF($O227&gt;0,$O227,0.1)</f>
        <v>0.1</v>
      </c>
      <c r="F227">
        <v>905</v>
      </c>
      <c r="G227" t="str">
        <v>UK</v>
      </c>
      <c r="H227" t="str">
        <f>IF($M227&gt;0,IF($L227&lt;&gt;1,"2026-07",IFERROR(INDEX('JLR Materials'!$D:$D,MATCH($K227,'JLR Materials'!$A:$A,0)),"2026-07")),"2026-07")</f>
        <v>2026-07</v>
      </c>
      <c r="I227" t="str">
        <f>IF($M227&gt;0,"JLR rate card — material code "&amp;$K227,"UK resin distributor Jun 2026. PP blow grade (random co-polymer, MFI 1.0) — automotive ducts, coolant reservoirs, squeeze bottles. CoolFactor ~3.16 s/mm². Index-anchored 2026-07 refresh.")</f>
        <v>UK resin distributor Jun 2026. PP blow grade (random co-polymer, MFI 1.0) — automotive ducts, coolant reservoirs, squeeze bottles. CoolFactor ~3.16 s/mm². Index-anchored 2026-07 refresh.</v>
      </c>
      <c r="J227" t="str">
        <v>Medium</v>
      </c>
      <c r="K227" t="str">
        <f>IFERROR(INDEX(Mapping!$C:$C,MATCH($A227,Mapping!$A:$A,0)),"")</f>
        <v/>
      </c>
      <c r="L227">
        <f>IF($K227="",0,COUNTIFS('JLR Materials'!$A:$A,$K227,'JLR Materials'!$C:$C,IF(Settings!$B$2="","&lt;&gt;",Settings!$B$2),'JLR Materials'!$D:$D,IF(Settings!$B$4="","&lt;&gt;",Settings!$B$4)))</f>
        <v>0</v>
      </c>
      <c r="M227">
        <f>IF($L227&lt;&gt;1,0,SUMIFS('JLR Materials'!$E:$E,'JLR Materials'!$A:$A,$K227,'JLR Materials'!$C:$C,IF(Settings!$B$2="","&lt;&gt;",Settings!$B$2),'JLR Materials'!$D:$D,IF(Settings!$B$4="","&lt;&gt;",Settings!$B$4)))</f>
        <v>0</v>
      </c>
      <c r="N227">
        <f>IF($L227&lt;&gt;1,0,SUMIFS('JLR Materials'!$F:$F,'JLR Materials'!$A:$A,$K227,'JLR Materials'!$C:$C,IF(Settings!$B$2="","&lt;&gt;",Settings!$B$2),'JLR Materials'!$D:$D,IF(Settings!$B$4="","&lt;&gt;",Settings!$B$4)))</f>
        <v>0</v>
      </c>
      <c r="O227">
        <f>IF($N227=0,0,IF(Settings!$B$5="percent",$M227*$N227/100,$N227))</f>
        <v>0</v>
      </c>
      <c r="P227">
        <f>IF($L227&lt;&gt;1,0,SUMIFS('JLR Materials'!$G:$G,'JLR Materials'!$A:$A,$K227,'JLR Materials'!$C:$C,IF(Settings!$B$2="","&lt;&gt;",Settings!$B$2),'JLR Materials'!$D:$D,IF(Settings!$B$4="","&lt;&gt;",Settings!$B$4)))</f>
        <v>0</v>
      </c>
    </row>
    <row r="228">
      <c r="A228" t="str">
        <v>mat-petg-bm</v>
      </c>
      <c r="B228" t="str">
        <v>PETG Clear Blow Grade</v>
      </c>
      <c r="C228" t="str">
        <v>Blow Moulding</v>
      </c>
      <c r="D228">
        <f>IF($M228&gt;0,$M228,2.18)</f>
        <v>2.18</v>
      </c>
      <c r="E228">
        <f>IF($O228&gt;0,$O228,0.08)</f>
        <v>0.08</v>
      </c>
      <c r="F228">
        <v>1270</v>
      </c>
      <c r="G228" t="str">
        <v>UK</v>
      </c>
      <c r="H228" t="str">
        <f>IF($M228&gt;0,IF($L228&lt;&gt;1,"2026-07",IFERROR(INDEX('JLR Materials'!$D:$D,MATCH($K228,'JLR Materials'!$A:$A,0)),"2026-07")),"2026-07")</f>
        <v>2026-07</v>
      </c>
      <c r="I228" t="str">
        <f>IF($M228&gt;0,"JLR rate card — material code "&amp;$K228,"UK resin distributor Jun 2026. PETG — clear cosmetic/food bottles, chemical containers. Excellent clarity. CoolFactor ~3.0 s/mm². Index-anchored 2026-07 refresh.")</f>
        <v>UK resin distributor Jun 2026. PETG — clear cosmetic/food bottles, chemical containers. Excellent clarity. CoolFactor ~3.0 s/mm². Index-anchored 2026-07 refresh.</v>
      </c>
      <c r="J228" t="str">
        <v>Medium</v>
      </c>
      <c r="K228" t="str">
        <f>IFERROR(INDEX(Mapping!$C:$C,MATCH($A228,Mapping!$A:$A,0)),"")</f>
        <v/>
      </c>
      <c r="L228">
        <f>IF($K228="",0,COUNTIFS('JLR Materials'!$A:$A,$K228,'JLR Materials'!$C:$C,IF(Settings!$B$2="","&lt;&gt;",Settings!$B$2),'JLR Materials'!$D:$D,IF(Settings!$B$4="","&lt;&gt;",Settings!$B$4)))</f>
        <v>0</v>
      </c>
      <c r="M228">
        <f>IF($L228&lt;&gt;1,0,SUMIFS('JLR Materials'!$E:$E,'JLR Materials'!$A:$A,$K228,'JLR Materials'!$C:$C,IF(Settings!$B$2="","&lt;&gt;",Settings!$B$2),'JLR Materials'!$D:$D,IF(Settings!$B$4="","&lt;&gt;",Settings!$B$4)))</f>
        <v>0</v>
      </c>
      <c r="N228">
        <f>IF($L228&lt;&gt;1,0,SUMIFS('JLR Materials'!$F:$F,'JLR Materials'!$A:$A,$K228,'JLR Materials'!$C:$C,IF(Settings!$B$2="","&lt;&gt;",Settings!$B$2),'JLR Materials'!$D:$D,IF(Settings!$B$4="","&lt;&gt;",Settings!$B$4)))</f>
        <v>0</v>
      </c>
      <c r="O228">
        <f>IF($N228=0,0,IF(Settings!$B$5="percent",$M228*$N228/100,$N228))</f>
        <v>0</v>
      </c>
      <c r="P228">
        <f>IF($L228&lt;&gt;1,0,SUMIFS('JLR Materials'!$G:$G,'JLR Materials'!$A:$A,$K228,'JLR Materials'!$C:$C,IF(Settings!$B$2="","&lt;&gt;",Settings!$B$2),'JLR Materials'!$D:$D,IF(Settings!$B$4="","&lt;&gt;",Settings!$B$4)))</f>
        <v>0</v>
      </c>
    </row>
    <row r="229">
      <c r="A229" t="str">
        <v>mat-pvc-bm</v>
      </c>
      <c r="B229" t="str">
        <v>PVC Rigid Blow Grade (uPVC bottle grade)</v>
      </c>
      <c r="C229" t="str">
        <v>Blow Moulding</v>
      </c>
      <c r="D229">
        <f>IF($M229&gt;0,$M229,0.92)</f>
        <v>0.92</v>
      </c>
      <c r="E229">
        <f>IF($O229&gt;0,$O229,0.05)</f>
        <v>0.05</v>
      </c>
      <c r="F229">
        <v>1380</v>
      </c>
      <c r="G229" t="str">
        <v>UK</v>
      </c>
      <c r="H229" t="str">
        <f>IF($M229&gt;0,IF($L229&lt;&gt;1,"2026-07",IFERROR(INDEX('JLR Materials'!$D:$D,MATCH($K229,'JLR Materials'!$A:$A,0)),"2026-07")),"2026-07")</f>
        <v>2026-07</v>
      </c>
      <c r="I229" t="str">
        <f>IF($M229&gt;0,"JLR rate card — material code "&amp;$K229,"UK resin distributor Jun 2026. Rigid PVC blow grade — detergent/shampoo/food bottles. Good chemical resistance. CoolFactor ~2.5 s/mm². Index-anchored 2026-07 refresh.")</f>
        <v>UK resin distributor Jun 2026. Rigid PVC blow grade — detergent/shampoo/food bottles. Good chemical resistance. CoolFactor ~2.5 s/mm². Index-anchored 2026-07 refresh.</v>
      </c>
      <c r="J229" t="str">
        <v>Medium</v>
      </c>
      <c r="K229" t="str">
        <f>IFERROR(INDEX(Mapping!$C:$C,MATCH($A229,Mapping!$A:$A,0)),"")</f>
        <v/>
      </c>
      <c r="L229">
        <f>IF($K229="",0,COUNTIFS('JLR Materials'!$A:$A,$K229,'JLR Materials'!$C:$C,IF(Settings!$B$2="","&lt;&gt;",Settings!$B$2),'JLR Materials'!$D:$D,IF(Settings!$B$4="","&lt;&gt;",Settings!$B$4)))</f>
        <v>0</v>
      </c>
      <c r="M229">
        <f>IF($L229&lt;&gt;1,0,SUMIFS('JLR Materials'!$E:$E,'JLR Materials'!$A:$A,$K229,'JLR Materials'!$C:$C,IF(Settings!$B$2="","&lt;&gt;",Settings!$B$2),'JLR Materials'!$D:$D,IF(Settings!$B$4="","&lt;&gt;",Settings!$B$4)))</f>
        <v>0</v>
      </c>
      <c r="N229">
        <f>IF($L229&lt;&gt;1,0,SUMIFS('JLR Materials'!$F:$F,'JLR Materials'!$A:$A,$K229,'JLR Materials'!$C:$C,IF(Settings!$B$2="","&lt;&gt;",Settings!$B$2),'JLR Materials'!$D:$D,IF(Settings!$B$4="","&lt;&gt;",Settings!$B$4)))</f>
        <v>0</v>
      </c>
      <c r="O229">
        <f>IF($N229=0,0,IF(Settings!$B$5="percent",$M229*$N229/100,$N229))</f>
        <v>0</v>
      </c>
      <c r="P229">
        <f>IF($L229&lt;&gt;1,0,SUMIFS('JLR Materials'!$G:$G,'JLR Materials'!$A:$A,$K229,'JLR Materials'!$C:$C,IF(Settings!$B$2="","&lt;&gt;",Settings!$B$2),'JLR Materials'!$D:$D,IF(Settings!$B$4="","&lt;&gt;",Settings!$B$4)))</f>
        <v>0</v>
      </c>
    </row>
    <row r="230">
      <c r="A230" t="str">
        <v>mat-tpe-bm</v>
      </c>
      <c r="B230" t="str">
        <v>TPE Blow Grade 40 Shore A</v>
      </c>
      <c r="C230" t="str">
        <v>Blow Moulding</v>
      </c>
      <c r="D230">
        <f>IF($M230&gt;0,$M230,2.48)</f>
        <v>2.48</v>
      </c>
      <c r="E230">
        <f>IF($O230&gt;0,$O230,0.12)</f>
        <v>0.12</v>
      </c>
      <c r="F230">
        <v>900</v>
      </c>
      <c r="G230" t="str">
        <v>UK</v>
      </c>
      <c r="H230" t="str">
        <f>IF($M230&gt;0,IF($L230&lt;&gt;1,"2026-07",IFERROR(INDEX('JLR Materials'!$D:$D,MATCH($K230,'JLR Materials'!$A:$A,0)),"2026-07")),"2026-07")</f>
        <v>2026-07</v>
      </c>
      <c r="I230" t="str">
        <f>IF($M230&gt;0,"JLR rate card — material code "&amp;$K230,"UK resin distributor Jun 2026. TPE blow grade — soft-touch squeeze bottles, medical bulbs, automotive boots, flexible ducts. Shore 40A. Index-anchored 2026-07 refresh.")</f>
        <v>UK resin distributor Jun 2026. TPE blow grade — soft-touch squeeze bottles, medical bulbs, automotive boots, flexible ducts. Shore 40A. Index-anchored 2026-07 refresh.</v>
      </c>
      <c r="J230" t="str">
        <v>Low</v>
      </c>
      <c r="K230" t="str">
        <f>IFERROR(INDEX(Mapping!$C:$C,MATCH($A230,Mapping!$A:$A,0)),"")</f>
        <v/>
      </c>
      <c r="L230">
        <f>IF($K230="",0,COUNTIFS('JLR Materials'!$A:$A,$K230,'JLR Materials'!$C:$C,IF(Settings!$B$2="","&lt;&gt;",Settings!$B$2),'JLR Materials'!$D:$D,IF(Settings!$B$4="","&lt;&gt;",Settings!$B$4)))</f>
        <v>0</v>
      </c>
      <c r="M230">
        <f>IF($L230&lt;&gt;1,0,SUMIFS('JLR Materials'!$E:$E,'JLR Materials'!$A:$A,$K230,'JLR Materials'!$C:$C,IF(Settings!$B$2="","&lt;&gt;",Settings!$B$2),'JLR Materials'!$D:$D,IF(Settings!$B$4="","&lt;&gt;",Settings!$B$4)))</f>
        <v>0</v>
      </c>
      <c r="N230">
        <f>IF($L230&lt;&gt;1,0,SUMIFS('JLR Materials'!$F:$F,'JLR Materials'!$A:$A,$K230,'JLR Materials'!$C:$C,IF(Settings!$B$2="","&lt;&gt;",Settings!$B$2),'JLR Materials'!$D:$D,IF(Settings!$B$4="","&lt;&gt;",Settings!$B$4)))</f>
        <v>0</v>
      </c>
      <c r="O230">
        <f>IF($N230=0,0,IF(Settings!$B$5="percent",$M230*$N230/100,$N230))</f>
        <v>0</v>
      </c>
      <c r="P230">
        <f>IF($L230&lt;&gt;1,0,SUMIFS('JLR Materials'!$G:$G,'JLR Materials'!$A:$A,$K230,'JLR Materials'!$C:$C,IF(Settings!$B$2="","&lt;&gt;",Settings!$B$2),'JLR Materials'!$D:$D,IF(Settings!$B$4="","&lt;&gt;",Settings!$B$4)))</f>
        <v>0</v>
      </c>
    </row>
    <row r="231">
      <c r="A231" t="str">
        <v>mat-eva-bm</v>
      </c>
      <c r="B231" t="str">
        <v>EVA Blow Grade (14% VA)</v>
      </c>
      <c r="C231" t="str">
        <v>Blow Moulding</v>
      </c>
      <c r="D231">
        <f>IF($M231&gt;0,$M231,1.68)</f>
        <v>1.68</v>
      </c>
      <c r="E231">
        <f>IF($O231&gt;0,$O231,0.08)</f>
        <v>0.08</v>
      </c>
      <c r="F231">
        <v>930</v>
      </c>
      <c r="G231" t="str">
        <v>UK</v>
      </c>
      <c r="H231" t="str">
        <f>IF($M231&gt;0,IF($L231&lt;&gt;1,"2026-07",IFERROR(INDEX('JLR Materials'!$D:$D,MATCH($K231,'JLR Materials'!$A:$A,0)),"2026-07")),"2026-07")</f>
        <v>2026-07</v>
      </c>
      <c r="I231" t="str">
        <f>IF($M231&gt;0,"JLR rate card — material code "&amp;$K231,"UK resin distributor Jun 2026. EVA 14% vinyl acetate — flexible squeeze bottles, wine casks, co-extrusion tie layers. CoolFactor ~3.3 s/mm². Index-anchored 2026-07 refresh.")</f>
        <v>UK resin distributor Jun 2026. EVA 14% vinyl acetate — flexible squeeze bottles, wine casks, co-extrusion tie layers. CoolFactor ~3.3 s/mm². Index-anchored 2026-07 refresh.</v>
      </c>
      <c r="J231" t="str">
        <v>Low</v>
      </c>
      <c r="K231" t="str">
        <f>IFERROR(INDEX(Mapping!$C:$C,MATCH($A231,Mapping!$A:$A,0)),"")</f>
        <v/>
      </c>
      <c r="L231">
        <f>IF($K231="",0,COUNTIFS('JLR Materials'!$A:$A,$K231,'JLR Materials'!$C:$C,IF(Settings!$B$2="","&lt;&gt;",Settings!$B$2),'JLR Materials'!$D:$D,IF(Settings!$B$4="","&lt;&gt;",Settings!$B$4)))</f>
        <v>0</v>
      </c>
      <c r="M231">
        <f>IF($L231&lt;&gt;1,0,SUMIFS('JLR Materials'!$E:$E,'JLR Materials'!$A:$A,$K231,'JLR Materials'!$C:$C,IF(Settings!$B$2="","&lt;&gt;",Settings!$B$2),'JLR Materials'!$D:$D,IF(Settings!$B$4="","&lt;&gt;",Settings!$B$4)))</f>
        <v>0</v>
      </c>
      <c r="N231">
        <f>IF($L231&lt;&gt;1,0,SUMIFS('JLR Materials'!$F:$F,'JLR Materials'!$A:$A,$K231,'JLR Materials'!$C:$C,IF(Settings!$B$2="","&lt;&gt;",Settings!$B$2),'JLR Materials'!$D:$D,IF(Settings!$B$4="","&lt;&gt;",Settings!$B$4)))</f>
        <v>0</v>
      </c>
      <c r="O231">
        <f>IF($N231=0,0,IF(Settings!$B$5="percent",$M231*$N231/100,$N231))</f>
        <v>0</v>
      </c>
      <c r="P231">
        <f>IF($L231&lt;&gt;1,0,SUMIFS('JLR Materials'!$G:$G,'JLR Materials'!$A:$A,$K231,'JLR Materials'!$C:$C,IF(Settings!$B$2="","&lt;&gt;",Settings!$B$2),'JLR Materials'!$D:$D,IF(Settings!$B$4="","&lt;&gt;",Settings!$B$4)))</f>
        <v>0</v>
      </c>
    </row>
    <row r="232">
      <c r="A232" t="str">
        <v>mat-hdpe-bm</v>
      </c>
      <c r="B232" t="str">
        <v>HDPE Blow Grade (jerry can / drum)</v>
      </c>
      <c r="C232" t="str">
        <v>Blow Moulding</v>
      </c>
      <c r="D232">
        <f>IF($M232&gt;0,$M232,1.15)</f>
        <v>1.15</v>
      </c>
      <c r="E232">
        <f>IF($O232&gt;0,$O232,0.12)</f>
        <v>0.12</v>
      </c>
      <c r="F232">
        <v>950</v>
      </c>
      <c r="G232" t="str">
        <v>UK</v>
      </c>
      <c r="H232" t="str">
        <f>IF($M232&gt;0,IF($L232&lt;&gt;1,"2026-07",IFERROR(INDEX('JLR Materials'!$D:$D,MATCH($K232,'JLR Materials'!$A:$A,0)),"2026-07")),"2026-07")</f>
        <v>2026-07</v>
      </c>
      <c r="I232" t="str">
        <f>IF($M232&gt;0,"JLR rate card — material code "&amp;$K232,"Index-anchored 2026-07. Blow-moulding HDPE (high MW) — jerry cans, drums, IBC bottles, industrial containers. The workhorse blow resin. CoolFactor ~3.0 s/mm².")</f>
        <v>Index-anchored 2026-07. Blow-moulding HDPE (high MW) — jerry cans, drums, IBC bottles, industrial containers. The workhorse blow resin. CoolFactor ~3.0 s/mm².</v>
      </c>
      <c r="J232" t="str">
        <v>Medium</v>
      </c>
      <c r="K232" t="str">
        <f>IFERROR(INDEX(Mapping!$C:$C,MATCH($A232,Mapping!$A:$A,0)),"")</f>
        <v/>
      </c>
      <c r="L232">
        <f>IF($K232="",0,COUNTIFS('JLR Materials'!$A:$A,$K232,'JLR Materials'!$C:$C,IF(Settings!$B$2="","&lt;&gt;",Settings!$B$2),'JLR Materials'!$D:$D,IF(Settings!$B$4="","&lt;&gt;",Settings!$B$4)))</f>
        <v>0</v>
      </c>
      <c r="M232">
        <f>IF($L232&lt;&gt;1,0,SUMIFS('JLR Materials'!$E:$E,'JLR Materials'!$A:$A,$K232,'JLR Materials'!$C:$C,IF(Settings!$B$2="","&lt;&gt;",Settings!$B$2),'JLR Materials'!$D:$D,IF(Settings!$B$4="","&lt;&gt;",Settings!$B$4)))</f>
        <v>0</v>
      </c>
      <c r="N232">
        <f>IF($L232&lt;&gt;1,0,SUMIFS('JLR Materials'!$F:$F,'JLR Materials'!$A:$A,$K232,'JLR Materials'!$C:$C,IF(Settings!$B$2="","&lt;&gt;",Settings!$B$2),'JLR Materials'!$D:$D,IF(Settings!$B$4="","&lt;&gt;",Settings!$B$4)))</f>
        <v>0</v>
      </c>
      <c r="O232">
        <f>IF($N232=0,0,IF(Settings!$B$5="percent",$M232*$N232/100,$N232))</f>
        <v>0</v>
      </c>
      <c r="P232">
        <f>IF($L232&lt;&gt;1,0,SUMIFS('JLR Materials'!$G:$G,'JLR Materials'!$A:$A,$K232,'JLR Materials'!$C:$C,IF(Settings!$B$2="","&lt;&gt;",Settings!$B$2),'JLR Materials'!$D:$D,IF(Settings!$B$4="","&lt;&gt;",Settings!$B$4)))</f>
        <v>0</v>
      </c>
    </row>
    <row r="233">
      <c r="A233" t="str">
        <v>mat-hdpe-fuel-coex</v>
      </c>
      <c r="B233" t="str">
        <v>HDPE Coex Fuel-Tank Grade (6-layer/EVOH)</v>
      </c>
      <c r="C233" t="str">
        <v>Blow Moulding</v>
      </c>
      <c r="D233">
        <f>IF($M233&gt;0,$M233,1.55)</f>
        <v>1.55</v>
      </c>
      <c r="E233">
        <f>IF($O233&gt;0,$O233,0.1)</f>
        <v>0.1</v>
      </c>
      <c r="F233">
        <v>950</v>
      </c>
      <c r="G233" t="str">
        <v>UK</v>
      </c>
      <c r="H233" t="str">
        <f>IF($M233&gt;0,IF($L233&lt;&gt;1,"2026-07",IFERROR(INDEX('JLR Materials'!$D:$D,MATCH($K233,'JLR Materials'!$A:$A,0)),"2026-07")),"2026-07")</f>
        <v>2026-07</v>
      </c>
      <c r="I233" t="str">
        <f>IF($M233&gt;0,"JLR rate card — material code "&amp;$K233,"Index-anchored 2026-07. Multilayer HDPE/EVOH barrier grade — automotive fuel tanks, permeation-controlled containers. CoolFactor ~3.0 s/mm².")</f>
        <v>Index-anchored 2026-07. Multilayer HDPE/EVOH barrier grade — automotive fuel tanks, permeation-controlled containers. CoolFactor ~3.0 s/mm².</v>
      </c>
      <c r="J233" t="str">
        <v>Low</v>
      </c>
      <c r="K233" t="str">
        <f>IFERROR(INDEX(Mapping!$C:$C,MATCH($A233,Mapping!$A:$A,0)),"")</f>
        <v/>
      </c>
      <c r="L233">
        <f>IF($K233="",0,COUNTIFS('JLR Materials'!$A:$A,$K233,'JLR Materials'!$C:$C,IF(Settings!$B$2="","&lt;&gt;",Settings!$B$2),'JLR Materials'!$D:$D,IF(Settings!$B$4="","&lt;&gt;",Settings!$B$4)))</f>
        <v>0</v>
      </c>
      <c r="M233">
        <f>IF($L233&lt;&gt;1,0,SUMIFS('JLR Materials'!$E:$E,'JLR Materials'!$A:$A,$K233,'JLR Materials'!$C:$C,IF(Settings!$B$2="","&lt;&gt;",Settings!$B$2),'JLR Materials'!$D:$D,IF(Settings!$B$4="","&lt;&gt;",Settings!$B$4)))</f>
        <v>0</v>
      </c>
      <c r="N233">
        <f>IF($L233&lt;&gt;1,0,SUMIFS('JLR Materials'!$F:$F,'JLR Materials'!$A:$A,$K233,'JLR Materials'!$C:$C,IF(Settings!$B$2="","&lt;&gt;",Settings!$B$2),'JLR Materials'!$D:$D,IF(Settings!$B$4="","&lt;&gt;",Settings!$B$4)))</f>
        <v>0</v>
      </c>
      <c r="O233">
        <f>IF($N233=0,0,IF(Settings!$B$5="percent",$M233*$N233/100,$N233))</f>
        <v>0</v>
      </c>
      <c r="P233">
        <f>IF($L233&lt;&gt;1,0,SUMIFS('JLR Materials'!$G:$G,'JLR Materials'!$A:$A,$K233,'JLR Materials'!$C:$C,IF(Settings!$B$2="","&lt;&gt;",Settings!$B$2),'JLR Materials'!$D:$D,IF(Settings!$B$4="","&lt;&gt;",Settings!$B$4)))</f>
        <v>0</v>
      </c>
    </row>
    <row r="234">
      <c r="A234" t="str">
        <v>mat-pa6-bm</v>
      </c>
      <c r="B234" t="str">
        <v>PA6 Blow Grade (charge-air / ducts)</v>
      </c>
      <c r="C234" t="str">
        <v>Blow Moulding</v>
      </c>
      <c r="D234">
        <f>IF($M234&gt;0,$M234,3.1)</f>
        <v>3.1</v>
      </c>
      <c r="E234">
        <f>IF($O234&gt;0,$O234,0.1)</f>
        <v>0.1</v>
      </c>
      <c r="F234">
        <v>1130</v>
      </c>
      <c r="G234" t="str">
        <v>UK</v>
      </c>
      <c r="H234" t="str">
        <f>IF($M234&gt;0,IF($L234&lt;&gt;1,"2026-07",IFERROR(INDEX('JLR Materials'!$D:$D,MATCH($K234,'JLR Materials'!$A:$A,0)),"2026-07")),"2026-07")</f>
        <v>2026-07</v>
      </c>
      <c r="I234" t="str">
        <f>IF($M234&gt;0,"JLR rate card — material code "&amp;$K234,"Index-anchored 2026-07. High-melt-strength PA6 — 3D-blown charge-air ducts, turbo hoses, under-bonnet. CoolFactor ~2.4 s/mm².")</f>
        <v>Index-anchored 2026-07. High-melt-strength PA6 — 3D-blown charge-air ducts, turbo hoses, under-bonnet. CoolFactor ~2.4 s/mm².</v>
      </c>
      <c r="J234" t="str">
        <v>Low</v>
      </c>
      <c r="K234" t="str">
        <f>IFERROR(INDEX(Mapping!$C:$C,MATCH($A234,Mapping!$A:$A,0)),"")</f>
        <v/>
      </c>
      <c r="L234">
        <f>IF($K234="",0,COUNTIFS('JLR Materials'!$A:$A,$K234,'JLR Materials'!$C:$C,IF(Settings!$B$2="","&lt;&gt;",Settings!$B$2),'JLR Materials'!$D:$D,IF(Settings!$B$4="","&lt;&gt;",Settings!$B$4)))</f>
        <v>0</v>
      </c>
      <c r="M234">
        <f>IF($L234&lt;&gt;1,0,SUMIFS('JLR Materials'!$E:$E,'JLR Materials'!$A:$A,$K234,'JLR Materials'!$C:$C,IF(Settings!$B$2="","&lt;&gt;",Settings!$B$2),'JLR Materials'!$D:$D,IF(Settings!$B$4="","&lt;&gt;",Settings!$B$4)))</f>
        <v>0</v>
      </c>
      <c r="N234">
        <f>IF($L234&lt;&gt;1,0,SUMIFS('JLR Materials'!$F:$F,'JLR Materials'!$A:$A,$K234,'JLR Materials'!$C:$C,IF(Settings!$B$2="","&lt;&gt;",Settings!$B$2),'JLR Materials'!$D:$D,IF(Settings!$B$4="","&lt;&gt;",Settings!$B$4)))</f>
        <v>0</v>
      </c>
      <c r="O234">
        <f>IF($N234=0,0,IF(Settings!$B$5="percent",$M234*$N234/100,$N234))</f>
        <v>0</v>
      </c>
      <c r="P234">
        <f>IF($L234&lt;&gt;1,0,SUMIFS('JLR Materials'!$G:$G,'JLR Materials'!$A:$A,$K234,'JLR Materials'!$C:$C,IF(Settings!$B$2="","&lt;&gt;",Settings!$B$2),'JLR Materials'!$D:$D,IF(Settings!$B$4="","&lt;&gt;",Settings!$B$4)))</f>
        <v>0</v>
      </c>
    </row>
    <row r="235">
      <c r="A235" t="str">
        <v>mat-pc-bm</v>
      </c>
      <c r="B235" t="str">
        <v>PC Blow Grade (clear/impact)</v>
      </c>
      <c r="C235" t="str">
        <v>Blow Moulding</v>
      </c>
      <c r="D235">
        <f>IF($M235&gt;0,$M235,3.9)</f>
        <v>3.9</v>
      </c>
      <c r="E235">
        <f>IF($O235&gt;0,$O235,0.08)</f>
        <v>0.08</v>
      </c>
      <c r="F235">
        <v>1200</v>
      </c>
      <c r="G235" t="str">
        <v>UK</v>
      </c>
      <c r="H235" t="str">
        <f>IF($M235&gt;0,IF($L235&lt;&gt;1,"2026-07",IFERROR(INDEX('JLR Materials'!$D:$D,MATCH($K235,'JLR Materials'!$A:$A,0)),"2026-07")),"2026-07")</f>
        <v>2026-07</v>
      </c>
      <c r="I235" t="str">
        <f>IF($M235&gt;0,"JLR rate card — material code "&amp;$K235,"Index-anchored 2026-07. Blow-grade polycarbonate — water bottles (5-gal), light globes, impact-clear containers. CoolFactor ~2.5 s/mm².")</f>
        <v>Index-anchored 2026-07. Blow-grade polycarbonate — water bottles (5-gal), light globes, impact-clear containers. CoolFactor ~2.5 s/mm².</v>
      </c>
      <c r="J235" t="str">
        <v>Low</v>
      </c>
      <c r="K235" t="str">
        <f>IFERROR(INDEX(Mapping!$C:$C,MATCH($A235,Mapping!$A:$A,0)),"")</f>
        <v/>
      </c>
      <c r="L235">
        <f>IF($K235="",0,COUNTIFS('JLR Materials'!$A:$A,$K235,'JLR Materials'!$C:$C,IF(Settings!$B$2="","&lt;&gt;",Settings!$B$2),'JLR Materials'!$D:$D,IF(Settings!$B$4="","&lt;&gt;",Settings!$B$4)))</f>
        <v>0</v>
      </c>
      <c r="M235">
        <f>IF($L235&lt;&gt;1,0,SUMIFS('JLR Materials'!$E:$E,'JLR Materials'!$A:$A,$K235,'JLR Materials'!$C:$C,IF(Settings!$B$2="","&lt;&gt;",Settings!$B$2),'JLR Materials'!$D:$D,IF(Settings!$B$4="","&lt;&gt;",Settings!$B$4)))</f>
        <v>0</v>
      </c>
      <c r="N235">
        <f>IF($L235&lt;&gt;1,0,SUMIFS('JLR Materials'!$F:$F,'JLR Materials'!$A:$A,$K235,'JLR Materials'!$C:$C,IF(Settings!$B$2="","&lt;&gt;",Settings!$B$2),'JLR Materials'!$D:$D,IF(Settings!$B$4="","&lt;&gt;",Settings!$B$4)))</f>
        <v>0</v>
      </c>
      <c r="O235">
        <f>IF($N235=0,0,IF(Settings!$B$5="percent",$M235*$N235/100,$N235))</f>
        <v>0</v>
      </c>
      <c r="P235">
        <f>IF($L235&lt;&gt;1,0,SUMIFS('JLR Materials'!$G:$G,'JLR Materials'!$A:$A,$K235,'JLR Materials'!$C:$C,IF(Settings!$B$2="","&lt;&gt;",Settings!$B$2),'JLR Materials'!$D:$D,IF(Settings!$B$4="","&lt;&gt;",Settings!$B$4)))</f>
        <v>0</v>
      </c>
    </row>
    <row r="236">
      <c r="A236" t="str">
        <v>mat-ldpe-bm</v>
      </c>
      <c r="B236" t="str">
        <v>LDPE Blow Grade</v>
      </c>
      <c r="C236" t="str">
        <v>Blow Moulding</v>
      </c>
      <c r="D236">
        <f>IF($M236&gt;0,$M236,0.98)</f>
        <v>0.98</v>
      </c>
      <c r="E236">
        <f>IF($O236&gt;0,$O236,0.1)</f>
        <v>0.1</v>
      </c>
      <c r="F236">
        <v>920</v>
      </c>
      <c r="G236" t="str">
        <v>UK</v>
      </c>
      <c r="H236" t="str">
        <f>IF($M236&gt;0,IF($L236&lt;&gt;1,"2026-07",IFERROR(INDEX('JLR Materials'!$D:$D,MATCH($K236,'JLR Materials'!$A:$A,0)),"2026-07")),"2026-07")</f>
        <v>2026-07</v>
      </c>
      <c r="I236" t="str">
        <f>IF($M236&gt;0,"JLR rate card — material code "&amp;$K236,"Index-anchored 2026-07. Soft squeeze bottles, tubes — low stiffness, high ESCR. CoolFactor ~3.5 s/mm².")</f>
        <v>Index-anchored 2026-07. Soft squeeze bottles, tubes — low stiffness, high ESCR. CoolFactor ~3.5 s/mm².</v>
      </c>
      <c r="J236" t="str">
        <v>Medium</v>
      </c>
      <c r="K236" t="str">
        <f>IFERROR(INDEX(Mapping!$C:$C,MATCH($A236,Mapping!$A:$A,0)),"")</f>
        <v/>
      </c>
      <c r="L236">
        <f>IF($K236="",0,COUNTIFS('JLR Materials'!$A:$A,$K236,'JLR Materials'!$C:$C,IF(Settings!$B$2="","&lt;&gt;",Settings!$B$2),'JLR Materials'!$D:$D,IF(Settings!$B$4="","&lt;&gt;",Settings!$B$4)))</f>
        <v>0</v>
      </c>
      <c r="M236">
        <f>IF($L236&lt;&gt;1,0,SUMIFS('JLR Materials'!$E:$E,'JLR Materials'!$A:$A,$K236,'JLR Materials'!$C:$C,IF(Settings!$B$2="","&lt;&gt;",Settings!$B$2),'JLR Materials'!$D:$D,IF(Settings!$B$4="","&lt;&gt;",Settings!$B$4)))</f>
        <v>0</v>
      </c>
      <c r="N236">
        <f>IF($L236&lt;&gt;1,0,SUMIFS('JLR Materials'!$F:$F,'JLR Materials'!$A:$A,$K236,'JLR Materials'!$C:$C,IF(Settings!$B$2="","&lt;&gt;",Settings!$B$2),'JLR Materials'!$D:$D,IF(Settings!$B$4="","&lt;&gt;",Settings!$B$4)))</f>
        <v>0</v>
      </c>
      <c r="O236">
        <f>IF($N236=0,0,IF(Settings!$B$5="percent",$M236*$N236/100,$N236))</f>
        <v>0</v>
      </c>
      <c r="P236">
        <f>IF($L236&lt;&gt;1,0,SUMIFS('JLR Materials'!$G:$G,'JLR Materials'!$A:$A,$K236,'JLR Materials'!$C:$C,IF(Settings!$B$2="","&lt;&gt;",Settings!$B$2),'JLR Materials'!$D:$D,IF(Settings!$B$4="","&lt;&gt;",Settings!$B$4)))</f>
        <v>0</v>
      </c>
    </row>
    <row r="237">
      <c r="A237" t="str">
        <v>mat-lldpe-bm</v>
      </c>
      <c r="B237" t="str">
        <v>LLDPE Blow Grade</v>
      </c>
      <c r="C237" t="str">
        <v>Blow Moulding</v>
      </c>
      <c r="D237">
        <f>IF($M237&gt;0,$M237,1.05)</f>
        <v>1.05</v>
      </c>
      <c r="E237">
        <f>IF($O237&gt;0,$O237,0.1)</f>
        <v>0.1</v>
      </c>
      <c r="F237">
        <v>925</v>
      </c>
      <c r="G237" t="str">
        <v>UK</v>
      </c>
      <c r="H237" t="str">
        <f>IF($M237&gt;0,IF($L237&lt;&gt;1,"2026-07",IFERROR(INDEX('JLR Materials'!$D:$D,MATCH($K237,'JLR Materials'!$A:$A,0)),"2026-07")),"2026-07")</f>
        <v>2026-07</v>
      </c>
      <c r="I237" t="str">
        <f>IF($M237&gt;0,"JLR rate card — material code "&amp;$K237,"Index-anchored 2026-07. Tough small containers, toys — better ESCR/impact than HDPE. CoolFactor ~3.4 s/mm².")</f>
        <v>Index-anchored 2026-07. Tough small containers, toys — better ESCR/impact than HDPE. CoolFactor ~3.4 s/mm².</v>
      </c>
      <c r="J237" t="str">
        <v>Medium</v>
      </c>
      <c r="K237" t="str">
        <f>IFERROR(INDEX(Mapping!$C:$C,MATCH($A237,Mapping!$A:$A,0)),"")</f>
        <v/>
      </c>
      <c r="L237">
        <f>IF($K237="",0,COUNTIFS('JLR Materials'!$A:$A,$K237,'JLR Materials'!$C:$C,IF(Settings!$B$2="","&lt;&gt;",Settings!$B$2),'JLR Materials'!$D:$D,IF(Settings!$B$4="","&lt;&gt;",Settings!$B$4)))</f>
        <v>0</v>
      </c>
      <c r="M237">
        <f>IF($L237&lt;&gt;1,0,SUMIFS('JLR Materials'!$E:$E,'JLR Materials'!$A:$A,$K237,'JLR Materials'!$C:$C,IF(Settings!$B$2="","&lt;&gt;",Settings!$B$2),'JLR Materials'!$D:$D,IF(Settings!$B$4="","&lt;&gt;",Settings!$B$4)))</f>
        <v>0</v>
      </c>
      <c r="N237">
        <f>IF($L237&lt;&gt;1,0,SUMIFS('JLR Materials'!$F:$F,'JLR Materials'!$A:$A,$K237,'JLR Materials'!$C:$C,IF(Settings!$B$2="","&lt;&gt;",Settings!$B$2),'JLR Materials'!$D:$D,IF(Settings!$B$4="","&lt;&gt;",Settings!$B$4)))</f>
        <v>0</v>
      </c>
      <c r="O237">
        <f>IF($N237=0,0,IF(Settings!$B$5="percent",$M237*$N237/100,$N237))</f>
        <v>0</v>
      </c>
      <c r="P237">
        <f>IF($L237&lt;&gt;1,0,SUMIFS('JLR Materials'!$G:$G,'JLR Materials'!$A:$A,$K237,'JLR Materials'!$C:$C,IF(Settings!$B$2="","&lt;&gt;",Settings!$B$2),'JLR Materials'!$D:$D,IF(Settings!$B$4="","&lt;&gt;",Settings!$B$4)))</f>
        <v>0</v>
      </c>
    </row>
    <row r="238">
      <c r="A238" t="str">
        <v>mat-pet-preform</v>
      </c>
      <c r="B238" t="str">
        <v>PET Stretch-Blow Bottle Grade</v>
      </c>
      <c r="C238" t="str">
        <v>Blow Moulding</v>
      </c>
      <c r="D238">
        <f>IF($M238&gt;0,$M238,1.25)</f>
        <v>1.25</v>
      </c>
      <c r="E238">
        <f>IF($O238&gt;0,$O238,0.1)</f>
        <v>0.1</v>
      </c>
      <c r="F238">
        <v>1370</v>
      </c>
      <c r="G238" t="str">
        <v>UK</v>
      </c>
      <c r="H238" t="str">
        <f>IF($M238&gt;0,IF($L238&lt;&gt;1,"2026-07",IFERROR(INDEX('JLR Materials'!$D:$D,MATCH($K238,'JLR Materials'!$A:$A,0)),"2026-07")),"2026-07")</f>
        <v>2026-07</v>
      </c>
      <c r="I238" t="str">
        <f>IF($M238&gt;0,"JLR rate card — material code "&amp;$K238,"Index-anchored 2026-07. SBM water/CSD/juice bottles (preform reheat-blow). IV ~0.80. CoolFactor ~3.0 s/mm².")</f>
        <v>Index-anchored 2026-07. SBM water/CSD/juice bottles (preform reheat-blow). IV ~0.80. CoolFactor ~3.0 s/mm².</v>
      </c>
      <c r="J238" t="str">
        <v>Medium</v>
      </c>
      <c r="K238" t="str">
        <f>IFERROR(INDEX(Mapping!$C:$C,MATCH($A238,Mapping!$A:$A,0)),"")</f>
        <v/>
      </c>
      <c r="L238">
        <f>IF($K238="",0,COUNTIFS('JLR Materials'!$A:$A,$K238,'JLR Materials'!$C:$C,IF(Settings!$B$2="","&lt;&gt;",Settings!$B$2),'JLR Materials'!$D:$D,IF(Settings!$B$4="","&lt;&gt;",Settings!$B$4)))</f>
        <v>0</v>
      </c>
      <c r="M238">
        <f>IF($L238&lt;&gt;1,0,SUMIFS('JLR Materials'!$E:$E,'JLR Materials'!$A:$A,$K238,'JLR Materials'!$C:$C,IF(Settings!$B$2="","&lt;&gt;",Settings!$B$2),'JLR Materials'!$D:$D,IF(Settings!$B$4="","&lt;&gt;",Settings!$B$4)))</f>
        <v>0</v>
      </c>
      <c r="N238">
        <f>IF($L238&lt;&gt;1,0,SUMIFS('JLR Materials'!$F:$F,'JLR Materials'!$A:$A,$K238,'JLR Materials'!$C:$C,IF(Settings!$B$2="","&lt;&gt;",Settings!$B$2),'JLR Materials'!$D:$D,IF(Settings!$B$4="","&lt;&gt;",Settings!$B$4)))</f>
        <v>0</v>
      </c>
      <c r="O238">
        <f>IF($N238=0,0,IF(Settings!$B$5="percent",$M238*$N238/100,$N238))</f>
        <v>0</v>
      </c>
      <c r="P238">
        <f>IF($L238&lt;&gt;1,0,SUMIFS('JLR Materials'!$G:$G,'JLR Materials'!$A:$A,$K238,'JLR Materials'!$C:$C,IF(Settings!$B$2="","&lt;&gt;",Settings!$B$2),'JLR Materials'!$D:$D,IF(Settings!$B$4="","&lt;&gt;",Settings!$B$4)))</f>
        <v>0</v>
      </c>
    </row>
    <row r="239">
      <c r="A239" t="str">
        <v>mat-tritan-bm</v>
      </c>
      <c r="B239" t="str">
        <v>Tritan Copolyester (BPA-free clear)</v>
      </c>
      <c r="C239" t="str">
        <v>Blow Moulding</v>
      </c>
      <c r="D239">
        <f>IF($M239&gt;0,$M239,6.5)</f>
        <v>6.5</v>
      </c>
      <c r="E239">
        <f>IF($O239&gt;0,$O239,0.15)</f>
        <v>0.15</v>
      </c>
      <c r="F239">
        <v>1180</v>
      </c>
      <c r="G239" t="str">
        <v>UK</v>
      </c>
      <c r="H239" t="str">
        <f>IF($M239&gt;0,IF($L239&lt;&gt;1,"2026-07",IFERROR(INDEX('JLR Materials'!$D:$D,MATCH($K239,'JLR Materials'!$A:$A,0)),"2026-07")),"2026-07")</f>
        <v>2026-07</v>
      </c>
      <c r="I239" t="str">
        <f>IF($M239&gt;0,"JLR rate card — material code "&amp;$K239,"Index-anchored 2026-07. Premium clarity + impact, BPA-free — reusable bottles, tumblers, medical. CoolFactor ~3.0 s/mm².")</f>
        <v>Index-anchored 2026-07. Premium clarity + impact, BPA-free — reusable bottles, tumblers, medical. CoolFactor ~3.0 s/mm².</v>
      </c>
      <c r="J239" t="str">
        <v>Low</v>
      </c>
      <c r="K239" t="str">
        <f>IFERROR(INDEX(Mapping!$C:$C,MATCH($A239,Mapping!$A:$A,0)),"")</f>
        <v/>
      </c>
      <c r="L239">
        <f>IF($K239="",0,COUNTIFS('JLR Materials'!$A:$A,$K239,'JLR Materials'!$C:$C,IF(Settings!$B$2="","&lt;&gt;",Settings!$B$2),'JLR Materials'!$D:$D,IF(Settings!$B$4="","&lt;&gt;",Settings!$B$4)))</f>
        <v>0</v>
      </c>
      <c r="M239">
        <f>IF($L239&lt;&gt;1,0,SUMIFS('JLR Materials'!$E:$E,'JLR Materials'!$A:$A,$K239,'JLR Materials'!$C:$C,IF(Settings!$B$2="","&lt;&gt;",Settings!$B$2),'JLR Materials'!$D:$D,IF(Settings!$B$4="","&lt;&gt;",Settings!$B$4)))</f>
        <v>0</v>
      </c>
      <c r="N239">
        <f>IF($L239&lt;&gt;1,0,SUMIFS('JLR Materials'!$F:$F,'JLR Materials'!$A:$A,$K239,'JLR Materials'!$C:$C,IF(Settings!$B$2="","&lt;&gt;",Settings!$B$2),'JLR Materials'!$D:$D,IF(Settings!$B$4="","&lt;&gt;",Settings!$B$4)))</f>
        <v>0</v>
      </c>
      <c r="O239">
        <f>IF($N239=0,0,IF(Settings!$B$5="percent",$M239*$N239/100,$N239))</f>
        <v>0</v>
      </c>
      <c r="P239">
        <f>IF($L239&lt;&gt;1,0,SUMIFS('JLR Materials'!$G:$G,'JLR Materials'!$A:$A,$K239,'JLR Materials'!$C:$C,IF(Settings!$B$2="","&lt;&gt;",Settings!$B$2),'JLR Materials'!$D:$D,IF(Settings!$B$4="","&lt;&gt;",Settings!$B$4)))</f>
        <v>0</v>
      </c>
    </row>
    <row r="240">
      <c r="A240" t="str">
        <v>mat-biope-bm</v>
      </c>
      <c r="B240" t="str">
        <v>Bio-PE Blow Grade (sugarcane HDPE)</v>
      </c>
      <c r="C240" t="str">
        <v>Blow Moulding</v>
      </c>
      <c r="D240">
        <f>IF($M240&gt;0,$M240,2.2)</f>
        <v>2.2</v>
      </c>
      <c r="E240">
        <f>IF($O240&gt;0,$O240,0.12)</f>
        <v>0.12</v>
      </c>
      <c r="F240">
        <v>950</v>
      </c>
      <c r="G240" t="str">
        <v>UK</v>
      </c>
      <c r="H240" t="str">
        <f>IF($M240&gt;0,IF($L240&lt;&gt;1,"2026-07",IFERROR(INDEX('JLR Materials'!$D:$D,MATCH($K240,'JLR Materials'!$A:$A,0)),"2026-07")),"2026-07")</f>
        <v>2026-07</v>
      </c>
      <c r="I240" t="str">
        <f>IF($M240&gt;0,"JLR rate card — material code "&amp;$K240,"Index-anchored 2026-07. Drop-in renewable HDPE (I’m green) — cosmetics/food bottles, low-CO₂ packaging. CoolFactor ~3.0 s/mm².")</f>
        <v>Index-anchored 2026-07. Drop-in renewable HDPE (I’m green) — cosmetics/food bottles, low-CO₂ packaging. CoolFactor ~3.0 s/mm².</v>
      </c>
      <c r="J240" t="str">
        <v>Low</v>
      </c>
      <c r="K240" t="str">
        <f>IFERROR(INDEX(Mapping!$C:$C,MATCH($A240,Mapping!$A:$A,0)),"")</f>
        <v/>
      </c>
      <c r="L240">
        <f>IF($K240="",0,COUNTIFS('JLR Materials'!$A:$A,$K240,'JLR Materials'!$C:$C,IF(Settings!$B$2="","&lt;&gt;",Settings!$B$2),'JLR Materials'!$D:$D,IF(Settings!$B$4="","&lt;&gt;",Settings!$B$4)))</f>
        <v>0</v>
      </c>
      <c r="M240">
        <f>IF($L240&lt;&gt;1,0,SUMIFS('JLR Materials'!$E:$E,'JLR Materials'!$A:$A,$K240,'JLR Materials'!$C:$C,IF(Settings!$B$2="","&lt;&gt;",Settings!$B$2),'JLR Materials'!$D:$D,IF(Settings!$B$4="","&lt;&gt;",Settings!$B$4)))</f>
        <v>0</v>
      </c>
      <c r="N240">
        <f>IF($L240&lt;&gt;1,0,SUMIFS('JLR Materials'!$F:$F,'JLR Materials'!$A:$A,$K240,'JLR Materials'!$C:$C,IF(Settings!$B$2="","&lt;&gt;",Settings!$B$2),'JLR Materials'!$D:$D,IF(Settings!$B$4="","&lt;&gt;",Settings!$B$4)))</f>
        <v>0</v>
      </c>
      <c r="O240">
        <f>IF($N240=0,0,IF(Settings!$B$5="percent",$M240*$N240/100,$N240))</f>
        <v>0</v>
      </c>
      <c r="P240">
        <f>IF($L240&lt;&gt;1,0,SUMIFS('JLR Materials'!$G:$G,'JLR Materials'!$A:$A,$K240,'JLR Materials'!$C:$C,IF(Settings!$B$2="","&lt;&gt;",Settings!$B$2),'JLR Materials'!$D:$D,IF(Settings!$B$4="","&lt;&gt;",Settings!$B$4)))</f>
        <v>0</v>
      </c>
    </row>
    <row r="241">
      <c r="A241" t="str">
        <v>mat-rhdpe-bm</v>
      </c>
      <c r="B241" t="str">
        <v>Recycled HDPE Blow Grade (PCR)</v>
      </c>
      <c r="C241" t="str">
        <v>Blow Moulding</v>
      </c>
      <c r="D241">
        <f>IF($M241&gt;0,$M241,0.95)</f>
        <v>0.95</v>
      </c>
      <c r="E241">
        <f>IF($O241&gt;0,$O241,0.12)</f>
        <v>0.12</v>
      </c>
      <c r="F241">
        <v>950</v>
      </c>
      <c r="G241" t="str">
        <v>UK</v>
      </c>
      <c r="H241" t="str">
        <f>IF($M241&gt;0,IF($L241&lt;&gt;1,"2026-07",IFERROR(INDEX('JLR Materials'!$D:$D,MATCH($K241,'JLR Materials'!$A:$A,0)),"2026-07")),"2026-07")</f>
        <v>2026-07</v>
      </c>
      <c r="I241" t="str">
        <f>IF($M241&gt;0,"JLR rate card — material code "&amp;$K241,"Index-anchored 2026-07. Post-consumer HDPE — non-food bottles, detergent, drums; wider property spread. CoolFactor ~3.0 s/mm².")</f>
        <v>Index-anchored 2026-07. Post-consumer HDPE — non-food bottles, detergent, drums; wider property spread. CoolFactor ~3.0 s/mm².</v>
      </c>
      <c r="J241" t="str">
        <v>Low</v>
      </c>
      <c r="K241" t="str">
        <f>IFERROR(INDEX(Mapping!$C:$C,MATCH($A241,Mapping!$A:$A,0)),"")</f>
        <v/>
      </c>
      <c r="L241">
        <f>IF($K241="",0,COUNTIFS('JLR Materials'!$A:$A,$K241,'JLR Materials'!$C:$C,IF(Settings!$B$2="","&lt;&gt;",Settings!$B$2),'JLR Materials'!$D:$D,IF(Settings!$B$4="","&lt;&gt;",Settings!$B$4)))</f>
        <v>0</v>
      </c>
      <c r="M241">
        <f>IF($L241&lt;&gt;1,0,SUMIFS('JLR Materials'!$E:$E,'JLR Materials'!$A:$A,$K241,'JLR Materials'!$C:$C,IF(Settings!$B$2="","&lt;&gt;",Settings!$B$2),'JLR Materials'!$D:$D,IF(Settings!$B$4="","&lt;&gt;",Settings!$B$4)))</f>
        <v>0</v>
      </c>
      <c r="N241">
        <f>IF($L241&lt;&gt;1,0,SUMIFS('JLR Materials'!$F:$F,'JLR Materials'!$A:$A,$K241,'JLR Materials'!$C:$C,IF(Settings!$B$2="","&lt;&gt;",Settings!$B$2),'JLR Materials'!$D:$D,IF(Settings!$B$4="","&lt;&gt;",Settings!$B$4)))</f>
        <v>0</v>
      </c>
      <c r="O241">
        <f>IF($N241=0,0,IF(Settings!$B$5="percent",$M241*$N241/100,$N241))</f>
        <v>0</v>
      </c>
      <c r="P241">
        <f>IF($L241&lt;&gt;1,0,SUMIFS('JLR Materials'!$G:$G,'JLR Materials'!$A:$A,$K241,'JLR Materials'!$C:$C,IF(Settings!$B$2="","&lt;&gt;",Settings!$B$2),'JLR Materials'!$D:$D,IF(Settings!$B$4="","&lt;&gt;",Settings!$B$4)))</f>
        <v>0</v>
      </c>
    </row>
    <row r="242">
      <c r="A242" t="str">
        <v>mat-rpp-bm</v>
      </c>
      <c r="B242" t="str">
        <v>Recycled PP Blow Grade (PCR)</v>
      </c>
      <c r="C242" t="str">
        <v>Blow Moulding</v>
      </c>
      <c r="D242">
        <f>IF($M242&gt;0,$M242,0.9)</f>
        <v>0.9</v>
      </c>
      <c r="E242">
        <f>IF($O242&gt;0,$O242,0.1)</f>
        <v>0.1</v>
      </c>
      <c r="F242">
        <v>905</v>
      </c>
      <c r="G242" t="str">
        <v>UK</v>
      </c>
      <c r="H242" t="str">
        <f>IF($M242&gt;0,IF($L242&lt;&gt;1,"2026-07",IFERROR(INDEX('JLR Materials'!$D:$D,MATCH($K242,'JLR Materials'!$A:$A,0)),"2026-07")),"2026-07")</f>
        <v>2026-07</v>
      </c>
      <c r="I242" t="str">
        <f>IF($M242&gt;0,"JLR rate card — material code "&amp;$K242,"Index-anchored 2026-07. Post-consumer PP — non-visible/industrial containers; lower CO₂, wider tolerance. CoolFactor ~3.16 s/mm².")</f>
        <v>Index-anchored 2026-07. Post-consumer PP — non-visible/industrial containers; lower CO₂, wider tolerance. CoolFactor ~3.16 s/mm².</v>
      </c>
      <c r="J242" t="str">
        <v>Low</v>
      </c>
      <c r="K242" t="str">
        <f>IFERROR(INDEX(Mapping!$C:$C,MATCH($A242,Mapping!$A:$A,0)),"")</f>
        <v/>
      </c>
      <c r="L242">
        <f>IF($K242="",0,COUNTIFS('JLR Materials'!$A:$A,$K242,'JLR Materials'!$C:$C,IF(Settings!$B$2="","&lt;&gt;",Settings!$B$2),'JLR Materials'!$D:$D,IF(Settings!$B$4="","&lt;&gt;",Settings!$B$4)))</f>
        <v>0</v>
      </c>
      <c r="M242">
        <f>IF($L242&lt;&gt;1,0,SUMIFS('JLR Materials'!$E:$E,'JLR Materials'!$A:$A,$K242,'JLR Materials'!$C:$C,IF(Settings!$B$2="","&lt;&gt;",Settings!$B$2),'JLR Materials'!$D:$D,IF(Settings!$B$4="","&lt;&gt;",Settings!$B$4)))</f>
        <v>0</v>
      </c>
      <c r="N242">
        <f>IF($L242&lt;&gt;1,0,SUMIFS('JLR Materials'!$F:$F,'JLR Materials'!$A:$A,$K242,'JLR Materials'!$C:$C,IF(Settings!$B$2="","&lt;&gt;",Settings!$B$2),'JLR Materials'!$D:$D,IF(Settings!$B$4="","&lt;&gt;",Settings!$B$4)))</f>
        <v>0</v>
      </c>
      <c r="O242">
        <f>IF($N242=0,0,IF(Settings!$B$5="percent",$M242*$N242/100,$N242))</f>
        <v>0</v>
      </c>
      <c r="P242">
        <f>IF($L242&lt;&gt;1,0,SUMIFS('JLR Materials'!$G:$G,'JLR Materials'!$A:$A,$K242,'JLR Materials'!$C:$C,IF(Settings!$B$2="","&lt;&gt;",Settings!$B$2),'JLR Materials'!$D:$D,IF(Settings!$B$4="","&lt;&gt;",Settings!$B$4)))</f>
        <v>0</v>
      </c>
    </row>
    <row r="243">
      <c r="A243" t="str">
        <v>mat-pe100-pipe</v>
      </c>
      <c r="B243" t="str">
        <v>PE100 Pipe Grade (black, PE4710)</v>
      </c>
      <c r="C243" t="str">
        <v>Extrusion</v>
      </c>
      <c r="D243">
        <f>IF($M243&gt;0,$M243,1.35)</f>
        <v>1.35</v>
      </c>
      <c r="E243">
        <f>IF($O243&gt;0,$O243,0.12)</f>
        <v>0.12</v>
      </c>
      <c r="F243">
        <v>960</v>
      </c>
      <c r="G243" t="str">
        <v>UK</v>
      </c>
      <c r="H243" t="str">
        <f>IF($M243&gt;0,IF($L243&lt;&gt;1,"2026-07",IFERROR(INDEX('JLR Materials'!$D:$D,MATCH($K243,'JLR Materials'!$A:$A,0)),"2026-07")),"2026-07")</f>
        <v>2026-07</v>
      </c>
      <c r="I243" t="str">
        <f>IF($M243&gt;0,"JLR rate card — material code "&amp;$K243,"UK pipe-resin benchmark 2026-07. High-MW bimodal HDPE — pressure water/gas pipe (PE4710). Die swell ~15%.")</f>
        <v>UK pipe-resin benchmark 2026-07. High-MW bimodal HDPE — pressure water/gas pipe (PE4710). Die swell ~15%.</v>
      </c>
      <c r="J243" t="str">
        <v>Medium</v>
      </c>
      <c r="K243" t="str">
        <f>IFERROR(INDEX(Mapping!$C:$C,MATCH($A243,Mapping!$A:$A,0)),"")</f>
        <v/>
      </c>
      <c r="L243">
        <f>IF($K243="",0,COUNTIFS('JLR Materials'!$A:$A,$K243,'JLR Materials'!$C:$C,IF(Settings!$B$2="","&lt;&gt;",Settings!$B$2),'JLR Materials'!$D:$D,IF(Settings!$B$4="","&lt;&gt;",Settings!$B$4)))</f>
        <v>0</v>
      </c>
      <c r="M243">
        <f>IF($L243&lt;&gt;1,0,SUMIFS('JLR Materials'!$E:$E,'JLR Materials'!$A:$A,$K243,'JLR Materials'!$C:$C,IF(Settings!$B$2="","&lt;&gt;",Settings!$B$2),'JLR Materials'!$D:$D,IF(Settings!$B$4="","&lt;&gt;",Settings!$B$4)))</f>
        <v>0</v>
      </c>
      <c r="N243">
        <f>IF($L243&lt;&gt;1,0,SUMIFS('JLR Materials'!$F:$F,'JLR Materials'!$A:$A,$K243,'JLR Materials'!$C:$C,IF(Settings!$B$2="","&lt;&gt;",Settings!$B$2),'JLR Materials'!$D:$D,IF(Settings!$B$4="","&lt;&gt;",Settings!$B$4)))</f>
        <v>0</v>
      </c>
      <c r="O243">
        <f>IF($N243=0,0,IF(Settings!$B$5="percent",$M243*$N243/100,$N243))</f>
        <v>0</v>
      </c>
      <c r="P243">
        <f>IF($L243&lt;&gt;1,0,SUMIFS('JLR Materials'!$G:$G,'JLR Materials'!$A:$A,$K243,'JLR Materials'!$C:$C,IF(Settings!$B$2="","&lt;&gt;",Settings!$B$2),'JLR Materials'!$D:$D,IF(Settings!$B$4="","&lt;&gt;",Settings!$B$4)))</f>
        <v>0</v>
      </c>
    </row>
    <row r="244">
      <c r="A244" t="str">
        <v>mat-pe80-pipe</v>
      </c>
      <c r="B244" t="str">
        <v>PE80 Pipe Grade</v>
      </c>
      <c r="C244" t="str">
        <v>Extrusion</v>
      </c>
      <c r="D244">
        <f>IF($M244&gt;0,$M244,1.28)</f>
        <v>1.28</v>
      </c>
      <c r="E244">
        <f>IF($O244&gt;0,$O244,0.12)</f>
        <v>0.12</v>
      </c>
      <c r="F244">
        <v>950</v>
      </c>
      <c r="G244" t="str">
        <v>UK</v>
      </c>
      <c r="H244" t="str">
        <f>IF($M244&gt;0,IF($L244&lt;&gt;1,"2026-07",IFERROR(INDEX('JLR Materials'!$D:$D,MATCH($K244,'JLR Materials'!$A:$A,0)),"2026-07")),"2026-07")</f>
        <v>2026-07</v>
      </c>
      <c r="I244" t="str">
        <f>IF($M244&gt;0,"JLR rate card — material code "&amp;$K244,"UK pipe-resin benchmark 2026-07. Medium-density pipe grade — gas/drainage pipe.")</f>
        <v>UK pipe-resin benchmark 2026-07. Medium-density pipe grade — gas/drainage pipe.</v>
      </c>
      <c r="J244" t="str">
        <v>Medium</v>
      </c>
      <c r="K244" t="str">
        <f>IFERROR(INDEX(Mapping!$C:$C,MATCH($A244,Mapping!$A:$A,0)),"")</f>
        <v/>
      </c>
      <c r="L244">
        <f>IF($K244="",0,COUNTIFS('JLR Materials'!$A:$A,$K244,'JLR Materials'!$C:$C,IF(Settings!$B$2="","&lt;&gt;",Settings!$B$2),'JLR Materials'!$D:$D,IF(Settings!$B$4="","&lt;&gt;",Settings!$B$4)))</f>
        <v>0</v>
      </c>
      <c r="M244">
        <f>IF($L244&lt;&gt;1,0,SUMIFS('JLR Materials'!$E:$E,'JLR Materials'!$A:$A,$K244,'JLR Materials'!$C:$C,IF(Settings!$B$2="","&lt;&gt;",Settings!$B$2),'JLR Materials'!$D:$D,IF(Settings!$B$4="","&lt;&gt;",Settings!$B$4)))</f>
        <v>0</v>
      </c>
      <c r="N244">
        <f>IF($L244&lt;&gt;1,0,SUMIFS('JLR Materials'!$F:$F,'JLR Materials'!$A:$A,$K244,'JLR Materials'!$C:$C,IF(Settings!$B$2="","&lt;&gt;",Settings!$B$2),'JLR Materials'!$D:$D,IF(Settings!$B$4="","&lt;&gt;",Settings!$B$4)))</f>
        <v>0</v>
      </c>
      <c r="O244">
        <f>IF($N244=0,0,IF(Settings!$B$5="percent",$M244*$N244/100,$N244))</f>
        <v>0</v>
      </c>
      <c r="P244">
        <f>IF($L244&lt;&gt;1,0,SUMIFS('JLR Materials'!$G:$G,'JLR Materials'!$A:$A,$K244,'JLR Materials'!$C:$C,IF(Settings!$B$2="","&lt;&gt;",Settings!$B$2),'JLR Materials'!$D:$D,IF(Settings!$B$4="","&lt;&gt;",Settings!$B$4)))</f>
        <v>0</v>
      </c>
    </row>
    <row r="245">
      <c r="A245" t="str">
        <v>mat-upvc-pipe</v>
      </c>
      <c r="B245" t="str">
        <v>uPVC Pipe Compound (K67, dry-blend)</v>
      </c>
      <c r="C245" t="str">
        <v>Extrusion</v>
      </c>
      <c r="D245">
        <f>IF($M245&gt;0,$M245,0.9)</f>
        <v>0.9</v>
      </c>
      <c r="E245">
        <f>IF($O245&gt;0,$O245,0.05)</f>
        <v>0.05</v>
      </c>
      <c r="F245">
        <v>1420</v>
      </c>
      <c r="G245" t="str">
        <v>UK</v>
      </c>
      <c r="H245" t="str">
        <f>IF($M245&gt;0,IF($L245&lt;&gt;1,"2026-07",IFERROR(INDEX('JLR Materials'!$D:$D,MATCH($K245,'JLR Materials'!$A:$A,0)),"2026-07")),"2026-07")</f>
        <v>2026-07</v>
      </c>
      <c r="I245" t="str">
        <f>IF($M245&gt;0,"JLR rate card — material code "&amp;$K245,"UK PVC compounder 2026-07. Rigid PVC-U pressure/soil pipe compound (Ca-Zn stabilised). Low die swell ~5%. Heat-sensitive — limits output.")</f>
        <v>UK PVC compounder 2026-07. Rigid PVC-U pressure/soil pipe compound (Ca-Zn stabilised). Low die swell ~5%. Heat-sensitive — limits output.</v>
      </c>
      <c r="J245" t="str">
        <v>Medium</v>
      </c>
      <c r="K245" t="str">
        <f>IFERROR(INDEX(Mapping!$C:$C,MATCH($A245,Mapping!$A:$A,0)),"")</f>
        <v/>
      </c>
      <c r="L245">
        <f>IF($K245="",0,COUNTIFS('JLR Materials'!$A:$A,$K245,'JLR Materials'!$C:$C,IF(Settings!$B$2="","&lt;&gt;",Settings!$B$2),'JLR Materials'!$D:$D,IF(Settings!$B$4="","&lt;&gt;",Settings!$B$4)))</f>
        <v>0</v>
      </c>
      <c r="M245">
        <f>IF($L245&lt;&gt;1,0,SUMIFS('JLR Materials'!$E:$E,'JLR Materials'!$A:$A,$K245,'JLR Materials'!$C:$C,IF(Settings!$B$2="","&lt;&gt;",Settings!$B$2),'JLR Materials'!$D:$D,IF(Settings!$B$4="","&lt;&gt;",Settings!$B$4)))</f>
        <v>0</v>
      </c>
      <c r="N245">
        <f>IF($L245&lt;&gt;1,0,SUMIFS('JLR Materials'!$F:$F,'JLR Materials'!$A:$A,$K245,'JLR Materials'!$C:$C,IF(Settings!$B$2="","&lt;&gt;",Settings!$B$2),'JLR Materials'!$D:$D,IF(Settings!$B$4="","&lt;&gt;",Settings!$B$4)))</f>
        <v>0</v>
      </c>
      <c r="O245">
        <f>IF($N245=0,0,IF(Settings!$B$5="percent",$M245*$N245/100,$N245))</f>
        <v>0</v>
      </c>
      <c r="P245">
        <f>IF($L245&lt;&gt;1,0,SUMIFS('JLR Materials'!$G:$G,'JLR Materials'!$A:$A,$K245,'JLR Materials'!$C:$C,IF(Settings!$B$2="","&lt;&gt;",Settings!$B$2),'JLR Materials'!$D:$D,IF(Settings!$B$4="","&lt;&gt;",Settings!$B$4)))</f>
        <v>0</v>
      </c>
    </row>
    <row r="246">
      <c r="A246" t="str">
        <v>mat-pvc-cable</v>
      </c>
      <c r="B246" t="str">
        <v>PVC Cable Compound (flexible, insulation)</v>
      </c>
      <c r="C246" t="str">
        <v>Extrusion</v>
      </c>
      <c r="D246">
        <f>IF($M246&gt;0,$M246,1.35)</f>
        <v>1.35</v>
      </c>
      <c r="E246">
        <f>IF($O246&gt;0,$O246,0.05)</f>
        <v>0.05</v>
      </c>
      <c r="F246">
        <v>1350</v>
      </c>
      <c r="G246" t="str">
        <v>UK</v>
      </c>
      <c r="H246" t="str">
        <f>IF($M246&gt;0,IF($L246&lt;&gt;1,"2026-07",IFERROR(INDEX('JLR Materials'!$D:$D,MATCH($K246,'JLR Materials'!$A:$A,0)),"2026-07")),"2026-07")</f>
        <v>2026-07</v>
      </c>
      <c r="I246" t="str">
        <f>IF($M246&gt;0,"JLR rate card — material code "&amp;$K246,"UK cable-compound benchmark 2026-07. Plasticised PVC insulation/sheathing — building wire, flex cords.")</f>
        <v>UK cable-compound benchmark 2026-07. Plasticised PVC insulation/sheathing — building wire, flex cords.</v>
      </c>
      <c r="J246" t="str">
        <v>Medium</v>
      </c>
      <c r="K246" t="str">
        <f>IFERROR(INDEX(Mapping!$C:$C,MATCH($A246,Mapping!$A:$A,0)),"")</f>
        <v/>
      </c>
      <c r="L246">
        <f>IF($K246="",0,COUNTIFS('JLR Materials'!$A:$A,$K246,'JLR Materials'!$C:$C,IF(Settings!$B$2="","&lt;&gt;",Settings!$B$2),'JLR Materials'!$D:$D,IF(Settings!$B$4="","&lt;&gt;",Settings!$B$4)))</f>
        <v>0</v>
      </c>
      <c r="M246">
        <f>IF($L246&lt;&gt;1,0,SUMIFS('JLR Materials'!$E:$E,'JLR Materials'!$A:$A,$K246,'JLR Materials'!$C:$C,IF(Settings!$B$2="","&lt;&gt;",Settings!$B$2),'JLR Materials'!$D:$D,IF(Settings!$B$4="","&lt;&gt;",Settings!$B$4)))</f>
        <v>0</v>
      </c>
      <c r="N246">
        <f>IF($L246&lt;&gt;1,0,SUMIFS('JLR Materials'!$F:$F,'JLR Materials'!$A:$A,$K246,'JLR Materials'!$C:$C,IF(Settings!$B$2="","&lt;&gt;",Settings!$B$2),'JLR Materials'!$D:$D,IF(Settings!$B$4="","&lt;&gt;",Settings!$B$4)))</f>
        <v>0</v>
      </c>
      <c r="O246">
        <f>IF($N246=0,0,IF(Settings!$B$5="percent",$M246*$N246/100,$N246))</f>
        <v>0</v>
      </c>
      <c r="P246">
        <f>IF($L246&lt;&gt;1,0,SUMIFS('JLR Materials'!$G:$G,'JLR Materials'!$A:$A,$K246,'JLR Materials'!$C:$C,IF(Settings!$B$2="","&lt;&gt;",Settings!$B$2),'JLR Materials'!$D:$D,IF(Settings!$B$4="","&lt;&gt;",Settings!$B$4)))</f>
        <v>0</v>
      </c>
    </row>
    <row r="247">
      <c r="A247" t="str">
        <v>mat-xlpe-cable</v>
      </c>
      <c r="B247" t="str">
        <v>XLPE Cable Insulation Compound</v>
      </c>
      <c r="C247" t="str">
        <v>Extrusion</v>
      </c>
      <c r="D247">
        <f>IF($M247&gt;0,$M247,2.1)</f>
        <v>2.1</v>
      </c>
      <c r="E247">
        <f>IF($O247&gt;0,$O247,0)</f>
        <v>0</v>
      </c>
      <c r="F247">
        <v>925</v>
      </c>
      <c r="G247" t="str">
        <v>UK</v>
      </c>
      <c r="H247" t="str">
        <f>IF($M247&gt;0,IF($L247&lt;&gt;1,"2026-07",IFERROR(INDEX('JLR Materials'!$D:$D,MATCH($K247,'JLR Materials'!$A:$A,0)),"2026-07")),"2026-07")</f>
        <v>2026-07</v>
      </c>
      <c r="I247" t="str">
        <f>IF($M247&gt;0,"JLR rate card — material code "&amp;$K247,"UK cable-compound benchmark 2026-07. Crosslinkable PE (peroxide/silane) — MV/HV cable insulation. Cured, non-recyclable scrap.")</f>
        <v>UK cable-compound benchmark 2026-07. Crosslinkable PE (peroxide/silane) — MV/HV cable insulation. Cured, non-recyclable scrap.</v>
      </c>
      <c r="J247" t="str">
        <v>Low</v>
      </c>
      <c r="K247" t="str">
        <f>IFERROR(INDEX(Mapping!$C:$C,MATCH($A247,Mapping!$A:$A,0)),"")</f>
        <v/>
      </c>
      <c r="L247">
        <f>IF($K247="",0,COUNTIFS('JLR Materials'!$A:$A,$K247,'JLR Materials'!$C:$C,IF(Settings!$B$2="","&lt;&gt;",Settings!$B$2),'JLR Materials'!$D:$D,IF(Settings!$B$4="","&lt;&gt;",Settings!$B$4)))</f>
        <v>0</v>
      </c>
      <c r="M247">
        <f>IF($L247&lt;&gt;1,0,SUMIFS('JLR Materials'!$E:$E,'JLR Materials'!$A:$A,$K247,'JLR Materials'!$C:$C,IF(Settings!$B$2="","&lt;&gt;",Settings!$B$2),'JLR Materials'!$D:$D,IF(Settings!$B$4="","&lt;&gt;",Settings!$B$4)))</f>
        <v>0</v>
      </c>
      <c r="N247">
        <f>IF($L247&lt;&gt;1,0,SUMIFS('JLR Materials'!$F:$F,'JLR Materials'!$A:$A,$K247,'JLR Materials'!$C:$C,IF(Settings!$B$2="","&lt;&gt;",Settings!$B$2),'JLR Materials'!$D:$D,IF(Settings!$B$4="","&lt;&gt;",Settings!$B$4)))</f>
        <v>0</v>
      </c>
      <c r="O247">
        <f>IF($N247=0,0,IF(Settings!$B$5="percent",$M247*$N247/100,$N247))</f>
        <v>0</v>
      </c>
      <c r="P247">
        <f>IF($L247&lt;&gt;1,0,SUMIFS('JLR Materials'!$G:$G,'JLR Materials'!$A:$A,$K247,'JLR Materials'!$C:$C,IF(Settings!$B$2="","&lt;&gt;",Settings!$B$2),'JLR Materials'!$D:$D,IF(Settings!$B$4="","&lt;&gt;",Settings!$B$4)))</f>
        <v>0</v>
      </c>
    </row>
    <row r="248">
      <c r="A248" t="str">
        <v>mat-gpps-ext</v>
      </c>
      <c r="B248" t="str">
        <v>GPPS Extrusion Sheet Grade</v>
      </c>
      <c r="C248" t="str">
        <v>Extrusion</v>
      </c>
      <c r="D248">
        <f>IF($M248&gt;0,$M248,1.3)</f>
        <v>1.3</v>
      </c>
      <c r="E248">
        <f>IF($O248&gt;0,$O248,0.08)</f>
        <v>0.08</v>
      </c>
      <c r="F248">
        <v>1050</v>
      </c>
      <c r="G248" t="str">
        <v>UK</v>
      </c>
      <c r="H248" t="str">
        <f>IF($M248&gt;0,IF($L248&lt;&gt;1,"2026-07",IFERROR(INDEX('JLR Materials'!$D:$D,MATCH($K248,'JLR Materials'!$A:$A,0)),"2026-07")),"2026-07")</f>
        <v>2026-07</v>
      </c>
      <c r="I248" t="str">
        <f>IF($M248&gt;0,"JLR rate card — material code "&amp;$K248,"UK resin distributor 2026-07. General-purpose PS — clear thermoforming/sign sheet. Low die swell.")</f>
        <v>UK resin distributor 2026-07. General-purpose PS — clear thermoforming/sign sheet. Low die swell.</v>
      </c>
      <c r="J248" t="str">
        <v>Medium</v>
      </c>
      <c r="K248" t="str">
        <f>IFERROR(INDEX(Mapping!$C:$C,MATCH($A248,Mapping!$A:$A,0)),"")</f>
        <v/>
      </c>
      <c r="L248">
        <f>IF($K248="",0,COUNTIFS('JLR Materials'!$A:$A,$K248,'JLR Materials'!$C:$C,IF(Settings!$B$2="","&lt;&gt;",Settings!$B$2),'JLR Materials'!$D:$D,IF(Settings!$B$4="","&lt;&gt;",Settings!$B$4)))</f>
        <v>0</v>
      </c>
      <c r="M248">
        <f>IF($L248&lt;&gt;1,0,SUMIFS('JLR Materials'!$E:$E,'JLR Materials'!$A:$A,$K248,'JLR Materials'!$C:$C,IF(Settings!$B$2="","&lt;&gt;",Settings!$B$2),'JLR Materials'!$D:$D,IF(Settings!$B$4="","&lt;&gt;",Settings!$B$4)))</f>
        <v>0</v>
      </c>
      <c r="N248">
        <f>IF($L248&lt;&gt;1,0,SUMIFS('JLR Materials'!$F:$F,'JLR Materials'!$A:$A,$K248,'JLR Materials'!$C:$C,IF(Settings!$B$2="","&lt;&gt;",Settings!$B$2),'JLR Materials'!$D:$D,IF(Settings!$B$4="","&lt;&gt;",Settings!$B$4)))</f>
        <v>0</v>
      </c>
      <c r="O248">
        <f>IF($N248=0,0,IF(Settings!$B$5="percent",$M248*$N248/100,$N248))</f>
        <v>0</v>
      </c>
      <c r="P248">
        <f>IF($L248&lt;&gt;1,0,SUMIFS('JLR Materials'!$G:$G,'JLR Materials'!$A:$A,$K248,'JLR Materials'!$C:$C,IF(Settings!$B$2="","&lt;&gt;",Settings!$B$2),'JLR Materials'!$D:$D,IF(Settings!$B$4="","&lt;&gt;",Settings!$B$4)))</f>
        <v>0</v>
      </c>
    </row>
    <row r="249">
      <c r="A249" t="str">
        <v>mat-abs-ext-sheet</v>
      </c>
      <c r="B249" t="str">
        <v>ABS Extrusion Sheet Grade</v>
      </c>
      <c r="C249" t="str">
        <v>Extrusion</v>
      </c>
      <c r="D249">
        <f>IF($M249&gt;0,$M249,1.85)</f>
        <v>1.85</v>
      </c>
      <c r="E249">
        <f>IF($O249&gt;0,$O249,0.1)</f>
        <v>0.1</v>
      </c>
      <c r="F249">
        <v>1050</v>
      </c>
      <c r="G249" t="str">
        <v>UK</v>
      </c>
      <c r="H249" t="str">
        <f>IF($M249&gt;0,IF($L249&lt;&gt;1,"2026-07",IFERROR(INDEX('JLR Materials'!$D:$D,MATCH($K249,'JLR Materials'!$A:$A,0)),"2026-07")),"2026-07")</f>
        <v>2026-07</v>
      </c>
      <c r="I249" t="str">
        <f>IF($M249&gt;0,"JLR rate card — material code "&amp;$K249,"UK resin distributor 2026-07. Extrusion ABS — automotive/appliance thermoforming sheet, capstock.")</f>
        <v>UK resin distributor 2026-07. Extrusion ABS — automotive/appliance thermoforming sheet, capstock.</v>
      </c>
      <c r="J249" t="str">
        <v>Medium</v>
      </c>
      <c r="K249" t="str">
        <f>IFERROR(INDEX(Mapping!$C:$C,MATCH($A249,Mapping!$A:$A,0)),"")</f>
        <v/>
      </c>
      <c r="L249">
        <f>IF($K249="",0,COUNTIFS('JLR Materials'!$A:$A,$K249,'JLR Materials'!$C:$C,IF(Settings!$B$2="","&lt;&gt;",Settings!$B$2),'JLR Materials'!$D:$D,IF(Settings!$B$4="","&lt;&gt;",Settings!$B$4)))</f>
        <v>0</v>
      </c>
      <c r="M249">
        <f>IF($L249&lt;&gt;1,0,SUMIFS('JLR Materials'!$E:$E,'JLR Materials'!$A:$A,$K249,'JLR Materials'!$C:$C,IF(Settings!$B$2="","&lt;&gt;",Settings!$B$2),'JLR Materials'!$D:$D,IF(Settings!$B$4="","&lt;&gt;",Settings!$B$4)))</f>
        <v>0</v>
      </c>
      <c r="N249">
        <f>IF($L249&lt;&gt;1,0,SUMIFS('JLR Materials'!$F:$F,'JLR Materials'!$A:$A,$K249,'JLR Materials'!$C:$C,IF(Settings!$B$2="","&lt;&gt;",Settings!$B$2),'JLR Materials'!$D:$D,IF(Settings!$B$4="","&lt;&gt;",Settings!$B$4)))</f>
        <v>0</v>
      </c>
      <c r="O249">
        <f>IF($N249=0,0,IF(Settings!$B$5="percent",$M249*$N249/100,$N249))</f>
        <v>0</v>
      </c>
      <c r="P249">
        <f>IF($L249&lt;&gt;1,0,SUMIFS('JLR Materials'!$G:$G,'JLR Materials'!$A:$A,$K249,'JLR Materials'!$C:$C,IF(Settings!$B$2="","&lt;&gt;",Settings!$B$2),'JLR Materials'!$D:$D,IF(Settings!$B$4="","&lt;&gt;",Settings!$B$4)))</f>
        <v>0</v>
      </c>
    </row>
    <row r="250">
      <c r="A250" t="str">
        <v>mat-pmma-ext-sheet</v>
      </c>
      <c r="B250" t="str">
        <v>PMMA Extrusion Sheet (acrylic)</v>
      </c>
      <c r="C250" t="str">
        <v>Extrusion</v>
      </c>
      <c r="D250">
        <f>IF($M250&gt;0,$M250,2.6)</f>
        <v>2.6</v>
      </c>
      <c r="E250">
        <f>IF($O250&gt;0,$O250,0.08)</f>
        <v>0.08</v>
      </c>
      <c r="F250">
        <v>1190</v>
      </c>
      <c r="G250" t="str">
        <v>UK</v>
      </c>
      <c r="H250" t="str">
        <f>IF($M250&gt;0,IF($L250&lt;&gt;1,"2026-07",IFERROR(INDEX('JLR Materials'!$D:$D,MATCH($K250,'JLR Materials'!$A:$A,0)),"2026-07")),"2026-07")</f>
        <v>2026-07</v>
      </c>
      <c r="I250" t="str">
        <f>IF($M250&gt;0,"JLR rate card — material code "&amp;$K250,"UK resin distributor 2026-07. Extruded acrylic sheet — glazing, signage, light guides. Low die swell.")</f>
        <v>UK resin distributor 2026-07. Extruded acrylic sheet — glazing, signage, light guides. Low die swell.</v>
      </c>
      <c r="J250" t="str">
        <v>Low</v>
      </c>
      <c r="K250" t="str">
        <f>IFERROR(INDEX(Mapping!$C:$C,MATCH($A250,Mapping!$A:$A,0)),"")</f>
        <v/>
      </c>
      <c r="L250">
        <f>IF($K250="",0,COUNTIFS('JLR Materials'!$A:$A,$K250,'JLR Materials'!$C:$C,IF(Settings!$B$2="","&lt;&gt;",Settings!$B$2),'JLR Materials'!$D:$D,IF(Settings!$B$4="","&lt;&gt;",Settings!$B$4)))</f>
        <v>0</v>
      </c>
      <c r="M250">
        <f>IF($L250&lt;&gt;1,0,SUMIFS('JLR Materials'!$E:$E,'JLR Materials'!$A:$A,$K250,'JLR Materials'!$C:$C,IF(Settings!$B$2="","&lt;&gt;",Settings!$B$2),'JLR Materials'!$D:$D,IF(Settings!$B$4="","&lt;&gt;",Settings!$B$4)))</f>
        <v>0</v>
      </c>
      <c r="N250">
        <f>IF($L250&lt;&gt;1,0,SUMIFS('JLR Materials'!$F:$F,'JLR Materials'!$A:$A,$K250,'JLR Materials'!$C:$C,IF(Settings!$B$2="","&lt;&gt;",Settings!$B$2),'JLR Materials'!$D:$D,IF(Settings!$B$4="","&lt;&gt;",Settings!$B$4)))</f>
        <v>0</v>
      </c>
      <c r="O250">
        <f>IF($N250=0,0,IF(Settings!$B$5="percent",$M250*$N250/100,$N250))</f>
        <v>0</v>
      </c>
      <c r="P250">
        <f>IF($L250&lt;&gt;1,0,SUMIFS('JLR Materials'!$G:$G,'JLR Materials'!$A:$A,$K250,'JLR Materials'!$C:$C,IF(Settings!$B$2="","&lt;&gt;",Settings!$B$2),'JLR Materials'!$D:$D,IF(Settings!$B$4="","&lt;&gt;",Settings!$B$4)))</f>
        <v>0</v>
      </c>
    </row>
    <row r="251">
      <c r="A251" t="str">
        <v>mat-pc-ext-sheet</v>
      </c>
      <c r="B251" t="str">
        <v>PC Extrusion/Solid Sheet Grade</v>
      </c>
      <c r="C251" t="str">
        <v>Extrusion</v>
      </c>
      <c r="D251">
        <f>IF($M251&gt;0,$M251,3.2)</f>
        <v>3.2</v>
      </c>
      <c r="E251">
        <f>IF($O251&gt;0,$O251,0.08)</f>
        <v>0.08</v>
      </c>
      <c r="F251">
        <v>1200</v>
      </c>
      <c r="G251" t="str">
        <v>UK</v>
      </c>
      <c r="H251" t="str">
        <f>IF($M251&gt;0,IF($L251&lt;&gt;1,"2026-07",IFERROR(INDEX('JLR Materials'!$D:$D,MATCH($K251,'JLR Materials'!$A:$A,0)),"2026-07")),"2026-07")</f>
        <v>2026-07</v>
      </c>
      <c r="I251" t="str">
        <f>IF($M251&gt;0,"JLR rate card — material code "&amp;$K251,"UK resin distributor 2026-07. Extruded polycarbonate solid/multiwall sheet — glazing, machine guards. High melt temp → high energy.")</f>
        <v>UK resin distributor 2026-07. Extruded polycarbonate solid/multiwall sheet — glazing, machine guards. High melt temp → high energy.</v>
      </c>
      <c r="J251" t="str">
        <v>Low</v>
      </c>
      <c r="K251" t="str">
        <f>IFERROR(INDEX(Mapping!$C:$C,MATCH($A251,Mapping!$A:$A,0)),"")</f>
        <v/>
      </c>
      <c r="L251">
        <f>IF($K251="",0,COUNTIFS('JLR Materials'!$A:$A,$K251,'JLR Materials'!$C:$C,IF(Settings!$B$2="","&lt;&gt;",Settings!$B$2),'JLR Materials'!$D:$D,IF(Settings!$B$4="","&lt;&gt;",Settings!$B$4)))</f>
        <v>0</v>
      </c>
      <c r="M251">
        <f>IF($L251&lt;&gt;1,0,SUMIFS('JLR Materials'!$E:$E,'JLR Materials'!$A:$A,$K251,'JLR Materials'!$C:$C,IF(Settings!$B$2="","&lt;&gt;",Settings!$B$2),'JLR Materials'!$D:$D,IF(Settings!$B$4="","&lt;&gt;",Settings!$B$4)))</f>
        <v>0</v>
      </c>
      <c r="N251">
        <f>IF($L251&lt;&gt;1,0,SUMIFS('JLR Materials'!$F:$F,'JLR Materials'!$A:$A,$K251,'JLR Materials'!$C:$C,IF(Settings!$B$2="","&lt;&gt;",Settings!$B$2),'JLR Materials'!$D:$D,IF(Settings!$B$4="","&lt;&gt;",Settings!$B$4)))</f>
        <v>0</v>
      </c>
      <c r="O251">
        <f>IF($N251=0,0,IF(Settings!$B$5="percent",$M251*$N251/100,$N251))</f>
        <v>0</v>
      </c>
      <c r="P251">
        <f>IF($L251&lt;&gt;1,0,SUMIFS('JLR Materials'!$G:$G,'JLR Materials'!$A:$A,$K251,'JLR Materials'!$C:$C,IF(Settings!$B$2="","&lt;&gt;",Settings!$B$2),'JLR Materials'!$D:$D,IF(Settings!$B$4="","&lt;&gt;",Settings!$B$4)))</f>
        <v>0</v>
      </c>
    </row>
    <row r="252">
      <c r="A252" t="str">
        <v>mat-pvc-medical-tube</v>
      </c>
      <c r="B252" t="str">
        <v>Medical PVC Tubing Compound (DEHP-free)</v>
      </c>
      <c r="C252" t="str">
        <v>Extrusion</v>
      </c>
      <c r="D252">
        <f>IF($M252&gt;0,$M252,1.95)</f>
        <v>1.95</v>
      </c>
      <c r="E252">
        <f>IF($O252&gt;0,$O252,0)</f>
        <v>0</v>
      </c>
      <c r="F252">
        <v>1250</v>
      </c>
      <c r="G252" t="str">
        <v>UK</v>
      </c>
      <c r="H252" t="str">
        <f>IF($M252&gt;0,IF($L252&lt;&gt;1,"2026-07",IFERROR(INDEX('JLR Materials'!$D:$D,MATCH($K252,'JLR Materials'!$A:$A,0)),"2026-07")),"2026-07")</f>
        <v>2026-07</v>
      </c>
      <c r="I252" t="str">
        <f>IF($M252&gt;0,"JLR rate card — material code "&amp;$K252,"UK medical-compound benchmark 2026-07. Non-phthalate plasticised PVC — IV/medical tubing, ISO 10993.")</f>
        <v>UK medical-compound benchmark 2026-07. Non-phthalate plasticised PVC — IV/medical tubing, ISO 10993.</v>
      </c>
      <c r="J252" t="str">
        <v>Low</v>
      </c>
      <c r="K252" t="str">
        <f>IFERROR(INDEX(Mapping!$C:$C,MATCH($A252,Mapping!$A:$A,0)),"")</f>
        <v/>
      </c>
      <c r="L252">
        <f>IF($K252="",0,COUNTIFS('JLR Materials'!$A:$A,$K252,'JLR Materials'!$C:$C,IF(Settings!$B$2="","&lt;&gt;",Settings!$B$2),'JLR Materials'!$D:$D,IF(Settings!$B$4="","&lt;&gt;",Settings!$B$4)))</f>
        <v>0</v>
      </c>
      <c r="M252">
        <f>IF($L252&lt;&gt;1,0,SUMIFS('JLR Materials'!$E:$E,'JLR Materials'!$A:$A,$K252,'JLR Materials'!$C:$C,IF(Settings!$B$2="","&lt;&gt;",Settings!$B$2),'JLR Materials'!$D:$D,IF(Settings!$B$4="","&lt;&gt;",Settings!$B$4)))</f>
        <v>0</v>
      </c>
      <c r="N252">
        <f>IF($L252&lt;&gt;1,0,SUMIFS('JLR Materials'!$F:$F,'JLR Materials'!$A:$A,$K252,'JLR Materials'!$C:$C,IF(Settings!$B$2="","&lt;&gt;",Settings!$B$2),'JLR Materials'!$D:$D,IF(Settings!$B$4="","&lt;&gt;",Settings!$B$4)))</f>
        <v>0</v>
      </c>
      <c r="O252">
        <f>IF($N252=0,0,IF(Settings!$B$5="percent",$M252*$N252/100,$N252))</f>
        <v>0</v>
      </c>
      <c r="P252">
        <f>IF($L252&lt;&gt;1,0,SUMIFS('JLR Materials'!$G:$G,'JLR Materials'!$A:$A,$K252,'JLR Materials'!$C:$C,IF(Settings!$B$2="","&lt;&gt;",Settings!$B$2),'JLR Materials'!$D:$D,IF(Settings!$B$4="","&lt;&gt;",Settings!$B$4)))</f>
        <v>0</v>
      </c>
    </row>
    <row r="253">
      <c r="A253" t="str">
        <v>mat-tpu-medical-tube</v>
      </c>
      <c r="B253" t="str">
        <v>Medical TPU Tubing (85A)</v>
      </c>
      <c r="C253" t="str">
        <v>Extrusion</v>
      </c>
      <c r="D253">
        <f>IF($M253&gt;0,$M253,6.5)</f>
        <v>6.5</v>
      </c>
      <c r="E253">
        <f>IF($O253&gt;0,$O253,0)</f>
        <v>0</v>
      </c>
      <c r="F253">
        <v>1150</v>
      </c>
      <c r="G253" t="str">
        <v>UK</v>
      </c>
      <c r="H253" t="str">
        <f>IF($M253&gt;0,IF($L253&lt;&gt;1,"2026-07",IFERROR(INDEX('JLR Materials'!$D:$D,MATCH($K253,'JLR Materials'!$A:$A,0)),"2026-07")),"2026-07")</f>
        <v>2026-07</v>
      </c>
      <c r="I253" t="str">
        <f>IF($M253&gt;0,"JLR rate card — material code "&amp;$K253,"UK medical-compound benchmark 2026-07. Aliphatic/aromatic TPU — catheters, medical tube; biocompatible.")</f>
        <v>UK medical-compound benchmark 2026-07. Aliphatic/aromatic TPU — catheters, medical tube; biocompatible.</v>
      </c>
      <c r="J253" t="str">
        <v>Low</v>
      </c>
      <c r="K253" t="str">
        <f>IFERROR(INDEX(Mapping!$C:$C,MATCH($A253,Mapping!$A:$A,0)),"")</f>
        <v/>
      </c>
      <c r="L253">
        <f>IF($K253="",0,COUNTIFS('JLR Materials'!$A:$A,$K253,'JLR Materials'!$C:$C,IF(Settings!$B$2="","&lt;&gt;",Settings!$B$2),'JLR Materials'!$D:$D,IF(Settings!$B$4="","&lt;&gt;",Settings!$B$4)))</f>
        <v>0</v>
      </c>
      <c r="M253">
        <f>IF($L253&lt;&gt;1,0,SUMIFS('JLR Materials'!$E:$E,'JLR Materials'!$A:$A,$K253,'JLR Materials'!$C:$C,IF(Settings!$B$2="","&lt;&gt;",Settings!$B$2),'JLR Materials'!$D:$D,IF(Settings!$B$4="","&lt;&gt;",Settings!$B$4)))</f>
        <v>0</v>
      </c>
      <c r="N253">
        <f>IF($L253&lt;&gt;1,0,SUMIFS('JLR Materials'!$F:$F,'JLR Materials'!$A:$A,$K253,'JLR Materials'!$C:$C,IF(Settings!$B$2="","&lt;&gt;",Settings!$B$2),'JLR Materials'!$D:$D,IF(Settings!$B$4="","&lt;&gt;",Settings!$B$4)))</f>
        <v>0</v>
      </c>
      <c r="O253">
        <f>IF($N253=0,0,IF(Settings!$B$5="percent",$M253*$N253/100,$N253))</f>
        <v>0</v>
      </c>
      <c r="P253">
        <f>IF($L253&lt;&gt;1,0,SUMIFS('JLR Materials'!$G:$G,'JLR Materials'!$A:$A,$K253,'JLR Materials'!$C:$C,IF(Settings!$B$2="","&lt;&gt;",Settings!$B$2),'JLR Materials'!$D:$D,IF(Settings!$B$4="","&lt;&gt;",Settings!$B$4)))</f>
        <v>0</v>
      </c>
    </row>
    <row r="254">
      <c r="A254" t="str">
        <v>mat-tpe-profile</v>
      </c>
      <c r="B254" t="str">
        <v>TPE-S Extrusion Profile (60 Shore A)</v>
      </c>
      <c r="C254" t="str">
        <v>Extrusion</v>
      </c>
      <c r="D254">
        <f>IF($M254&gt;0,$M254,2.4)</f>
        <v>2.4</v>
      </c>
      <c r="E254">
        <f>IF($O254&gt;0,$O254,0.08)</f>
        <v>0.08</v>
      </c>
      <c r="F254">
        <v>940</v>
      </c>
      <c r="G254" t="str">
        <v>UK</v>
      </c>
      <c r="H254" t="str">
        <f>IF($M254&gt;0,IF($L254&lt;&gt;1,"2026-07",IFERROR(INDEX('JLR Materials'!$D:$D,MATCH($K254,'JLR Materials'!$A:$A,0)),"2026-07")),"2026-07")</f>
        <v>2026-07</v>
      </c>
      <c r="I254" t="str">
        <f>IF($M254&gt;0,"JLR rate card — material code "&amp;$K254,"UK resin distributor 2026-07. Styrenic TPE — soft-touch seals, glazing gaskets (recyclable EPDM alternative). Die swell ~10%.")</f>
        <v>UK resin distributor 2026-07. Styrenic TPE — soft-touch seals, glazing gaskets (recyclable EPDM alternative). Die swell ~10%.</v>
      </c>
      <c r="J254" t="str">
        <v>Low</v>
      </c>
      <c r="K254" t="str">
        <f>IFERROR(INDEX(Mapping!$C:$C,MATCH($A254,Mapping!$A:$A,0)),"")</f>
        <v/>
      </c>
      <c r="L254">
        <f>IF($K254="",0,COUNTIFS('JLR Materials'!$A:$A,$K254,'JLR Materials'!$C:$C,IF(Settings!$B$2="","&lt;&gt;",Settings!$B$2),'JLR Materials'!$D:$D,IF(Settings!$B$4="","&lt;&gt;",Settings!$B$4)))</f>
        <v>0</v>
      </c>
      <c r="M254">
        <f>IF($L254&lt;&gt;1,0,SUMIFS('JLR Materials'!$E:$E,'JLR Materials'!$A:$A,$K254,'JLR Materials'!$C:$C,IF(Settings!$B$2="","&lt;&gt;",Settings!$B$2),'JLR Materials'!$D:$D,IF(Settings!$B$4="","&lt;&gt;",Settings!$B$4)))</f>
        <v>0</v>
      </c>
      <c r="N254">
        <f>IF($L254&lt;&gt;1,0,SUMIFS('JLR Materials'!$F:$F,'JLR Materials'!$A:$A,$K254,'JLR Materials'!$C:$C,IF(Settings!$B$2="","&lt;&gt;",Settings!$B$2),'JLR Materials'!$D:$D,IF(Settings!$B$4="","&lt;&gt;",Settings!$B$4)))</f>
        <v>0</v>
      </c>
      <c r="O254">
        <f>IF($N254=0,0,IF(Settings!$B$5="percent",$M254*$N254/100,$N254))</f>
        <v>0</v>
      </c>
      <c r="P254">
        <f>IF($L254&lt;&gt;1,0,SUMIFS('JLR Materials'!$G:$G,'JLR Materials'!$A:$A,$K254,'JLR Materials'!$C:$C,IF(Settings!$B$2="","&lt;&gt;",Settings!$B$2),'JLR Materials'!$D:$D,IF(Settings!$B$4="","&lt;&gt;",Settings!$B$4)))</f>
        <v>0</v>
      </c>
    </row>
    <row r="255">
      <c r="A255" t="str">
        <v>mat-pvc-foam</v>
      </c>
      <c r="B255" t="str">
        <v>Rigid PVC Foam (Celuka) Profile</v>
      </c>
      <c r="C255" t="str">
        <v>Extrusion</v>
      </c>
      <c r="D255">
        <f>IF($M255&gt;0,$M255,1.15)</f>
        <v>1.15</v>
      </c>
      <c r="E255">
        <f>IF($O255&gt;0,$O255,0.03)</f>
        <v>0.03</v>
      </c>
      <c r="F255">
        <v>700</v>
      </c>
      <c r="G255" t="str">
        <v>UK</v>
      </c>
      <c r="H255" t="str">
        <f>IF($M255&gt;0,IF($L255&lt;&gt;1,"2026-07",IFERROR(INDEX('JLR Materials'!$D:$D,MATCH($K255,'JLR Materials'!$A:$A,0)),"2026-07")),"2026-07")</f>
        <v>2026-07</v>
      </c>
      <c r="I255" t="str">
        <f>IF($M255&gt;0,"JLR rate card — material code "&amp;$K255,"UK PVC compounder 2026-07. Free-foam/Celuka rigid PVC — trim board, cladding, furniture profile. Low bulk density.")</f>
        <v>UK PVC compounder 2026-07. Free-foam/Celuka rigid PVC — trim board, cladding, furniture profile. Low bulk density.</v>
      </c>
      <c r="J255" t="str">
        <v>Low</v>
      </c>
      <c r="K255" t="str">
        <f>IFERROR(INDEX(Mapping!$C:$C,MATCH($A255,Mapping!$A:$A,0)),"")</f>
        <v/>
      </c>
      <c r="L255">
        <f>IF($K255="",0,COUNTIFS('JLR Materials'!$A:$A,$K255,'JLR Materials'!$C:$C,IF(Settings!$B$2="","&lt;&gt;",Settings!$B$2),'JLR Materials'!$D:$D,IF(Settings!$B$4="","&lt;&gt;",Settings!$B$4)))</f>
        <v>0</v>
      </c>
      <c r="M255">
        <f>IF($L255&lt;&gt;1,0,SUMIFS('JLR Materials'!$E:$E,'JLR Materials'!$A:$A,$K255,'JLR Materials'!$C:$C,IF(Settings!$B$2="","&lt;&gt;",Settings!$B$2),'JLR Materials'!$D:$D,IF(Settings!$B$4="","&lt;&gt;",Settings!$B$4)))</f>
        <v>0</v>
      </c>
      <c r="N255">
        <f>IF($L255&lt;&gt;1,0,SUMIFS('JLR Materials'!$F:$F,'JLR Materials'!$A:$A,$K255,'JLR Materials'!$C:$C,IF(Settings!$B$2="","&lt;&gt;",Settings!$B$2),'JLR Materials'!$D:$D,IF(Settings!$B$4="","&lt;&gt;",Settings!$B$4)))</f>
        <v>0</v>
      </c>
      <c r="O255">
        <f>IF($N255=0,0,IF(Settings!$B$5="percent",$M255*$N255/100,$N255))</f>
        <v>0</v>
      </c>
      <c r="P255">
        <f>IF($L255&lt;&gt;1,0,SUMIFS('JLR Materials'!$G:$G,'JLR Materials'!$A:$A,$K255,'JLR Materials'!$C:$C,IF(Settings!$B$2="","&lt;&gt;",Settings!$B$2),'JLR Materials'!$D:$D,IF(Settings!$B$4="","&lt;&gt;",Settings!$B$4)))</f>
        <v>0</v>
      </c>
    </row>
    <row r="256">
      <c r="A256" t="str">
        <v>mat-pp-ext-sheet</v>
      </c>
      <c r="B256" t="str">
        <v>PP Extrusion Sheet Grade</v>
      </c>
      <c r="C256" t="str">
        <v>Extrusion</v>
      </c>
      <c r="D256">
        <f>IF($M256&gt;0,$M256,1.15)</f>
        <v>1.15</v>
      </c>
      <c r="E256">
        <f>IF($O256&gt;0,$O256,0.1)</f>
        <v>0.1</v>
      </c>
      <c r="F256">
        <v>905</v>
      </c>
      <c r="G256" t="str">
        <v>UK</v>
      </c>
      <c r="H256" t="str">
        <f>IF($M256&gt;0,IF($L256&lt;&gt;1,"2026-07",IFERROR(INDEX('JLR Materials'!$D:$D,MATCH($K256,'JLR Materials'!$A:$A,0)),"2026-07")),"2026-07")</f>
        <v>2026-07</v>
      </c>
      <c r="I256" t="str">
        <f>IF($M256&gt;0,"JLR rate card — material code "&amp;$K256,"UK resin distributor 2026-07. High-melt-strength PP — thermoforming/packaging sheet, corrugated board.")</f>
        <v>UK resin distributor 2026-07. High-melt-strength PP — thermoforming/packaging sheet, corrugated board.</v>
      </c>
      <c r="J256" t="str">
        <v>Medium</v>
      </c>
      <c r="K256" t="str">
        <f>IFERROR(INDEX(Mapping!$C:$C,MATCH($A256,Mapping!$A:$A,0)),"")</f>
        <v/>
      </c>
      <c r="L256">
        <f>IF($K256="",0,COUNTIFS('JLR Materials'!$A:$A,$K256,'JLR Materials'!$C:$C,IF(Settings!$B$2="","&lt;&gt;",Settings!$B$2),'JLR Materials'!$D:$D,IF(Settings!$B$4="","&lt;&gt;",Settings!$B$4)))</f>
        <v>0</v>
      </c>
      <c r="M256">
        <f>IF($L256&lt;&gt;1,0,SUMIFS('JLR Materials'!$E:$E,'JLR Materials'!$A:$A,$K256,'JLR Materials'!$C:$C,IF(Settings!$B$2="","&lt;&gt;",Settings!$B$2),'JLR Materials'!$D:$D,IF(Settings!$B$4="","&lt;&gt;",Settings!$B$4)))</f>
        <v>0</v>
      </c>
      <c r="N256">
        <f>IF($L256&lt;&gt;1,0,SUMIFS('JLR Materials'!$F:$F,'JLR Materials'!$A:$A,$K256,'JLR Materials'!$C:$C,IF(Settings!$B$2="","&lt;&gt;",Settings!$B$2),'JLR Materials'!$D:$D,IF(Settings!$B$4="","&lt;&gt;",Settings!$B$4)))</f>
        <v>0</v>
      </c>
      <c r="O256">
        <f>IF($N256=0,0,IF(Settings!$B$5="percent",$M256*$N256/100,$N256))</f>
        <v>0</v>
      </c>
      <c r="P256">
        <f>IF($L256&lt;&gt;1,0,SUMIFS('JLR Materials'!$G:$G,'JLR Materials'!$A:$A,$K256,'JLR Materials'!$C:$C,IF(Settings!$B$2="","&lt;&gt;",Settings!$B$2),'JLR Materials'!$D:$D,IF(Settings!$B$4="","&lt;&gt;",Settings!$B$4)))</f>
        <v>0</v>
      </c>
    </row>
    <row r="257">
      <c r="A257" t="str">
        <v>mat-pa12-ext-tube</v>
      </c>
      <c r="B257" t="str">
        <v>PA12 Extrusion (fuel/brake line tube)</v>
      </c>
      <c r="C257" t="str">
        <v>Extrusion</v>
      </c>
      <c r="D257">
        <f>IF($M257&gt;0,$M257,6.2)</f>
        <v>6.2</v>
      </c>
      <c r="E257">
        <f>IF($O257&gt;0,$O257,0.1)</f>
        <v>0.1</v>
      </c>
      <c r="F257">
        <v>1010</v>
      </c>
      <c r="G257" t="str">
        <v>UK</v>
      </c>
      <c r="H257" t="str">
        <f>IF($M257&gt;0,IF($L257&lt;&gt;1,"2026-07",IFERROR(INDEX('JLR Materials'!$D:$D,MATCH($K257,'JLR Materials'!$A:$A,0)),"2026-07")),"2026-07")</f>
        <v>2026-07</v>
      </c>
      <c r="I257" t="str">
        <f>IF($M257&gt;0,"JLR rate card — material code "&amp;$K257,"UK speciality resin 2026-07. Nylon 12 — automotive fuel/brake/air-brake tube, multi-layer barrier line.")</f>
        <v>UK speciality resin 2026-07. Nylon 12 — automotive fuel/brake/air-brake tube, multi-layer barrier line.</v>
      </c>
      <c r="J257" t="str">
        <v>Low</v>
      </c>
      <c r="K257" t="str">
        <f>IFERROR(INDEX(Mapping!$C:$C,MATCH($A257,Mapping!$A:$A,0)),"")</f>
        <v/>
      </c>
      <c r="L257">
        <f>IF($K257="",0,COUNTIFS('JLR Materials'!$A:$A,$K257,'JLR Materials'!$C:$C,IF(Settings!$B$2="","&lt;&gt;",Settings!$B$2),'JLR Materials'!$D:$D,IF(Settings!$B$4="","&lt;&gt;",Settings!$B$4)))</f>
        <v>0</v>
      </c>
      <c r="M257">
        <f>IF($L257&lt;&gt;1,0,SUMIFS('JLR Materials'!$E:$E,'JLR Materials'!$A:$A,$K257,'JLR Materials'!$C:$C,IF(Settings!$B$2="","&lt;&gt;",Settings!$B$2),'JLR Materials'!$D:$D,IF(Settings!$B$4="","&lt;&gt;",Settings!$B$4)))</f>
        <v>0</v>
      </c>
      <c r="N257">
        <f>IF($L257&lt;&gt;1,0,SUMIFS('JLR Materials'!$F:$F,'JLR Materials'!$A:$A,$K257,'JLR Materials'!$C:$C,IF(Settings!$B$2="","&lt;&gt;",Settings!$B$2),'JLR Materials'!$D:$D,IF(Settings!$B$4="","&lt;&gt;",Settings!$B$4)))</f>
        <v>0</v>
      </c>
      <c r="O257">
        <f>IF($N257=0,0,IF(Settings!$B$5="percent",$M257*$N257/100,$N257))</f>
        <v>0</v>
      </c>
      <c r="P257">
        <f>IF($L257&lt;&gt;1,0,SUMIFS('JLR Materials'!$G:$G,'JLR Materials'!$A:$A,$K257,'JLR Materials'!$C:$C,IF(Settings!$B$2="","&lt;&gt;",Settings!$B$2),'JLR Materials'!$D:$D,IF(Settings!$B$4="","&lt;&gt;",Settings!$B$4)))</f>
        <v>0</v>
      </c>
    </row>
    <row r="258">
      <c r="A258" t="str">
        <v>mat-mb-colour</v>
      </c>
      <c r="B258" t="str">
        <v>Colour Masterbatch (universal)</v>
      </c>
      <c r="C258" t="str">
        <v>Additive / Masterbatch</v>
      </c>
      <c r="D258">
        <f>IF($M258&gt;0,$M258,4.5)</f>
        <v>4.5</v>
      </c>
      <c r="E258">
        <f>IF($O258&gt;0,$O258,0)</f>
        <v>0</v>
      </c>
      <c r="F258">
        <v>1200</v>
      </c>
      <c r="G258" t="str">
        <v>UK</v>
      </c>
      <c r="H258" t="str">
        <f>IF($M258&gt;0,IF($L258&lt;&gt;1,"2026-07",IFERROR(INDEX('JLR Materials'!$D:$D,MATCH($K258,'JLR Materials'!$A:$A,0)),"2026-07")),"2026-07")</f>
        <v>2026-07</v>
      </c>
      <c r="I258" t="str">
        <f>IF($M258&gt;0,"JLR rate card — material code "&amp;$K258,"UK MB supplier 2026-07. Universal colour concentrate; let-down ~2–4%.")</f>
        <v>UK MB supplier 2026-07. Universal colour concentrate; let-down ~2–4%.</v>
      </c>
      <c r="J258" t="str">
        <v>Medium</v>
      </c>
      <c r="K258" t="str">
        <f>IFERROR(INDEX(Mapping!$C:$C,MATCH($A258,Mapping!$A:$A,0)),"")</f>
        <v/>
      </c>
      <c r="L258">
        <f>IF($K258="",0,COUNTIFS('JLR Materials'!$A:$A,$K258,'JLR Materials'!$C:$C,IF(Settings!$B$2="","&lt;&gt;",Settings!$B$2),'JLR Materials'!$D:$D,IF(Settings!$B$4="","&lt;&gt;",Settings!$B$4)))</f>
        <v>0</v>
      </c>
      <c r="M258">
        <f>IF($L258&lt;&gt;1,0,SUMIFS('JLR Materials'!$E:$E,'JLR Materials'!$A:$A,$K258,'JLR Materials'!$C:$C,IF(Settings!$B$2="","&lt;&gt;",Settings!$B$2),'JLR Materials'!$D:$D,IF(Settings!$B$4="","&lt;&gt;",Settings!$B$4)))</f>
        <v>0</v>
      </c>
      <c r="N258">
        <f>IF($L258&lt;&gt;1,0,SUMIFS('JLR Materials'!$F:$F,'JLR Materials'!$A:$A,$K258,'JLR Materials'!$C:$C,IF(Settings!$B$2="","&lt;&gt;",Settings!$B$2),'JLR Materials'!$D:$D,IF(Settings!$B$4="","&lt;&gt;",Settings!$B$4)))</f>
        <v>0</v>
      </c>
      <c r="O258">
        <f>IF($N258=0,0,IF(Settings!$B$5="percent",$M258*$N258/100,$N258))</f>
        <v>0</v>
      </c>
      <c r="P258">
        <f>IF($L258&lt;&gt;1,0,SUMIFS('JLR Materials'!$G:$G,'JLR Materials'!$A:$A,$K258,'JLR Materials'!$C:$C,IF(Settings!$B$2="","&lt;&gt;",Settings!$B$2),'JLR Materials'!$D:$D,IF(Settings!$B$4="","&lt;&gt;",Settings!$B$4)))</f>
        <v>0</v>
      </c>
    </row>
    <row r="259">
      <c r="A259" t="str">
        <v>mat-mb-white-tio2</v>
      </c>
      <c r="B259" t="str">
        <v>White Masterbatch (70% TiO₂)</v>
      </c>
      <c r="C259" t="str">
        <v>Additive / Masterbatch</v>
      </c>
      <c r="D259">
        <f>IF($M259&gt;0,$M259,3.2)</f>
        <v>3.2</v>
      </c>
      <c r="E259">
        <f>IF($O259&gt;0,$O259,0)</f>
        <v>0</v>
      </c>
      <c r="F259">
        <v>1600</v>
      </c>
      <c r="G259" t="str">
        <v>UK</v>
      </c>
      <c r="H259" t="str">
        <f>IF($M259&gt;0,IF($L259&lt;&gt;1,"2026-07",IFERROR(INDEX('JLR Materials'!$D:$D,MATCH($K259,'JLR Materials'!$A:$A,0)),"2026-07")),"2026-07")</f>
        <v>2026-07</v>
      </c>
      <c r="I259" t="str">
        <f>IF($M259&gt;0,"JLR rate card — material code "&amp;$K259,"UK MB supplier 2026-07. High-TiO₂ white; let-down ~3–6%.")</f>
        <v>UK MB supplier 2026-07. High-TiO₂ white; let-down ~3–6%.</v>
      </c>
      <c r="J259" t="str">
        <v>Medium</v>
      </c>
      <c r="K259" t="str">
        <f>IFERROR(INDEX(Mapping!$C:$C,MATCH($A259,Mapping!$A:$A,0)),"")</f>
        <v/>
      </c>
      <c r="L259">
        <f>IF($K259="",0,COUNTIFS('JLR Materials'!$A:$A,$K259,'JLR Materials'!$C:$C,IF(Settings!$B$2="","&lt;&gt;",Settings!$B$2),'JLR Materials'!$D:$D,IF(Settings!$B$4="","&lt;&gt;",Settings!$B$4)))</f>
        <v>0</v>
      </c>
      <c r="M259">
        <f>IF($L259&lt;&gt;1,0,SUMIFS('JLR Materials'!$E:$E,'JLR Materials'!$A:$A,$K259,'JLR Materials'!$C:$C,IF(Settings!$B$2="","&lt;&gt;",Settings!$B$2),'JLR Materials'!$D:$D,IF(Settings!$B$4="","&lt;&gt;",Settings!$B$4)))</f>
        <v>0</v>
      </c>
      <c r="N259">
        <f>IF($L259&lt;&gt;1,0,SUMIFS('JLR Materials'!$F:$F,'JLR Materials'!$A:$A,$K259,'JLR Materials'!$C:$C,IF(Settings!$B$2="","&lt;&gt;",Settings!$B$2),'JLR Materials'!$D:$D,IF(Settings!$B$4="","&lt;&gt;",Settings!$B$4)))</f>
        <v>0</v>
      </c>
      <c r="O259">
        <f>IF($N259=0,0,IF(Settings!$B$5="percent",$M259*$N259/100,$N259))</f>
        <v>0</v>
      </c>
      <c r="P259">
        <f>IF($L259&lt;&gt;1,0,SUMIFS('JLR Materials'!$G:$G,'JLR Materials'!$A:$A,$K259,'JLR Materials'!$C:$C,IF(Settings!$B$2="","&lt;&gt;",Settings!$B$2),'JLR Materials'!$D:$D,IF(Settings!$B$4="","&lt;&gt;",Settings!$B$4)))</f>
        <v>0</v>
      </c>
    </row>
    <row r="260">
      <c r="A260" t="str">
        <v>mat-mb-black</v>
      </c>
      <c r="B260" t="str">
        <v>Black Masterbatch (40% carbon)</v>
      </c>
      <c r="C260" t="str">
        <v>Additive / Masterbatch</v>
      </c>
      <c r="D260">
        <f>IF($M260&gt;0,$M260,2.1)</f>
        <v>2.1</v>
      </c>
      <c r="E260">
        <f>IF($O260&gt;0,$O260,0)</f>
        <v>0</v>
      </c>
      <c r="F260">
        <v>1150</v>
      </c>
      <c r="G260" t="str">
        <v>UK</v>
      </c>
      <c r="H260" t="str">
        <f>IF($M260&gt;0,IF($L260&lt;&gt;1,"2026-07",IFERROR(INDEX('JLR Materials'!$D:$D,MATCH($K260,'JLR Materials'!$A:$A,0)),"2026-07")),"2026-07")</f>
        <v>2026-07</v>
      </c>
      <c r="I260" t="str">
        <f>IF($M260&gt;0,"JLR rate card — material code "&amp;$K260,"UK MB supplier 2026-07. Carbon-black concentrate (also UV shield); let-down ~2–3%.")</f>
        <v>UK MB supplier 2026-07. Carbon-black concentrate (also UV shield); let-down ~2–3%.</v>
      </c>
      <c r="J260" t="str">
        <v>Medium</v>
      </c>
      <c r="K260" t="str">
        <f>IFERROR(INDEX(Mapping!$C:$C,MATCH($A260,Mapping!$A:$A,0)),"")</f>
        <v/>
      </c>
      <c r="L260">
        <f>IF($K260="",0,COUNTIFS('JLR Materials'!$A:$A,$K260,'JLR Materials'!$C:$C,IF(Settings!$B$2="","&lt;&gt;",Settings!$B$2),'JLR Materials'!$D:$D,IF(Settings!$B$4="","&lt;&gt;",Settings!$B$4)))</f>
        <v>0</v>
      </c>
      <c r="M260">
        <f>IF($L260&lt;&gt;1,0,SUMIFS('JLR Materials'!$E:$E,'JLR Materials'!$A:$A,$K260,'JLR Materials'!$C:$C,IF(Settings!$B$2="","&lt;&gt;",Settings!$B$2),'JLR Materials'!$D:$D,IF(Settings!$B$4="","&lt;&gt;",Settings!$B$4)))</f>
        <v>0</v>
      </c>
      <c r="N260">
        <f>IF($L260&lt;&gt;1,0,SUMIFS('JLR Materials'!$F:$F,'JLR Materials'!$A:$A,$K260,'JLR Materials'!$C:$C,IF(Settings!$B$2="","&lt;&gt;",Settings!$B$2),'JLR Materials'!$D:$D,IF(Settings!$B$4="","&lt;&gt;",Settings!$B$4)))</f>
        <v>0</v>
      </c>
      <c r="O260">
        <f>IF($N260=0,0,IF(Settings!$B$5="percent",$M260*$N260/100,$N260))</f>
        <v>0</v>
      </c>
      <c r="P260">
        <f>IF($L260&lt;&gt;1,0,SUMIFS('JLR Materials'!$G:$G,'JLR Materials'!$A:$A,$K260,'JLR Materials'!$C:$C,IF(Settings!$B$2="","&lt;&gt;",Settings!$B$2),'JLR Materials'!$D:$D,IF(Settings!$B$4="","&lt;&gt;",Settings!$B$4)))</f>
        <v>0</v>
      </c>
    </row>
    <row r="261">
      <c r="A261" t="str">
        <v>mat-add-uv</v>
      </c>
      <c r="B261" t="str">
        <v>UV Stabiliser Masterbatch (HALS)</v>
      </c>
      <c r="C261" t="str">
        <v>Additive / Masterbatch</v>
      </c>
      <c r="D261">
        <f>IF($M261&gt;0,$M261,6.8)</f>
        <v>6.8</v>
      </c>
      <c r="E261">
        <f>IF($O261&gt;0,$O261,0)</f>
        <v>0</v>
      </c>
      <c r="F261">
        <v>1000</v>
      </c>
      <c r="G261" t="str">
        <v>UK</v>
      </c>
      <c r="H261" t="str">
        <f>IF($M261&gt;0,IF($L261&lt;&gt;1,"2026-07",IFERROR(INDEX('JLR Materials'!$D:$D,MATCH($K261,'JLR Materials'!$A:$A,0)),"2026-07")),"2026-07")</f>
        <v>2026-07</v>
      </c>
      <c r="I261" t="str">
        <f>IF($M261&gt;0,"JLR rate card — material code "&amp;$K261,"UK additive supplier 2026-07. HALS/UV-absorber concentrate for outdoor profiles/pipe; let-down ~1–3%.")</f>
        <v>UK additive supplier 2026-07. HALS/UV-absorber concentrate for outdoor profiles/pipe; let-down ~1–3%.</v>
      </c>
      <c r="J261" t="str">
        <v>Low</v>
      </c>
      <c r="K261" t="str">
        <f>IFERROR(INDEX(Mapping!$C:$C,MATCH($A261,Mapping!$A:$A,0)),"")</f>
        <v/>
      </c>
      <c r="L261">
        <f>IF($K261="",0,COUNTIFS('JLR Materials'!$A:$A,$K261,'JLR Materials'!$C:$C,IF(Settings!$B$2="","&lt;&gt;",Settings!$B$2),'JLR Materials'!$D:$D,IF(Settings!$B$4="","&lt;&gt;",Settings!$B$4)))</f>
        <v>0</v>
      </c>
      <c r="M261">
        <f>IF($L261&lt;&gt;1,0,SUMIFS('JLR Materials'!$E:$E,'JLR Materials'!$A:$A,$K261,'JLR Materials'!$C:$C,IF(Settings!$B$2="","&lt;&gt;",Settings!$B$2),'JLR Materials'!$D:$D,IF(Settings!$B$4="","&lt;&gt;",Settings!$B$4)))</f>
        <v>0</v>
      </c>
      <c r="N261">
        <f>IF($L261&lt;&gt;1,0,SUMIFS('JLR Materials'!$F:$F,'JLR Materials'!$A:$A,$K261,'JLR Materials'!$C:$C,IF(Settings!$B$2="","&lt;&gt;",Settings!$B$2),'JLR Materials'!$D:$D,IF(Settings!$B$4="","&lt;&gt;",Settings!$B$4)))</f>
        <v>0</v>
      </c>
      <c r="O261">
        <f>IF($N261=0,0,IF(Settings!$B$5="percent",$M261*$N261/100,$N261))</f>
        <v>0</v>
      </c>
      <c r="P261">
        <f>IF($L261&lt;&gt;1,0,SUMIFS('JLR Materials'!$G:$G,'JLR Materials'!$A:$A,$K261,'JLR Materials'!$C:$C,IF(Settings!$B$2="","&lt;&gt;",Settings!$B$2),'JLR Materials'!$D:$D,IF(Settings!$B$4="","&lt;&gt;",Settings!$B$4)))</f>
        <v>0</v>
      </c>
    </row>
    <row r="262">
      <c r="A262" t="str">
        <v>mat-add-antistat</v>
      </c>
      <c r="B262" t="str">
        <v>Anti-Static Additive Masterbatch</v>
      </c>
      <c r="C262" t="str">
        <v>Additive / Masterbatch</v>
      </c>
      <c r="D262">
        <f>IF($M262&gt;0,$M262,5.5)</f>
        <v>5.5</v>
      </c>
      <c r="E262">
        <f>IF($O262&gt;0,$O262,0)</f>
        <v>0</v>
      </c>
      <c r="F262">
        <v>1000</v>
      </c>
      <c r="G262" t="str">
        <v>UK</v>
      </c>
      <c r="H262" t="str">
        <f>IF($M262&gt;0,IF($L262&lt;&gt;1,"2026-07",IFERROR(INDEX('JLR Materials'!$D:$D,MATCH($K262,'JLR Materials'!$A:$A,0)),"2026-07")),"2026-07")</f>
        <v>2026-07</v>
      </c>
      <c r="I262" t="str">
        <f>IF($M262&gt;0,"JLR rate card — material code "&amp;$K262,"UK additive supplier 2026-07. Migratory/permanent anti-stat; let-down ~1–2%.")</f>
        <v>UK additive supplier 2026-07. Migratory/permanent anti-stat; let-down ~1–2%.</v>
      </c>
      <c r="J262" t="str">
        <v>Low</v>
      </c>
      <c r="K262" t="str">
        <f>IFERROR(INDEX(Mapping!$C:$C,MATCH($A262,Mapping!$A:$A,0)),"")</f>
        <v/>
      </c>
      <c r="L262">
        <f>IF($K262="",0,COUNTIFS('JLR Materials'!$A:$A,$K262,'JLR Materials'!$C:$C,IF(Settings!$B$2="","&lt;&gt;",Settings!$B$2),'JLR Materials'!$D:$D,IF(Settings!$B$4="","&lt;&gt;",Settings!$B$4)))</f>
        <v>0</v>
      </c>
      <c r="M262">
        <f>IF($L262&lt;&gt;1,0,SUMIFS('JLR Materials'!$E:$E,'JLR Materials'!$A:$A,$K262,'JLR Materials'!$C:$C,IF(Settings!$B$2="","&lt;&gt;",Settings!$B$2),'JLR Materials'!$D:$D,IF(Settings!$B$4="","&lt;&gt;",Settings!$B$4)))</f>
        <v>0</v>
      </c>
      <c r="N262">
        <f>IF($L262&lt;&gt;1,0,SUMIFS('JLR Materials'!$F:$F,'JLR Materials'!$A:$A,$K262,'JLR Materials'!$C:$C,IF(Settings!$B$2="","&lt;&gt;",Settings!$B$2),'JLR Materials'!$D:$D,IF(Settings!$B$4="","&lt;&gt;",Settings!$B$4)))</f>
        <v>0</v>
      </c>
      <c r="O262">
        <f>IF($N262=0,0,IF(Settings!$B$5="percent",$M262*$N262/100,$N262))</f>
        <v>0</v>
      </c>
      <c r="P262">
        <f>IF($L262&lt;&gt;1,0,SUMIFS('JLR Materials'!$G:$G,'JLR Materials'!$A:$A,$K262,'JLR Materials'!$C:$C,IF(Settings!$B$2="","&lt;&gt;",Settings!$B$2),'JLR Materials'!$D:$D,IF(Settings!$B$4="","&lt;&gt;",Settings!$B$4)))</f>
        <v>0</v>
      </c>
    </row>
    <row r="263">
      <c r="A263" t="str">
        <v>mat-add-fr</v>
      </c>
      <c r="B263" t="str">
        <v>Flame-Retardant Masterbatch (halogen-free)</v>
      </c>
      <c r="C263" t="str">
        <v>Additive / Masterbatch</v>
      </c>
      <c r="D263">
        <f>IF($M263&gt;0,$M263,4.2)</f>
        <v>4.2</v>
      </c>
      <c r="E263">
        <f>IF($O263&gt;0,$O263,0)</f>
        <v>0</v>
      </c>
      <c r="F263">
        <v>1300</v>
      </c>
      <c r="G263" t="str">
        <v>UK</v>
      </c>
      <c r="H263" t="str">
        <f>IF($M263&gt;0,IF($L263&lt;&gt;1,"2026-07",IFERROR(INDEX('JLR Materials'!$D:$D,MATCH($K263,'JLR Materials'!$A:$A,0)),"2026-07")),"2026-07")</f>
        <v>2026-07</v>
      </c>
      <c r="I263" t="str">
        <f>IF($M263&gt;0,"JLR rate card — material code "&amp;$K263,"UK additive supplier 2026-07. Non-halogen FR for cable/profile; high let-down ~10–25% (property-driven).")</f>
        <v>UK additive supplier 2026-07. Non-halogen FR for cable/profile; high let-down ~10–25% (property-driven).</v>
      </c>
      <c r="J263" t="str">
        <v>Low</v>
      </c>
      <c r="K263" t="str">
        <f>IFERROR(INDEX(Mapping!$C:$C,MATCH($A263,Mapping!$A:$A,0)),"")</f>
        <v/>
      </c>
      <c r="L263">
        <f>IF($K263="",0,COUNTIFS('JLR Materials'!$A:$A,$K263,'JLR Materials'!$C:$C,IF(Settings!$B$2="","&lt;&gt;",Settings!$B$2),'JLR Materials'!$D:$D,IF(Settings!$B$4="","&lt;&gt;",Settings!$B$4)))</f>
        <v>0</v>
      </c>
      <c r="M263">
        <f>IF($L263&lt;&gt;1,0,SUMIFS('JLR Materials'!$E:$E,'JLR Materials'!$A:$A,$K263,'JLR Materials'!$C:$C,IF(Settings!$B$2="","&lt;&gt;",Settings!$B$2),'JLR Materials'!$D:$D,IF(Settings!$B$4="","&lt;&gt;",Settings!$B$4)))</f>
        <v>0</v>
      </c>
      <c r="N263">
        <f>IF($L263&lt;&gt;1,0,SUMIFS('JLR Materials'!$F:$F,'JLR Materials'!$A:$A,$K263,'JLR Materials'!$C:$C,IF(Settings!$B$2="","&lt;&gt;",Settings!$B$2),'JLR Materials'!$D:$D,IF(Settings!$B$4="","&lt;&gt;",Settings!$B$4)))</f>
        <v>0</v>
      </c>
      <c r="O263">
        <f>IF($N263=0,0,IF(Settings!$B$5="percent",$M263*$N263/100,$N263))</f>
        <v>0</v>
      </c>
      <c r="P263">
        <f>IF($L263&lt;&gt;1,0,SUMIFS('JLR Materials'!$G:$G,'JLR Materials'!$A:$A,$K263,'JLR Materials'!$C:$C,IF(Settings!$B$2="","&lt;&gt;",Settings!$B$2),'JLR Materials'!$D:$D,IF(Settings!$B$4="","&lt;&gt;",Settings!$B$4)))</f>
        <v>0</v>
      </c>
    </row>
    <row r="264">
      <c r="A264" t="str">
        <v>mat-add-impact</v>
      </c>
      <c r="B264" t="str">
        <v>Impact Modifier (acrylic/CPE)</v>
      </c>
      <c r="C264" t="str">
        <v>Additive / Masterbatch</v>
      </c>
      <c r="D264">
        <f>IF($M264&gt;0,$M264,3.1)</f>
        <v>3.1</v>
      </c>
      <c r="E264">
        <f>IF($O264&gt;0,$O264,0)</f>
        <v>0</v>
      </c>
      <c r="F264">
        <v>1000</v>
      </c>
      <c r="G264" t="str">
        <v>UK</v>
      </c>
      <c r="H264" t="str">
        <f>IF($M264&gt;0,IF($L264&lt;&gt;1,"2026-07",IFERROR(INDEX('JLR Materials'!$D:$D,MATCH($K264,'JLR Materials'!$A:$A,0)),"2026-07")),"2026-07")</f>
        <v>2026-07</v>
      </c>
      <c r="I264" t="str">
        <f>IF($M264&gt;0,"JLR rate card — material code "&amp;$K264,"UK additive supplier 2026-07. Impact modifier for rigid PVC/PP; let-down ~4–8%.")</f>
        <v>UK additive supplier 2026-07. Impact modifier for rigid PVC/PP; let-down ~4–8%.</v>
      </c>
      <c r="J264" t="str">
        <v>Low</v>
      </c>
      <c r="K264" t="str">
        <f>IFERROR(INDEX(Mapping!$C:$C,MATCH($A264,Mapping!$A:$A,0)),"")</f>
        <v/>
      </c>
      <c r="L264">
        <f>IF($K264="",0,COUNTIFS('JLR Materials'!$A:$A,$K264,'JLR Materials'!$C:$C,IF(Settings!$B$2="","&lt;&gt;",Settings!$B$2),'JLR Materials'!$D:$D,IF(Settings!$B$4="","&lt;&gt;",Settings!$B$4)))</f>
        <v>0</v>
      </c>
      <c r="M264">
        <f>IF($L264&lt;&gt;1,0,SUMIFS('JLR Materials'!$E:$E,'JLR Materials'!$A:$A,$K264,'JLR Materials'!$C:$C,IF(Settings!$B$2="","&lt;&gt;",Settings!$B$2),'JLR Materials'!$D:$D,IF(Settings!$B$4="","&lt;&gt;",Settings!$B$4)))</f>
        <v>0</v>
      </c>
      <c r="N264">
        <f>IF($L264&lt;&gt;1,0,SUMIFS('JLR Materials'!$F:$F,'JLR Materials'!$A:$A,$K264,'JLR Materials'!$C:$C,IF(Settings!$B$2="","&lt;&gt;",Settings!$B$2),'JLR Materials'!$D:$D,IF(Settings!$B$4="","&lt;&gt;",Settings!$B$4)))</f>
        <v>0</v>
      </c>
      <c r="O264">
        <f>IF($N264=0,0,IF(Settings!$B$5="percent",$M264*$N264/100,$N264))</f>
        <v>0</v>
      </c>
      <c r="P264">
        <f>IF($L264&lt;&gt;1,0,SUMIFS('JLR Materials'!$G:$G,'JLR Materials'!$A:$A,$K264,'JLR Materials'!$C:$C,IF(Settings!$B$2="","&lt;&gt;",Settings!$B$2),'JLR Materials'!$D:$D,IF(Settings!$B$4="","&lt;&gt;",Settings!$B$4)))</f>
        <v>0</v>
      </c>
    </row>
    <row r="265">
      <c r="A265" t="str">
        <v>mat-add-procaid</v>
      </c>
      <c r="B265" t="str">
        <v>Processing Aid (fluoropolymer PPA)</v>
      </c>
      <c r="C265" t="str">
        <v>Additive / Masterbatch</v>
      </c>
      <c r="D265">
        <f>IF($M265&gt;0,$M265,8.5)</f>
        <v>8.5</v>
      </c>
      <c r="E265">
        <f>IF($O265&gt;0,$O265,0)</f>
        <v>0</v>
      </c>
      <c r="F265">
        <v>1000</v>
      </c>
      <c r="G265" t="str">
        <v>UK</v>
      </c>
      <c r="H265" t="str">
        <f>IF($M265&gt;0,IF($L265&lt;&gt;1,"2026-07",IFERROR(INDEX('JLR Materials'!$D:$D,MATCH($K265,'JLR Materials'!$A:$A,0)),"2026-07")),"2026-07")</f>
        <v>2026-07</v>
      </c>
      <c r="I265" t="str">
        <f>IF($M265&gt;0,"JLR rate card — material code "&amp;$K265,"UK additive supplier 2026-07. Fluoropolymer PPA — eliminates melt fracture, boosts output; let-down ~0.05–0.1%.")</f>
        <v>UK additive supplier 2026-07. Fluoropolymer PPA — eliminates melt fracture, boosts output; let-down ~0.05–0.1%.</v>
      </c>
      <c r="J265" t="str">
        <v>Low</v>
      </c>
      <c r="K265" t="str">
        <f>IFERROR(INDEX(Mapping!$C:$C,MATCH($A265,Mapping!$A:$A,0)),"")</f>
        <v/>
      </c>
      <c r="L265">
        <f>IF($K265="",0,COUNTIFS('JLR Materials'!$A:$A,$K265,'JLR Materials'!$C:$C,IF(Settings!$B$2="","&lt;&gt;",Settings!$B$2),'JLR Materials'!$D:$D,IF(Settings!$B$4="","&lt;&gt;",Settings!$B$4)))</f>
        <v>0</v>
      </c>
      <c r="M265">
        <f>IF($L265&lt;&gt;1,0,SUMIFS('JLR Materials'!$E:$E,'JLR Materials'!$A:$A,$K265,'JLR Materials'!$C:$C,IF(Settings!$B$2="","&lt;&gt;",Settings!$B$2),'JLR Materials'!$D:$D,IF(Settings!$B$4="","&lt;&gt;",Settings!$B$4)))</f>
        <v>0</v>
      </c>
      <c r="N265">
        <f>IF($L265&lt;&gt;1,0,SUMIFS('JLR Materials'!$F:$F,'JLR Materials'!$A:$A,$K265,'JLR Materials'!$C:$C,IF(Settings!$B$2="","&lt;&gt;",Settings!$B$2),'JLR Materials'!$D:$D,IF(Settings!$B$4="","&lt;&gt;",Settings!$B$4)))</f>
        <v>0</v>
      </c>
      <c r="O265">
        <f>IF($N265=0,0,IF(Settings!$B$5="percent",$M265*$N265/100,$N265))</f>
        <v>0</v>
      </c>
      <c r="P265">
        <f>IF($L265&lt;&gt;1,0,SUMIFS('JLR Materials'!$G:$G,'JLR Materials'!$A:$A,$K265,'JLR Materials'!$C:$C,IF(Settings!$B$2="","&lt;&gt;",Settings!$B$2),'JLR Materials'!$D:$D,IF(Settings!$B$4="","&lt;&gt;",Settings!$B$4)))</f>
        <v>0</v>
      </c>
    </row>
    <row r="266">
      <c r="A266" t="str">
        <v>mat-hips-tf</v>
      </c>
      <c r="B266" t="str">
        <v>HIPS Thermoforming Sheet</v>
      </c>
      <c r="C266" t="str">
        <v>Thermoforming Sheet</v>
      </c>
      <c r="D266">
        <f>IF($M266&gt;0,$M266,1.05)</f>
        <v>1.05</v>
      </c>
      <c r="E266">
        <f>IF($O266&gt;0,$O266,0.3)</f>
        <v>0.3</v>
      </c>
      <c r="F266">
        <v>1040</v>
      </c>
      <c r="G266" t="str">
        <v>UK</v>
      </c>
      <c r="H266" t="str">
        <f>IF($M266&gt;0,IF($L266&lt;&gt;1,"2026-07",IFERROR(INDEX('JLR Materials'!$D:$D,MATCH($K266,'JLR Materials'!$A:$A,0)),"2026-07")),"2026-07")</f>
        <v>2026-07</v>
      </c>
      <c r="I266" t="str">
        <f>IF($M266&gt;0,"JLR rate card — material code "&amp;$K266,"UK sheet extruder 2026-07. High-impact PS gauge sheet — cups, trays, signage, refrigerator liners. Wide forming window; skeleton fully regrindable.")</f>
        <v>UK sheet extruder 2026-07. High-impact PS gauge sheet — cups, trays, signage, refrigerator liners. Wide forming window; skeleton fully regrindable.</v>
      </c>
      <c r="J266" t="str">
        <v>Medium</v>
      </c>
      <c r="K266" t="str">
        <f>IFERROR(INDEX(Mapping!$C:$C,MATCH($A266,Mapping!$A:$A,0)),"")</f>
        <v/>
      </c>
      <c r="L266">
        <f>IF($K266="",0,COUNTIFS('JLR Materials'!$A:$A,$K266,'JLR Materials'!$C:$C,IF(Settings!$B$2="","&lt;&gt;",Settings!$B$2),'JLR Materials'!$D:$D,IF(Settings!$B$4="","&lt;&gt;",Settings!$B$4)))</f>
        <v>0</v>
      </c>
      <c r="M266">
        <f>IF($L266&lt;&gt;1,0,SUMIFS('JLR Materials'!$E:$E,'JLR Materials'!$A:$A,$K266,'JLR Materials'!$C:$C,IF(Settings!$B$2="","&lt;&gt;",Settings!$B$2),'JLR Materials'!$D:$D,IF(Settings!$B$4="","&lt;&gt;",Settings!$B$4)))</f>
        <v>0</v>
      </c>
      <c r="N266">
        <f>IF($L266&lt;&gt;1,0,SUMIFS('JLR Materials'!$F:$F,'JLR Materials'!$A:$A,$K266,'JLR Materials'!$C:$C,IF(Settings!$B$2="","&lt;&gt;",Settings!$B$2),'JLR Materials'!$D:$D,IF(Settings!$B$4="","&lt;&gt;",Settings!$B$4)))</f>
        <v>0</v>
      </c>
      <c r="O266">
        <f>IF($N266=0,0,IF(Settings!$B$5="percent",$M266*$N266/100,$N266))</f>
        <v>0</v>
      </c>
      <c r="P266">
        <f>IF($L266&lt;&gt;1,0,SUMIFS('JLR Materials'!$G:$G,'JLR Materials'!$A:$A,$K266,'JLR Materials'!$C:$C,IF(Settings!$B$2="","&lt;&gt;",Settings!$B$2),'JLR Materials'!$D:$D,IF(Settings!$B$4="","&lt;&gt;",Settings!$B$4)))</f>
        <v>0</v>
      </c>
    </row>
    <row r="267">
      <c r="A267" t="str">
        <v>mat-abs-tf</v>
      </c>
      <c r="B267" t="str">
        <v>ABS Thermoforming Sheet</v>
      </c>
      <c r="C267" t="str">
        <v>Thermoforming Sheet</v>
      </c>
      <c r="D267">
        <f>IF($M267&gt;0,$M267,2)</f>
        <v>2</v>
      </c>
      <c r="E267">
        <f>IF($O267&gt;0,$O267,0.45)</f>
        <v>0.45</v>
      </c>
      <c r="F267">
        <v>1050</v>
      </c>
      <c r="G267" t="str">
        <v>UK</v>
      </c>
      <c r="H267" t="str">
        <f>IF($M267&gt;0,IF($L267&lt;&gt;1,"2026-07",IFERROR(INDEX('JLR Materials'!$D:$D,MATCH($K267,'JLR Materials'!$A:$A,0)),"2026-07")),"2026-07")</f>
        <v>2026-07</v>
      </c>
      <c r="I267" t="str">
        <f>IF($M267&gt;0,"JLR rate card — material code "&amp;$K267,"UK sheet extruder 2026-07. Automotive/appliance ABS gauge sheet — interior trim, cargo liners, luggage; SPI texture capable.")</f>
        <v>UK sheet extruder 2026-07. Automotive/appliance ABS gauge sheet — interior trim, cargo liners, luggage; SPI texture capable.</v>
      </c>
      <c r="J267" t="str">
        <v>Medium</v>
      </c>
      <c r="K267" t="str">
        <f>IFERROR(INDEX(Mapping!$C:$C,MATCH($A267,Mapping!$A:$A,0)),"")</f>
        <v/>
      </c>
      <c r="L267">
        <f>IF($K267="",0,COUNTIFS('JLR Materials'!$A:$A,$K267,'JLR Materials'!$C:$C,IF(Settings!$B$2="","&lt;&gt;",Settings!$B$2),'JLR Materials'!$D:$D,IF(Settings!$B$4="","&lt;&gt;",Settings!$B$4)))</f>
        <v>0</v>
      </c>
      <c r="M267">
        <f>IF($L267&lt;&gt;1,0,SUMIFS('JLR Materials'!$E:$E,'JLR Materials'!$A:$A,$K267,'JLR Materials'!$C:$C,IF(Settings!$B$2="","&lt;&gt;",Settings!$B$2),'JLR Materials'!$D:$D,IF(Settings!$B$4="","&lt;&gt;",Settings!$B$4)))</f>
        <v>0</v>
      </c>
      <c r="N267">
        <f>IF($L267&lt;&gt;1,0,SUMIFS('JLR Materials'!$F:$F,'JLR Materials'!$A:$A,$K267,'JLR Materials'!$C:$C,IF(Settings!$B$2="","&lt;&gt;",Settings!$B$2),'JLR Materials'!$D:$D,IF(Settings!$B$4="","&lt;&gt;",Settings!$B$4)))</f>
        <v>0</v>
      </c>
      <c r="O267">
        <f>IF($N267=0,0,IF(Settings!$B$5="percent",$M267*$N267/100,$N267))</f>
        <v>0</v>
      </c>
      <c r="P267">
        <f>IF($L267&lt;&gt;1,0,SUMIFS('JLR Materials'!$G:$G,'JLR Materials'!$A:$A,$K267,'JLR Materials'!$C:$C,IF(Settings!$B$2="","&lt;&gt;",Settings!$B$2),'JLR Materials'!$D:$D,IF(Settings!$B$4="","&lt;&gt;",Settings!$B$4)))</f>
        <v>0</v>
      </c>
    </row>
    <row r="268">
      <c r="A268" t="str">
        <v>mat-petg-tf</v>
      </c>
      <c r="B268" t="str">
        <v>PETG Thermoforming Sheet (clear)</v>
      </c>
      <c r="C268" t="str">
        <v>Thermoforming Sheet</v>
      </c>
      <c r="D268">
        <f>IF($M268&gt;0,$M268,1.85)</f>
        <v>1.85</v>
      </c>
      <c r="E268">
        <f>IF($O268&gt;0,$O268,0.45)</f>
        <v>0.45</v>
      </c>
      <c r="F268">
        <v>1270</v>
      </c>
      <c r="G268" t="str">
        <v>UK</v>
      </c>
      <c r="H268" t="str">
        <f>IF($M268&gt;0,IF($L268&lt;&gt;1,"2026-07",IFERROR(INDEX('JLR Materials'!$D:$D,MATCH($K268,'JLR Materials'!$A:$A,0)),"2026-07")),"2026-07")</f>
        <v>2026-07</v>
      </c>
      <c r="I268" t="str">
        <f>IF($M268&gt;0,"JLR rate card — material code "&amp;$K268,"UK sheet extruder 2026-07. Glycol-modified PET — clear packaging, medical trays, retail; easy deep draw, no pre-dry.")</f>
        <v>UK sheet extruder 2026-07. Glycol-modified PET — clear packaging, medical trays, retail; easy deep draw, no pre-dry.</v>
      </c>
      <c r="J268" t="str">
        <v>Medium</v>
      </c>
      <c r="K268" t="str">
        <f>IFERROR(INDEX(Mapping!$C:$C,MATCH($A268,Mapping!$A:$A,0)),"")</f>
        <v/>
      </c>
      <c r="L268">
        <f>IF($K268="",0,COUNTIFS('JLR Materials'!$A:$A,$K268,'JLR Materials'!$C:$C,IF(Settings!$B$2="","&lt;&gt;",Settings!$B$2),'JLR Materials'!$D:$D,IF(Settings!$B$4="","&lt;&gt;",Settings!$B$4)))</f>
        <v>0</v>
      </c>
      <c r="M268">
        <f>IF($L268&lt;&gt;1,0,SUMIFS('JLR Materials'!$E:$E,'JLR Materials'!$A:$A,$K268,'JLR Materials'!$C:$C,IF(Settings!$B$2="","&lt;&gt;",Settings!$B$2),'JLR Materials'!$D:$D,IF(Settings!$B$4="","&lt;&gt;",Settings!$B$4)))</f>
        <v>0</v>
      </c>
      <c r="N268">
        <f>IF($L268&lt;&gt;1,0,SUMIFS('JLR Materials'!$F:$F,'JLR Materials'!$A:$A,$K268,'JLR Materials'!$C:$C,IF(Settings!$B$2="","&lt;&gt;",Settings!$B$2),'JLR Materials'!$D:$D,IF(Settings!$B$4="","&lt;&gt;",Settings!$B$4)))</f>
        <v>0</v>
      </c>
      <c r="O268">
        <f>IF($N268=0,0,IF(Settings!$B$5="percent",$M268*$N268/100,$N268))</f>
        <v>0</v>
      </c>
      <c r="P268">
        <f>IF($L268&lt;&gt;1,0,SUMIFS('JLR Materials'!$G:$G,'JLR Materials'!$A:$A,$K268,'JLR Materials'!$C:$C,IF(Settings!$B$2="","&lt;&gt;",Settings!$B$2),'JLR Materials'!$D:$D,IF(Settings!$B$4="","&lt;&gt;",Settings!$B$4)))</f>
        <v>0</v>
      </c>
    </row>
    <row r="269">
      <c r="A269" t="str">
        <v>mat-apet-tf</v>
      </c>
      <c r="B269" t="str">
        <v>APET Sheet (amorphous, food pack)</v>
      </c>
      <c r="C269" t="str">
        <v>Thermoforming Sheet</v>
      </c>
      <c r="D269">
        <f>IF($M269&gt;0,$M269,1.55)</f>
        <v>1.55</v>
      </c>
      <c r="E269">
        <f>IF($O269&gt;0,$O269,0.4)</f>
        <v>0.4</v>
      </c>
      <c r="F269">
        <v>1340</v>
      </c>
      <c r="G269" t="str">
        <v>UK</v>
      </c>
      <c r="H269" t="str">
        <f>IF($M269&gt;0,IF($L269&lt;&gt;1,"2026-07",IFERROR(INDEX('JLR Materials'!$D:$D,MATCH($K269,'JLR Materials'!$A:$A,0)),"2026-07")),"2026-07")</f>
        <v>2026-07</v>
      </c>
      <c r="I269" t="str">
        <f>IF($M269&gt;0,"JLR rate card — material code "&amp;$K269,"UK sheet extruder 2026-07. Amorphous PET — clear food trays/clamshells, blister; highest-volume packaging sheet. rPET content common.")</f>
        <v>UK sheet extruder 2026-07. Amorphous PET — clear food trays/clamshells, blister; highest-volume packaging sheet. rPET content common.</v>
      </c>
      <c r="J269" t="str">
        <v>Medium</v>
      </c>
      <c r="K269" t="str">
        <f>IFERROR(INDEX(Mapping!$C:$C,MATCH($A269,Mapping!$A:$A,0)),"")</f>
        <v/>
      </c>
      <c r="L269">
        <f>IF($K269="",0,COUNTIFS('JLR Materials'!$A:$A,$K269,'JLR Materials'!$C:$C,IF(Settings!$B$2="","&lt;&gt;",Settings!$B$2),'JLR Materials'!$D:$D,IF(Settings!$B$4="","&lt;&gt;",Settings!$B$4)))</f>
        <v>0</v>
      </c>
      <c r="M269">
        <f>IF($L269&lt;&gt;1,0,SUMIFS('JLR Materials'!$E:$E,'JLR Materials'!$A:$A,$K269,'JLR Materials'!$C:$C,IF(Settings!$B$2="","&lt;&gt;",Settings!$B$2),'JLR Materials'!$D:$D,IF(Settings!$B$4="","&lt;&gt;",Settings!$B$4)))</f>
        <v>0</v>
      </c>
      <c r="N269">
        <f>IF($L269&lt;&gt;1,0,SUMIFS('JLR Materials'!$F:$F,'JLR Materials'!$A:$A,$K269,'JLR Materials'!$C:$C,IF(Settings!$B$2="","&lt;&gt;",Settings!$B$2),'JLR Materials'!$D:$D,IF(Settings!$B$4="","&lt;&gt;",Settings!$B$4)))</f>
        <v>0</v>
      </c>
      <c r="O269">
        <f>IF($N269=0,0,IF(Settings!$B$5="percent",$M269*$N269/100,$N269))</f>
        <v>0</v>
      </c>
      <c r="P269">
        <f>IF($L269&lt;&gt;1,0,SUMIFS('JLR Materials'!$G:$G,'JLR Materials'!$A:$A,$K269,'JLR Materials'!$C:$C,IF(Settings!$B$2="","&lt;&gt;",Settings!$B$2),'JLR Materials'!$D:$D,IF(Settings!$B$4="","&lt;&gt;",Settings!$B$4)))</f>
        <v>0</v>
      </c>
    </row>
    <row r="270">
      <c r="A270" t="str">
        <v>mat-cpet-tf</v>
      </c>
      <c r="B270" t="str">
        <v>CPET Sheet (crystalline, dual-ovenable)</v>
      </c>
      <c r="C270" t="str">
        <v>Thermoforming Sheet</v>
      </c>
      <c r="D270">
        <f>IF($M270&gt;0,$M270,1.75)</f>
        <v>1.75</v>
      </c>
      <c r="E270">
        <f>IF($O270&gt;0,$O270,0.35)</f>
        <v>0.35</v>
      </c>
      <c r="F270">
        <v>1400</v>
      </c>
      <c r="G270" t="str">
        <v>UK</v>
      </c>
      <c r="H270" t="str">
        <f>IF($M270&gt;0,IF($L270&lt;&gt;1,"2026-07",IFERROR(INDEX('JLR Materials'!$D:$D,MATCH($K270,'JLR Materials'!$A:$A,0)),"2026-07")),"2026-07")</f>
        <v>2026-07</v>
      </c>
      <c r="I270" t="str">
        <f>IF($M270&gt;0,"JLR rate card — material code "&amp;$K270,"UK sheet extruder 2026-07. Crystallising PET — dual-ovenable ready-meal trays (-40 to +220°C); needs hot tool + long crystallisation cycle.")</f>
        <v>UK sheet extruder 2026-07. Crystallising PET — dual-ovenable ready-meal trays (-40 to +220°C); needs hot tool + long crystallisation cycle.</v>
      </c>
      <c r="J270" t="str">
        <v>Low</v>
      </c>
      <c r="K270" t="str">
        <f>IFERROR(INDEX(Mapping!$C:$C,MATCH($A270,Mapping!$A:$A,0)),"")</f>
        <v/>
      </c>
      <c r="L270">
        <f>IF($K270="",0,COUNTIFS('JLR Materials'!$A:$A,$K270,'JLR Materials'!$C:$C,IF(Settings!$B$2="","&lt;&gt;",Settings!$B$2),'JLR Materials'!$D:$D,IF(Settings!$B$4="","&lt;&gt;",Settings!$B$4)))</f>
        <v>0</v>
      </c>
      <c r="M270">
        <f>IF($L270&lt;&gt;1,0,SUMIFS('JLR Materials'!$E:$E,'JLR Materials'!$A:$A,$K270,'JLR Materials'!$C:$C,IF(Settings!$B$2="","&lt;&gt;",Settings!$B$2),'JLR Materials'!$D:$D,IF(Settings!$B$4="","&lt;&gt;",Settings!$B$4)))</f>
        <v>0</v>
      </c>
      <c r="N270">
        <f>IF($L270&lt;&gt;1,0,SUMIFS('JLR Materials'!$F:$F,'JLR Materials'!$A:$A,$K270,'JLR Materials'!$C:$C,IF(Settings!$B$2="","&lt;&gt;",Settings!$B$2),'JLR Materials'!$D:$D,IF(Settings!$B$4="","&lt;&gt;",Settings!$B$4)))</f>
        <v>0</v>
      </c>
      <c r="O270">
        <f>IF($N270=0,0,IF(Settings!$B$5="percent",$M270*$N270/100,$N270))</f>
        <v>0</v>
      </c>
      <c r="P270">
        <f>IF($L270&lt;&gt;1,0,SUMIFS('JLR Materials'!$G:$G,'JLR Materials'!$A:$A,$K270,'JLR Materials'!$C:$C,IF(Settings!$B$2="","&lt;&gt;",Settings!$B$2),'JLR Materials'!$D:$D,IF(Settings!$B$4="","&lt;&gt;",Settings!$B$4)))</f>
        <v>0</v>
      </c>
    </row>
    <row r="271">
      <c r="A271" t="str">
        <v>mat-rpvc-tf</v>
      </c>
      <c r="B271" t="str">
        <v>Rigid PVC Thermoforming Sheet</v>
      </c>
      <c r="C271" t="str">
        <v>Thermoforming Sheet</v>
      </c>
      <c r="D271">
        <f>IF($M271&gt;0,$M271,1.35)</f>
        <v>1.35</v>
      </c>
      <c r="E271">
        <f>IF($O271&gt;0,$O271,0.2)</f>
        <v>0.2</v>
      </c>
      <c r="F271">
        <v>1400</v>
      </c>
      <c r="G271" t="str">
        <v>UK</v>
      </c>
      <c r="H271" t="str">
        <f>IF($M271&gt;0,IF($L271&lt;&gt;1,"2026-07",IFERROR(INDEX('JLR Materials'!$D:$D,MATCH($K271,'JLR Materials'!$A:$A,0)),"2026-07")),"2026-07")</f>
        <v>2026-07</v>
      </c>
      <c r="I271" t="str">
        <f>IF($M271&gt;0,"JLR rate card — material code "&amp;$K271,"UK sheet extruder 2026-07. Rigid PVC gauge sheet — blister packs, ID/credit cards, medical; low forming temp, heat-sensitive.")</f>
        <v>UK sheet extruder 2026-07. Rigid PVC gauge sheet — blister packs, ID/credit cards, medical; low forming temp, heat-sensitive.</v>
      </c>
      <c r="J271" t="str">
        <v>Medium</v>
      </c>
      <c r="K271" t="str">
        <f>IFERROR(INDEX(Mapping!$C:$C,MATCH($A271,Mapping!$A:$A,0)),"")</f>
        <v/>
      </c>
      <c r="L271">
        <f>IF($K271="",0,COUNTIFS('JLR Materials'!$A:$A,$K271,'JLR Materials'!$C:$C,IF(Settings!$B$2="","&lt;&gt;",Settings!$B$2),'JLR Materials'!$D:$D,IF(Settings!$B$4="","&lt;&gt;",Settings!$B$4)))</f>
        <v>0</v>
      </c>
      <c r="M271">
        <f>IF($L271&lt;&gt;1,0,SUMIFS('JLR Materials'!$E:$E,'JLR Materials'!$A:$A,$K271,'JLR Materials'!$C:$C,IF(Settings!$B$2="","&lt;&gt;",Settings!$B$2),'JLR Materials'!$D:$D,IF(Settings!$B$4="","&lt;&gt;",Settings!$B$4)))</f>
        <v>0</v>
      </c>
      <c r="N271">
        <f>IF($L271&lt;&gt;1,0,SUMIFS('JLR Materials'!$F:$F,'JLR Materials'!$A:$A,$K271,'JLR Materials'!$C:$C,IF(Settings!$B$2="","&lt;&gt;",Settings!$B$2),'JLR Materials'!$D:$D,IF(Settings!$B$4="","&lt;&gt;",Settings!$B$4)))</f>
        <v>0</v>
      </c>
      <c r="O271">
        <f>IF($N271=0,0,IF(Settings!$B$5="percent",$M271*$N271/100,$N271))</f>
        <v>0</v>
      </c>
      <c r="P271">
        <f>IF($L271&lt;&gt;1,0,SUMIFS('JLR Materials'!$G:$G,'JLR Materials'!$A:$A,$K271,'JLR Materials'!$C:$C,IF(Settings!$B$2="","&lt;&gt;",Settings!$B$2),'JLR Materials'!$D:$D,IF(Settings!$B$4="","&lt;&gt;",Settings!$B$4)))</f>
        <v>0</v>
      </c>
    </row>
    <row r="272">
      <c r="A272" t="str">
        <v>mat-pp-tf</v>
      </c>
      <c r="B272" t="str">
        <v>PP Thermoforming Sheet (HMS)</v>
      </c>
      <c r="C272" t="str">
        <v>Thermoforming Sheet</v>
      </c>
      <c r="D272">
        <f>IF($M272&gt;0,$M272,1.3)</f>
        <v>1.3</v>
      </c>
      <c r="E272">
        <f>IF($O272&gt;0,$O272,0.3)</f>
        <v>0.3</v>
      </c>
      <c r="F272">
        <v>905</v>
      </c>
      <c r="G272" t="str">
        <v>UK</v>
      </c>
      <c r="H272" t="str">
        <f>IF($M272&gt;0,IF($L272&lt;&gt;1,"2026-07",IFERROR(INDEX('JLR Materials'!$D:$D,MATCH($K272,'JLR Materials'!$A:$A,0)),"2026-07")),"2026-07")</f>
        <v>2026-07</v>
      </c>
      <c r="I272" t="str">
        <f>IF($M272&gt;0,"JLR rate card — material code "&amp;$K272,"UK sheet extruder 2026-07. High-melt-strength PP — hot-fill cups, deli tubs, medical; narrow window, needs sag control. Lightest sheet.")</f>
        <v>UK sheet extruder 2026-07. High-melt-strength PP — hot-fill cups, deli tubs, medical; narrow window, needs sag control. Lightest sheet.</v>
      </c>
      <c r="J272" t="str">
        <v>Medium</v>
      </c>
      <c r="K272" t="str">
        <f>IFERROR(INDEX(Mapping!$C:$C,MATCH($A272,Mapping!$A:$A,0)),"")</f>
        <v/>
      </c>
      <c r="L272">
        <f>IF($K272="",0,COUNTIFS('JLR Materials'!$A:$A,$K272,'JLR Materials'!$C:$C,IF(Settings!$B$2="","&lt;&gt;",Settings!$B$2),'JLR Materials'!$D:$D,IF(Settings!$B$4="","&lt;&gt;",Settings!$B$4)))</f>
        <v>0</v>
      </c>
      <c r="M272">
        <f>IF($L272&lt;&gt;1,0,SUMIFS('JLR Materials'!$E:$E,'JLR Materials'!$A:$A,$K272,'JLR Materials'!$C:$C,IF(Settings!$B$2="","&lt;&gt;",Settings!$B$2),'JLR Materials'!$D:$D,IF(Settings!$B$4="","&lt;&gt;",Settings!$B$4)))</f>
        <v>0</v>
      </c>
      <c r="N272">
        <f>IF($L272&lt;&gt;1,0,SUMIFS('JLR Materials'!$F:$F,'JLR Materials'!$A:$A,$K272,'JLR Materials'!$C:$C,IF(Settings!$B$2="","&lt;&gt;",Settings!$B$2),'JLR Materials'!$D:$D,IF(Settings!$B$4="","&lt;&gt;",Settings!$B$4)))</f>
        <v>0</v>
      </c>
      <c r="O272">
        <f>IF($N272=0,0,IF(Settings!$B$5="percent",$M272*$N272/100,$N272))</f>
        <v>0</v>
      </c>
      <c r="P272">
        <f>IF($L272&lt;&gt;1,0,SUMIFS('JLR Materials'!$G:$G,'JLR Materials'!$A:$A,$K272,'JLR Materials'!$C:$C,IF(Settings!$B$2="","&lt;&gt;",Settings!$B$2),'JLR Materials'!$D:$D,IF(Settings!$B$4="","&lt;&gt;",Settings!$B$4)))</f>
        <v>0</v>
      </c>
    </row>
    <row r="273">
      <c r="A273" t="str">
        <v>mat-hdpe-tf</v>
      </c>
      <c r="B273" t="str">
        <v>HDPE Thermoforming Sheet</v>
      </c>
      <c r="C273" t="str">
        <v>Thermoforming Sheet</v>
      </c>
      <c r="D273">
        <f>IF($M273&gt;0,$M273,1.25)</f>
        <v>1.25</v>
      </c>
      <c r="E273">
        <f>IF($O273&gt;0,$O273,0.35)</f>
        <v>0.35</v>
      </c>
      <c r="F273">
        <v>950</v>
      </c>
      <c r="G273" t="str">
        <v>UK</v>
      </c>
      <c r="H273" t="str">
        <f>IF($M273&gt;0,IF($L273&lt;&gt;1,"2026-07",IFERROR(INDEX('JLR Materials'!$D:$D,MATCH($K273,'JLR Materials'!$A:$A,0)),"2026-07")),"2026-07")</f>
        <v>2026-07</v>
      </c>
      <c r="I273" t="str">
        <f>IF($M273&gt;0,"JLR rate card — material code "&amp;$K273,"UK sheet extruder 2026-07. HDPE gauge sheet — industrial trays, liners, kayaks (heavy-gauge); heavy sag, low melt strength.")</f>
        <v>UK sheet extruder 2026-07. HDPE gauge sheet — industrial trays, liners, kayaks (heavy-gauge); heavy sag, low melt strength.</v>
      </c>
      <c r="J273" t="str">
        <v>Low</v>
      </c>
      <c r="K273" t="str">
        <f>IFERROR(INDEX(Mapping!$C:$C,MATCH($A273,Mapping!$A:$A,0)),"")</f>
        <v/>
      </c>
      <c r="L273">
        <f>IF($K273="",0,COUNTIFS('JLR Materials'!$A:$A,$K273,'JLR Materials'!$C:$C,IF(Settings!$B$2="","&lt;&gt;",Settings!$B$2),'JLR Materials'!$D:$D,IF(Settings!$B$4="","&lt;&gt;",Settings!$B$4)))</f>
        <v>0</v>
      </c>
      <c r="M273">
        <f>IF($L273&lt;&gt;1,0,SUMIFS('JLR Materials'!$E:$E,'JLR Materials'!$A:$A,$K273,'JLR Materials'!$C:$C,IF(Settings!$B$2="","&lt;&gt;",Settings!$B$2),'JLR Materials'!$D:$D,IF(Settings!$B$4="","&lt;&gt;",Settings!$B$4)))</f>
        <v>0</v>
      </c>
      <c r="N273">
        <f>IF($L273&lt;&gt;1,0,SUMIFS('JLR Materials'!$F:$F,'JLR Materials'!$A:$A,$K273,'JLR Materials'!$C:$C,IF(Settings!$B$2="","&lt;&gt;",Settings!$B$2),'JLR Materials'!$D:$D,IF(Settings!$B$4="","&lt;&gt;",Settings!$B$4)))</f>
        <v>0</v>
      </c>
      <c r="O273">
        <f>IF($N273=0,0,IF(Settings!$B$5="percent",$M273*$N273/100,$N273))</f>
        <v>0</v>
      </c>
      <c r="P273">
        <f>IF($L273&lt;&gt;1,0,SUMIFS('JLR Materials'!$G:$G,'JLR Materials'!$A:$A,$K273,'JLR Materials'!$C:$C,IF(Settings!$B$2="","&lt;&gt;",Settings!$B$2),'JLR Materials'!$D:$D,IF(Settings!$B$4="","&lt;&gt;",Settings!$B$4)))</f>
        <v>0</v>
      </c>
    </row>
    <row r="274">
      <c r="A274" t="str">
        <v>mat-ldpe-tf</v>
      </c>
      <c r="B274" t="str">
        <v>LDPE Thermoforming Sheet</v>
      </c>
      <c r="C274" t="str">
        <v>Thermoforming Sheet</v>
      </c>
      <c r="D274">
        <f>IF($M274&gt;0,$M274,1.3)</f>
        <v>1.3</v>
      </c>
      <c r="E274">
        <f>IF($O274&gt;0,$O274,0.3)</f>
        <v>0.3</v>
      </c>
      <c r="F274">
        <v>925</v>
      </c>
      <c r="G274" t="str">
        <v>UK</v>
      </c>
      <c r="H274" t="str">
        <f>IF($M274&gt;0,IF($L274&lt;&gt;1,"2026-07",IFERROR(INDEX('JLR Materials'!$D:$D,MATCH($K274,'JLR Materials'!$A:$A,0)),"2026-07")),"2026-07")</f>
        <v>2026-07</v>
      </c>
      <c r="I274" t="str">
        <f>IF($M274&gt;0,"JLR rate card — material code "&amp;$K274,"UK sheet extruder 2026-07. LDPE gauge sheet — soft protective trays, flexible packaging inserts. Very low melt strength.")</f>
        <v>UK sheet extruder 2026-07. LDPE gauge sheet — soft protective trays, flexible packaging inserts. Very low melt strength.</v>
      </c>
      <c r="J274" t="str">
        <v>Low</v>
      </c>
      <c r="K274" t="str">
        <f>IFERROR(INDEX(Mapping!$C:$C,MATCH($A274,Mapping!$A:$A,0)),"")</f>
        <v/>
      </c>
      <c r="L274">
        <f>IF($K274="",0,COUNTIFS('JLR Materials'!$A:$A,$K274,'JLR Materials'!$C:$C,IF(Settings!$B$2="","&lt;&gt;",Settings!$B$2),'JLR Materials'!$D:$D,IF(Settings!$B$4="","&lt;&gt;",Settings!$B$4)))</f>
        <v>0</v>
      </c>
      <c r="M274">
        <f>IF($L274&lt;&gt;1,0,SUMIFS('JLR Materials'!$E:$E,'JLR Materials'!$A:$A,$K274,'JLR Materials'!$C:$C,IF(Settings!$B$2="","&lt;&gt;",Settings!$B$2),'JLR Materials'!$D:$D,IF(Settings!$B$4="","&lt;&gt;",Settings!$B$4)))</f>
        <v>0</v>
      </c>
      <c r="N274">
        <f>IF($L274&lt;&gt;1,0,SUMIFS('JLR Materials'!$F:$F,'JLR Materials'!$A:$A,$K274,'JLR Materials'!$C:$C,IF(Settings!$B$2="","&lt;&gt;",Settings!$B$2),'JLR Materials'!$D:$D,IF(Settings!$B$4="","&lt;&gt;",Settings!$B$4)))</f>
        <v>0</v>
      </c>
      <c r="O274">
        <f>IF($N274=0,0,IF(Settings!$B$5="percent",$M274*$N274/100,$N274))</f>
        <v>0</v>
      </c>
      <c r="P274">
        <f>IF($L274&lt;&gt;1,0,SUMIFS('JLR Materials'!$G:$G,'JLR Materials'!$A:$A,$K274,'JLR Materials'!$C:$C,IF(Settings!$B$2="","&lt;&gt;",Settings!$B$2),'JLR Materials'!$D:$D,IF(Settings!$B$4="","&lt;&gt;",Settings!$B$4)))</f>
        <v>0</v>
      </c>
    </row>
    <row r="275">
      <c r="A275" t="str">
        <v>mat-ps-foam-tf</v>
      </c>
      <c r="B275" t="str">
        <v>PS Foam Sheet (foamed tray stock)</v>
      </c>
      <c r="C275" t="str">
        <v>Thermoforming Sheet</v>
      </c>
      <c r="D275">
        <f>IF($M275&gt;0,$M275,1.6)</f>
        <v>1.6</v>
      </c>
      <c r="E275">
        <f>IF($O275&gt;0,$O275,0.15)</f>
        <v>0.15</v>
      </c>
      <c r="F275">
        <v>120</v>
      </c>
      <c r="G275" t="str">
        <v>UK</v>
      </c>
      <c r="H275" t="str">
        <f>IF($M275&gt;0,IF($L275&lt;&gt;1,"2026-07",IFERROR(INDEX('JLR Materials'!$D:$D,MATCH($K275,'JLR Materials'!$A:$A,0)),"2026-07")),"2026-07")</f>
        <v>2026-07</v>
      </c>
      <c r="I275" t="str">
        <f>IF($M275&gt;0,"JLR rate card — material code "&amp;$K275,"UK sheet extruder 2026-07. Expanded PS foam sheet — egg cartons, meat/produce trays, insulation; low density, high stiffness-per-kg.")</f>
        <v>UK sheet extruder 2026-07. Expanded PS foam sheet — egg cartons, meat/produce trays, insulation; low density, high stiffness-per-kg.</v>
      </c>
      <c r="J275" t="str">
        <v>Low</v>
      </c>
      <c r="K275" t="str">
        <f>IFERROR(INDEX(Mapping!$C:$C,MATCH($A275,Mapping!$A:$A,0)),"")</f>
        <v/>
      </c>
      <c r="L275">
        <f>IF($K275="",0,COUNTIFS('JLR Materials'!$A:$A,$K275,'JLR Materials'!$C:$C,IF(Settings!$B$2="","&lt;&gt;",Settings!$B$2),'JLR Materials'!$D:$D,IF(Settings!$B$4="","&lt;&gt;",Settings!$B$4)))</f>
        <v>0</v>
      </c>
      <c r="M275">
        <f>IF($L275&lt;&gt;1,0,SUMIFS('JLR Materials'!$E:$E,'JLR Materials'!$A:$A,$K275,'JLR Materials'!$C:$C,IF(Settings!$B$2="","&lt;&gt;",Settings!$B$2),'JLR Materials'!$D:$D,IF(Settings!$B$4="","&lt;&gt;",Settings!$B$4)))</f>
        <v>0</v>
      </c>
      <c r="N275">
        <f>IF($L275&lt;&gt;1,0,SUMIFS('JLR Materials'!$F:$F,'JLR Materials'!$A:$A,$K275,'JLR Materials'!$C:$C,IF(Settings!$B$2="","&lt;&gt;",Settings!$B$2),'JLR Materials'!$D:$D,IF(Settings!$B$4="","&lt;&gt;",Settings!$B$4)))</f>
        <v>0</v>
      </c>
      <c r="O275">
        <f>IF($N275=0,0,IF(Settings!$B$5="percent",$M275*$N275/100,$N275))</f>
        <v>0</v>
      </c>
      <c r="P275">
        <f>IF($L275&lt;&gt;1,0,SUMIFS('JLR Materials'!$G:$G,'JLR Materials'!$A:$A,$K275,'JLR Materials'!$C:$C,IF(Settings!$B$2="","&lt;&gt;",Settings!$B$2),'JLR Materials'!$D:$D,IF(Settings!$B$4="","&lt;&gt;",Settings!$B$4)))</f>
        <v>0</v>
      </c>
    </row>
    <row r="276">
      <c r="A276" t="str">
        <v>mat-pmma-tf</v>
      </c>
      <c r="B276" t="str">
        <v>PMMA / Acrylic Sheet (cast/extruded)</v>
      </c>
      <c r="C276" t="str">
        <v>Thermoforming Sheet</v>
      </c>
      <c r="D276">
        <f>IF($M276&gt;0,$M276,2.9)</f>
        <v>2.9</v>
      </c>
      <c r="E276">
        <f>IF($O276&gt;0,$O276,0.35)</f>
        <v>0.35</v>
      </c>
      <c r="F276">
        <v>1190</v>
      </c>
      <c r="G276" t="str">
        <v>UK</v>
      </c>
      <c r="H276" t="str">
        <f>IF($M276&gt;0,IF($L276&lt;&gt;1,"2026-07",IFERROR(INDEX('JLR Materials'!$D:$D,MATCH($K276,'JLR Materials'!$A:$A,0)),"2026-07")),"2026-07")</f>
        <v>2026-07</v>
      </c>
      <c r="I276" t="str">
        <f>IF($M276&gt;0,"JLR rate card — material code "&amp;$K276,"UK sheet distributor 2026-07. Acrylic sheet — baths/spas, skylights, lightboxes, displays; excellent clarity, low sag (high melt strength).")</f>
        <v>UK sheet distributor 2026-07. Acrylic sheet — baths/spas, skylights, lightboxes, displays; excellent clarity, low sag (high melt strength).</v>
      </c>
      <c r="J276" t="str">
        <v>Low</v>
      </c>
      <c r="K276" t="str">
        <f>IFERROR(INDEX(Mapping!$C:$C,MATCH($A276,Mapping!$A:$A,0)),"")</f>
        <v/>
      </c>
      <c r="L276">
        <f>IF($K276="",0,COUNTIFS('JLR Materials'!$A:$A,$K276,'JLR Materials'!$C:$C,IF(Settings!$B$2="","&lt;&gt;",Settings!$B$2),'JLR Materials'!$D:$D,IF(Settings!$B$4="","&lt;&gt;",Settings!$B$4)))</f>
        <v>0</v>
      </c>
      <c r="M276">
        <f>IF($L276&lt;&gt;1,0,SUMIFS('JLR Materials'!$E:$E,'JLR Materials'!$A:$A,$K276,'JLR Materials'!$C:$C,IF(Settings!$B$2="","&lt;&gt;",Settings!$B$2),'JLR Materials'!$D:$D,IF(Settings!$B$4="","&lt;&gt;",Settings!$B$4)))</f>
        <v>0</v>
      </c>
      <c r="N276">
        <f>IF($L276&lt;&gt;1,0,SUMIFS('JLR Materials'!$F:$F,'JLR Materials'!$A:$A,$K276,'JLR Materials'!$C:$C,IF(Settings!$B$2="","&lt;&gt;",Settings!$B$2),'JLR Materials'!$D:$D,IF(Settings!$B$4="","&lt;&gt;",Settings!$B$4)))</f>
        <v>0</v>
      </c>
      <c r="O276">
        <f>IF($N276=0,0,IF(Settings!$B$5="percent",$M276*$N276/100,$N276))</f>
        <v>0</v>
      </c>
      <c r="P276">
        <f>IF($L276&lt;&gt;1,0,SUMIFS('JLR Materials'!$G:$G,'JLR Materials'!$A:$A,$K276,'JLR Materials'!$C:$C,IF(Settings!$B$2="","&lt;&gt;",Settings!$B$2),'JLR Materials'!$D:$D,IF(Settings!$B$4="","&lt;&gt;",Settings!$B$4)))</f>
        <v>0</v>
      </c>
    </row>
    <row r="277">
      <c r="A277" t="str">
        <v>mat-pc-tf</v>
      </c>
      <c r="B277" t="str">
        <v>PC Thermoforming Sheet</v>
      </c>
      <c r="C277" t="str">
        <v>Thermoforming Sheet</v>
      </c>
      <c r="D277">
        <f>IF($M277&gt;0,$M277,3.4)</f>
        <v>3.4</v>
      </c>
      <c r="E277">
        <f>IF($O277&gt;0,$O277,0.35)</f>
        <v>0.35</v>
      </c>
      <c r="F277">
        <v>1200</v>
      </c>
      <c r="G277" t="str">
        <v>UK</v>
      </c>
      <c r="H277" t="str">
        <f>IF($M277&gt;0,IF($L277&lt;&gt;1,"2026-07",IFERROR(INDEX('JLR Materials'!$D:$D,MATCH($K277,'JLR Materials'!$A:$A,0)),"2026-07")),"2026-07")</f>
        <v>2026-07</v>
      </c>
      <c r="I277" t="str">
        <f>IF($M277&gt;0,"JLR rate card — material code "&amp;$K277,"UK sheet distributor 2026-07. Polycarbonate sheet — machine guards, glazing, riot shields, aircraft interiors; high forming temp → high oven energy, must pre-dry.")</f>
        <v>UK sheet distributor 2026-07. Polycarbonate sheet — machine guards, glazing, riot shields, aircraft interiors; high forming temp → high oven energy, must pre-dry.</v>
      </c>
      <c r="J277" t="str">
        <v>Low</v>
      </c>
      <c r="K277" t="str">
        <f>IFERROR(INDEX(Mapping!$C:$C,MATCH($A277,Mapping!$A:$A,0)),"")</f>
        <v/>
      </c>
      <c r="L277">
        <f>IF($K277="",0,COUNTIFS('JLR Materials'!$A:$A,$K277,'JLR Materials'!$C:$C,IF(Settings!$B$2="","&lt;&gt;",Settings!$B$2),'JLR Materials'!$D:$D,IF(Settings!$B$4="","&lt;&gt;",Settings!$B$4)))</f>
        <v>0</v>
      </c>
      <c r="M277">
        <f>IF($L277&lt;&gt;1,0,SUMIFS('JLR Materials'!$E:$E,'JLR Materials'!$A:$A,$K277,'JLR Materials'!$C:$C,IF(Settings!$B$2="","&lt;&gt;",Settings!$B$2),'JLR Materials'!$D:$D,IF(Settings!$B$4="","&lt;&gt;",Settings!$B$4)))</f>
        <v>0</v>
      </c>
      <c r="N277">
        <f>IF($L277&lt;&gt;1,0,SUMIFS('JLR Materials'!$F:$F,'JLR Materials'!$A:$A,$K277,'JLR Materials'!$C:$C,IF(Settings!$B$2="","&lt;&gt;",Settings!$B$2),'JLR Materials'!$D:$D,IF(Settings!$B$4="","&lt;&gt;",Settings!$B$4)))</f>
        <v>0</v>
      </c>
      <c r="O277">
        <f>IF($N277=0,0,IF(Settings!$B$5="percent",$M277*$N277/100,$N277))</f>
        <v>0</v>
      </c>
      <c r="P277">
        <f>IF($L277&lt;&gt;1,0,SUMIFS('JLR Materials'!$G:$G,'JLR Materials'!$A:$A,$K277,'JLR Materials'!$C:$C,IF(Settings!$B$2="","&lt;&gt;",Settings!$B$2),'JLR Materials'!$D:$D,IF(Settings!$B$4="","&lt;&gt;",Settings!$B$4)))</f>
        <v>0</v>
      </c>
    </row>
    <row r="278">
      <c r="A278" t="str">
        <v>mat-pei-tf</v>
      </c>
      <c r="B278" t="str">
        <v>PEI (Ultem) Sheet (aerospace)</v>
      </c>
      <c r="C278" t="str">
        <v>Thermoforming Sheet</v>
      </c>
      <c r="D278">
        <f>IF($M278&gt;0,$M278,28)</f>
        <v>28</v>
      </c>
      <c r="E278">
        <f>IF($O278&gt;0,$O278,1)</f>
        <v>1</v>
      </c>
      <c r="F278">
        <v>1270</v>
      </c>
      <c r="G278" t="str">
        <v>UK</v>
      </c>
      <c r="H278" t="str">
        <f>IF($M278&gt;0,IF($L278&lt;&gt;1,"2026-07",IFERROR(INDEX('JLR Materials'!$D:$D,MATCH($K278,'JLR Materials'!$A:$A,0)),"2026-07")),"2026-07")</f>
        <v>2026-07</v>
      </c>
      <c r="I278" t="str">
        <f>IF($M278&gt;0,"JLR rate card — material code "&amp;$K278,"UK speciality 2026-07. Polyetherimide sheet — aircraft interior panels/ducting (FST/OSU compliant); very high forming temp ~250°C.")</f>
        <v>UK speciality 2026-07. Polyetherimide sheet — aircraft interior panels/ducting (FST/OSU compliant); very high forming temp ~250°C.</v>
      </c>
      <c r="J278" t="str">
        <v>Low</v>
      </c>
      <c r="K278" t="str">
        <f>IFERROR(INDEX(Mapping!$C:$C,MATCH($A278,Mapping!$A:$A,0)),"")</f>
        <v/>
      </c>
      <c r="L278">
        <f>IF($K278="",0,COUNTIFS('JLR Materials'!$A:$A,$K278,'JLR Materials'!$C:$C,IF(Settings!$B$2="","&lt;&gt;",Settings!$B$2),'JLR Materials'!$D:$D,IF(Settings!$B$4="","&lt;&gt;",Settings!$B$4)))</f>
        <v>0</v>
      </c>
      <c r="M278">
        <f>IF($L278&lt;&gt;1,0,SUMIFS('JLR Materials'!$E:$E,'JLR Materials'!$A:$A,$K278,'JLR Materials'!$C:$C,IF(Settings!$B$2="","&lt;&gt;",Settings!$B$2),'JLR Materials'!$D:$D,IF(Settings!$B$4="","&lt;&gt;",Settings!$B$4)))</f>
        <v>0</v>
      </c>
      <c r="N278">
        <f>IF($L278&lt;&gt;1,0,SUMIFS('JLR Materials'!$F:$F,'JLR Materials'!$A:$A,$K278,'JLR Materials'!$C:$C,IF(Settings!$B$2="","&lt;&gt;",Settings!$B$2),'JLR Materials'!$D:$D,IF(Settings!$B$4="","&lt;&gt;",Settings!$B$4)))</f>
        <v>0</v>
      </c>
      <c r="O278">
        <f>IF($N278=0,0,IF(Settings!$B$5="percent",$M278*$N278/100,$N278))</f>
        <v>0</v>
      </c>
      <c r="P278">
        <f>IF($L278&lt;&gt;1,0,SUMIFS('JLR Materials'!$G:$G,'JLR Materials'!$A:$A,$K278,'JLR Materials'!$C:$C,IF(Settings!$B$2="","&lt;&gt;",Settings!$B$2),'JLR Materials'!$D:$D,IF(Settings!$B$4="","&lt;&gt;",Settings!$B$4)))</f>
        <v>0</v>
      </c>
    </row>
    <row r="279">
      <c r="A279" t="str">
        <v>mat-pps-tf</v>
      </c>
      <c r="B279" t="str">
        <v>PPS Sheet (high-temp)</v>
      </c>
      <c r="C279" t="str">
        <v>Thermoforming Sheet</v>
      </c>
      <c r="D279">
        <f>IF($M279&gt;0,$M279,14)</f>
        <v>14</v>
      </c>
      <c r="E279">
        <f>IF($O279&gt;0,$O279,0.5)</f>
        <v>0.5</v>
      </c>
      <c r="F279">
        <v>1350</v>
      </c>
      <c r="G279" t="str">
        <v>UK</v>
      </c>
      <c r="H279" t="str">
        <f>IF($M279&gt;0,IF($L279&lt;&gt;1,"2026-07",IFERROR(INDEX('JLR Materials'!$D:$D,MATCH($K279,'JLR Materials'!$A:$A,0)),"2026-07")),"2026-07")</f>
        <v>2026-07</v>
      </c>
      <c r="I279" t="str">
        <f>IF($M279&gt;0,"JLR rate card — material code "&amp;$K279,"UK speciality 2026-07. Polyphenylene sulphide sheet — chemical/high-temp trays, under-bonnet; ~285°C forming, semi-crystalline.")</f>
        <v>UK speciality 2026-07. Polyphenylene sulphide sheet — chemical/high-temp trays, under-bonnet; ~285°C forming, semi-crystalline.</v>
      </c>
      <c r="J279" t="str">
        <v>Low</v>
      </c>
      <c r="K279" t="str">
        <f>IFERROR(INDEX(Mapping!$C:$C,MATCH($A279,Mapping!$A:$A,0)),"")</f>
        <v/>
      </c>
      <c r="L279">
        <f>IF($K279="",0,COUNTIFS('JLR Materials'!$A:$A,$K279,'JLR Materials'!$C:$C,IF(Settings!$B$2="","&lt;&gt;",Settings!$B$2),'JLR Materials'!$D:$D,IF(Settings!$B$4="","&lt;&gt;",Settings!$B$4)))</f>
        <v>0</v>
      </c>
      <c r="M279">
        <f>IF($L279&lt;&gt;1,0,SUMIFS('JLR Materials'!$E:$E,'JLR Materials'!$A:$A,$K279,'JLR Materials'!$C:$C,IF(Settings!$B$2="","&lt;&gt;",Settings!$B$2),'JLR Materials'!$D:$D,IF(Settings!$B$4="","&lt;&gt;",Settings!$B$4)))</f>
        <v>0</v>
      </c>
      <c r="N279">
        <f>IF($L279&lt;&gt;1,0,SUMIFS('JLR Materials'!$F:$F,'JLR Materials'!$A:$A,$K279,'JLR Materials'!$C:$C,IF(Settings!$B$2="","&lt;&gt;",Settings!$B$2),'JLR Materials'!$D:$D,IF(Settings!$B$4="","&lt;&gt;",Settings!$B$4)))</f>
        <v>0</v>
      </c>
      <c r="O279">
        <f>IF($N279=0,0,IF(Settings!$B$5="percent",$M279*$N279/100,$N279))</f>
        <v>0</v>
      </c>
      <c r="P279">
        <f>IF($L279&lt;&gt;1,0,SUMIFS('JLR Materials'!$G:$G,'JLR Materials'!$A:$A,$K279,'JLR Materials'!$C:$C,IF(Settings!$B$2="","&lt;&gt;",Settings!$B$2),'JLR Materials'!$D:$D,IF(Settings!$B$4="","&lt;&gt;",Settings!$B$4)))</f>
        <v>0</v>
      </c>
    </row>
    <row r="280">
      <c r="A280" t="str">
        <v>mat-abs-pmma-tf</v>
      </c>
      <c r="B280" t="str">
        <v>ABS/PMMA Co-ex Sheet (capped)</v>
      </c>
      <c r="C280" t="str">
        <v>Thermoforming Sheet</v>
      </c>
      <c r="D280">
        <f>IF($M280&gt;0,$M280,2.6)</f>
        <v>2.6</v>
      </c>
      <c r="E280">
        <f>IF($O280&gt;0,$O280,0.15)</f>
        <v>0.15</v>
      </c>
      <c r="F280">
        <v>1080</v>
      </c>
      <c r="G280" t="str">
        <v>UK</v>
      </c>
      <c r="H280" t="str">
        <f>IF($M280&gt;0,IF($L280&lt;&gt;1,"2026-07",IFERROR(INDEX('JLR Materials'!$D:$D,MATCH($K280,'JLR Materials'!$A:$A,0)),"2026-07")),"2026-07")</f>
        <v>2026-07</v>
      </c>
      <c r="I280" t="str">
        <f>IF($M280&gt;0,"JLR rate card — material code "&amp;$K280,"UK sheet extruder 2026-07. ABS substrate + acrylic cap — sanitaryware, caravan/RV panels, spas; UV/scratch cap. Multilayer regrind limited.")</f>
        <v>UK sheet extruder 2026-07. ABS substrate + acrylic cap — sanitaryware, caravan/RV panels, spas; UV/scratch cap. Multilayer regrind limited.</v>
      </c>
      <c r="J280" t="str">
        <v>Low</v>
      </c>
      <c r="K280" t="str">
        <f>IFERROR(INDEX(Mapping!$C:$C,MATCH($A280,Mapping!$A:$A,0)),"")</f>
        <v/>
      </c>
      <c r="L280">
        <f>IF($K280="",0,COUNTIFS('JLR Materials'!$A:$A,$K280,'JLR Materials'!$C:$C,IF(Settings!$B$2="","&lt;&gt;",Settings!$B$2),'JLR Materials'!$D:$D,IF(Settings!$B$4="","&lt;&gt;",Settings!$B$4)))</f>
        <v>0</v>
      </c>
      <c r="M280">
        <f>IF($L280&lt;&gt;1,0,SUMIFS('JLR Materials'!$E:$E,'JLR Materials'!$A:$A,$K280,'JLR Materials'!$C:$C,IF(Settings!$B$2="","&lt;&gt;",Settings!$B$2),'JLR Materials'!$D:$D,IF(Settings!$B$4="","&lt;&gt;",Settings!$B$4)))</f>
        <v>0</v>
      </c>
      <c r="N280">
        <f>IF($L280&lt;&gt;1,0,SUMIFS('JLR Materials'!$F:$F,'JLR Materials'!$A:$A,$K280,'JLR Materials'!$C:$C,IF(Settings!$B$2="","&lt;&gt;",Settings!$B$2),'JLR Materials'!$D:$D,IF(Settings!$B$4="","&lt;&gt;",Settings!$B$4)))</f>
        <v>0</v>
      </c>
      <c r="O280">
        <f>IF($N280=0,0,IF(Settings!$B$5="percent",$M280*$N280/100,$N280))</f>
        <v>0</v>
      </c>
      <c r="P280">
        <f>IF($L280&lt;&gt;1,0,SUMIFS('JLR Materials'!$G:$G,'JLR Materials'!$A:$A,$K280,'JLR Materials'!$C:$C,IF(Settings!$B$2="","&lt;&gt;",Settings!$B$2),'JLR Materials'!$D:$D,IF(Settings!$B$4="","&lt;&gt;",Settings!$B$4)))</f>
        <v>0</v>
      </c>
    </row>
    <row r="281">
      <c r="A281" t="str">
        <v>mat-abs-pc-tf</v>
      </c>
      <c r="B281" t="str">
        <v>ABS/PC Co-ex Sheet</v>
      </c>
      <c r="C281" t="str">
        <v>Thermoforming Sheet</v>
      </c>
      <c r="D281">
        <f>IF($M281&gt;0,$M281,3.1)</f>
        <v>3.1</v>
      </c>
      <c r="E281">
        <f>IF($O281&gt;0,$O281,0.15)</f>
        <v>0.15</v>
      </c>
      <c r="F281">
        <v>1130</v>
      </c>
      <c r="G281" t="str">
        <v>UK</v>
      </c>
      <c r="H281" t="str">
        <f>IF($M281&gt;0,IF($L281&lt;&gt;1,"2026-07",IFERROR(INDEX('JLR Materials'!$D:$D,MATCH($K281,'JLR Materials'!$A:$A,0)),"2026-07")),"2026-07")</f>
        <v>2026-07</v>
      </c>
      <c r="I281" t="str">
        <f>IF($M281&gt;0,"JLR rate card — material code "&amp;$K281,"UK sheet extruder 2026-07. PC/ABS blend/co-ex — automotive exterior, luggage, high-impact housings; higher forming temp than ABS.")</f>
        <v>UK sheet extruder 2026-07. PC/ABS blend/co-ex — automotive exterior, luggage, high-impact housings; higher forming temp than ABS.</v>
      </c>
      <c r="J281" t="str">
        <v>Low</v>
      </c>
      <c r="K281" t="str">
        <f>IFERROR(INDEX(Mapping!$C:$C,MATCH($A281,Mapping!$A:$A,0)),"")</f>
        <v/>
      </c>
      <c r="L281">
        <f>IF($K281="",0,COUNTIFS('JLR Materials'!$A:$A,$K281,'JLR Materials'!$C:$C,IF(Settings!$B$2="","&lt;&gt;",Settings!$B$2),'JLR Materials'!$D:$D,IF(Settings!$B$4="","&lt;&gt;",Settings!$B$4)))</f>
        <v>0</v>
      </c>
      <c r="M281">
        <f>IF($L281&lt;&gt;1,0,SUMIFS('JLR Materials'!$E:$E,'JLR Materials'!$A:$A,$K281,'JLR Materials'!$C:$C,IF(Settings!$B$2="","&lt;&gt;",Settings!$B$2),'JLR Materials'!$D:$D,IF(Settings!$B$4="","&lt;&gt;",Settings!$B$4)))</f>
        <v>0</v>
      </c>
      <c r="N281">
        <f>IF($L281&lt;&gt;1,0,SUMIFS('JLR Materials'!$F:$F,'JLR Materials'!$A:$A,$K281,'JLR Materials'!$C:$C,IF(Settings!$B$2="","&lt;&gt;",Settings!$B$2),'JLR Materials'!$D:$D,IF(Settings!$B$4="","&lt;&gt;",Settings!$B$4)))</f>
        <v>0</v>
      </c>
      <c r="O281">
        <f>IF($N281=0,0,IF(Settings!$B$5="percent",$M281*$N281/100,$N281))</f>
        <v>0</v>
      </c>
      <c r="P281">
        <f>IF($L281&lt;&gt;1,0,SUMIFS('JLR Materials'!$G:$G,'JLR Materials'!$A:$A,$K281,'JLR Materials'!$C:$C,IF(Settings!$B$2="","&lt;&gt;",Settings!$B$2),'JLR Materials'!$D:$D,IF(Settings!$B$4="","&lt;&gt;",Settings!$B$4)))</f>
        <v>0</v>
      </c>
    </row>
    <row r="282">
      <c r="A282" t="str">
        <v>mat-pp-tpo-tf</v>
      </c>
      <c r="B282" t="str">
        <v>PP/TPO Automotive Sheet</v>
      </c>
      <c r="C282" t="str">
        <v>Thermoforming Sheet</v>
      </c>
      <c r="D282">
        <f>IF($M282&gt;0,$M282,1.9)</f>
        <v>1.9</v>
      </c>
      <c r="E282">
        <f>IF($O282&gt;0,$O282,0.2)</f>
        <v>0.2</v>
      </c>
      <c r="F282">
        <v>900</v>
      </c>
      <c r="G282" t="str">
        <v>UK</v>
      </c>
      <c r="H282" t="str">
        <f>IF($M282&gt;0,IF($L282&lt;&gt;1,"2026-07",IFERROR(INDEX('JLR Materials'!$D:$D,MATCH($K282,'JLR Materials'!$A:$A,0)),"2026-07")),"2026-07")</f>
        <v>2026-07</v>
      </c>
      <c r="I282" t="str">
        <f>IF($M282&gt;0,"JLR rate card — material code "&amp;$K282,"UK sheet extruder 2026-07. TPO-skinned PP — automotive interior skins, load floors, underbody shields; soft-touch grain, recyclable.")</f>
        <v>UK sheet extruder 2026-07. TPO-skinned PP — automotive interior skins, load floors, underbody shields; soft-touch grain, recyclable.</v>
      </c>
      <c r="J282" t="str">
        <v>Low</v>
      </c>
      <c r="K282" t="str">
        <f>IFERROR(INDEX(Mapping!$C:$C,MATCH($A282,Mapping!$A:$A,0)),"")</f>
        <v/>
      </c>
      <c r="L282">
        <f>IF($K282="",0,COUNTIFS('JLR Materials'!$A:$A,$K282,'JLR Materials'!$C:$C,IF(Settings!$B$2="","&lt;&gt;",Settings!$B$2),'JLR Materials'!$D:$D,IF(Settings!$B$4="","&lt;&gt;",Settings!$B$4)))</f>
        <v>0</v>
      </c>
      <c r="M282">
        <f>IF($L282&lt;&gt;1,0,SUMIFS('JLR Materials'!$E:$E,'JLR Materials'!$A:$A,$K282,'JLR Materials'!$C:$C,IF(Settings!$B$2="","&lt;&gt;",Settings!$B$2),'JLR Materials'!$D:$D,IF(Settings!$B$4="","&lt;&gt;",Settings!$B$4)))</f>
        <v>0</v>
      </c>
      <c r="N282">
        <f>IF($L282&lt;&gt;1,0,SUMIFS('JLR Materials'!$F:$F,'JLR Materials'!$A:$A,$K282,'JLR Materials'!$C:$C,IF(Settings!$B$2="","&lt;&gt;",Settings!$B$2),'JLR Materials'!$D:$D,IF(Settings!$B$4="","&lt;&gt;",Settings!$B$4)))</f>
        <v>0</v>
      </c>
      <c r="O282">
        <f>IF($N282=0,0,IF(Settings!$B$5="percent",$M282*$N282/100,$N282))</f>
        <v>0</v>
      </c>
      <c r="P282">
        <f>IF($L282&lt;&gt;1,0,SUMIFS('JLR Materials'!$G:$G,'JLR Materials'!$A:$A,$K282,'JLR Materials'!$C:$C,IF(Settings!$B$2="","&lt;&gt;",Settings!$B$2),'JLR Materials'!$D:$D,IF(Settings!$B$4="","&lt;&gt;",Settings!$B$4)))</f>
        <v>0</v>
      </c>
    </row>
    <row r="283">
      <c r="A283" t="str">
        <v>mat-petg-barrier-tf</v>
      </c>
      <c r="B283" t="str">
        <v>PETG/EVOH Barrier Sheet</v>
      </c>
      <c r="C283" t="str">
        <v>Thermoforming Sheet</v>
      </c>
      <c r="D283">
        <f>IF($M283&gt;0,$M283,2.4)</f>
        <v>2.4</v>
      </c>
      <c r="E283">
        <f>IF($O283&gt;0,$O283,0.1)</f>
        <v>0.1</v>
      </c>
      <c r="F283">
        <v>1300</v>
      </c>
      <c r="G283" t="str">
        <v>UK</v>
      </c>
      <c r="H283" t="str">
        <f>IF($M283&gt;0,IF($L283&lt;&gt;1,"2026-07",IFERROR(INDEX('JLR Materials'!$D:$D,MATCH($K283,'JLR Materials'!$A:$A,0)),"2026-07")),"2026-07")</f>
        <v>2026-07</v>
      </c>
      <c r="I283" t="str">
        <f>IF($M283&gt;0,"JLR rate card — material code "&amp;$K283,"UK sheet extruder 2026-07. Multilayer PET/EVOH/tie barrier — MAP food trays, extended shelf-life; EVOH barrier core. Regrind cross-contamination limits recovery.")</f>
        <v>UK sheet extruder 2026-07. Multilayer PET/EVOH/tie barrier — MAP food trays, extended shelf-life; EVOH barrier core. Regrind cross-contamination limits recovery.</v>
      </c>
      <c r="J283" t="str">
        <v>Low</v>
      </c>
      <c r="K283" t="str">
        <f>IFERROR(INDEX(Mapping!$C:$C,MATCH($A283,Mapping!$A:$A,0)),"")</f>
        <v/>
      </c>
      <c r="L283">
        <f>IF($K283="",0,COUNTIFS('JLR Materials'!$A:$A,$K283,'JLR Materials'!$C:$C,IF(Settings!$B$2="","&lt;&gt;",Settings!$B$2),'JLR Materials'!$D:$D,IF(Settings!$B$4="","&lt;&gt;",Settings!$B$4)))</f>
        <v>0</v>
      </c>
      <c r="M283">
        <f>IF($L283&lt;&gt;1,0,SUMIFS('JLR Materials'!$E:$E,'JLR Materials'!$A:$A,$K283,'JLR Materials'!$C:$C,IF(Settings!$B$2="","&lt;&gt;",Settings!$B$2),'JLR Materials'!$D:$D,IF(Settings!$B$4="","&lt;&gt;",Settings!$B$4)))</f>
        <v>0</v>
      </c>
      <c r="N283">
        <f>IF($L283&lt;&gt;1,0,SUMIFS('JLR Materials'!$F:$F,'JLR Materials'!$A:$A,$K283,'JLR Materials'!$C:$C,IF(Settings!$B$2="","&lt;&gt;",Settings!$B$2),'JLR Materials'!$D:$D,IF(Settings!$B$4="","&lt;&gt;",Settings!$B$4)))</f>
        <v>0</v>
      </c>
      <c r="O283">
        <f>IF($N283=0,0,IF(Settings!$B$5="percent",$M283*$N283/100,$N283))</f>
        <v>0</v>
      </c>
      <c r="P283">
        <f>IF($L283&lt;&gt;1,0,SUMIFS('JLR Materials'!$G:$G,'JLR Materials'!$A:$A,$K283,'JLR Materials'!$C:$C,IF(Settings!$B$2="","&lt;&gt;",Settings!$B$2),'JLR Materials'!$D:$D,IF(Settings!$B$4="","&lt;&gt;",Settings!$B$4)))</f>
        <v>0</v>
      </c>
    </row>
    <row r="284">
      <c r="A284" t="str">
        <v>mat-lldpe-roto</v>
      </c>
      <c r="B284" t="str">
        <v>LLDPE Roto Powder (natural)</v>
      </c>
      <c r="C284" t="str">
        <v>Rotational Moulding</v>
      </c>
      <c r="D284">
        <f>IF($M284&gt;0,$M284,1.35)</f>
        <v>1.35</v>
      </c>
      <c r="E284">
        <f>IF($O284&gt;0,$O284,0.1)</f>
        <v>0.1</v>
      </c>
      <c r="F284">
        <v>940</v>
      </c>
      <c r="G284" t="str">
        <v>UK</v>
      </c>
      <c r="H284" t="str">
        <f>IF($M284&gt;0,IF($L284&lt;&gt;1,"2026-07",IFERROR(INDEX('JLR Materials'!$D:$D,MATCH($K284,'JLR Materials'!$A:$A,0)),"2026-07")),"2026-07")</f>
        <v>2026-07</v>
      </c>
      <c r="I284" t="str">
        <f>IF($M284&gt;0,"JLR rate card — material code "&amp;$K284,"Index-anchored 2026-07. Primary roto resin — tanks, containers, playground; ground to ~35 mesh (add grinding premium). ")</f>
        <v xml:space="preserve">Index-anchored 2026-07. Primary roto resin — tanks, containers, playground; ground to ~35 mesh (add grinding premium). </v>
      </c>
      <c r="J284" t="str">
        <v>Medium</v>
      </c>
      <c r="K284" t="str">
        <f>IFERROR(INDEX(Mapping!$C:$C,MATCH($A284,Mapping!$A:$A,0)),"")</f>
        <v/>
      </c>
      <c r="L284">
        <f>IF($K284="",0,COUNTIFS('JLR Materials'!$A:$A,$K284,'JLR Materials'!$C:$C,IF(Settings!$B$2="","&lt;&gt;",Settings!$B$2),'JLR Materials'!$D:$D,IF(Settings!$B$4="","&lt;&gt;",Settings!$B$4)))</f>
        <v>0</v>
      </c>
      <c r="M284">
        <f>IF($L284&lt;&gt;1,0,SUMIFS('JLR Materials'!$E:$E,'JLR Materials'!$A:$A,$K284,'JLR Materials'!$C:$C,IF(Settings!$B$2="","&lt;&gt;",Settings!$B$2),'JLR Materials'!$D:$D,IF(Settings!$B$4="","&lt;&gt;",Settings!$B$4)))</f>
        <v>0</v>
      </c>
      <c r="N284">
        <f>IF($L284&lt;&gt;1,0,SUMIFS('JLR Materials'!$F:$F,'JLR Materials'!$A:$A,$K284,'JLR Materials'!$C:$C,IF(Settings!$B$2="","&lt;&gt;",Settings!$B$2),'JLR Materials'!$D:$D,IF(Settings!$B$4="","&lt;&gt;",Settings!$B$4)))</f>
        <v>0</v>
      </c>
      <c r="O284">
        <f>IF($N284=0,0,IF(Settings!$B$5="percent",$M284*$N284/100,$N284))</f>
        <v>0</v>
      </c>
      <c r="P284">
        <f>IF($L284&lt;&gt;1,0,SUMIFS('JLR Materials'!$G:$G,'JLR Materials'!$A:$A,$K284,'JLR Materials'!$C:$C,IF(Settings!$B$2="","&lt;&gt;",Settings!$B$2),'JLR Materials'!$D:$D,IF(Settings!$B$4="","&lt;&gt;",Settings!$B$4)))</f>
        <v>0</v>
      </c>
    </row>
    <row r="285">
      <c r="A285" t="str">
        <v>mat-hdpe-roto</v>
      </c>
      <c r="B285" t="str">
        <v>HDPE Roto Powder</v>
      </c>
      <c r="C285" t="str">
        <v>Rotational Moulding</v>
      </c>
      <c r="D285">
        <f>IF($M285&gt;0,$M285,1.3)</f>
        <v>1.3</v>
      </c>
      <c r="E285">
        <f>IF($O285&gt;0,$O285,0.1)</f>
        <v>0.1</v>
      </c>
      <c r="F285">
        <v>950</v>
      </c>
      <c r="G285" t="str">
        <v>UK</v>
      </c>
      <c r="H285" t="str">
        <f>IF($M285&gt;0,IF($L285&lt;&gt;1,"2026-07",IFERROR(INDEX('JLR Materials'!$D:$D,MATCH($K285,'JLR Materials'!$A:$A,0)),"2026-07")),"2026-07")</f>
        <v>2026-07</v>
      </c>
      <c r="I285" t="str">
        <f>IF($M285&gt;0,"JLR rate card — material code "&amp;$K285,"Index-anchored 2026-07. Stiffer roto grade — large tanks, agricultural, marine. Higher modulus than LLDPE.")</f>
        <v>Index-anchored 2026-07. Stiffer roto grade — large tanks, agricultural, marine. Higher modulus than LLDPE.</v>
      </c>
      <c r="J285" t="str">
        <v>Medium</v>
      </c>
      <c r="K285" t="str">
        <f>IFERROR(INDEX(Mapping!$C:$C,MATCH($A285,Mapping!$A:$A,0)),"")</f>
        <v/>
      </c>
      <c r="L285">
        <f>IF($K285="",0,COUNTIFS('JLR Materials'!$A:$A,$K285,'JLR Materials'!$C:$C,IF(Settings!$B$2="","&lt;&gt;",Settings!$B$2),'JLR Materials'!$D:$D,IF(Settings!$B$4="","&lt;&gt;",Settings!$B$4)))</f>
        <v>0</v>
      </c>
      <c r="M285">
        <f>IF($L285&lt;&gt;1,0,SUMIFS('JLR Materials'!$E:$E,'JLR Materials'!$A:$A,$K285,'JLR Materials'!$C:$C,IF(Settings!$B$2="","&lt;&gt;",Settings!$B$2),'JLR Materials'!$D:$D,IF(Settings!$B$4="","&lt;&gt;",Settings!$B$4)))</f>
        <v>0</v>
      </c>
      <c r="N285">
        <f>IF($L285&lt;&gt;1,0,SUMIFS('JLR Materials'!$F:$F,'JLR Materials'!$A:$A,$K285,'JLR Materials'!$C:$C,IF(Settings!$B$2="","&lt;&gt;",Settings!$B$2),'JLR Materials'!$D:$D,IF(Settings!$B$4="","&lt;&gt;",Settings!$B$4)))</f>
        <v>0</v>
      </c>
      <c r="O285">
        <f>IF($N285=0,0,IF(Settings!$B$5="percent",$M285*$N285/100,$N285))</f>
        <v>0</v>
      </c>
      <c r="P285">
        <f>IF($L285&lt;&gt;1,0,SUMIFS('JLR Materials'!$G:$G,'JLR Materials'!$A:$A,$K285,'JLR Materials'!$C:$C,IF(Settings!$B$2="","&lt;&gt;",Settings!$B$2),'JLR Materials'!$D:$D,IF(Settings!$B$4="","&lt;&gt;",Settings!$B$4)))</f>
        <v>0</v>
      </c>
    </row>
    <row r="286">
      <c r="A286" t="str">
        <v>mat-pp-roto</v>
      </c>
      <c r="B286" t="str">
        <v>PP Roto Powder</v>
      </c>
      <c r="C286" t="str">
        <v>Rotational Moulding</v>
      </c>
      <c r="D286">
        <f>IF($M286&gt;0,$M286,1.45)</f>
        <v>1.45</v>
      </c>
      <c r="E286">
        <f>IF($O286&gt;0,$O286,0.1)</f>
        <v>0.1</v>
      </c>
      <c r="F286">
        <v>905</v>
      </c>
      <c r="G286" t="str">
        <v>UK</v>
      </c>
      <c r="H286" t="str">
        <f>IF($M286&gt;0,IF($L286&lt;&gt;1,"2026-07",IFERROR(INDEX('JLR Materials'!$D:$D,MATCH($K286,'JLR Materials'!$A:$A,0)),"2026-07")),"2026-07")</f>
        <v>2026-07</v>
      </c>
      <c r="I286" t="str">
        <f>IF($M286&gt;0,"JLR rate card — material code "&amp;$K286,"Index-anchored 2026-07. Higher-temp roto grade — chemical/hot-fill tanks, ducting. Narrower processing window.")</f>
        <v>Index-anchored 2026-07. Higher-temp roto grade — chemical/hot-fill tanks, ducting. Narrower processing window.</v>
      </c>
      <c r="J286" t="str">
        <v>Low</v>
      </c>
      <c r="K286" t="str">
        <f>IFERROR(INDEX(Mapping!$C:$C,MATCH($A286,Mapping!$A:$A,0)),"")</f>
        <v/>
      </c>
      <c r="L286">
        <f>IF($K286="",0,COUNTIFS('JLR Materials'!$A:$A,$K286,'JLR Materials'!$C:$C,IF(Settings!$B$2="","&lt;&gt;",Settings!$B$2),'JLR Materials'!$D:$D,IF(Settings!$B$4="","&lt;&gt;",Settings!$B$4)))</f>
        <v>0</v>
      </c>
      <c r="M286">
        <f>IF($L286&lt;&gt;1,0,SUMIFS('JLR Materials'!$E:$E,'JLR Materials'!$A:$A,$K286,'JLR Materials'!$C:$C,IF(Settings!$B$2="","&lt;&gt;",Settings!$B$2),'JLR Materials'!$D:$D,IF(Settings!$B$4="","&lt;&gt;",Settings!$B$4)))</f>
        <v>0</v>
      </c>
      <c r="N286">
        <f>IF($L286&lt;&gt;1,0,SUMIFS('JLR Materials'!$F:$F,'JLR Materials'!$A:$A,$K286,'JLR Materials'!$C:$C,IF(Settings!$B$2="","&lt;&gt;",Settings!$B$2),'JLR Materials'!$D:$D,IF(Settings!$B$4="","&lt;&gt;",Settings!$B$4)))</f>
        <v>0</v>
      </c>
      <c r="O286">
        <f>IF($N286=0,0,IF(Settings!$B$5="percent",$M286*$N286/100,$N286))</f>
        <v>0</v>
      </c>
      <c r="P286">
        <f>IF($L286&lt;&gt;1,0,SUMIFS('JLR Materials'!$G:$G,'JLR Materials'!$A:$A,$K286,'JLR Materials'!$C:$C,IF(Settings!$B$2="","&lt;&gt;",Settings!$B$2),'JLR Materials'!$D:$D,IF(Settings!$B$4="","&lt;&gt;",Settings!$B$4)))</f>
        <v>0</v>
      </c>
    </row>
    <row r="287">
      <c r="A287" t="str">
        <v>mat-xlpe-roto</v>
      </c>
      <c r="B287" t="str">
        <v>Cross-Linked PE (XLPE) Roto</v>
      </c>
      <c r="C287" t="str">
        <v>Rotational Moulding</v>
      </c>
      <c r="D287">
        <f>IF($M287&gt;0,$M287,1.75)</f>
        <v>1.75</v>
      </c>
      <c r="E287">
        <f>IF($O287&gt;0,$O287,0.05)</f>
        <v>0.05</v>
      </c>
      <c r="F287">
        <v>940</v>
      </c>
      <c r="G287" t="str">
        <v>UK</v>
      </c>
      <c r="H287" t="str">
        <f>IF($M287&gt;0,IF($L287&lt;&gt;1,"2026-07",IFERROR(INDEX('JLR Materials'!$D:$D,MATCH($K287,'JLR Materials'!$A:$A,0)),"2026-07")),"2026-07")</f>
        <v>2026-07</v>
      </c>
      <c r="I287" t="str">
        <f>IF($M287&gt;0,"JLR rate card — material code "&amp;$K287,"Index-anchored 2026-07. Cross-linked PE — fuel/chemical tanks, ESCR-critical; not regrindable, needs longer bake.")</f>
        <v>Index-anchored 2026-07. Cross-linked PE — fuel/chemical tanks, ESCR-critical; not regrindable, needs longer bake.</v>
      </c>
      <c r="J287" t="str">
        <v>Low</v>
      </c>
      <c r="K287" t="str">
        <f>IFERROR(INDEX(Mapping!$C:$C,MATCH($A287,Mapping!$A:$A,0)),"")</f>
        <v/>
      </c>
      <c r="L287">
        <f>IF($K287="",0,COUNTIFS('JLR Materials'!$A:$A,$K287,'JLR Materials'!$C:$C,IF(Settings!$B$2="","&lt;&gt;",Settings!$B$2),'JLR Materials'!$D:$D,IF(Settings!$B$4="","&lt;&gt;",Settings!$B$4)))</f>
        <v>0</v>
      </c>
      <c r="M287">
        <f>IF($L287&lt;&gt;1,0,SUMIFS('JLR Materials'!$E:$E,'JLR Materials'!$A:$A,$K287,'JLR Materials'!$C:$C,IF(Settings!$B$2="","&lt;&gt;",Settings!$B$2),'JLR Materials'!$D:$D,IF(Settings!$B$4="","&lt;&gt;",Settings!$B$4)))</f>
        <v>0</v>
      </c>
      <c r="N287">
        <f>IF($L287&lt;&gt;1,0,SUMIFS('JLR Materials'!$F:$F,'JLR Materials'!$A:$A,$K287,'JLR Materials'!$C:$C,IF(Settings!$B$2="","&lt;&gt;",Settings!$B$2),'JLR Materials'!$D:$D,IF(Settings!$B$4="","&lt;&gt;",Settings!$B$4)))</f>
        <v>0</v>
      </c>
      <c r="O287">
        <f>IF($N287=0,0,IF(Settings!$B$5="percent",$M287*$N287/100,$N287))</f>
        <v>0</v>
      </c>
      <c r="P287">
        <f>IF($L287&lt;&gt;1,0,SUMIFS('JLR Materials'!$G:$G,'JLR Materials'!$A:$A,$K287,'JLR Materials'!$C:$C,IF(Settings!$B$2="","&lt;&gt;",Settings!$B$2),'JLR Materials'!$D:$D,IF(Settings!$B$4="","&lt;&gt;",Settings!$B$4)))</f>
        <v>0</v>
      </c>
    </row>
    <row r="288">
      <c r="A288" t="str">
        <v>mat-pa12-roto</v>
      </c>
      <c r="B288" t="str">
        <v>PA12 Roto Powder</v>
      </c>
      <c r="C288" t="str">
        <v>Rotational Moulding</v>
      </c>
      <c r="D288">
        <f>IF($M288&gt;0,$M288,9.5)</f>
        <v>9.5</v>
      </c>
      <c r="E288">
        <f>IF($O288&gt;0,$O288,0.2)</f>
        <v>0.2</v>
      </c>
      <c r="F288">
        <v>1010</v>
      </c>
      <c r="G288" t="str">
        <v>UK</v>
      </c>
      <c r="H288" t="str">
        <f>IF($M288&gt;0,IF($L288&lt;&gt;1,"2026-07",IFERROR(INDEX('JLR Materials'!$D:$D,MATCH($K288,'JLR Materials'!$A:$A,0)),"2026-07")),"2026-07")</f>
        <v>2026-07</v>
      </c>
      <c r="I288" t="str">
        <f>IF($M288&gt;0,"JLR rate card — material code "&amp;$K288,"Index-anchored 2026-07. High-performance roto — air ducts, fuel tanks, aerospace; high melt temp, long cycle.")</f>
        <v>Index-anchored 2026-07. High-performance roto — air ducts, fuel tanks, aerospace; high melt temp, long cycle.</v>
      </c>
      <c r="J288" t="str">
        <v>Low</v>
      </c>
      <c r="K288" t="str">
        <f>IFERROR(INDEX(Mapping!$C:$C,MATCH($A288,Mapping!$A:$A,0)),"")</f>
        <v/>
      </c>
      <c r="L288">
        <f>IF($K288="",0,COUNTIFS('JLR Materials'!$A:$A,$K288,'JLR Materials'!$C:$C,IF(Settings!$B$2="","&lt;&gt;",Settings!$B$2),'JLR Materials'!$D:$D,IF(Settings!$B$4="","&lt;&gt;",Settings!$B$4)))</f>
        <v>0</v>
      </c>
      <c r="M288">
        <f>IF($L288&lt;&gt;1,0,SUMIFS('JLR Materials'!$E:$E,'JLR Materials'!$A:$A,$K288,'JLR Materials'!$C:$C,IF(Settings!$B$2="","&lt;&gt;",Settings!$B$2),'JLR Materials'!$D:$D,IF(Settings!$B$4="","&lt;&gt;",Settings!$B$4)))</f>
        <v>0</v>
      </c>
      <c r="N288">
        <f>IF($L288&lt;&gt;1,0,SUMIFS('JLR Materials'!$F:$F,'JLR Materials'!$A:$A,$K288,'JLR Materials'!$C:$C,IF(Settings!$B$2="","&lt;&gt;",Settings!$B$2),'JLR Materials'!$D:$D,IF(Settings!$B$4="","&lt;&gt;",Settings!$B$4)))</f>
        <v>0</v>
      </c>
      <c r="O288">
        <f>IF($N288=0,0,IF(Settings!$B$5="percent",$M288*$N288/100,$N288))</f>
        <v>0</v>
      </c>
      <c r="P288">
        <f>IF($L288&lt;&gt;1,0,SUMIFS('JLR Materials'!$G:$G,'JLR Materials'!$A:$A,$K288,'JLR Materials'!$C:$C,IF(Settings!$B$2="","&lt;&gt;",Settings!$B$2),'JLR Materials'!$D:$D,IF(Settings!$B$4="","&lt;&gt;",Settings!$B$4)))</f>
        <v>0</v>
      </c>
    </row>
    <row r="289">
      <c r="A289" t="str">
        <v>mat-fr-pe-roto</v>
      </c>
      <c r="B289" t="str">
        <v>Flame-Retardant PE Roto</v>
      </c>
      <c r="C289" t="str">
        <v>Rotational Moulding</v>
      </c>
      <c r="D289">
        <f>IF($M289&gt;0,$M289,2.6)</f>
        <v>2.6</v>
      </c>
      <c r="E289">
        <f>IF($O289&gt;0,$O289,0.05)</f>
        <v>0.05</v>
      </c>
      <c r="F289">
        <v>970</v>
      </c>
      <c r="G289" t="str">
        <v>UK</v>
      </c>
      <c r="H289" t="str">
        <f>IF($M289&gt;0,IF($L289&lt;&gt;1,"2026-07",IFERROR(INDEX('JLR Materials'!$D:$D,MATCH($K289,'JLR Materials'!$A:$A,0)),"2026-07")),"2026-07")</f>
        <v>2026-07</v>
      </c>
      <c r="I289" t="str">
        <f>IF($M289&gt;0,"JLR rate card — material code "&amp;$K289,"Index-anchored 2026-07. FR-compounded PE — enclosures, transit, rail (UL94/EN45545). Additive-loaded.")</f>
        <v>Index-anchored 2026-07. FR-compounded PE — enclosures, transit, rail (UL94/EN45545). Additive-loaded.</v>
      </c>
      <c r="J289" t="str">
        <v>Low</v>
      </c>
      <c r="K289" t="str">
        <f>IFERROR(INDEX(Mapping!$C:$C,MATCH($A289,Mapping!$A:$A,0)),"")</f>
        <v/>
      </c>
      <c r="L289">
        <f>IF($K289="",0,COUNTIFS('JLR Materials'!$A:$A,$K289,'JLR Materials'!$C:$C,IF(Settings!$B$2="","&lt;&gt;",Settings!$B$2),'JLR Materials'!$D:$D,IF(Settings!$B$4="","&lt;&gt;",Settings!$B$4)))</f>
        <v>0</v>
      </c>
      <c r="M289">
        <f>IF($L289&lt;&gt;1,0,SUMIFS('JLR Materials'!$E:$E,'JLR Materials'!$A:$A,$K289,'JLR Materials'!$C:$C,IF(Settings!$B$2="","&lt;&gt;",Settings!$B$2),'JLR Materials'!$D:$D,IF(Settings!$B$4="","&lt;&gt;",Settings!$B$4)))</f>
        <v>0</v>
      </c>
      <c r="N289">
        <f>IF($L289&lt;&gt;1,0,SUMIFS('JLR Materials'!$F:$F,'JLR Materials'!$A:$A,$K289,'JLR Materials'!$C:$C,IF(Settings!$B$2="","&lt;&gt;",Settings!$B$2),'JLR Materials'!$D:$D,IF(Settings!$B$4="","&lt;&gt;",Settings!$B$4)))</f>
        <v>0</v>
      </c>
      <c r="O289">
        <f>IF($N289=0,0,IF(Settings!$B$5="percent",$M289*$N289/100,$N289))</f>
        <v>0</v>
      </c>
      <c r="P289">
        <f>IF($L289&lt;&gt;1,0,SUMIFS('JLR Materials'!$G:$G,'JLR Materials'!$A:$A,$K289,'JLR Materials'!$C:$C,IF(Settings!$B$2="","&lt;&gt;",Settings!$B$2),'JLR Materials'!$D:$D,IF(Settings!$B$4="","&lt;&gt;",Settings!$B$4)))</f>
        <v>0</v>
      </c>
    </row>
    <row r="290">
      <c r="A290" t="str">
        <v>mat-foam-pe-roto</v>
      </c>
      <c r="B290" t="str">
        <v>Foamable PE Roto (structural foam core)</v>
      </c>
      <c r="C290" t="str">
        <v>Rotational Moulding</v>
      </c>
      <c r="D290">
        <f>IF($M290&gt;0,$M290,1.9)</f>
        <v>1.9</v>
      </c>
      <c r="E290">
        <f>IF($O290&gt;0,$O290,0.05)</f>
        <v>0.05</v>
      </c>
      <c r="F290">
        <v>700</v>
      </c>
      <c r="G290" t="str">
        <v>UK</v>
      </c>
      <c r="H290" t="str">
        <f>IF($M290&gt;0,IF($L290&lt;&gt;1,"2026-07",IFERROR(INDEX('JLR Materials'!$D:$D,MATCH($K290,'JLR Materials'!$A:$A,0)),"2026-07")),"2026-07")</f>
        <v>2026-07</v>
      </c>
      <c r="I290" t="str">
        <f>IF($M290&gt;0,"JLR rate card — material code "&amp;$K290,"Index-anchored 2026-07. Chemical-blowing-agent PE for foamed sandwich walls — stiffness-per-kg, insulation.")</f>
        <v>Index-anchored 2026-07. Chemical-blowing-agent PE for foamed sandwich walls — stiffness-per-kg, insulation.</v>
      </c>
      <c r="J290" t="str">
        <v>Low</v>
      </c>
      <c r="K290" t="str">
        <f>IFERROR(INDEX(Mapping!$C:$C,MATCH($A290,Mapping!$A:$A,0)),"")</f>
        <v/>
      </c>
      <c r="L290">
        <f>IF($K290="",0,COUNTIFS('JLR Materials'!$A:$A,$K290,'JLR Materials'!$C:$C,IF(Settings!$B$2="","&lt;&gt;",Settings!$B$2),'JLR Materials'!$D:$D,IF(Settings!$B$4="","&lt;&gt;",Settings!$B$4)))</f>
        <v>0</v>
      </c>
      <c r="M290">
        <f>IF($L290&lt;&gt;1,0,SUMIFS('JLR Materials'!$E:$E,'JLR Materials'!$A:$A,$K290,'JLR Materials'!$C:$C,IF(Settings!$B$2="","&lt;&gt;",Settings!$B$2),'JLR Materials'!$D:$D,IF(Settings!$B$4="","&lt;&gt;",Settings!$B$4)))</f>
        <v>0</v>
      </c>
      <c r="N290">
        <f>IF($L290&lt;&gt;1,0,SUMIFS('JLR Materials'!$F:$F,'JLR Materials'!$A:$A,$K290,'JLR Materials'!$C:$C,IF(Settings!$B$2="","&lt;&gt;",Settings!$B$2),'JLR Materials'!$D:$D,IF(Settings!$B$4="","&lt;&gt;",Settings!$B$4)))</f>
        <v>0</v>
      </c>
      <c r="O290">
        <f>IF($N290=0,0,IF(Settings!$B$5="percent",$M290*$N290/100,$N290))</f>
        <v>0</v>
      </c>
      <c r="P290">
        <f>IF($L290&lt;&gt;1,0,SUMIFS('JLR Materials'!$G:$G,'JLR Materials'!$A:$A,$K290,'JLR Materials'!$C:$C,IF(Settings!$B$2="","&lt;&gt;",Settings!$B$2),'JLR Materials'!$D:$D,IF(Settings!$B$4="","&lt;&gt;",Settings!$B$4)))</f>
        <v>0</v>
      </c>
    </row>
    <row r="291">
      <c r="A291" t="str">
        <v>mat-cond-pe-roto</v>
      </c>
      <c r="B291" t="str">
        <v>Conductive/Antistatic PE Roto</v>
      </c>
      <c r="C291" t="str">
        <v>Rotational Moulding</v>
      </c>
      <c r="D291">
        <f>IF($M291&gt;0,$M291,2.4)</f>
        <v>2.4</v>
      </c>
      <c r="E291">
        <f>IF($O291&gt;0,$O291,0.05)</f>
        <v>0.05</v>
      </c>
      <c r="F291">
        <v>1010</v>
      </c>
      <c r="G291" t="str">
        <v>UK</v>
      </c>
      <c r="H291" t="str">
        <f>IF($M291&gt;0,IF($L291&lt;&gt;1,"2026-07",IFERROR(INDEX('JLR Materials'!$D:$D,MATCH($K291,'JLR Materials'!$A:$A,0)),"2026-07")),"2026-07")</f>
        <v>2026-07</v>
      </c>
      <c r="I291" t="str">
        <f>IF($M291&gt;0,"JLR rate card — material code "&amp;$K291,"Index-anchored 2026-07. Carbon-loaded PE — ATEX/ESD tanks, fuel handling; surface resistivity &lt;10^6 Ω.")</f>
        <v>Index-anchored 2026-07. Carbon-loaded PE — ATEX/ESD tanks, fuel handling; surface resistivity &lt;10^6 Ω.</v>
      </c>
      <c r="J291" t="str">
        <v>Low</v>
      </c>
      <c r="K291" t="str">
        <f>IFERROR(INDEX(Mapping!$C:$C,MATCH($A291,Mapping!$A:$A,0)),"")</f>
        <v/>
      </c>
      <c r="L291">
        <f>IF($K291="",0,COUNTIFS('JLR Materials'!$A:$A,$K291,'JLR Materials'!$C:$C,IF(Settings!$B$2="","&lt;&gt;",Settings!$B$2),'JLR Materials'!$D:$D,IF(Settings!$B$4="","&lt;&gt;",Settings!$B$4)))</f>
        <v>0</v>
      </c>
      <c r="M291">
        <f>IF($L291&lt;&gt;1,0,SUMIFS('JLR Materials'!$E:$E,'JLR Materials'!$A:$A,$K291,'JLR Materials'!$C:$C,IF(Settings!$B$2="","&lt;&gt;",Settings!$B$2),'JLR Materials'!$D:$D,IF(Settings!$B$4="","&lt;&gt;",Settings!$B$4)))</f>
        <v>0</v>
      </c>
      <c r="N291">
        <f>IF($L291&lt;&gt;1,0,SUMIFS('JLR Materials'!$F:$F,'JLR Materials'!$A:$A,$K291,'JLR Materials'!$C:$C,IF(Settings!$B$2="","&lt;&gt;",Settings!$B$2),'JLR Materials'!$D:$D,IF(Settings!$B$4="","&lt;&gt;",Settings!$B$4)))</f>
        <v>0</v>
      </c>
      <c r="O291">
        <f>IF($N291=0,0,IF(Settings!$B$5="percent",$M291*$N291/100,$N291))</f>
        <v>0</v>
      </c>
      <c r="P291">
        <f>IF($L291&lt;&gt;1,0,SUMIFS('JLR Materials'!$G:$G,'JLR Materials'!$A:$A,$K291,'JLR Materials'!$C:$C,IF(Settings!$B$2="","&lt;&gt;",Settings!$B$2),'JLR Materials'!$D:$D,IF(Settings!$B$4="","&lt;&gt;",Settings!$B$4)))</f>
        <v>0</v>
      </c>
    </row>
    <row r="292">
      <c r="A292" t="str">
        <v>mat-rpe-roto</v>
      </c>
      <c r="B292" t="str">
        <v>Recycled PE Roto Powder</v>
      </c>
      <c r="C292" t="str">
        <v>Rotational Moulding</v>
      </c>
      <c r="D292">
        <f>IF($M292&gt;0,$M292,0.95)</f>
        <v>0.95</v>
      </c>
      <c r="E292">
        <f>IF($O292&gt;0,$O292,0.1)</f>
        <v>0.1</v>
      </c>
      <c r="F292">
        <v>945</v>
      </c>
      <c r="G292" t="str">
        <v>UK</v>
      </c>
      <c r="H292" t="str">
        <f>IF($M292&gt;0,IF($L292&lt;&gt;1,"2026-07",IFERROR(INDEX('JLR Materials'!$D:$D,MATCH($K292,'JLR Materials'!$A:$A,0)),"2026-07")),"2026-07")</f>
        <v>2026-07</v>
      </c>
      <c r="I292" t="str">
        <f>IF($M292&gt;0,"JLR rate card — material code "&amp;$K292,"Index-anchored 2026-07. Recyclate roto grade — non-critical tanks, planters, civils; wider property spread.")</f>
        <v>Index-anchored 2026-07. Recyclate roto grade — non-critical tanks, planters, civils; wider property spread.</v>
      </c>
      <c r="J292" t="str">
        <v>Low</v>
      </c>
      <c r="K292" t="str">
        <f>IFERROR(INDEX(Mapping!$C:$C,MATCH($A292,Mapping!$A:$A,0)),"")</f>
        <v/>
      </c>
      <c r="L292">
        <f>IF($K292="",0,COUNTIFS('JLR Materials'!$A:$A,$K292,'JLR Materials'!$C:$C,IF(Settings!$B$2="","&lt;&gt;",Settings!$B$2),'JLR Materials'!$D:$D,IF(Settings!$B$4="","&lt;&gt;",Settings!$B$4)))</f>
        <v>0</v>
      </c>
      <c r="M292">
        <f>IF($L292&lt;&gt;1,0,SUMIFS('JLR Materials'!$E:$E,'JLR Materials'!$A:$A,$K292,'JLR Materials'!$C:$C,IF(Settings!$B$2="","&lt;&gt;",Settings!$B$2),'JLR Materials'!$D:$D,IF(Settings!$B$4="","&lt;&gt;",Settings!$B$4)))</f>
        <v>0</v>
      </c>
      <c r="N292">
        <f>IF($L292&lt;&gt;1,0,SUMIFS('JLR Materials'!$F:$F,'JLR Materials'!$A:$A,$K292,'JLR Materials'!$C:$C,IF(Settings!$B$2="","&lt;&gt;",Settings!$B$2),'JLR Materials'!$D:$D,IF(Settings!$B$4="","&lt;&gt;",Settings!$B$4)))</f>
        <v>0</v>
      </c>
      <c r="O292">
        <f>IF($N292=0,0,IF(Settings!$B$5="percent",$M292*$N292/100,$N292))</f>
        <v>0</v>
      </c>
      <c r="P292">
        <f>IF($L292&lt;&gt;1,0,SUMIFS('JLR Materials'!$G:$G,'JLR Materials'!$A:$A,$K292,'JLR Materials'!$C:$C,IF(Settings!$B$2="","&lt;&gt;",Settings!$B$2),'JLR Materials'!$D:$D,IF(Settings!$B$4="","&lt;&gt;",Settings!$B$4)))</f>
        <v>0</v>
      </c>
    </row>
    <row r="293">
      <c r="A293" t="str">
        <v>mat-epdm</v>
      </c>
      <c r="B293" t="str">
        <v>EPDM 70 Shore A</v>
      </c>
      <c r="C293" t="str">
        <v>Rubber</v>
      </c>
      <c r="D293">
        <f>IF($M293&gt;0,$M293,1.9)</f>
        <v>1.9</v>
      </c>
      <c r="E293">
        <f>IF($O293&gt;0,$O293,0.05)</f>
        <v>0.05</v>
      </c>
      <c r="F293">
        <v>1150</v>
      </c>
      <c r="G293" t="str">
        <v>UK</v>
      </c>
      <c r="H293" t="str">
        <f>IF($M293&gt;0,IF($L293&lt;&gt;1,"2026-07",IFERROR(INDEX('JLR Materials'!$D:$D,MATCH($K293,'JLR Materials'!$A:$A,0)),"2026-07")),"2026-07")</f>
        <v>2026-07</v>
      </c>
      <c r="I293" t="str">
        <f>IF($M293&gt;0,"JLR rate card — material code "&amp;$K293,"UK rubber compounder Jun 2026. EPDM seals, hoses, weatherstrips. Shore 70A. Index-anchored 2026-07 refresh.")</f>
        <v>UK rubber compounder Jun 2026. EPDM seals, hoses, weatherstrips. Shore 70A. Index-anchored 2026-07 refresh.</v>
      </c>
      <c r="J293" t="str">
        <v>Medium</v>
      </c>
      <c r="K293" t="str">
        <f>IFERROR(INDEX(Mapping!$C:$C,MATCH($A293,Mapping!$A:$A,0)),"")</f>
        <v/>
      </c>
      <c r="L293">
        <f>IF($K293="",0,COUNTIFS('JLR Materials'!$A:$A,$K293,'JLR Materials'!$C:$C,IF(Settings!$B$2="","&lt;&gt;",Settings!$B$2),'JLR Materials'!$D:$D,IF(Settings!$B$4="","&lt;&gt;",Settings!$B$4)))</f>
        <v>0</v>
      </c>
      <c r="M293">
        <f>IF($L293&lt;&gt;1,0,SUMIFS('JLR Materials'!$E:$E,'JLR Materials'!$A:$A,$K293,'JLR Materials'!$C:$C,IF(Settings!$B$2="","&lt;&gt;",Settings!$B$2),'JLR Materials'!$D:$D,IF(Settings!$B$4="","&lt;&gt;",Settings!$B$4)))</f>
        <v>0</v>
      </c>
      <c r="N293">
        <f>IF($L293&lt;&gt;1,0,SUMIFS('JLR Materials'!$F:$F,'JLR Materials'!$A:$A,$K293,'JLR Materials'!$C:$C,IF(Settings!$B$2="","&lt;&gt;",Settings!$B$2),'JLR Materials'!$D:$D,IF(Settings!$B$4="","&lt;&gt;",Settings!$B$4)))</f>
        <v>0</v>
      </c>
      <c r="O293">
        <f>IF($N293=0,0,IF(Settings!$B$5="percent",$M293*$N293/100,$N293))</f>
        <v>0</v>
      </c>
      <c r="P293">
        <f>IF($L293&lt;&gt;1,0,SUMIFS('JLR Materials'!$G:$G,'JLR Materials'!$A:$A,$K293,'JLR Materials'!$C:$C,IF(Settings!$B$2="","&lt;&gt;",Settings!$B$2),'JLR Materials'!$D:$D,IF(Settings!$B$4="","&lt;&gt;",Settings!$B$4)))</f>
        <v>0</v>
      </c>
    </row>
    <row r="294">
      <c r="A294" t="str">
        <v>mat-nbr</v>
      </c>
      <c r="B294" t="str">
        <v>NBR 70 Shore A</v>
      </c>
      <c r="C294" t="str">
        <v>Rubber</v>
      </c>
      <c r="D294">
        <f>IF($M294&gt;0,$M294,2.32)</f>
        <v>2.32</v>
      </c>
      <c r="E294">
        <f>IF($O294&gt;0,$O294,0.05)</f>
        <v>0.05</v>
      </c>
      <c r="F294">
        <v>1200</v>
      </c>
      <c r="G294" t="str">
        <v>UK</v>
      </c>
      <c r="H294" t="str">
        <f>IF($M294&gt;0,IF($L294&lt;&gt;1,"2026-07",IFERROR(INDEX('JLR Materials'!$D:$D,MATCH($K294,'JLR Materials'!$A:$A,0)),"2026-07")),"2026-07")</f>
        <v>2026-07</v>
      </c>
      <c r="I294" t="str">
        <f>IF($M294&gt;0,"JLR rate card — material code "&amp;$K294,"UK rubber compounder Jun 2026. Nitrile rubber — oil/fuel seals, O-rings. Shore 70A. Index-anchored 2026-07 refresh.")</f>
        <v>UK rubber compounder Jun 2026. Nitrile rubber — oil/fuel seals, O-rings. Shore 70A. Index-anchored 2026-07 refresh.</v>
      </c>
      <c r="J294" t="str">
        <v>Medium</v>
      </c>
      <c r="K294" t="str">
        <f>IFERROR(INDEX(Mapping!$C:$C,MATCH($A294,Mapping!$A:$A,0)),"")</f>
        <v/>
      </c>
      <c r="L294">
        <f>IF($K294="",0,COUNTIFS('JLR Materials'!$A:$A,$K294,'JLR Materials'!$C:$C,IF(Settings!$B$2="","&lt;&gt;",Settings!$B$2),'JLR Materials'!$D:$D,IF(Settings!$B$4="","&lt;&gt;",Settings!$B$4)))</f>
        <v>0</v>
      </c>
      <c r="M294">
        <f>IF($L294&lt;&gt;1,0,SUMIFS('JLR Materials'!$E:$E,'JLR Materials'!$A:$A,$K294,'JLR Materials'!$C:$C,IF(Settings!$B$2="","&lt;&gt;",Settings!$B$2),'JLR Materials'!$D:$D,IF(Settings!$B$4="","&lt;&gt;",Settings!$B$4)))</f>
        <v>0</v>
      </c>
      <c r="N294">
        <f>IF($L294&lt;&gt;1,0,SUMIFS('JLR Materials'!$F:$F,'JLR Materials'!$A:$A,$K294,'JLR Materials'!$C:$C,IF(Settings!$B$2="","&lt;&gt;",Settings!$B$2),'JLR Materials'!$D:$D,IF(Settings!$B$4="","&lt;&gt;",Settings!$B$4)))</f>
        <v>0</v>
      </c>
      <c r="O294">
        <f>IF($N294=0,0,IF(Settings!$B$5="percent",$M294*$N294/100,$N294))</f>
        <v>0</v>
      </c>
      <c r="P294">
        <f>IF($L294&lt;&gt;1,0,SUMIFS('JLR Materials'!$G:$G,'JLR Materials'!$A:$A,$K294,'JLR Materials'!$C:$C,IF(Settings!$B$2="","&lt;&gt;",Settings!$B$2),'JLR Materials'!$D:$D,IF(Settings!$B$4="","&lt;&gt;",Settings!$B$4)))</f>
        <v>0</v>
      </c>
    </row>
    <row r="295">
      <c r="A295" t="str">
        <v>mat-silicone-hcr</v>
      </c>
      <c r="B295" t="str">
        <v>HCR Silicone 60 Shore A</v>
      </c>
      <c r="C295" t="str">
        <v>Rubber</v>
      </c>
      <c r="D295">
        <f>IF($M295&gt;0,$M295,8.92)</f>
        <v>8.92</v>
      </c>
      <c r="E295">
        <f>IF($O295&gt;0,$O295,0.1)</f>
        <v>0.1</v>
      </c>
      <c r="F295">
        <v>1200</v>
      </c>
      <c r="G295" t="str">
        <v>UK</v>
      </c>
      <c r="H295" t="str">
        <f>IF($M295&gt;0,IF($L295&lt;&gt;1,"2026-07",IFERROR(INDEX('JLR Materials'!$D:$D,MATCH($K295,'JLR Materials'!$A:$A,0)),"2026-07")),"2026-07")</f>
        <v>2026-07</v>
      </c>
      <c r="I295" t="str">
        <f>IF($M295&gt;0,"JLR rate card — material code "&amp;$K295,"UK silicone supplier Jun 2026. High Consistency Rubber — compression/transfer moulding. Shore 60A. Index-anchored 2026-07 refresh.")</f>
        <v>UK silicone supplier Jun 2026. High Consistency Rubber — compression/transfer moulding. Shore 60A. Index-anchored 2026-07 refresh.</v>
      </c>
      <c r="J295" t="str">
        <v>Low</v>
      </c>
      <c r="K295" t="str">
        <f>IFERROR(INDEX(Mapping!$C:$C,MATCH($A295,Mapping!$A:$A,0)),"")</f>
        <v/>
      </c>
      <c r="L295">
        <f>IF($K295="",0,COUNTIFS('JLR Materials'!$A:$A,$K295,'JLR Materials'!$C:$C,IF(Settings!$B$2="","&lt;&gt;",Settings!$B$2),'JLR Materials'!$D:$D,IF(Settings!$B$4="","&lt;&gt;",Settings!$B$4)))</f>
        <v>0</v>
      </c>
      <c r="M295">
        <f>IF($L295&lt;&gt;1,0,SUMIFS('JLR Materials'!$E:$E,'JLR Materials'!$A:$A,$K295,'JLR Materials'!$C:$C,IF(Settings!$B$2="","&lt;&gt;",Settings!$B$2),'JLR Materials'!$D:$D,IF(Settings!$B$4="","&lt;&gt;",Settings!$B$4)))</f>
        <v>0</v>
      </c>
      <c r="N295">
        <f>IF($L295&lt;&gt;1,0,SUMIFS('JLR Materials'!$F:$F,'JLR Materials'!$A:$A,$K295,'JLR Materials'!$C:$C,IF(Settings!$B$2="","&lt;&gt;",Settings!$B$2),'JLR Materials'!$D:$D,IF(Settings!$B$4="","&lt;&gt;",Settings!$B$4)))</f>
        <v>0</v>
      </c>
      <c r="O295">
        <f>IF($N295=0,0,IF(Settings!$B$5="percent",$M295*$N295/100,$N295))</f>
        <v>0</v>
      </c>
      <c r="P295">
        <f>IF($L295&lt;&gt;1,0,SUMIFS('JLR Materials'!$G:$G,'JLR Materials'!$A:$A,$K295,'JLR Materials'!$C:$C,IF(Settings!$B$2="","&lt;&gt;",Settings!$B$2),'JLR Materials'!$D:$D,IF(Settings!$B$4="","&lt;&gt;",Settings!$B$4)))</f>
        <v>0</v>
      </c>
    </row>
    <row r="296">
      <c r="A296" t="str">
        <v>mat-lsr</v>
      </c>
      <c r="B296" t="str">
        <v>LSR 40 Shore A</v>
      </c>
      <c r="C296" t="str">
        <v>Rubber</v>
      </c>
      <c r="D296">
        <f>IF($M296&gt;0,$M296,15.75)</f>
        <v>15.75</v>
      </c>
      <c r="E296">
        <f>IF($O296&gt;0,$O296,0.1)</f>
        <v>0.1</v>
      </c>
      <c r="F296">
        <v>1130</v>
      </c>
      <c r="G296" t="str">
        <v>UK</v>
      </c>
      <c r="H296" t="str">
        <f>IF($M296&gt;0,IF($L296&lt;&gt;1,"2026-07",IFERROR(INDEX('JLR Materials'!$D:$D,MATCH($K296,'JLR Materials'!$A:$A,0)),"2026-07")),"2026-07")</f>
        <v>2026-07</v>
      </c>
      <c r="I296" t="str">
        <f>IF($M296&gt;0,"JLR rate card — material code "&amp;$K296,"UK silicone supplier Jun 2026. Liquid Silicone Rubber — injection moulding, medical/auto seals. Shore 40A. Index-anchored 2026-07 refresh.")</f>
        <v>UK silicone supplier Jun 2026. Liquid Silicone Rubber — injection moulding, medical/auto seals. Shore 40A. Index-anchored 2026-07 refresh.</v>
      </c>
      <c r="J296" t="str">
        <v>Low</v>
      </c>
      <c r="K296" t="str">
        <f>IFERROR(INDEX(Mapping!$C:$C,MATCH($A296,Mapping!$A:$A,0)),"")</f>
        <v/>
      </c>
      <c r="L296">
        <f>IF($K296="",0,COUNTIFS('JLR Materials'!$A:$A,$K296,'JLR Materials'!$C:$C,IF(Settings!$B$2="","&lt;&gt;",Settings!$B$2),'JLR Materials'!$D:$D,IF(Settings!$B$4="","&lt;&gt;",Settings!$B$4)))</f>
        <v>0</v>
      </c>
      <c r="M296">
        <f>IF($L296&lt;&gt;1,0,SUMIFS('JLR Materials'!$E:$E,'JLR Materials'!$A:$A,$K296,'JLR Materials'!$C:$C,IF(Settings!$B$2="","&lt;&gt;",Settings!$B$2),'JLR Materials'!$D:$D,IF(Settings!$B$4="","&lt;&gt;",Settings!$B$4)))</f>
        <v>0</v>
      </c>
      <c r="N296">
        <f>IF($L296&lt;&gt;1,0,SUMIFS('JLR Materials'!$F:$F,'JLR Materials'!$A:$A,$K296,'JLR Materials'!$C:$C,IF(Settings!$B$2="","&lt;&gt;",Settings!$B$2),'JLR Materials'!$D:$D,IF(Settings!$B$4="","&lt;&gt;",Settings!$B$4)))</f>
        <v>0</v>
      </c>
      <c r="O296">
        <f>IF($N296=0,0,IF(Settings!$B$5="percent",$M296*$N296/100,$N296))</f>
        <v>0</v>
      </c>
      <c r="P296">
        <f>IF($L296&lt;&gt;1,0,SUMIFS('JLR Materials'!$G:$G,'JLR Materials'!$A:$A,$K296,'JLR Materials'!$C:$C,IF(Settings!$B$2="","&lt;&gt;",Settings!$B$2),'JLR Materials'!$D:$D,IF(Settings!$B$4="","&lt;&gt;",Settings!$B$4)))</f>
        <v>0</v>
      </c>
    </row>
    <row r="297">
      <c r="A297" t="str">
        <v>mat-nr</v>
      </c>
      <c r="B297" t="str">
        <v>Natural Rubber SMR20</v>
      </c>
      <c r="C297" t="str">
        <v>Rubber</v>
      </c>
      <c r="D297">
        <f>IF($M297&gt;0,$M297,1.72)</f>
        <v>1.72</v>
      </c>
      <c r="E297">
        <f>IF($O297&gt;0,$O297,0.05)</f>
        <v>0.05</v>
      </c>
      <c r="F297">
        <v>920</v>
      </c>
      <c r="G297" t="str">
        <v>UK</v>
      </c>
      <c r="H297" t="str">
        <f>IF($M297&gt;0,IF($L297&lt;&gt;1,"2026-07",IFERROR(INDEX('JLR Materials'!$D:$D,MATCH($K297,'JLR Materials'!$A:$A,0)),"2026-07")),"2026-07")</f>
        <v>2026-07</v>
      </c>
      <c r="I297" t="str">
        <f>IF($M297&gt;0,"JLR rate card — material code "&amp;$K297,"UK rubber importer Jun 2026. Natural rubber SMR20 grade — tyre compounds, anti-vibration mounts. Index-anchored 2026-07 refresh.")</f>
        <v>UK rubber importer Jun 2026. Natural rubber SMR20 grade — tyre compounds, anti-vibration mounts. Index-anchored 2026-07 refresh.</v>
      </c>
      <c r="J297" t="str">
        <v>Low</v>
      </c>
      <c r="K297" t="str">
        <f>IFERROR(INDEX(Mapping!$C:$C,MATCH($A297,Mapping!$A:$A,0)),"")</f>
        <v/>
      </c>
      <c r="L297">
        <f>IF($K297="",0,COUNTIFS('JLR Materials'!$A:$A,$K297,'JLR Materials'!$C:$C,IF(Settings!$B$2="","&lt;&gt;",Settings!$B$2),'JLR Materials'!$D:$D,IF(Settings!$B$4="","&lt;&gt;",Settings!$B$4)))</f>
        <v>0</v>
      </c>
      <c r="M297">
        <f>IF($L297&lt;&gt;1,0,SUMIFS('JLR Materials'!$E:$E,'JLR Materials'!$A:$A,$K297,'JLR Materials'!$C:$C,IF(Settings!$B$2="","&lt;&gt;",Settings!$B$2),'JLR Materials'!$D:$D,IF(Settings!$B$4="","&lt;&gt;",Settings!$B$4)))</f>
        <v>0</v>
      </c>
      <c r="N297">
        <f>IF($L297&lt;&gt;1,0,SUMIFS('JLR Materials'!$F:$F,'JLR Materials'!$A:$A,$K297,'JLR Materials'!$C:$C,IF(Settings!$B$2="","&lt;&gt;",Settings!$B$2),'JLR Materials'!$D:$D,IF(Settings!$B$4="","&lt;&gt;",Settings!$B$4)))</f>
        <v>0</v>
      </c>
      <c r="O297">
        <f>IF($N297=0,0,IF(Settings!$B$5="percent",$M297*$N297/100,$N297))</f>
        <v>0</v>
      </c>
      <c r="P297">
        <f>IF($L297&lt;&gt;1,0,SUMIFS('JLR Materials'!$G:$G,'JLR Materials'!$A:$A,$K297,'JLR Materials'!$C:$C,IF(Settings!$B$2="","&lt;&gt;",Settings!$B$2),'JLR Materials'!$D:$D,IF(Settings!$B$4="","&lt;&gt;",Settings!$B$4)))</f>
        <v>0</v>
      </c>
    </row>
    <row r="298">
      <c r="A298" t="str">
        <v>mat-viton-fkm</v>
      </c>
      <c r="B298" t="str">
        <v>FKM Viton 75 Shore A</v>
      </c>
      <c r="C298" t="str">
        <v>Rubber</v>
      </c>
      <c r="D298">
        <f>IF($M298&gt;0,$M298,23.1)</f>
        <v>23.1</v>
      </c>
      <c r="E298">
        <f>IF($O298&gt;0,$O298,0.2)</f>
        <v>0.2</v>
      </c>
      <c r="F298">
        <v>1850</v>
      </c>
      <c r="G298" t="str">
        <v>UK</v>
      </c>
      <c r="H298" t="str">
        <f>IF($M298&gt;0,IF($L298&lt;&gt;1,"2026-07",IFERROR(INDEX('JLR Materials'!$D:$D,MATCH($K298,'JLR Materials'!$A:$A,0)),"2026-07")),"2026-07")</f>
        <v>2026-07</v>
      </c>
      <c r="I298" t="str">
        <f>IF($M298&gt;0,"JLR rate card — material code "&amp;$K298,"UK fluoroelastomer supplier Jun 2026. FKM Viton — high-temp/chemical seals (&gt;200°C). Shore 75A. Index-anchored 2026-07 refresh.")</f>
        <v>UK fluoroelastomer supplier Jun 2026. FKM Viton — high-temp/chemical seals (&gt;200°C). Shore 75A. Index-anchored 2026-07 refresh.</v>
      </c>
      <c r="J298" t="str">
        <v>Low</v>
      </c>
      <c r="K298" t="str">
        <f>IFERROR(INDEX(Mapping!$C:$C,MATCH($A298,Mapping!$A:$A,0)),"")</f>
        <v/>
      </c>
      <c r="L298">
        <f>IF($K298="",0,COUNTIFS('JLR Materials'!$A:$A,$K298,'JLR Materials'!$C:$C,IF(Settings!$B$2="","&lt;&gt;",Settings!$B$2),'JLR Materials'!$D:$D,IF(Settings!$B$4="","&lt;&gt;",Settings!$B$4)))</f>
        <v>0</v>
      </c>
      <c r="M298">
        <f>IF($L298&lt;&gt;1,0,SUMIFS('JLR Materials'!$E:$E,'JLR Materials'!$A:$A,$K298,'JLR Materials'!$C:$C,IF(Settings!$B$2="","&lt;&gt;",Settings!$B$2),'JLR Materials'!$D:$D,IF(Settings!$B$4="","&lt;&gt;",Settings!$B$4)))</f>
        <v>0</v>
      </c>
      <c r="N298">
        <f>IF($L298&lt;&gt;1,0,SUMIFS('JLR Materials'!$F:$F,'JLR Materials'!$A:$A,$K298,'JLR Materials'!$C:$C,IF(Settings!$B$2="","&lt;&gt;",Settings!$B$2),'JLR Materials'!$D:$D,IF(Settings!$B$4="","&lt;&gt;",Settings!$B$4)))</f>
        <v>0</v>
      </c>
      <c r="O298">
        <f>IF($N298=0,0,IF(Settings!$B$5="percent",$M298*$N298/100,$N298))</f>
        <v>0</v>
      </c>
      <c r="P298">
        <f>IF($L298&lt;&gt;1,0,SUMIFS('JLR Materials'!$G:$G,'JLR Materials'!$A:$A,$K298,'JLR Materials'!$C:$C,IF(Settings!$B$2="","&lt;&gt;",Settings!$B$2),'JLR Materials'!$D:$D,IF(Settings!$B$4="","&lt;&gt;",Settings!$B$4)))</f>
        <v>0</v>
      </c>
    </row>
    <row r="299">
      <c r="A299" t="str">
        <v>mat-sbr</v>
      </c>
      <c r="B299" t="str">
        <v>SBR 65 Shore A</v>
      </c>
      <c r="C299" t="str">
        <v>Rubber</v>
      </c>
      <c r="D299">
        <f>IF($M299&gt;0,$M299,1.45)</f>
        <v>1.45</v>
      </c>
      <c r="E299">
        <f>IF($O299&gt;0,$O299,0.03)</f>
        <v>0.03</v>
      </c>
      <c r="F299">
        <v>1100</v>
      </c>
      <c r="G299" t="str">
        <v>UK</v>
      </c>
      <c r="H299" t="str">
        <f>IF($M299&gt;0,IF($L299&lt;&gt;1,"2026-07",IFERROR(INDEX('JLR Materials'!$D:$D,MATCH($K299,'JLR Materials'!$A:$A,0)),"2026-07")),"2026-07")</f>
        <v>2026-07</v>
      </c>
      <c r="I299" t="str">
        <f>IF($M299&gt;0,"JLR rate card — material code "&amp;$K299,"UK rubber compounder Jun 2026. Styrene Butadiene Rubber — general-purpose seals, gaskets, belts, anti-vibration pads. Shore 65A. Index-anchored 2026-07 refresh.")</f>
        <v>UK rubber compounder Jun 2026. Styrene Butadiene Rubber — general-purpose seals, gaskets, belts, anti-vibration pads. Shore 65A. Index-anchored 2026-07 refresh.</v>
      </c>
      <c r="J299" t="str">
        <v>Medium</v>
      </c>
      <c r="K299" t="str">
        <f>IFERROR(INDEX(Mapping!$C:$C,MATCH($A299,Mapping!$A:$A,0)),"")</f>
        <v/>
      </c>
      <c r="L299">
        <f>IF($K299="",0,COUNTIFS('JLR Materials'!$A:$A,$K299,'JLR Materials'!$C:$C,IF(Settings!$B$2="","&lt;&gt;",Settings!$B$2),'JLR Materials'!$D:$D,IF(Settings!$B$4="","&lt;&gt;",Settings!$B$4)))</f>
        <v>0</v>
      </c>
      <c r="M299">
        <f>IF($L299&lt;&gt;1,0,SUMIFS('JLR Materials'!$E:$E,'JLR Materials'!$A:$A,$K299,'JLR Materials'!$C:$C,IF(Settings!$B$2="","&lt;&gt;",Settings!$B$2),'JLR Materials'!$D:$D,IF(Settings!$B$4="","&lt;&gt;",Settings!$B$4)))</f>
        <v>0</v>
      </c>
      <c r="N299">
        <f>IF($L299&lt;&gt;1,0,SUMIFS('JLR Materials'!$F:$F,'JLR Materials'!$A:$A,$K299,'JLR Materials'!$C:$C,IF(Settings!$B$2="","&lt;&gt;",Settings!$B$2),'JLR Materials'!$D:$D,IF(Settings!$B$4="","&lt;&gt;",Settings!$B$4)))</f>
        <v>0</v>
      </c>
      <c r="O299">
        <f>IF($N299=0,0,IF(Settings!$B$5="percent",$M299*$N299/100,$N299))</f>
        <v>0</v>
      </c>
      <c r="P299">
        <f>IF($L299&lt;&gt;1,0,SUMIFS('JLR Materials'!$G:$G,'JLR Materials'!$A:$A,$K299,'JLR Materials'!$C:$C,IF(Settings!$B$2="","&lt;&gt;",Settings!$B$2),'JLR Materials'!$D:$D,IF(Settings!$B$4="","&lt;&gt;",Settings!$B$4)))</f>
        <v>0</v>
      </c>
    </row>
    <row r="300">
      <c r="A300" t="str">
        <v>mat-cr</v>
      </c>
      <c r="B300" t="str">
        <v>CR Neoprene 60 Shore A</v>
      </c>
      <c r="C300" t="str">
        <v>Rubber</v>
      </c>
      <c r="D300">
        <f>IF($M300&gt;0,$M300,3.82)</f>
        <v>3.82</v>
      </c>
      <c r="E300">
        <f>IF($O300&gt;0,$O300,0.05)</f>
        <v>0.05</v>
      </c>
      <c r="F300">
        <v>1230</v>
      </c>
      <c r="G300" t="str">
        <v>UK</v>
      </c>
      <c r="H300" t="str">
        <f>IF($M300&gt;0,IF($L300&lt;&gt;1,"2026-07",IFERROR(INDEX('JLR Materials'!$D:$D,MATCH($K300,'JLR Materials'!$A:$A,0)),"2026-07")),"2026-07")</f>
        <v>2026-07</v>
      </c>
      <c r="I300" t="str">
        <f>IF($M300&gt;0,"JLR rate card — material code "&amp;$K300,"UK rubber compounder Jun 2026. Chloroprene/Neoprene — oil/weather-resistant seals, CV boots, hoses, cable sheaths. Shore 60A. Index-anchored 2026-07 refresh.")</f>
        <v>UK rubber compounder Jun 2026. Chloroprene/Neoprene — oil/weather-resistant seals, CV boots, hoses, cable sheaths. Shore 60A. Index-anchored 2026-07 refresh.</v>
      </c>
      <c r="J300" t="str">
        <v>Medium</v>
      </c>
      <c r="K300" t="str">
        <f>IFERROR(INDEX(Mapping!$C:$C,MATCH($A300,Mapping!$A:$A,0)),"")</f>
        <v/>
      </c>
      <c r="L300">
        <f>IF($K300="",0,COUNTIFS('JLR Materials'!$A:$A,$K300,'JLR Materials'!$C:$C,IF(Settings!$B$2="","&lt;&gt;",Settings!$B$2),'JLR Materials'!$D:$D,IF(Settings!$B$4="","&lt;&gt;",Settings!$B$4)))</f>
        <v>0</v>
      </c>
      <c r="M300">
        <f>IF($L300&lt;&gt;1,0,SUMIFS('JLR Materials'!$E:$E,'JLR Materials'!$A:$A,$K300,'JLR Materials'!$C:$C,IF(Settings!$B$2="","&lt;&gt;",Settings!$B$2),'JLR Materials'!$D:$D,IF(Settings!$B$4="","&lt;&gt;",Settings!$B$4)))</f>
        <v>0</v>
      </c>
      <c r="N300">
        <f>IF($L300&lt;&gt;1,0,SUMIFS('JLR Materials'!$F:$F,'JLR Materials'!$A:$A,$K300,'JLR Materials'!$C:$C,IF(Settings!$B$2="","&lt;&gt;",Settings!$B$2),'JLR Materials'!$D:$D,IF(Settings!$B$4="","&lt;&gt;",Settings!$B$4)))</f>
        <v>0</v>
      </c>
      <c r="O300">
        <f>IF($N300=0,0,IF(Settings!$B$5="percent",$M300*$N300/100,$N300))</f>
        <v>0</v>
      </c>
      <c r="P300">
        <f>IF($L300&lt;&gt;1,0,SUMIFS('JLR Materials'!$G:$G,'JLR Materials'!$A:$A,$K300,'JLR Materials'!$C:$C,IF(Settings!$B$2="","&lt;&gt;",Settings!$B$2),'JLR Materials'!$D:$D,IF(Settings!$B$4="","&lt;&gt;",Settings!$B$4)))</f>
        <v>0</v>
      </c>
    </row>
    <row r="301">
      <c r="A301" t="str">
        <v>mat-hnbr</v>
      </c>
      <c r="B301" t="str">
        <v>HNBR 70 Shore A</v>
      </c>
      <c r="C301" t="str">
        <v>Rubber</v>
      </c>
      <c r="D301">
        <f>IF($M301&gt;0,$M301,5.65)</f>
        <v>5.65</v>
      </c>
      <c r="E301">
        <f>IF($O301&gt;0,$O301,0.08)</f>
        <v>0.08</v>
      </c>
      <c r="F301">
        <v>1200</v>
      </c>
      <c r="G301" t="str">
        <v>UK</v>
      </c>
      <c r="H301" t="str">
        <f>IF($M301&gt;0,IF($L301&lt;&gt;1,"2026-07",IFERROR(INDEX('JLR Materials'!$D:$D,MATCH($K301,'JLR Materials'!$A:$A,0)),"2026-07")),"2026-07")</f>
        <v>2026-07</v>
      </c>
      <c r="I301" t="str">
        <f>IF($M301&gt;0,"JLR rate card — material code "&amp;$K301,"UK rubber compounder Jun 2026. Hydrogenated Nitrile — high-temp oil seals to 150°C+, cam cover gaskets, power steering. Shore 70A. Index-anchored 2026-07 refresh.")</f>
        <v>UK rubber compounder Jun 2026. Hydrogenated Nitrile — high-temp oil seals to 150°C+, cam cover gaskets, power steering. Shore 70A. Index-anchored 2026-07 refresh.</v>
      </c>
      <c r="J301" t="str">
        <v>Low</v>
      </c>
      <c r="K301" t="str">
        <f>IFERROR(INDEX(Mapping!$C:$C,MATCH($A301,Mapping!$A:$A,0)),"")</f>
        <v/>
      </c>
      <c r="L301">
        <f>IF($K301="",0,COUNTIFS('JLR Materials'!$A:$A,$K301,'JLR Materials'!$C:$C,IF(Settings!$B$2="","&lt;&gt;",Settings!$B$2),'JLR Materials'!$D:$D,IF(Settings!$B$4="","&lt;&gt;",Settings!$B$4)))</f>
        <v>0</v>
      </c>
      <c r="M301">
        <f>IF($L301&lt;&gt;1,0,SUMIFS('JLR Materials'!$E:$E,'JLR Materials'!$A:$A,$K301,'JLR Materials'!$C:$C,IF(Settings!$B$2="","&lt;&gt;",Settings!$B$2),'JLR Materials'!$D:$D,IF(Settings!$B$4="","&lt;&gt;",Settings!$B$4)))</f>
        <v>0</v>
      </c>
      <c r="N301">
        <f>IF($L301&lt;&gt;1,0,SUMIFS('JLR Materials'!$F:$F,'JLR Materials'!$A:$A,$K301,'JLR Materials'!$C:$C,IF(Settings!$B$2="","&lt;&gt;",Settings!$B$2),'JLR Materials'!$D:$D,IF(Settings!$B$4="","&lt;&gt;",Settings!$B$4)))</f>
        <v>0</v>
      </c>
      <c r="O301">
        <f>IF($N301=0,0,IF(Settings!$B$5="percent",$M301*$N301/100,$N301))</f>
        <v>0</v>
      </c>
      <c r="P301">
        <f>IF($L301&lt;&gt;1,0,SUMIFS('JLR Materials'!$G:$G,'JLR Materials'!$A:$A,$K301,'JLR Materials'!$C:$C,IF(Settings!$B$2="","&lt;&gt;",Settings!$B$2),'JLR Materials'!$D:$D,IF(Settings!$B$4="","&lt;&gt;",Settings!$B$4)))</f>
        <v>0</v>
      </c>
    </row>
    <row r="302">
      <c r="A302" t="str">
        <v>mat-iir</v>
      </c>
      <c r="B302" t="str">
        <v>Butyl Rubber IIR 55 Shore A</v>
      </c>
      <c r="C302" t="str">
        <v>Rubber</v>
      </c>
      <c r="D302">
        <f>IF($M302&gt;0,$M302,2.18)</f>
        <v>2.18</v>
      </c>
      <c r="E302">
        <f>IF($O302&gt;0,$O302,0.03)</f>
        <v>0.03</v>
      </c>
      <c r="F302">
        <v>920</v>
      </c>
      <c r="G302" t="str">
        <v>UK</v>
      </c>
      <c r="H302" t="str">
        <f>IF($M302&gt;0,IF($L302&lt;&gt;1,"2026-07",IFERROR(INDEX('JLR Materials'!$D:$D,MATCH($K302,'JLR Materials'!$A:$A,0)),"2026-07")),"2026-07")</f>
        <v>2026-07</v>
      </c>
      <c r="I302" t="str">
        <f>IF($M302&gt;0,"JLR rate card — material code "&amp;$K302,"UK rubber importer Jun 2026. Butyl rubber — excellent gas impermeability, tire inner liners, vibration dampers, membrane seals. Shore 55A. Index-anchored 2026-07 refresh.")</f>
        <v>UK rubber importer Jun 2026. Butyl rubber — excellent gas impermeability, tire inner liners, vibration dampers, membrane seals. Shore 55A. Index-anchored 2026-07 refresh.</v>
      </c>
      <c r="J302" t="str">
        <v>Low</v>
      </c>
      <c r="K302" t="str">
        <f>IFERROR(INDEX(Mapping!$C:$C,MATCH($A302,Mapping!$A:$A,0)),"")</f>
        <v/>
      </c>
      <c r="L302">
        <f>IF($K302="",0,COUNTIFS('JLR Materials'!$A:$A,$K302,'JLR Materials'!$C:$C,IF(Settings!$B$2="","&lt;&gt;",Settings!$B$2),'JLR Materials'!$D:$D,IF(Settings!$B$4="","&lt;&gt;",Settings!$B$4)))</f>
        <v>0</v>
      </c>
      <c r="M302">
        <f>IF($L302&lt;&gt;1,0,SUMIFS('JLR Materials'!$E:$E,'JLR Materials'!$A:$A,$K302,'JLR Materials'!$C:$C,IF(Settings!$B$2="","&lt;&gt;",Settings!$B$2),'JLR Materials'!$D:$D,IF(Settings!$B$4="","&lt;&gt;",Settings!$B$4)))</f>
        <v>0</v>
      </c>
      <c r="N302">
        <f>IF($L302&lt;&gt;1,0,SUMIFS('JLR Materials'!$F:$F,'JLR Materials'!$A:$A,$K302,'JLR Materials'!$C:$C,IF(Settings!$B$2="","&lt;&gt;",Settings!$B$2),'JLR Materials'!$D:$D,IF(Settings!$B$4="","&lt;&gt;",Settings!$B$4)))</f>
        <v>0</v>
      </c>
      <c r="O302">
        <f>IF($N302=0,0,IF(Settings!$B$5="percent",$M302*$N302/100,$N302))</f>
        <v>0</v>
      </c>
      <c r="P302">
        <f>IF($L302&lt;&gt;1,0,SUMIFS('JLR Materials'!$G:$G,'JLR Materials'!$A:$A,$K302,'JLR Materials'!$C:$C,IF(Settings!$B$2="","&lt;&gt;",Settings!$B$2),'JLR Materials'!$D:$D,IF(Settings!$B$4="","&lt;&gt;",Settings!$B$4)))</f>
        <v>0</v>
      </c>
    </row>
    <row r="303">
      <c r="A303" t="str">
        <v>mat-pu-elastomer</v>
      </c>
      <c r="B303" t="str">
        <v>Polyurethane Elastomer 70 Shore A</v>
      </c>
      <c r="C303" t="str">
        <v>Rubber</v>
      </c>
      <c r="D303">
        <f>IF($M303&gt;0,$M303,4.25)</f>
        <v>4.25</v>
      </c>
      <c r="E303">
        <f>IF($O303&gt;0,$O303,0.1)</f>
        <v>0.1</v>
      </c>
      <c r="F303">
        <v>1200</v>
      </c>
      <c r="G303" t="str">
        <v>UK</v>
      </c>
      <c r="H303" t="str">
        <f>IF($M303&gt;0,IF($L303&lt;&gt;1,"2026-07",IFERROR(INDEX('JLR Materials'!$D:$D,MATCH($K303,'JLR Materials'!$A:$A,0)),"2026-07")),"2026-07")</f>
        <v>2026-07</v>
      </c>
      <c r="I303" t="str">
        <f>IF($M303&gt;0,"JLR rate card — material code "&amp;$K303,"UK PU elastomer supplier Jun 2026. Cast/moulded polyurethane — wear-resistant seals, guide bushes, rollers, suspension bump stops. Shore 70A. Index-anchored 2026-07 refresh.")</f>
        <v>UK PU elastomer supplier Jun 2026. Cast/moulded polyurethane — wear-resistant seals, guide bushes, rollers, suspension bump stops. Shore 70A. Index-anchored 2026-07 refresh.</v>
      </c>
      <c r="J303" t="str">
        <v>Medium</v>
      </c>
      <c r="K303" t="str">
        <f>IFERROR(INDEX(Mapping!$C:$C,MATCH($A303,Mapping!$A:$A,0)),"")</f>
        <v/>
      </c>
      <c r="L303">
        <f>IF($K303="",0,COUNTIFS('JLR Materials'!$A:$A,$K303,'JLR Materials'!$C:$C,IF(Settings!$B$2="","&lt;&gt;",Settings!$B$2),'JLR Materials'!$D:$D,IF(Settings!$B$4="","&lt;&gt;",Settings!$B$4)))</f>
        <v>0</v>
      </c>
      <c r="M303">
        <f>IF($L303&lt;&gt;1,0,SUMIFS('JLR Materials'!$E:$E,'JLR Materials'!$A:$A,$K303,'JLR Materials'!$C:$C,IF(Settings!$B$2="","&lt;&gt;",Settings!$B$2),'JLR Materials'!$D:$D,IF(Settings!$B$4="","&lt;&gt;",Settings!$B$4)))</f>
        <v>0</v>
      </c>
      <c r="N303">
        <f>IF($L303&lt;&gt;1,0,SUMIFS('JLR Materials'!$F:$F,'JLR Materials'!$A:$A,$K303,'JLR Materials'!$C:$C,IF(Settings!$B$2="","&lt;&gt;",Settings!$B$2),'JLR Materials'!$D:$D,IF(Settings!$B$4="","&lt;&gt;",Settings!$B$4)))</f>
        <v>0</v>
      </c>
      <c r="O303">
        <f>IF($N303=0,0,IF(Settings!$B$5="percent",$M303*$N303/100,$N303))</f>
        <v>0</v>
      </c>
      <c r="P303">
        <f>IF($L303&lt;&gt;1,0,SUMIFS('JLR Materials'!$G:$G,'JLR Materials'!$A:$A,$K303,'JLR Materials'!$C:$C,IF(Settings!$B$2="","&lt;&gt;",Settings!$B$2),'JLR Materials'!$D:$D,IF(Settings!$B$4="","&lt;&gt;",Settings!$B$4)))</f>
        <v>0</v>
      </c>
    </row>
    <row r="304">
      <c r="A304" t="str">
        <v>mat-fvmq</v>
      </c>
      <c r="B304" t="str">
        <v>FVMQ Fluorosilicone 60 Shore A</v>
      </c>
      <c r="C304" t="str">
        <v>Rubber</v>
      </c>
      <c r="D304">
        <f>IF($M304&gt;0,$M304,34)</f>
        <v>34</v>
      </c>
      <c r="E304">
        <f>IF($O304&gt;0,$O304,0.15)</f>
        <v>0.15</v>
      </c>
      <c r="F304">
        <v>1400</v>
      </c>
      <c r="G304" t="str">
        <v>UK</v>
      </c>
      <c r="H304" t="str">
        <f>IF($M304&gt;0,IF($L304&lt;&gt;1,"2026-07",IFERROR(INDEX('JLR Materials'!$D:$D,MATCH($K304,'JLR Materials'!$A:$A,0)),"2026-07")),"2026-07")</f>
        <v>2026-07</v>
      </c>
      <c r="I304" t="str">
        <f>IF($M304&gt;0,"JLR rate card — material code "&amp;$K304,"Index-anchored 2026-07. Fluorosilicone — fuel/oil resistance with silicone low-temp flexibility; aerospace/fuel-system seals. Shore 60A.")</f>
        <v>Index-anchored 2026-07. Fluorosilicone — fuel/oil resistance with silicone low-temp flexibility; aerospace/fuel-system seals. Shore 60A.</v>
      </c>
      <c r="J304" t="str">
        <v>Low</v>
      </c>
      <c r="K304" t="str">
        <f>IFERROR(INDEX(Mapping!$C:$C,MATCH($A304,Mapping!$A:$A,0)),"")</f>
        <v/>
      </c>
      <c r="L304">
        <f>IF($K304="",0,COUNTIFS('JLR Materials'!$A:$A,$K304,'JLR Materials'!$C:$C,IF(Settings!$B$2="","&lt;&gt;",Settings!$B$2),'JLR Materials'!$D:$D,IF(Settings!$B$4="","&lt;&gt;",Settings!$B$4)))</f>
        <v>0</v>
      </c>
      <c r="M304">
        <f>IF($L304&lt;&gt;1,0,SUMIFS('JLR Materials'!$E:$E,'JLR Materials'!$A:$A,$K304,'JLR Materials'!$C:$C,IF(Settings!$B$2="","&lt;&gt;",Settings!$B$2),'JLR Materials'!$D:$D,IF(Settings!$B$4="","&lt;&gt;",Settings!$B$4)))</f>
        <v>0</v>
      </c>
      <c r="N304">
        <f>IF($L304&lt;&gt;1,0,SUMIFS('JLR Materials'!$F:$F,'JLR Materials'!$A:$A,$K304,'JLR Materials'!$C:$C,IF(Settings!$B$2="","&lt;&gt;",Settings!$B$2),'JLR Materials'!$D:$D,IF(Settings!$B$4="","&lt;&gt;",Settings!$B$4)))</f>
        <v>0</v>
      </c>
      <c r="O304">
        <f>IF($N304=0,0,IF(Settings!$B$5="percent",$M304*$N304/100,$N304))</f>
        <v>0</v>
      </c>
      <c r="P304">
        <f>IF($L304&lt;&gt;1,0,SUMIFS('JLR Materials'!$G:$G,'JLR Materials'!$A:$A,$K304,'JLR Materials'!$C:$C,IF(Settings!$B$2="","&lt;&gt;",Settings!$B$2),'JLR Materials'!$D:$D,IF(Settings!$B$4="","&lt;&gt;",Settings!$B$4)))</f>
        <v>0</v>
      </c>
    </row>
    <row r="305">
      <c r="A305" t="str">
        <v>mat-acm</v>
      </c>
      <c r="B305" t="str">
        <v>ACM Polyacrylate 70 Shore A</v>
      </c>
      <c r="C305" t="str">
        <v>Rubber</v>
      </c>
      <c r="D305">
        <f>IF($M305&gt;0,$M305,6.8)</f>
        <v>6.8</v>
      </c>
      <c r="E305">
        <f>IF($O305&gt;0,$O305,0.08)</f>
        <v>0.08</v>
      </c>
      <c r="F305">
        <v>1250</v>
      </c>
      <c r="G305" t="str">
        <v>UK</v>
      </c>
      <c r="H305" t="str">
        <f>IF($M305&gt;0,IF($L305&lt;&gt;1,"2026-07",IFERROR(INDEX('JLR Materials'!$D:$D,MATCH($K305,'JLR Materials'!$A:$A,0)),"2026-07")),"2026-07")</f>
        <v>2026-07</v>
      </c>
      <c r="I305" t="str">
        <f>IF($M305&gt;0,"JLR rate card — material code "&amp;$K305,"Index-anchored 2026-07. Polyacrylate — hot-oil transmission/engine seals to ~150°C, better than NBR. Shore 70A.")</f>
        <v>Index-anchored 2026-07. Polyacrylate — hot-oil transmission/engine seals to ~150°C, better than NBR. Shore 70A.</v>
      </c>
      <c r="J305" t="str">
        <v>Low</v>
      </c>
      <c r="K305" t="str">
        <f>IFERROR(INDEX(Mapping!$C:$C,MATCH($A305,Mapping!$A:$A,0)),"")</f>
        <v/>
      </c>
      <c r="L305">
        <f>IF($K305="",0,COUNTIFS('JLR Materials'!$A:$A,$K305,'JLR Materials'!$C:$C,IF(Settings!$B$2="","&lt;&gt;",Settings!$B$2),'JLR Materials'!$D:$D,IF(Settings!$B$4="","&lt;&gt;",Settings!$B$4)))</f>
        <v>0</v>
      </c>
      <c r="M305">
        <f>IF($L305&lt;&gt;1,0,SUMIFS('JLR Materials'!$E:$E,'JLR Materials'!$A:$A,$K305,'JLR Materials'!$C:$C,IF(Settings!$B$2="","&lt;&gt;",Settings!$B$2),'JLR Materials'!$D:$D,IF(Settings!$B$4="","&lt;&gt;",Settings!$B$4)))</f>
        <v>0</v>
      </c>
      <c r="N305">
        <f>IF($L305&lt;&gt;1,0,SUMIFS('JLR Materials'!$F:$F,'JLR Materials'!$A:$A,$K305,'JLR Materials'!$C:$C,IF(Settings!$B$2="","&lt;&gt;",Settings!$B$2),'JLR Materials'!$D:$D,IF(Settings!$B$4="","&lt;&gt;",Settings!$B$4)))</f>
        <v>0</v>
      </c>
      <c r="O305">
        <f>IF($N305=0,0,IF(Settings!$B$5="percent",$M305*$N305/100,$N305))</f>
        <v>0</v>
      </c>
      <c r="P305">
        <f>IF($L305&lt;&gt;1,0,SUMIFS('JLR Materials'!$G:$G,'JLR Materials'!$A:$A,$K305,'JLR Materials'!$C:$C,IF(Settings!$B$2="","&lt;&gt;",Settings!$B$2),'JLR Materials'!$D:$D,IF(Settings!$B$4="","&lt;&gt;",Settings!$B$4)))</f>
        <v>0</v>
      </c>
    </row>
    <row r="306">
      <c r="A306" t="str">
        <v>mat-aem</v>
      </c>
      <c r="B306" t="str">
        <v>AEM (Vamac) 60 Shore A</v>
      </c>
      <c r="C306" t="str">
        <v>Rubber</v>
      </c>
      <c r="D306">
        <f>IF($M306&gt;0,$M306,9.5)</f>
        <v>9.5</v>
      </c>
      <c r="E306">
        <f>IF($O306&gt;0,$O306,0.1)</f>
        <v>0.1</v>
      </c>
      <c r="F306">
        <v>1300</v>
      </c>
      <c r="G306" t="str">
        <v>UK</v>
      </c>
      <c r="H306" t="str">
        <f>IF($M306&gt;0,IF($L306&lt;&gt;1,"2026-07",IFERROR(INDEX('JLR Materials'!$D:$D,MATCH($K306,'JLR Materials'!$A:$A,0)),"2026-07")),"2026-07")</f>
        <v>2026-07</v>
      </c>
      <c r="I306" t="str">
        <f>IF($M306&gt;0,"JLR rate card — material code "&amp;$K306,"Index-anchored 2026-07. Ethylene-acrylic — automotive hoses, boots, seals; heat + oil + weather resistance. Shore 60A.")</f>
        <v>Index-anchored 2026-07. Ethylene-acrylic — automotive hoses, boots, seals; heat + oil + weather resistance. Shore 60A.</v>
      </c>
      <c r="J306" t="str">
        <v>Low</v>
      </c>
      <c r="K306" t="str">
        <f>IFERROR(INDEX(Mapping!$C:$C,MATCH($A306,Mapping!$A:$A,0)),"")</f>
        <v/>
      </c>
      <c r="L306">
        <f>IF($K306="",0,COUNTIFS('JLR Materials'!$A:$A,$K306,'JLR Materials'!$C:$C,IF(Settings!$B$2="","&lt;&gt;",Settings!$B$2),'JLR Materials'!$D:$D,IF(Settings!$B$4="","&lt;&gt;",Settings!$B$4)))</f>
        <v>0</v>
      </c>
      <c r="M306">
        <f>IF($L306&lt;&gt;1,0,SUMIFS('JLR Materials'!$E:$E,'JLR Materials'!$A:$A,$K306,'JLR Materials'!$C:$C,IF(Settings!$B$2="","&lt;&gt;",Settings!$B$2),'JLR Materials'!$D:$D,IF(Settings!$B$4="","&lt;&gt;",Settings!$B$4)))</f>
        <v>0</v>
      </c>
      <c r="N306">
        <f>IF($L306&lt;&gt;1,0,SUMIFS('JLR Materials'!$F:$F,'JLR Materials'!$A:$A,$K306,'JLR Materials'!$C:$C,IF(Settings!$B$2="","&lt;&gt;",Settings!$B$2),'JLR Materials'!$D:$D,IF(Settings!$B$4="","&lt;&gt;",Settings!$B$4)))</f>
        <v>0</v>
      </c>
      <c r="O306">
        <f>IF($N306=0,0,IF(Settings!$B$5="percent",$M306*$N306/100,$N306))</f>
        <v>0</v>
      </c>
      <c r="P306">
        <f>IF($L306&lt;&gt;1,0,SUMIFS('JLR Materials'!$G:$G,'JLR Materials'!$A:$A,$K306,'JLR Materials'!$C:$C,IF(Settings!$B$2="","&lt;&gt;",Settings!$B$2),'JLR Materials'!$D:$D,IF(Settings!$B$4="","&lt;&gt;",Settings!$B$4)))</f>
        <v>0</v>
      </c>
    </row>
    <row r="307">
      <c r="A307" t="str">
        <v>mat-eco</v>
      </c>
      <c r="B307" t="str">
        <v>ECO Epichlorohydrin 65 Shore A</v>
      </c>
      <c r="C307" t="str">
        <v>Rubber</v>
      </c>
      <c r="D307">
        <f>IF($M307&gt;0,$M307,5.9)</f>
        <v>5.9</v>
      </c>
      <c r="E307">
        <f>IF($O307&gt;0,$O307,0.08)</f>
        <v>0.08</v>
      </c>
      <c r="F307">
        <v>1300</v>
      </c>
      <c r="G307" t="str">
        <v>UK</v>
      </c>
      <c r="H307" t="str">
        <f>IF($M307&gt;0,IF($L307&lt;&gt;1,"2026-07",IFERROR(INDEX('JLR Materials'!$D:$D,MATCH($K307,'JLR Materials'!$A:$A,0)),"2026-07")),"2026-07")</f>
        <v>2026-07</v>
      </c>
      <c r="I307" t="str">
        <f>IF($M307&gt;0,"JLR rate card — material code "&amp;$K307,"Index-anchored 2026-07. Epichlorohydrin — fuel hoses, diaphragms; excellent fuel/ozone resistance and low permeability. Shore 65A.")</f>
        <v>Index-anchored 2026-07. Epichlorohydrin — fuel hoses, diaphragms; excellent fuel/ozone resistance and low permeability. Shore 65A.</v>
      </c>
      <c r="J307" t="str">
        <v>Low</v>
      </c>
      <c r="K307" t="str">
        <f>IFERROR(INDEX(Mapping!$C:$C,MATCH($A307,Mapping!$A:$A,0)),"")</f>
        <v/>
      </c>
      <c r="L307">
        <f>IF($K307="",0,COUNTIFS('JLR Materials'!$A:$A,$K307,'JLR Materials'!$C:$C,IF(Settings!$B$2="","&lt;&gt;",Settings!$B$2),'JLR Materials'!$D:$D,IF(Settings!$B$4="","&lt;&gt;",Settings!$B$4)))</f>
        <v>0</v>
      </c>
      <c r="M307">
        <f>IF($L307&lt;&gt;1,0,SUMIFS('JLR Materials'!$E:$E,'JLR Materials'!$A:$A,$K307,'JLR Materials'!$C:$C,IF(Settings!$B$2="","&lt;&gt;",Settings!$B$2),'JLR Materials'!$D:$D,IF(Settings!$B$4="","&lt;&gt;",Settings!$B$4)))</f>
        <v>0</v>
      </c>
      <c r="N307">
        <f>IF($L307&lt;&gt;1,0,SUMIFS('JLR Materials'!$F:$F,'JLR Materials'!$A:$A,$K307,'JLR Materials'!$C:$C,IF(Settings!$B$2="","&lt;&gt;",Settings!$B$2),'JLR Materials'!$D:$D,IF(Settings!$B$4="","&lt;&gt;",Settings!$B$4)))</f>
        <v>0</v>
      </c>
      <c r="O307">
        <f>IF($N307=0,0,IF(Settings!$B$5="percent",$M307*$N307/100,$N307))</f>
        <v>0</v>
      </c>
      <c r="P307">
        <f>IF($L307&lt;&gt;1,0,SUMIFS('JLR Materials'!$G:$G,'JLR Materials'!$A:$A,$K307,'JLR Materials'!$C:$C,IF(Settings!$B$2="","&lt;&gt;",Settings!$B$2),'JLR Materials'!$D:$D,IF(Settings!$B$4="","&lt;&gt;",Settings!$B$4)))</f>
        <v>0</v>
      </c>
    </row>
    <row r="308">
      <c r="A308" t="str">
        <v>mat-csm</v>
      </c>
      <c r="B308" t="str">
        <v>CSM Hypalon 65 Shore A</v>
      </c>
      <c r="C308" t="str">
        <v>Rubber</v>
      </c>
      <c r="D308">
        <f>IF($M308&gt;0,$M308,6.2)</f>
        <v>6.2</v>
      </c>
      <c r="E308">
        <f>IF($O308&gt;0,$O308,0.08)</f>
        <v>0.08</v>
      </c>
      <c r="F308">
        <v>1500</v>
      </c>
      <c r="G308" t="str">
        <v>UK</v>
      </c>
      <c r="H308" t="str">
        <f>IF($M308&gt;0,IF($L308&lt;&gt;1,"2026-07",IFERROR(INDEX('JLR Materials'!$D:$D,MATCH($K308,'JLR Materials'!$A:$A,0)),"2026-07")),"2026-07")</f>
        <v>2026-07</v>
      </c>
      <c r="I308" t="str">
        <f>IF($M308&gt;0,"JLR rate card — material code "&amp;$K308,"Index-anchored 2026-07. Chlorosulphonated PE — chemical/weather/ozone-resistant seals, roofing, cable jackets. Shore 65A.")</f>
        <v>Index-anchored 2026-07. Chlorosulphonated PE — chemical/weather/ozone-resistant seals, roofing, cable jackets. Shore 65A.</v>
      </c>
      <c r="J308" t="str">
        <v>Low</v>
      </c>
      <c r="K308" t="str">
        <f>IFERROR(INDEX(Mapping!$C:$C,MATCH($A308,Mapping!$A:$A,0)),"")</f>
        <v/>
      </c>
      <c r="L308">
        <f>IF($K308="",0,COUNTIFS('JLR Materials'!$A:$A,$K308,'JLR Materials'!$C:$C,IF(Settings!$B$2="","&lt;&gt;",Settings!$B$2),'JLR Materials'!$D:$D,IF(Settings!$B$4="","&lt;&gt;",Settings!$B$4)))</f>
        <v>0</v>
      </c>
      <c r="M308">
        <f>IF($L308&lt;&gt;1,0,SUMIFS('JLR Materials'!$E:$E,'JLR Materials'!$A:$A,$K308,'JLR Materials'!$C:$C,IF(Settings!$B$2="","&lt;&gt;",Settings!$B$2),'JLR Materials'!$D:$D,IF(Settings!$B$4="","&lt;&gt;",Settings!$B$4)))</f>
        <v>0</v>
      </c>
      <c r="N308">
        <f>IF($L308&lt;&gt;1,0,SUMIFS('JLR Materials'!$F:$F,'JLR Materials'!$A:$A,$K308,'JLR Materials'!$C:$C,IF(Settings!$B$2="","&lt;&gt;",Settings!$B$2),'JLR Materials'!$D:$D,IF(Settings!$B$4="","&lt;&gt;",Settings!$B$4)))</f>
        <v>0</v>
      </c>
      <c r="O308">
        <f>IF($N308=0,0,IF(Settings!$B$5="percent",$M308*$N308/100,$N308))</f>
        <v>0</v>
      </c>
      <c r="P308">
        <f>IF($L308&lt;&gt;1,0,SUMIFS('JLR Materials'!$G:$G,'JLR Materials'!$A:$A,$K308,'JLR Materials'!$C:$C,IF(Settings!$B$2="","&lt;&gt;",Settings!$B$2),'JLR Materials'!$D:$D,IF(Settings!$B$4="","&lt;&gt;",Settings!$B$4)))</f>
        <v>0</v>
      </c>
    </row>
    <row r="309">
      <c r="A309" t="str">
        <v>mat-br</v>
      </c>
      <c r="B309" t="str">
        <v>BR Polybutadiene (high-cis) 60 Shore A</v>
      </c>
      <c r="C309" t="str">
        <v>Rubber</v>
      </c>
      <c r="D309">
        <f>IF($M309&gt;0,$M309,1.75)</f>
        <v>1.75</v>
      </c>
      <c r="E309">
        <f>IF($O309&gt;0,$O309,0.04)</f>
        <v>0.04</v>
      </c>
      <c r="F309">
        <v>1000</v>
      </c>
      <c r="G309" t="str">
        <v>UK</v>
      </c>
      <c r="H309" t="str">
        <f>IF($M309&gt;0,IF($L309&lt;&gt;1,"2026-07",IFERROR(INDEX('JLR Materials'!$D:$D,MATCH($K309,'JLR Materials'!$A:$A,0)),"2026-07")),"2026-07")</f>
        <v>2026-07</v>
      </c>
      <c r="I309" t="str">
        <f>IF($M309&gt;0,"JLR rate card — material code "&amp;$K309,"Index-anchored 2026-07. High-cis polybutadiene — blended with NR/SBR for abrasion resistance &amp; low rolling resistance; tyres, anti-vibration, rollers. Shore 60A.")</f>
        <v>Index-anchored 2026-07. High-cis polybutadiene — blended with NR/SBR for abrasion resistance &amp; low rolling resistance; tyres, anti-vibration, rollers. Shore 60A.</v>
      </c>
      <c r="J309" t="str">
        <v>Medium</v>
      </c>
      <c r="K309" t="str">
        <f>IFERROR(INDEX(Mapping!$C:$C,MATCH($A309,Mapping!$A:$A,0)),"")</f>
        <v/>
      </c>
      <c r="L309">
        <f>IF($K309="",0,COUNTIFS('JLR Materials'!$A:$A,$K309,'JLR Materials'!$C:$C,IF(Settings!$B$2="","&lt;&gt;",Settings!$B$2),'JLR Materials'!$D:$D,IF(Settings!$B$4="","&lt;&gt;",Settings!$B$4)))</f>
        <v>0</v>
      </c>
      <c r="M309">
        <f>IF($L309&lt;&gt;1,0,SUMIFS('JLR Materials'!$E:$E,'JLR Materials'!$A:$A,$K309,'JLR Materials'!$C:$C,IF(Settings!$B$2="","&lt;&gt;",Settings!$B$2),'JLR Materials'!$D:$D,IF(Settings!$B$4="","&lt;&gt;",Settings!$B$4)))</f>
        <v>0</v>
      </c>
      <c r="N309">
        <f>IF($L309&lt;&gt;1,0,SUMIFS('JLR Materials'!$F:$F,'JLR Materials'!$A:$A,$K309,'JLR Materials'!$C:$C,IF(Settings!$B$2="","&lt;&gt;",Settings!$B$2),'JLR Materials'!$D:$D,IF(Settings!$B$4="","&lt;&gt;",Settings!$B$4)))</f>
        <v>0</v>
      </c>
      <c r="O309">
        <f>IF($N309=0,0,IF(Settings!$B$5="percent",$M309*$N309/100,$N309))</f>
        <v>0</v>
      </c>
      <c r="P309">
        <f>IF($L309&lt;&gt;1,0,SUMIFS('JLR Materials'!$G:$G,'JLR Materials'!$A:$A,$K309,'JLR Materials'!$C:$C,IF(Settings!$B$2="","&lt;&gt;",Settings!$B$2),'JLR Materials'!$D:$D,IF(Settings!$B$4="","&lt;&gt;",Settings!$B$4)))</f>
        <v>0</v>
      </c>
    </row>
    <row r="310">
      <c r="A310" t="str">
        <v>mat-bromobutyl</v>
      </c>
      <c r="B310" t="str">
        <v>Bromobutyl (BIIR) 50 Shore A</v>
      </c>
      <c r="C310" t="str">
        <v>Rubber</v>
      </c>
      <c r="D310">
        <f>IF($M310&gt;0,$M310,2.85)</f>
        <v>2.85</v>
      </c>
      <c r="E310">
        <f>IF($O310&gt;0,$O310,0.04)</f>
        <v>0.04</v>
      </c>
      <c r="F310">
        <v>930</v>
      </c>
      <c r="G310" t="str">
        <v>UK</v>
      </c>
      <c r="H310" t="str">
        <f>IF($M310&gt;0,IF($L310&lt;&gt;1,"2026-07",IFERROR(INDEX('JLR Materials'!$D:$D,MATCH($K310,'JLR Materials'!$A:$A,0)),"2026-07")),"2026-07")</f>
        <v>2026-07</v>
      </c>
      <c r="I310" t="str">
        <f>IF($M310&gt;0,"JLR rate card — material code "&amp;$K310,"Index-anchored 2026-07. Brominated butyl — tyre inner liners, pharma closures/stoppers, curing bladders; low permeability + faster cure than plain IIR. Shore 50A.")</f>
        <v>Index-anchored 2026-07. Brominated butyl — tyre inner liners, pharma closures/stoppers, curing bladders; low permeability + faster cure than plain IIR. Shore 50A.</v>
      </c>
      <c r="J310" t="str">
        <v>Low</v>
      </c>
      <c r="K310" t="str">
        <f>IFERROR(INDEX(Mapping!$C:$C,MATCH($A310,Mapping!$A:$A,0)),"")</f>
        <v/>
      </c>
      <c r="L310">
        <f>IF($K310="",0,COUNTIFS('JLR Materials'!$A:$A,$K310,'JLR Materials'!$C:$C,IF(Settings!$B$2="","&lt;&gt;",Settings!$B$2),'JLR Materials'!$D:$D,IF(Settings!$B$4="","&lt;&gt;",Settings!$B$4)))</f>
        <v>0</v>
      </c>
      <c r="M310">
        <f>IF($L310&lt;&gt;1,0,SUMIFS('JLR Materials'!$E:$E,'JLR Materials'!$A:$A,$K310,'JLR Materials'!$C:$C,IF(Settings!$B$2="","&lt;&gt;",Settings!$B$2),'JLR Materials'!$D:$D,IF(Settings!$B$4="","&lt;&gt;",Settings!$B$4)))</f>
        <v>0</v>
      </c>
      <c r="N310">
        <f>IF($L310&lt;&gt;1,0,SUMIFS('JLR Materials'!$F:$F,'JLR Materials'!$A:$A,$K310,'JLR Materials'!$C:$C,IF(Settings!$B$2="","&lt;&gt;",Settings!$B$2),'JLR Materials'!$D:$D,IF(Settings!$B$4="","&lt;&gt;",Settings!$B$4)))</f>
        <v>0</v>
      </c>
      <c r="O310">
        <f>IF($N310=0,0,IF(Settings!$B$5="percent",$M310*$N310/100,$N310))</f>
        <v>0</v>
      </c>
      <c r="P310">
        <f>IF($L310&lt;&gt;1,0,SUMIFS('JLR Materials'!$G:$G,'JLR Materials'!$A:$A,$K310,'JLR Materials'!$C:$C,IF(Settings!$B$2="","&lt;&gt;",Settings!$B$2),'JLR Materials'!$D:$D,IF(Settings!$B$4="","&lt;&gt;",Settings!$B$4)))</f>
        <v>0</v>
      </c>
    </row>
    <row r="311">
      <c r="A311" t="str">
        <v>mat-chlorobutyl</v>
      </c>
      <c r="B311" t="str">
        <v>Chlorobutyl (CIIR) 55 Shore A</v>
      </c>
      <c r="C311" t="str">
        <v>Rubber</v>
      </c>
      <c r="D311">
        <f>IF($M311&gt;0,$M311,2.75)</f>
        <v>2.75</v>
      </c>
      <c r="E311">
        <f>IF($O311&gt;0,$O311,0.04)</f>
        <v>0.04</v>
      </c>
      <c r="F311">
        <v>930</v>
      </c>
      <c r="G311" t="str">
        <v>UK</v>
      </c>
      <c r="H311" t="str">
        <f>IF($M311&gt;0,IF($L311&lt;&gt;1,"2026-07",IFERROR(INDEX('JLR Materials'!$D:$D,MATCH($K311,'JLR Materials'!$A:$A,0)),"2026-07")),"2026-07")</f>
        <v>2026-07</v>
      </c>
      <c r="I311" t="str">
        <f>IF($M311&gt;0,"JLR rate card — material code "&amp;$K311,"Index-anchored 2026-07. Chlorinated butyl — tyre inner liners, pharma stoppers, heat-resistant seals; co-vulcanisable with diene rubbers. Shore 55A.")</f>
        <v>Index-anchored 2026-07. Chlorinated butyl — tyre inner liners, pharma stoppers, heat-resistant seals; co-vulcanisable with diene rubbers. Shore 55A.</v>
      </c>
      <c r="J311" t="str">
        <v>Low</v>
      </c>
      <c r="K311" t="str">
        <f>IFERROR(INDEX(Mapping!$C:$C,MATCH($A311,Mapping!$A:$A,0)),"")</f>
        <v/>
      </c>
      <c r="L311">
        <f>IF($K311="",0,COUNTIFS('JLR Materials'!$A:$A,$K311,'JLR Materials'!$C:$C,IF(Settings!$B$2="","&lt;&gt;",Settings!$B$2),'JLR Materials'!$D:$D,IF(Settings!$B$4="","&lt;&gt;",Settings!$B$4)))</f>
        <v>0</v>
      </c>
      <c r="M311">
        <f>IF($L311&lt;&gt;1,0,SUMIFS('JLR Materials'!$E:$E,'JLR Materials'!$A:$A,$K311,'JLR Materials'!$C:$C,IF(Settings!$B$2="","&lt;&gt;",Settings!$B$2),'JLR Materials'!$D:$D,IF(Settings!$B$4="","&lt;&gt;",Settings!$B$4)))</f>
        <v>0</v>
      </c>
      <c r="N311">
        <f>IF($L311&lt;&gt;1,0,SUMIFS('JLR Materials'!$F:$F,'JLR Materials'!$A:$A,$K311,'JLR Materials'!$C:$C,IF(Settings!$B$2="","&lt;&gt;",Settings!$B$2),'JLR Materials'!$D:$D,IF(Settings!$B$4="","&lt;&gt;",Settings!$B$4)))</f>
        <v>0</v>
      </c>
      <c r="O311">
        <f>IF($N311=0,0,IF(Settings!$B$5="percent",$M311*$N311/100,$N311))</f>
        <v>0</v>
      </c>
      <c r="P311">
        <f>IF($L311&lt;&gt;1,0,SUMIFS('JLR Materials'!$G:$G,'JLR Materials'!$A:$A,$K311,'JLR Materials'!$C:$C,IF(Settings!$B$2="","&lt;&gt;",Settings!$B$2),'JLR Materials'!$D:$D,IF(Settings!$B$4="","&lt;&gt;",Settings!$B$4)))</f>
        <v>0</v>
      </c>
    </row>
    <row r="312">
      <c r="A312" t="str">
        <v>mat-ffkm</v>
      </c>
      <c r="B312" t="str">
        <v>FFKM Perfluoroelastomer (Kalrez-type) 75 Shore A</v>
      </c>
      <c r="C312" t="str">
        <v>Rubber</v>
      </c>
      <c r="D312">
        <f>IF($M312&gt;0,$M312,320)</f>
        <v>320</v>
      </c>
      <c r="E312">
        <f>IF($O312&gt;0,$O312,0)</f>
        <v>0</v>
      </c>
      <c r="F312">
        <v>2010</v>
      </c>
      <c r="G312" t="str">
        <v>UK</v>
      </c>
      <c r="H312" t="str">
        <f>IF($M312&gt;0,IF($L312&lt;&gt;1,"2026-07",IFERROR(INDEX('JLR Materials'!$D:$D,MATCH($K312,'JLR Materials'!$A:$A,0)),"2026-07")),"2026-07")</f>
        <v>2026-07</v>
      </c>
      <c r="I312" t="str">
        <f>IF($M312&gt;0,"JLR rate card — material code "&amp;$K312,"Index-anchored 2026-07. Perfluoroelastomer — extreme chemical + &gt;300°C seals for semicon, aerospace, oil&amp;gas; the highest-cost elastomer, tiny O-rings. Shore 75A.")</f>
        <v>Index-anchored 2026-07. Perfluoroelastomer — extreme chemical + &gt;300°C seals for semicon, aerospace, oil&amp;gas; the highest-cost elastomer, tiny O-rings. Shore 75A.</v>
      </c>
      <c r="J312" t="str">
        <v>Low</v>
      </c>
      <c r="K312" t="str">
        <f>IFERROR(INDEX(Mapping!$C:$C,MATCH($A312,Mapping!$A:$A,0)),"")</f>
        <v/>
      </c>
      <c r="L312">
        <f>IF($K312="",0,COUNTIFS('JLR Materials'!$A:$A,$K312,'JLR Materials'!$C:$C,IF(Settings!$B$2="","&lt;&gt;",Settings!$B$2),'JLR Materials'!$D:$D,IF(Settings!$B$4="","&lt;&gt;",Settings!$B$4)))</f>
        <v>0</v>
      </c>
      <c r="M312">
        <f>IF($L312&lt;&gt;1,0,SUMIFS('JLR Materials'!$E:$E,'JLR Materials'!$A:$A,$K312,'JLR Materials'!$C:$C,IF(Settings!$B$2="","&lt;&gt;",Settings!$B$2),'JLR Materials'!$D:$D,IF(Settings!$B$4="","&lt;&gt;",Settings!$B$4)))</f>
        <v>0</v>
      </c>
      <c r="N312">
        <f>IF($L312&lt;&gt;1,0,SUMIFS('JLR Materials'!$F:$F,'JLR Materials'!$A:$A,$K312,'JLR Materials'!$C:$C,IF(Settings!$B$2="","&lt;&gt;",Settings!$B$2),'JLR Materials'!$D:$D,IF(Settings!$B$4="","&lt;&gt;",Settings!$B$4)))</f>
        <v>0</v>
      </c>
      <c r="O312">
        <f>IF($N312=0,0,IF(Settings!$B$5="percent",$M312*$N312/100,$N312))</f>
        <v>0</v>
      </c>
      <c r="P312">
        <f>IF($L312&lt;&gt;1,0,SUMIFS('JLR Materials'!$G:$G,'JLR Materials'!$A:$A,$K312,'JLR Materials'!$C:$C,IF(Settings!$B$2="","&lt;&gt;",Settings!$B$2),'JLR Materials'!$D:$D,IF(Settings!$B$4="","&lt;&gt;",Settings!$B$4)))</f>
        <v>0</v>
      </c>
    </row>
    <row r="313">
      <c r="A313" t="str">
        <v>mat-nbr-high-acn</v>
      </c>
      <c r="B313" t="str">
        <v>NBR High-ACN (fuel) 75 Shore A</v>
      </c>
      <c r="C313" t="str">
        <v>Rubber</v>
      </c>
      <c r="D313">
        <f>IF($M313&gt;0,$M313,2.55)</f>
        <v>2.55</v>
      </c>
      <c r="E313">
        <f>IF($O313&gt;0,$O313,0.05)</f>
        <v>0.05</v>
      </c>
      <c r="F313">
        <v>1250</v>
      </c>
      <c r="G313" t="str">
        <v>UK</v>
      </c>
      <c r="H313" t="str">
        <f>IF($M313&gt;0,IF($L313&lt;&gt;1,"2026-07",IFERROR(INDEX('JLR Materials'!$D:$D,MATCH($K313,'JLR Materials'!$A:$A,0)),"2026-07")),"2026-07")</f>
        <v>2026-07</v>
      </c>
      <c r="I313" t="str">
        <f>IF($M313&gt;0,"JLR rate card — material code "&amp;$K313,"Index-anchored 2026-07. High-acrylonitrile nitrile — maximum fuel/oil resistance for fuel hoses, gaskets; stiffer, worse low-temp than standard NBR. Shore 75A.")</f>
        <v>Index-anchored 2026-07. High-acrylonitrile nitrile — maximum fuel/oil resistance for fuel hoses, gaskets; stiffer, worse low-temp than standard NBR. Shore 75A.</v>
      </c>
      <c r="J313" t="str">
        <v>Low</v>
      </c>
      <c r="K313" t="str">
        <f>IFERROR(INDEX(Mapping!$C:$C,MATCH($A313,Mapping!$A:$A,0)),"")</f>
        <v/>
      </c>
      <c r="L313">
        <f>IF($K313="",0,COUNTIFS('JLR Materials'!$A:$A,$K313,'JLR Materials'!$C:$C,IF(Settings!$B$2="","&lt;&gt;",Settings!$B$2),'JLR Materials'!$D:$D,IF(Settings!$B$4="","&lt;&gt;",Settings!$B$4)))</f>
        <v>0</v>
      </c>
      <c r="M313">
        <f>IF($L313&lt;&gt;1,0,SUMIFS('JLR Materials'!$E:$E,'JLR Materials'!$A:$A,$K313,'JLR Materials'!$C:$C,IF(Settings!$B$2="","&lt;&gt;",Settings!$B$2),'JLR Materials'!$D:$D,IF(Settings!$B$4="","&lt;&gt;",Settings!$B$4)))</f>
        <v>0</v>
      </c>
      <c r="N313">
        <f>IF($L313&lt;&gt;1,0,SUMIFS('JLR Materials'!$F:$F,'JLR Materials'!$A:$A,$K313,'JLR Materials'!$C:$C,IF(Settings!$B$2="","&lt;&gt;",Settings!$B$2),'JLR Materials'!$D:$D,IF(Settings!$B$4="","&lt;&gt;",Settings!$B$4)))</f>
        <v>0</v>
      </c>
      <c r="O313">
        <f>IF($N313=0,0,IF(Settings!$B$5="percent",$M313*$N313/100,$N313))</f>
        <v>0</v>
      </c>
      <c r="P313">
        <f>IF($L313&lt;&gt;1,0,SUMIFS('JLR Materials'!$G:$G,'JLR Materials'!$A:$A,$K313,'JLR Materials'!$C:$C,IF(Settings!$B$2="","&lt;&gt;",Settings!$B$2),'JLR Materials'!$D:$D,IF(Settings!$B$4="","&lt;&gt;",Settings!$B$4)))</f>
        <v>0</v>
      </c>
    </row>
    <row r="314">
      <c r="A314" t="str">
        <v>mat-epdm-peroxide</v>
      </c>
      <c r="B314" t="str">
        <v>EPDM Peroxide-Cured 70 Shore A</v>
      </c>
      <c r="C314" t="str">
        <v>Rubber</v>
      </c>
      <c r="D314">
        <f>IF($M314&gt;0,$M314,2.15)</f>
        <v>2.15</v>
      </c>
      <c r="E314">
        <f>IF($O314&gt;0,$O314,0.05)</f>
        <v>0.05</v>
      </c>
      <c r="F314">
        <v>1150</v>
      </c>
      <c r="G314" t="str">
        <v>UK</v>
      </c>
      <c r="H314" t="str">
        <f>IF($M314&gt;0,IF($L314&lt;&gt;1,"2026-07",IFERROR(INDEX('JLR Materials'!$D:$D,MATCH($K314,'JLR Materials'!$A:$A,0)),"2026-07")),"2026-07")</f>
        <v>2026-07</v>
      </c>
      <c r="I314" t="str">
        <f>IF($M314&gt;0,"JLR rate card — material code "&amp;$K314,"Index-anchored 2026-07. Peroxide-cured EPDM — better heat-ageing &amp; compression set than sulphur-cured; coolant/steam seals, under-bonnet. Shore 70A.")</f>
        <v>Index-anchored 2026-07. Peroxide-cured EPDM — better heat-ageing &amp; compression set than sulphur-cured; coolant/steam seals, under-bonnet. Shore 70A.</v>
      </c>
      <c r="J314" t="str">
        <v>Low</v>
      </c>
      <c r="K314" t="str">
        <f>IFERROR(INDEX(Mapping!$C:$C,MATCH($A314,Mapping!$A:$A,0)),"")</f>
        <v/>
      </c>
      <c r="L314">
        <f>IF($K314="",0,COUNTIFS('JLR Materials'!$A:$A,$K314,'JLR Materials'!$C:$C,IF(Settings!$B$2="","&lt;&gt;",Settings!$B$2),'JLR Materials'!$D:$D,IF(Settings!$B$4="","&lt;&gt;",Settings!$B$4)))</f>
        <v>0</v>
      </c>
      <c r="M314">
        <f>IF($L314&lt;&gt;1,0,SUMIFS('JLR Materials'!$E:$E,'JLR Materials'!$A:$A,$K314,'JLR Materials'!$C:$C,IF(Settings!$B$2="","&lt;&gt;",Settings!$B$2),'JLR Materials'!$D:$D,IF(Settings!$B$4="","&lt;&gt;",Settings!$B$4)))</f>
        <v>0</v>
      </c>
      <c r="N314">
        <f>IF($L314&lt;&gt;1,0,SUMIFS('JLR Materials'!$F:$F,'JLR Materials'!$A:$A,$K314,'JLR Materials'!$C:$C,IF(Settings!$B$2="","&lt;&gt;",Settings!$B$2),'JLR Materials'!$D:$D,IF(Settings!$B$4="","&lt;&gt;",Settings!$B$4)))</f>
        <v>0</v>
      </c>
      <c r="O314">
        <f>IF($N314=0,0,IF(Settings!$B$5="percent",$M314*$N314/100,$N314))</f>
        <v>0</v>
      </c>
      <c r="P314">
        <f>IF($L314&lt;&gt;1,0,SUMIFS('JLR Materials'!$G:$G,'JLR Materials'!$A:$A,$K314,'JLR Materials'!$C:$C,IF(Settings!$B$2="","&lt;&gt;",Settings!$B$2),'JLR Materials'!$D:$D,IF(Settings!$B$4="","&lt;&gt;",Settings!$B$4)))</f>
        <v>0</v>
      </c>
    </row>
    <row r="315">
      <c r="A315" t="str">
        <v>mat-silicone-medical</v>
      </c>
      <c r="B315" t="str">
        <v>LSR Medical-Grade 30 Shore A</v>
      </c>
      <c r="C315" t="str">
        <v>Rubber</v>
      </c>
      <c r="D315">
        <f>IF($M315&gt;0,$M315,16.5)</f>
        <v>16.5</v>
      </c>
      <c r="E315">
        <f>IF($O315&gt;0,$O315,0)</f>
        <v>0</v>
      </c>
      <c r="F315">
        <v>1120</v>
      </c>
      <c r="G315" t="str">
        <v>UK</v>
      </c>
      <c r="H315" t="str">
        <f>IF($M315&gt;0,IF($L315&lt;&gt;1,"2026-07",IFERROR(INDEX('JLR Materials'!$D:$D,MATCH($K315,'JLR Materials'!$A:$A,0)),"2026-07")),"2026-07")</f>
        <v>2026-07</v>
      </c>
      <c r="I315" t="str">
        <f>IF($M315&gt;0,"JLR rate card — material code "&amp;$K315,"Index-anchored 2026-07. USP Class VI / ISO 10993 liquid silicone — medical seals, valves, baby/health products; biocompatible, premium over industrial LSR. Shore 30A.")</f>
        <v>Index-anchored 2026-07. USP Class VI / ISO 10993 liquid silicone — medical seals, valves, baby/health products; biocompatible, premium over industrial LSR. Shore 30A.</v>
      </c>
      <c r="J315" t="str">
        <v>Low</v>
      </c>
      <c r="K315" t="str">
        <f>IFERROR(INDEX(Mapping!$C:$C,MATCH($A315,Mapping!$A:$A,0)),"")</f>
        <v/>
      </c>
      <c r="L315">
        <f>IF($K315="",0,COUNTIFS('JLR Materials'!$A:$A,$K315,'JLR Materials'!$C:$C,IF(Settings!$B$2="","&lt;&gt;",Settings!$B$2),'JLR Materials'!$D:$D,IF(Settings!$B$4="","&lt;&gt;",Settings!$B$4)))</f>
        <v>0</v>
      </c>
      <c r="M315">
        <f>IF($L315&lt;&gt;1,0,SUMIFS('JLR Materials'!$E:$E,'JLR Materials'!$A:$A,$K315,'JLR Materials'!$C:$C,IF(Settings!$B$2="","&lt;&gt;",Settings!$B$2),'JLR Materials'!$D:$D,IF(Settings!$B$4="","&lt;&gt;",Settings!$B$4)))</f>
        <v>0</v>
      </c>
      <c r="N315">
        <f>IF($L315&lt;&gt;1,0,SUMIFS('JLR Materials'!$F:$F,'JLR Materials'!$A:$A,$K315,'JLR Materials'!$C:$C,IF(Settings!$B$2="","&lt;&gt;",Settings!$B$2),'JLR Materials'!$D:$D,IF(Settings!$B$4="","&lt;&gt;",Settings!$B$4)))</f>
        <v>0</v>
      </c>
      <c r="O315">
        <f>IF($N315=0,0,IF(Settings!$B$5="percent",$M315*$N315/100,$N315))</f>
        <v>0</v>
      </c>
      <c r="P315">
        <f>IF($L315&lt;&gt;1,0,SUMIFS('JLR Materials'!$G:$G,'JLR Materials'!$A:$A,$K315,'JLR Materials'!$C:$C,IF(Settings!$B$2="","&lt;&gt;",Settings!$B$2),'JLR Materials'!$D:$D,IF(Settings!$B$4="","&lt;&gt;",Settings!$B$4)))</f>
        <v>0</v>
      </c>
    </row>
    <row r="316">
      <c r="A316" t="str">
        <v>mat-cfrp-prepreg-t700</v>
      </c>
      <c r="B316" t="str">
        <v>T700 CF/Epoxy Prepreg (125°C cure)</v>
      </c>
      <c r="C316" t="str">
        <v>Composite</v>
      </c>
      <c r="D316">
        <f>IF($M316&gt;0,$M316,33.6)</f>
        <v>33.6</v>
      </c>
      <c r="E316">
        <f>IF($O316&gt;0,$O316,0.5)</f>
        <v>0.5</v>
      </c>
      <c r="F316">
        <v>1560</v>
      </c>
      <c r="G316" t="str">
        <v>UK</v>
      </c>
      <c r="H316" t="str">
        <f>IF($M316&gt;0,IF($L316&lt;&gt;1,"2026-07",IFERROR(INDEX('JLR Materials'!$D:$D,MATCH($K316,'JLR Materials'!$A:$A,0)),"2026-07")),"2026-07")</f>
        <v>2026-07</v>
      </c>
      <c r="I316" t="str">
        <f>IF($M316&gt;0,"JLR rate card — material code "&amp;$K316,"UK composite supplier Jun 2026. T700/250F prepreg — structural automotive/aerospace hand layup. Vf~0.60. Index-anchored 2026-07 refresh.")</f>
        <v>UK composite supplier Jun 2026. T700/250F prepreg — structural automotive/aerospace hand layup. Vf~0.60. Index-anchored 2026-07 refresh.</v>
      </c>
      <c r="J316" t="str">
        <v>Low</v>
      </c>
      <c r="K316" t="str">
        <f>IFERROR(INDEX(Mapping!$C:$C,MATCH($A316,Mapping!$A:$A,0)),"")</f>
        <v/>
      </c>
      <c r="L316">
        <f>IF($K316="",0,COUNTIFS('JLR Materials'!$A:$A,$K316,'JLR Materials'!$C:$C,IF(Settings!$B$2="","&lt;&gt;",Settings!$B$2),'JLR Materials'!$D:$D,IF(Settings!$B$4="","&lt;&gt;",Settings!$B$4)))</f>
        <v>0</v>
      </c>
      <c r="M316">
        <f>IF($L316&lt;&gt;1,0,SUMIFS('JLR Materials'!$E:$E,'JLR Materials'!$A:$A,$K316,'JLR Materials'!$C:$C,IF(Settings!$B$2="","&lt;&gt;",Settings!$B$2),'JLR Materials'!$D:$D,IF(Settings!$B$4="","&lt;&gt;",Settings!$B$4)))</f>
        <v>0</v>
      </c>
      <c r="N316">
        <f>IF($L316&lt;&gt;1,0,SUMIFS('JLR Materials'!$F:$F,'JLR Materials'!$A:$A,$K316,'JLR Materials'!$C:$C,IF(Settings!$B$2="","&lt;&gt;",Settings!$B$2),'JLR Materials'!$D:$D,IF(Settings!$B$4="","&lt;&gt;",Settings!$B$4)))</f>
        <v>0</v>
      </c>
      <c r="O316">
        <f>IF($N316=0,0,IF(Settings!$B$5="percent",$M316*$N316/100,$N316))</f>
        <v>0</v>
      </c>
      <c r="P316">
        <f>IF($L316&lt;&gt;1,0,SUMIFS('JLR Materials'!$G:$G,'JLR Materials'!$A:$A,$K316,'JLR Materials'!$C:$C,IF(Settings!$B$2="","&lt;&gt;",Settings!$B$2),'JLR Materials'!$D:$D,IF(Settings!$B$4="","&lt;&gt;",Settings!$B$4)))</f>
        <v>0</v>
      </c>
    </row>
    <row r="317">
      <c r="A317" t="str">
        <v>mat-gfrp-prepreg-e</v>
      </c>
      <c r="B317" t="str">
        <v>E-glass/Epoxy Prepreg (120°C cure)</v>
      </c>
      <c r="C317" t="str">
        <v>Composite</v>
      </c>
      <c r="D317">
        <f>IF($M317&gt;0,$M317,7.88)</f>
        <v>7.88</v>
      </c>
      <c r="E317">
        <f>IF($O317&gt;0,$O317,0.1)</f>
        <v>0.1</v>
      </c>
      <c r="F317">
        <v>1800</v>
      </c>
      <c r="G317" t="str">
        <v>UK</v>
      </c>
      <c r="H317" t="str">
        <f>IF($M317&gt;0,IF($L317&lt;&gt;1,"2026-07",IFERROR(INDEX('JLR Materials'!$D:$D,MATCH($K317,'JLR Materials'!$A:$A,0)),"2026-07")),"2026-07")</f>
        <v>2026-07</v>
      </c>
      <c r="I317" t="str">
        <f>IF($M317&gt;0,"JLR rate card — material code "&amp;$K317,"UK composite supplier Jun 2026. E-glass/epoxy prepreg — semi-structural panels, marine. Vf~0.55. Index-anchored 2026-07 refresh.")</f>
        <v>UK composite supplier Jun 2026. E-glass/epoxy prepreg — semi-structural panels, marine. Vf~0.55. Index-anchored 2026-07 refresh.</v>
      </c>
      <c r="J317" t="str">
        <v>Low</v>
      </c>
      <c r="K317" t="str">
        <f>IFERROR(INDEX(Mapping!$C:$C,MATCH($A317,Mapping!$A:$A,0)),"")</f>
        <v/>
      </c>
      <c r="L317">
        <f>IF($K317="",0,COUNTIFS('JLR Materials'!$A:$A,$K317,'JLR Materials'!$C:$C,IF(Settings!$B$2="","&lt;&gt;",Settings!$B$2),'JLR Materials'!$D:$D,IF(Settings!$B$4="","&lt;&gt;",Settings!$B$4)))</f>
        <v>0</v>
      </c>
      <c r="M317">
        <f>IF($L317&lt;&gt;1,0,SUMIFS('JLR Materials'!$E:$E,'JLR Materials'!$A:$A,$K317,'JLR Materials'!$C:$C,IF(Settings!$B$2="","&lt;&gt;",Settings!$B$2),'JLR Materials'!$D:$D,IF(Settings!$B$4="","&lt;&gt;",Settings!$B$4)))</f>
        <v>0</v>
      </c>
      <c r="N317">
        <f>IF($L317&lt;&gt;1,0,SUMIFS('JLR Materials'!$F:$F,'JLR Materials'!$A:$A,$K317,'JLR Materials'!$C:$C,IF(Settings!$B$2="","&lt;&gt;",Settings!$B$2),'JLR Materials'!$D:$D,IF(Settings!$B$4="","&lt;&gt;",Settings!$B$4)))</f>
        <v>0</v>
      </c>
      <c r="O317">
        <f>IF($N317=0,0,IF(Settings!$B$5="percent",$M317*$N317/100,$N317))</f>
        <v>0</v>
      </c>
      <c r="P317">
        <f>IF($L317&lt;&gt;1,0,SUMIFS('JLR Materials'!$G:$G,'JLR Materials'!$A:$A,$K317,'JLR Materials'!$C:$C,IF(Settings!$B$2="","&lt;&gt;",Settings!$B$2),'JLR Materials'!$D:$D,IF(Settings!$B$4="","&lt;&gt;",Settings!$B$4)))</f>
        <v>0</v>
      </c>
    </row>
    <row r="318">
      <c r="A318" t="str">
        <v>mat-cf-dry-3k</v>
      </c>
      <c r="B318" t="str">
        <v>Carbon Fibre 3K Twill Dry Fabric</v>
      </c>
      <c r="C318" t="str">
        <v>Composite</v>
      </c>
      <c r="D318">
        <f>IF($M318&gt;0,$M318,25.2)</f>
        <v>25.2</v>
      </c>
      <c r="E318">
        <f>IF($O318&gt;0,$O318,0.5)</f>
        <v>0.5</v>
      </c>
      <c r="F318">
        <v>1750</v>
      </c>
      <c r="G318" t="str">
        <v>UK</v>
      </c>
      <c r="H318" t="str">
        <f>IF($M318&gt;0,IF($L318&lt;&gt;1,"2026-07",IFERROR(INDEX('JLR Materials'!$D:$D,MATCH($K318,'JLR Materials'!$A:$A,0)),"2026-07")),"2026-07")</f>
        <v>2026-07</v>
      </c>
      <c r="I318" t="str">
        <f>IF($M318&gt;0,"JLR rate card — material code "&amp;$K318,"UK composite supplier Jun 2026. 3K 2×2 twill dry CF — RTM, VARTM, filament winding. Pair with infusion resin. Index-anchored 2026-07 refresh.")</f>
        <v>UK composite supplier Jun 2026. 3K 2×2 twill dry CF — RTM, VARTM, filament winding. Pair with infusion resin. Index-anchored 2026-07 refresh.</v>
      </c>
      <c r="J318" t="str">
        <v>Low</v>
      </c>
      <c r="K318" t="str">
        <f>IFERROR(INDEX(Mapping!$C:$C,MATCH($A318,Mapping!$A:$A,0)),"")</f>
        <v/>
      </c>
      <c r="L318">
        <f>IF($K318="",0,COUNTIFS('JLR Materials'!$A:$A,$K318,'JLR Materials'!$C:$C,IF(Settings!$B$2="","&lt;&gt;",Settings!$B$2),'JLR Materials'!$D:$D,IF(Settings!$B$4="","&lt;&gt;",Settings!$B$4)))</f>
        <v>0</v>
      </c>
      <c r="M318">
        <f>IF($L318&lt;&gt;1,0,SUMIFS('JLR Materials'!$E:$E,'JLR Materials'!$A:$A,$K318,'JLR Materials'!$C:$C,IF(Settings!$B$2="","&lt;&gt;",Settings!$B$2),'JLR Materials'!$D:$D,IF(Settings!$B$4="","&lt;&gt;",Settings!$B$4)))</f>
        <v>0</v>
      </c>
      <c r="N318">
        <f>IF($L318&lt;&gt;1,0,SUMIFS('JLR Materials'!$F:$F,'JLR Materials'!$A:$A,$K318,'JLR Materials'!$C:$C,IF(Settings!$B$2="","&lt;&gt;",Settings!$B$2),'JLR Materials'!$D:$D,IF(Settings!$B$4="","&lt;&gt;",Settings!$B$4)))</f>
        <v>0</v>
      </c>
      <c r="O318">
        <f>IF($N318=0,0,IF(Settings!$B$5="percent",$M318*$N318/100,$N318))</f>
        <v>0</v>
      </c>
      <c r="P318">
        <f>IF($L318&lt;&gt;1,0,SUMIFS('JLR Materials'!$G:$G,'JLR Materials'!$A:$A,$K318,'JLR Materials'!$C:$C,IF(Settings!$B$2="","&lt;&gt;",Settings!$B$2),'JLR Materials'!$D:$D,IF(Settings!$B$4="","&lt;&gt;",Settings!$B$4)))</f>
        <v>0</v>
      </c>
    </row>
    <row r="319">
      <c r="A319" t="str">
        <v>mat-gf-dry-e</v>
      </c>
      <c r="B319" t="str">
        <v>E-glass Woven Dry Fabric (600 g/m²)</v>
      </c>
      <c r="C319" t="str">
        <v>Composite</v>
      </c>
      <c r="D319">
        <f>IF($M319&gt;0,$M319,3.99)</f>
        <v>3.99</v>
      </c>
      <c r="E319">
        <f>IF($O319&gt;0,$O319,0.05)</f>
        <v>0.05</v>
      </c>
      <c r="F319">
        <v>1800</v>
      </c>
      <c r="G319" t="str">
        <v>UK</v>
      </c>
      <c r="H319" t="str">
        <f>IF($M319&gt;0,IF($L319&lt;&gt;1,"2026-07",IFERROR(INDEX('JLR Materials'!$D:$D,MATCH($K319,'JLR Materials'!$A:$A,0)),"2026-07")),"2026-07")</f>
        <v>2026-07</v>
      </c>
      <c r="I319" t="str">
        <f>IF($M319&gt;0,"JLR rate card — material code "&amp;$K319,"UK composite supplier Jun 2026. Woven E-glass 600 g/m² — marine, wind, automotive GFRP. Index-anchored 2026-07 refresh.")</f>
        <v>UK composite supplier Jun 2026. Woven E-glass 600 g/m² — marine, wind, automotive GFRP. Index-anchored 2026-07 refresh.</v>
      </c>
      <c r="J319" t="str">
        <v>Medium</v>
      </c>
      <c r="K319" t="str">
        <f>IFERROR(INDEX(Mapping!$C:$C,MATCH($A319,Mapping!$A:$A,0)),"")</f>
        <v/>
      </c>
      <c r="L319">
        <f>IF($K319="",0,COUNTIFS('JLR Materials'!$A:$A,$K319,'JLR Materials'!$C:$C,IF(Settings!$B$2="","&lt;&gt;",Settings!$B$2),'JLR Materials'!$D:$D,IF(Settings!$B$4="","&lt;&gt;",Settings!$B$4)))</f>
        <v>0</v>
      </c>
      <c r="M319">
        <f>IF($L319&lt;&gt;1,0,SUMIFS('JLR Materials'!$E:$E,'JLR Materials'!$A:$A,$K319,'JLR Materials'!$C:$C,IF(Settings!$B$2="","&lt;&gt;",Settings!$B$2),'JLR Materials'!$D:$D,IF(Settings!$B$4="","&lt;&gt;",Settings!$B$4)))</f>
        <v>0</v>
      </c>
      <c r="N319">
        <f>IF($L319&lt;&gt;1,0,SUMIFS('JLR Materials'!$F:$F,'JLR Materials'!$A:$A,$K319,'JLR Materials'!$C:$C,IF(Settings!$B$2="","&lt;&gt;",Settings!$B$2),'JLR Materials'!$D:$D,IF(Settings!$B$4="","&lt;&gt;",Settings!$B$4)))</f>
        <v>0</v>
      </c>
      <c r="O319">
        <f>IF($N319=0,0,IF(Settings!$B$5="percent",$M319*$N319/100,$N319))</f>
        <v>0</v>
      </c>
      <c r="P319">
        <f>IF($L319&lt;&gt;1,0,SUMIFS('JLR Materials'!$G:$G,'JLR Materials'!$A:$A,$K319,'JLR Materials'!$C:$C,IF(Settings!$B$2="","&lt;&gt;",Settings!$B$2),'JLR Materials'!$D:$D,IF(Settings!$B$4="","&lt;&gt;",Settings!$B$4)))</f>
        <v>0</v>
      </c>
    </row>
    <row r="320">
      <c r="A320" t="str">
        <v>mat-epoxy-infusion</v>
      </c>
      <c r="B320" t="str">
        <v>Epoxy Infusion Resin System (LT cure)</v>
      </c>
      <c r="C320" t="str">
        <v>Composite</v>
      </c>
      <c r="D320">
        <f>IF($M320&gt;0,$M320,13.65)</f>
        <v>13.65</v>
      </c>
      <c r="E320">
        <f>IF($O320&gt;0,$O320,0)</f>
        <v>0</v>
      </c>
      <c r="F320">
        <v>1200</v>
      </c>
      <c r="G320" t="str">
        <v>UK</v>
      </c>
      <c r="H320" t="str">
        <f>IF($M320&gt;0,IF($L320&lt;&gt;1,"2026-07",IFERROR(INDEX('JLR Materials'!$D:$D,MATCH($K320,'JLR Materials'!$A:$A,0)),"2026-07")),"2026-07")</f>
        <v>2026-07</v>
      </c>
      <c r="I320" t="str">
        <f>IF($M320&gt;0,"JLR rate card — material code "&amp;$K320,"UK composite supplier Jun 2026. Low-temp infusion epoxy (Gurit / Hexion). RTM/VARTM. Vf 0.50–0.60. Index-anchored 2026-07 refresh.")</f>
        <v>UK composite supplier Jun 2026. Low-temp infusion epoxy (Gurit / Hexion). RTM/VARTM. Vf 0.50–0.60. Index-anchored 2026-07 refresh.</v>
      </c>
      <c r="J320" t="str">
        <v>Low</v>
      </c>
      <c r="K320" t="str">
        <f>IFERROR(INDEX(Mapping!$C:$C,MATCH($A320,Mapping!$A:$A,0)),"")</f>
        <v/>
      </c>
      <c r="L320">
        <f>IF($K320="",0,COUNTIFS('JLR Materials'!$A:$A,$K320,'JLR Materials'!$C:$C,IF(Settings!$B$2="","&lt;&gt;",Settings!$B$2),'JLR Materials'!$D:$D,IF(Settings!$B$4="","&lt;&gt;",Settings!$B$4)))</f>
        <v>0</v>
      </c>
      <c r="M320">
        <f>IF($L320&lt;&gt;1,0,SUMIFS('JLR Materials'!$E:$E,'JLR Materials'!$A:$A,$K320,'JLR Materials'!$C:$C,IF(Settings!$B$2="","&lt;&gt;",Settings!$B$2),'JLR Materials'!$D:$D,IF(Settings!$B$4="","&lt;&gt;",Settings!$B$4)))</f>
        <v>0</v>
      </c>
      <c r="N320">
        <f>IF($L320&lt;&gt;1,0,SUMIFS('JLR Materials'!$F:$F,'JLR Materials'!$A:$A,$K320,'JLR Materials'!$C:$C,IF(Settings!$B$2="","&lt;&gt;",Settings!$B$2),'JLR Materials'!$D:$D,IF(Settings!$B$4="","&lt;&gt;",Settings!$B$4)))</f>
        <v>0</v>
      </c>
      <c r="O320">
        <f>IF($N320=0,0,IF(Settings!$B$5="percent",$M320*$N320/100,$N320))</f>
        <v>0</v>
      </c>
      <c r="P320">
        <f>IF($L320&lt;&gt;1,0,SUMIFS('JLR Materials'!$G:$G,'JLR Materials'!$A:$A,$K320,'JLR Materials'!$C:$C,IF(Settings!$B$2="","&lt;&gt;",Settings!$B$2),'JLR Materials'!$D:$D,IF(Settings!$B$4="","&lt;&gt;",Settings!$B$4)))</f>
        <v>0</v>
      </c>
    </row>
    <row r="321">
      <c r="A321" t="str">
        <v>mat-vinylester-rtm</v>
      </c>
      <c r="B321" t="str">
        <v>Vinyl Ester RTM Resin</v>
      </c>
      <c r="C321" t="str">
        <v>Composite</v>
      </c>
      <c r="D321">
        <f>IF($M321&gt;0,$M321,5.46)</f>
        <v>5.46</v>
      </c>
      <c r="E321">
        <f>IF($O321&gt;0,$O321,0)</f>
        <v>0</v>
      </c>
      <c r="F321">
        <v>1140</v>
      </c>
      <c r="G321" t="str">
        <v>UK</v>
      </c>
      <c r="H321" t="str">
        <f>IF($M321&gt;0,IF($L321&lt;&gt;1,"2026-07",IFERROR(INDEX('JLR Materials'!$D:$D,MATCH($K321,'JLR Materials'!$A:$A,0)),"2026-07")),"2026-07")</f>
        <v>2026-07</v>
      </c>
      <c r="I321" t="str">
        <f>IF($M321&gt;0,"JLR rate card — material code "&amp;$K321,"UK composite supplier Jun 2026. Vinyl ester RTM resin — marine, pipes, corrosion-resistant structures. Index-anchored 2026-07 refresh.")</f>
        <v>UK composite supplier Jun 2026. Vinyl ester RTM resin — marine, pipes, corrosion-resistant structures. Index-anchored 2026-07 refresh.</v>
      </c>
      <c r="J321" t="str">
        <v>Medium</v>
      </c>
      <c r="K321" t="str">
        <f>IFERROR(INDEX(Mapping!$C:$C,MATCH($A321,Mapping!$A:$A,0)),"")</f>
        <v/>
      </c>
      <c r="L321">
        <f>IF($K321="",0,COUNTIFS('JLR Materials'!$A:$A,$K321,'JLR Materials'!$C:$C,IF(Settings!$B$2="","&lt;&gt;",Settings!$B$2),'JLR Materials'!$D:$D,IF(Settings!$B$4="","&lt;&gt;",Settings!$B$4)))</f>
        <v>0</v>
      </c>
      <c r="M321">
        <f>IF($L321&lt;&gt;1,0,SUMIFS('JLR Materials'!$E:$E,'JLR Materials'!$A:$A,$K321,'JLR Materials'!$C:$C,IF(Settings!$B$2="","&lt;&gt;",Settings!$B$2),'JLR Materials'!$D:$D,IF(Settings!$B$4="","&lt;&gt;",Settings!$B$4)))</f>
        <v>0</v>
      </c>
      <c r="N321">
        <f>IF($L321&lt;&gt;1,0,SUMIFS('JLR Materials'!$F:$F,'JLR Materials'!$A:$A,$K321,'JLR Materials'!$C:$C,IF(Settings!$B$2="","&lt;&gt;",Settings!$B$2),'JLR Materials'!$D:$D,IF(Settings!$B$4="","&lt;&gt;",Settings!$B$4)))</f>
        <v>0</v>
      </c>
      <c r="O321">
        <f>IF($N321=0,0,IF(Settings!$B$5="percent",$M321*$N321/100,$N321))</f>
        <v>0</v>
      </c>
      <c r="P321">
        <f>IF($L321&lt;&gt;1,0,SUMIFS('JLR Materials'!$G:$G,'JLR Materials'!$A:$A,$K321,'JLR Materials'!$C:$C,IF(Settings!$B$2="","&lt;&gt;",Settings!$B$2),'JLR Materials'!$D:$D,IF(Settings!$B$4="","&lt;&gt;",Settings!$B$4)))</f>
        <v>0</v>
      </c>
    </row>
    <row r="322">
      <c r="A322" t="str">
        <v>mat-aramid-k49</v>
      </c>
      <c r="B322" t="str">
        <v>Aramid (Kevlar 49) Woven Fabric</v>
      </c>
      <c r="C322" t="str">
        <v>Composite</v>
      </c>
      <c r="D322">
        <f>IF($M322&gt;0,$M322,31.5)</f>
        <v>31.5</v>
      </c>
      <c r="E322">
        <f>IF($O322&gt;0,$O322,0.5)</f>
        <v>0.5</v>
      </c>
      <c r="F322">
        <v>1440</v>
      </c>
      <c r="G322" t="str">
        <v>UK</v>
      </c>
      <c r="H322" t="str">
        <f>IF($M322&gt;0,IF($L322&lt;&gt;1,"2026-07",IFERROR(INDEX('JLR Materials'!$D:$D,MATCH($K322,'JLR Materials'!$A:$A,0)),"2026-07")),"2026-07")</f>
        <v>2026-07</v>
      </c>
      <c r="I322" t="str">
        <f>IF($M322&gt;0,"JLR rate card — material code "&amp;$K322,"UK composite supplier Jun 2026. Kevlar 49 — ballistic protection, aircraft flooring, helmets. Index-anchored 2026-07 refresh.")</f>
        <v>UK composite supplier Jun 2026. Kevlar 49 — ballistic protection, aircraft flooring, helmets. Index-anchored 2026-07 refresh.</v>
      </c>
      <c r="J322" t="str">
        <v>Low</v>
      </c>
      <c r="K322" t="str">
        <f>IFERROR(INDEX(Mapping!$C:$C,MATCH($A322,Mapping!$A:$A,0)),"")</f>
        <v/>
      </c>
      <c r="L322">
        <f>IF($K322="",0,COUNTIFS('JLR Materials'!$A:$A,$K322,'JLR Materials'!$C:$C,IF(Settings!$B$2="","&lt;&gt;",Settings!$B$2),'JLR Materials'!$D:$D,IF(Settings!$B$4="","&lt;&gt;",Settings!$B$4)))</f>
        <v>0</v>
      </c>
      <c r="M322">
        <f>IF($L322&lt;&gt;1,0,SUMIFS('JLR Materials'!$E:$E,'JLR Materials'!$A:$A,$K322,'JLR Materials'!$C:$C,IF(Settings!$B$2="","&lt;&gt;",Settings!$B$2),'JLR Materials'!$D:$D,IF(Settings!$B$4="","&lt;&gt;",Settings!$B$4)))</f>
        <v>0</v>
      </c>
      <c r="N322">
        <f>IF($L322&lt;&gt;1,0,SUMIFS('JLR Materials'!$F:$F,'JLR Materials'!$A:$A,$K322,'JLR Materials'!$C:$C,IF(Settings!$B$2="","&lt;&gt;",Settings!$B$2),'JLR Materials'!$D:$D,IF(Settings!$B$4="","&lt;&gt;",Settings!$B$4)))</f>
        <v>0</v>
      </c>
      <c r="O322">
        <f>IF($N322=0,0,IF(Settings!$B$5="percent",$M322*$N322/100,$N322))</f>
        <v>0</v>
      </c>
      <c r="P322">
        <f>IF($L322&lt;&gt;1,0,SUMIFS('JLR Materials'!$G:$G,'JLR Materials'!$A:$A,$K322,'JLR Materials'!$C:$C,IF(Settings!$B$2="","&lt;&gt;",Settings!$B$2),'JLR Materials'!$D:$D,IF(Settings!$B$4="","&lt;&gt;",Settings!$B$4)))</f>
        <v>0</v>
      </c>
    </row>
    <row r="323">
      <c r="A323" t="str">
        <v>mat-cf-uni-t800</v>
      </c>
      <c r="B323" t="str">
        <v>T800 Unidirectional CF/Epoxy Prepreg</v>
      </c>
      <c r="C323" t="str">
        <v>Composite</v>
      </c>
      <c r="D323">
        <f>IF($M323&gt;0,$M323,46)</f>
        <v>46</v>
      </c>
      <c r="E323">
        <f>IF($O323&gt;0,$O323,0.5)</f>
        <v>0.5</v>
      </c>
      <c r="F323">
        <v>1580</v>
      </c>
      <c r="G323" t="str">
        <v>UK</v>
      </c>
      <c r="H323" t="str">
        <f>IF($M323&gt;0,IF($L323&lt;&gt;1,"2026-07",IFERROR(INDEX('JLR Materials'!$D:$D,MATCH($K323,'JLR Materials'!$A:$A,0)),"2026-07")),"2026-07")</f>
        <v>2026-07</v>
      </c>
      <c r="I323" t="str">
        <f>IF($M323&gt;0,"JLR rate card — material code "&amp;$K323,"Index-anchored 2026-07. Intermediate-modulus UD prepreg — primary aerospace/motorsport structures, autoclave cure. Vf~0.60.")</f>
        <v>Index-anchored 2026-07. Intermediate-modulus UD prepreg — primary aerospace/motorsport structures, autoclave cure. Vf~0.60.</v>
      </c>
      <c r="J323" t="str">
        <v>Low</v>
      </c>
      <c r="K323" t="str">
        <f>IFERROR(INDEX(Mapping!$C:$C,MATCH($A323,Mapping!$A:$A,0)),"")</f>
        <v/>
      </c>
      <c r="L323">
        <f>IF($K323="",0,COUNTIFS('JLR Materials'!$A:$A,$K323,'JLR Materials'!$C:$C,IF(Settings!$B$2="","&lt;&gt;",Settings!$B$2),'JLR Materials'!$D:$D,IF(Settings!$B$4="","&lt;&gt;",Settings!$B$4)))</f>
        <v>0</v>
      </c>
      <c r="M323">
        <f>IF($L323&lt;&gt;1,0,SUMIFS('JLR Materials'!$E:$E,'JLR Materials'!$A:$A,$K323,'JLR Materials'!$C:$C,IF(Settings!$B$2="","&lt;&gt;",Settings!$B$2),'JLR Materials'!$D:$D,IF(Settings!$B$4="","&lt;&gt;",Settings!$B$4)))</f>
        <v>0</v>
      </c>
      <c r="N323">
        <f>IF($L323&lt;&gt;1,0,SUMIFS('JLR Materials'!$F:$F,'JLR Materials'!$A:$A,$K323,'JLR Materials'!$C:$C,IF(Settings!$B$2="","&lt;&gt;",Settings!$B$2),'JLR Materials'!$D:$D,IF(Settings!$B$4="","&lt;&gt;",Settings!$B$4)))</f>
        <v>0</v>
      </c>
      <c r="O323">
        <f>IF($N323=0,0,IF(Settings!$B$5="percent",$M323*$N323/100,$N323))</f>
        <v>0</v>
      </c>
      <c r="P323">
        <f>IF($L323&lt;&gt;1,0,SUMIFS('JLR Materials'!$G:$G,'JLR Materials'!$A:$A,$K323,'JLR Materials'!$C:$C,IF(Settings!$B$2="","&lt;&gt;",Settings!$B$2),'JLR Materials'!$D:$D,IF(Settings!$B$4="","&lt;&gt;",Settings!$B$4)))</f>
        <v>0</v>
      </c>
    </row>
    <row r="324">
      <c r="A324" t="str">
        <v>mat-smc-gf</v>
      </c>
      <c r="B324" t="str">
        <v>SMC (Glass-Filled Sheet Moulding Compound)</v>
      </c>
      <c r="C324" t="str">
        <v>Composite</v>
      </c>
      <c r="D324">
        <f>IF($M324&gt;0,$M324,2.85)</f>
        <v>2.85</v>
      </c>
      <c r="E324">
        <f>IF($O324&gt;0,$O324,0.1)</f>
        <v>0.1</v>
      </c>
      <c r="F324">
        <v>1900</v>
      </c>
      <c r="G324" t="str">
        <v>UK</v>
      </c>
      <c r="H324" t="str">
        <f>IF($M324&gt;0,IF($L324&lt;&gt;1,"2026-07",IFERROR(INDEX('JLR Materials'!$D:$D,MATCH($K324,'JLR Materials'!$A:$A,0)),"2026-07")),"2026-07")</f>
        <v>2026-07</v>
      </c>
      <c r="I324" t="str">
        <f>IF($M324&gt;0,"JLR rate card — material code "&amp;$K324,"Index-anchored 2026-07. Glass/polyester SMC — compression-moulded body panels, structural covers, EV battery lids.")</f>
        <v>Index-anchored 2026-07. Glass/polyester SMC — compression-moulded body panels, structural covers, EV battery lids.</v>
      </c>
      <c r="J324" t="str">
        <v>Medium</v>
      </c>
      <c r="K324" t="str">
        <f>IFERROR(INDEX(Mapping!$C:$C,MATCH($A324,Mapping!$A:$A,0)),"")</f>
        <v/>
      </c>
      <c r="L324">
        <f>IF($K324="",0,COUNTIFS('JLR Materials'!$A:$A,$K324,'JLR Materials'!$C:$C,IF(Settings!$B$2="","&lt;&gt;",Settings!$B$2),'JLR Materials'!$D:$D,IF(Settings!$B$4="","&lt;&gt;",Settings!$B$4)))</f>
        <v>0</v>
      </c>
      <c r="M324">
        <f>IF($L324&lt;&gt;1,0,SUMIFS('JLR Materials'!$E:$E,'JLR Materials'!$A:$A,$K324,'JLR Materials'!$C:$C,IF(Settings!$B$2="","&lt;&gt;",Settings!$B$2),'JLR Materials'!$D:$D,IF(Settings!$B$4="","&lt;&gt;",Settings!$B$4)))</f>
        <v>0</v>
      </c>
      <c r="N324">
        <f>IF($L324&lt;&gt;1,0,SUMIFS('JLR Materials'!$F:$F,'JLR Materials'!$A:$A,$K324,'JLR Materials'!$C:$C,IF(Settings!$B$2="","&lt;&gt;",Settings!$B$2),'JLR Materials'!$D:$D,IF(Settings!$B$4="","&lt;&gt;",Settings!$B$4)))</f>
        <v>0</v>
      </c>
      <c r="O324">
        <f>IF($N324=0,0,IF(Settings!$B$5="percent",$M324*$N324/100,$N324))</f>
        <v>0</v>
      </c>
      <c r="P324">
        <f>IF($L324&lt;&gt;1,0,SUMIFS('JLR Materials'!$G:$G,'JLR Materials'!$A:$A,$K324,'JLR Materials'!$C:$C,IF(Settings!$B$2="","&lt;&gt;",Settings!$B$2),'JLR Materials'!$D:$D,IF(Settings!$B$4="","&lt;&gt;",Settings!$B$4)))</f>
        <v>0</v>
      </c>
    </row>
    <row r="325">
      <c r="A325" t="str">
        <v>mat-bmc</v>
      </c>
      <c r="B325" t="str">
        <v>BMC (Bulk Moulding Compound)</v>
      </c>
      <c r="C325" t="str">
        <v>Composite</v>
      </c>
      <c r="D325">
        <f>IF($M325&gt;0,$M325,3.1)</f>
        <v>3.1</v>
      </c>
      <c r="E325">
        <f>IF($O325&gt;0,$O325,0.1)</f>
        <v>0.1</v>
      </c>
      <c r="F325">
        <v>1950</v>
      </c>
      <c r="G325" t="str">
        <v>UK</v>
      </c>
      <c r="H325" t="str">
        <f>IF($M325&gt;0,IF($L325&lt;&gt;1,"2026-07",IFERROR(INDEX('JLR Materials'!$D:$D,MATCH($K325,'JLR Materials'!$A:$A,0)),"2026-07")),"2026-07")</f>
        <v>2026-07</v>
      </c>
      <c r="I325" t="str">
        <f>IF($M325&gt;0,"JLR rate card — material code "&amp;$K325,"Index-anchored 2026-07. Glass/polyester BMC — electrical housings, headlamp reflectors, motor components; injection/compression moulded.")</f>
        <v>Index-anchored 2026-07. Glass/polyester BMC — electrical housings, headlamp reflectors, motor components; injection/compression moulded.</v>
      </c>
      <c r="J325" t="str">
        <v>Medium</v>
      </c>
      <c r="K325" t="str">
        <f>IFERROR(INDEX(Mapping!$C:$C,MATCH($A325,Mapping!$A:$A,0)),"")</f>
        <v/>
      </c>
      <c r="L325">
        <f>IF($K325="",0,COUNTIFS('JLR Materials'!$A:$A,$K325,'JLR Materials'!$C:$C,IF(Settings!$B$2="","&lt;&gt;",Settings!$B$2),'JLR Materials'!$D:$D,IF(Settings!$B$4="","&lt;&gt;",Settings!$B$4)))</f>
        <v>0</v>
      </c>
      <c r="M325">
        <f>IF($L325&lt;&gt;1,0,SUMIFS('JLR Materials'!$E:$E,'JLR Materials'!$A:$A,$K325,'JLR Materials'!$C:$C,IF(Settings!$B$2="","&lt;&gt;",Settings!$B$2),'JLR Materials'!$D:$D,IF(Settings!$B$4="","&lt;&gt;",Settings!$B$4)))</f>
        <v>0</v>
      </c>
      <c r="N325">
        <f>IF($L325&lt;&gt;1,0,SUMIFS('JLR Materials'!$F:$F,'JLR Materials'!$A:$A,$K325,'JLR Materials'!$C:$C,IF(Settings!$B$2="","&lt;&gt;",Settings!$B$2),'JLR Materials'!$D:$D,IF(Settings!$B$4="","&lt;&gt;",Settings!$B$4)))</f>
        <v>0</v>
      </c>
      <c r="O325">
        <f>IF($N325=0,0,IF(Settings!$B$5="percent",$M325*$N325/100,$N325))</f>
        <v>0</v>
      </c>
      <c r="P325">
        <f>IF($L325&lt;&gt;1,0,SUMIFS('JLR Materials'!$G:$G,'JLR Materials'!$A:$A,$K325,'JLR Materials'!$C:$C,IF(Settings!$B$2="","&lt;&gt;",Settings!$B$2),'JLR Materials'!$D:$D,IF(Settings!$B$4="","&lt;&gt;",Settings!$B$4)))</f>
        <v>0</v>
      </c>
    </row>
    <row r="326">
      <c r="A326" t="str">
        <v>mat-csm-gf</v>
      </c>
      <c r="B326" t="str">
        <v>E-glass Chopped Strand Mat (450 g/m²)</v>
      </c>
      <c r="C326" t="str">
        <v>Composite</v>
      </c>
      <c r="D326">
        <f>IF($M326&gt;0,$M326,3.2)</f>
        <v>3.2</v>
      </c>
      <c r="E326">
        <f>IF($O326&gt;0,$O326,0.05)</f>
        <v>0.05</v>
      </c>
      <c r="F326">
        <v>1550</v>
      </c>
      <c r="G326" t="str">
        <v>UK</v>
      </c>
      <c r="H326" t="str">
        <f>IF($M326&gt;0,IF($L326&lt;&gt;1,"2026-07",IFERROR(INDEX('JLR Materials'!$D:$D,MATCH($K326,'JLR Materials'!$A:$A,0)),"2026-07")),"2026-07")</f>
        <v>2026-07</v>
      </c>
      <c r="I326" t="str">
        <f>IF($M326&gt;0,"JLR rate card — material code "&amp;$K326,"Index-anchored 2026-07. Chopped strand mat — hand-layup/spray-up GFRP, marine hulls, tanks, enclosures.")</f>
        <v>Index-anchored 2026-07. Chopped strand mat — hand-layup/spray-up GFRP, marine hulls, tanks, enclosures.</v>
      </c>
      <c r="J326" t="str">
        <v>Medium</v>
      </c>
      <c r="K326" t="str">
        <f>IFERROR(INDEX(Mapping!$C:$C,MATCH($A326,Mapping!$A:$A,0)),"")</f>
        <v/>
      </c>
      <c r="L326">
        <f>IF($K326="",0,COUNTIFS('JLR Materials'!$A:$A,$K326,'JLR Materials'!$C:$C,IF(Settings!$B$2="","&lt;&gt;",Settings!$B$2),'JLR Materials'!$D:$D,IF(Settings!$B$4="","&lt;&gt;",Settings!$B$4)))</f>
        <v>0</v>
      </c>
      <c r="M326">
        <f>IF($L326&lt;&gt;1,0,SUMIFS('JLR Materials'!$E:$E,'JLR Materials'!$A:$A,$K326,'JLR Materials'!$C:$C,IF(Settings!$B$2="","&lt;&gt;",Settings!$B$2),'JLR Materials'!$D:$D,IF(Settings!$B$4="","&lt;&gt;",Settings!$B$4)))</f>
        <v>0</v>
      </c>
      <c r="N326">
        <f>IF($L326&lt;&gt;1,0,SUMIFS('JLR Materials'!$F:$F,'JLR Materials'!$A:$A,$K326,'JLR Materials'!$C:$C,IF(Settings!$B$2="","&lt;&gt;",Settings!$B$2),'JLR Materials'!$D:$D,IF(Settings!$B$4="","&lt;&gt;",Settings!$B$4)))</f>
        <v>0</v>
      </c>
      <c r="O326">
        <f>IF($N326=0,0,IF(Settings!$B$5="percent",$M326*$N326/100,$N326))</f>
        <v>0</v>
      </c>
      <c r="P326">
        <f>IF($L326&lt;&gt;1,0,SUMIFS('JLR Materials'!$G:$G,'JLR Materials'!$A:$A,$K326,'JLR Materials'!$C:$C,IF(Settings!$B$2="","&lt;&gt;",Settings!$B$2),'JLR Materials'!$D:$D,IF(Settings!$B$4="","&lt;&gt;",Settings!$B$4)))</f>
        <v>0</v>
      </c>
    </row>
    <row r="327">
      <c r="A327" t="str">
        <v>mat-cf-peek-organo</v>
      </c>
      <c r="B327" t="str">
        <v>CF/PEEK Organosheet (Thermoplastic)</v>
      </c>
      <c r="C327" t="str">
        <v>Composite</v>
      </c>
      <c r="D327">
        <f>IF($M327&gt;0,$M327,62)</f>
        <v>62</v>
      </c>
      <c r="E327">
        <f>IF($O327&gt;0,$O327,1)</f>
        <v>1</v>
      </c>
      <c r="F327">
        <v>1550</v>
      </c>
      <c r="G327" t="str">
        <v>UK</v>
      </c>
      <c r="H327" t="str">
        <f>IF($M327&gt;0,IF($L327&lt;&gt;1,"2026-07",IFERROR(INDEX('JLR Materials'!$D:$D,MATCH($K327,'JLR Materials'!$A:$A,0)),"2026-07")),"2026-07")</f>
        <v>2026-07</v>
      </c>
      <c r="I327" t="str">
        <f>IF($M327&gt;0,"JLR rate card — material code "&amp;$K327,"Index-anchored 2026-07. Continuous CF-reinforced PEEK laminate — stamp-formable aerospace brackets/clips, recyclable, weldable.")</f>
        <v>Index-anchored 2026-07. Continuous CF-reinforced PEEK laminate — stamp-formable aerospace brackets/clips, recyclable, weldable.</v>
      </c>
      <c r="J327" t="str">
        <v>Low</v>
      </c>
      <c r="K327" t="str">
        <f>IFERROR(INDEX(Mapping!$C:$C,MATCH($A327,Mapping!$A:$A,0)),"")</f>
        <v/>
      </c>
      <c r="L327">
        <f>IF($K327="",0,COUNTIFS('JLR Materials'!$A:$A,$K327,'JLR Materials'!$C:$C,IF(Settings!$B$2="","&lt;&gt;",Settings!$B$2),'JLR Materials'!$D:$D,IF(Settings!$B$4="","&lt;&gt;",Settings!$B$4)))</f>
        <v>0</v>
      </c>
      <c r="M327">
        <f>IF($L327&lt;&gt;1,0,SUMIFS('JLR Materials'!$E:$E,'JLR Materials'!$A:$A,$K327,'JLR Materials'!$C:$C,IF(Settings!$B$2="","&lt;&gt;",Settings!$B$2),'JLR Materials'!$D:$D,IF(Settings!$B$4="","&lt;&gt;",Settings!$B$4)))</f>
        <v>0</v>
      </c>
      <c r="N327">
        <f>IF($L327&lt;&gt;1,0,SUMIFS('JLR Materials'!$F:$F,'JLR Materials'!$A:$A,$K327,'JLR Materials'!$C:$C,IF(Settings!$B$2="","&lt;&gt;",Settings!$B$2),'JLR Materials'!$D:$D,IF(Settings!$B$4="","&lt;&gt;",Settings!$B$4)))</f>
        <v>0</v>
      </c>
      <c r="O327">
        <f>IF($N327=0,0,IF(Settings!$B$5="percent",$M327*$N327/100,$N327))</f>
        <v>0</v>
      </c>
      <c r="P327">
        <f>IF($L327&lt;&gt;1,0,SUMIFS('JLR Materials'!$G:$G,'JLR Materials'!$A:$A,$K327,'JLR Materials'!$C:$C,IF(Settings!$B$2="","&lt;&gt;",Settings!$B$2),'JLR Materials'!$D:$D,IF(Settings!$B$4="","&lt;&gt;",Settings!$B$4)))</f>
        <v>0</v>
      </c>
    </row>
    <row r="328">
      <c r="A328" t="str">
        <v>mat-nomex-honeycomb</v>
      </c>
      <c r="B328" t="str">
        <v>Nomex Honeycomb Core</v>
      </c>
      <c r="C328" t="str">
        <v>Composite</v>
      </c>
      <c r="D328">
        <f>IF($M328&gt;0,$M328,42)</f>
        <v>42</v>
      </c>
      <c r="E328">
        <f>IF($O328&gt;0,$O328,0)</f>
        <v>0</v>
      </c>
      <c r="F328">
        <v>48</v>
      </c>
      <c r="G328" t="str">
        <v>UK</v>
      </c>
      <c r="H328" t="str">
        <f>IF($M328&gt;0,IF($L328&lt;&gt;1,"2026-07",IFERROR(INDEX('JLR Materials'!$D:$D,MATCH($K328,'JLR Materials'!$A:$A,0)),"2026-07")),"2026-07")</f>
        <v>2026-07</v>
      </c>
      <c r="I328" t="str">
        <f>IF($M328&gt;0,"JLR rate card — material code "&amp;$K328,"Index-anchored 2026-07. Aramid-paper honeycomb — sandwich-panel core for aircraft floors/interiors; density is core bulk (~48 kg/m³).")</f>
        <v>Index-anchored 2026-07. Aramid-paper honeycomb — sandwich-panel core for aircraft floors/interiors; density is core bulk (~48 kg/m³).</v>
      </c>
      <c r="J328" t="str">
        <v>Low</v>
      </c>
      <c r="K328" t="str">
        <f>IFERROR(INDEX(Mapping!$C:$C,MATCH($A328,Mapping!$A:$A,0)),"")</f>
        <v/>
      </c>
      <c r="L328">
        <f>IF($K328="",0,COUNTIFS('JLR Materials'!$A:$A,$K328,'JLR Materials'!$C:$C,IF(Settings!$B$2="","&lt;&gt;",Settings!$B$2),'JLR Materials'!$D:$D,IF(Settings!$B$4="","&lt;&gt;",Settings!$B$4)))</f>
        <v>0</v>
      </c>
      <c r="M328">
        <f>IF($L328&lt;&gt;1,0,SUMIFS('JLR Materials'!$E:$E,'JLR Materials'!$A:$A,$K328,'JLR Materials'!$C:$C,IF(Settings!$B$2="","&lt;&gt;",Settings!$B$2),'JLR Materials'!$D:$D,IF(Settings!$B$4="","&lt;&gt;",Settings!$B$4)))</f>
        <v>0</v>
      </c>
      <c r="N328">
        <f>IF($L328&lt;&gt;1,0,SUMIFS('JLR Materials'!$F:$F,'JLR Materials'!$A:$A,$K328,'JLR Materials'!$C:$C,IF(Settings!$B$2="","&lt;&gt;",Settings!$B$2),'JLR Materials'!$D:$D,IF(Settings!$B$4="","&lt;&gt;",Settings!$B$4)))</f>
        <v>0</v>
      </c>
      <c r="O328">
        <f>IF($N328=0,0,IF(Settings!$B$5="percent",$M328*$N328/100,$N328))</f>
        <v>0</v>
      </c>
      <c r="P328">
        <f>IF($L328&lt;&gt;1,0,SUMIFS('JLR Materials'!$G:$G,'JLR Materials'!$A:$A,$K328,'JLR Materials'!$C:$C,IF(Settings!$B$2="","&lt;&gt;",Settings!$B$2),'JLR Materials'!$D:$D,IF(Settings!$B$4="","&lt;&gt;",Settings!$B$4)))</f>
        <v>0</v>
      </c>
    </row>
    <row r="329">
      <c r="A329" t="str">
        <v>mat-pet-foam-core</v>
      </c>
      <c r="B329" t="str">
        <v>PET Structural Foam Core</v>
      </c>
      <c r="C329" t="str">
        <v>Composite</v>
      </c>
      <c r="D329">
        <f>IF($M329&gt;0,$M329,9.5)</f>
        <v>9.5</v>
      </c>
      <c r="E329">
        <f>IF($O329&gt;0,$O329,0)</f>
        <v>0</v>
      </c>
      <c r="F329">
        <v>100</v>
      </c>
      <c r="G329" t="str">
        <v>UK</v>
      </c>
      <c r="H329" t="str">
        <f>IF($M329&gt;0,IF($L329&lt;&gt;1,"2026-07",IFERROR(INDEX('JLR Materials'!$D:$D,MATCH($K329,'JLR Materials'!$A:$A,0)),"2026-07")),"2026-07")</f>
        <v>2026-07</v>
      </c>
      <c r="I329" t="str">
        <f>IF($M329&gt;0,"JLR rate card — material code "&amp;$K329,"Index-anchored 2026-07. Recyclable PET foam core — wind blades, marine, transport sandwich panels; density is core bulk (~100 kg/m³).")</f>
        <v>Index-anchored 2026-07. Recyclable PET foam core — wind blades, marine, transport sandwich panels; density is core bulk (~100 kg/m³).</v>
      </c>
      <c r="J329" t="str">
        <v>Low</v>
      </c>
      <c r="K329" t="str">
        <f>IFERROR(INDEX(Mapping!$C:$C,MATCH($A329,Mapping!$A:$A,0)),"")</f>
        <v/>
      </c>
      <c r="L329">
        <f>IF($K329="",0,COUNTIFS('JLR Materials'!$A:$A,$K329,'JLR Materials'!$C:$C,IF(Settings!$B$2="","&lt;&gt;",Settings!$B$2),'JLR Materials'!$D:$D,IF(Settings!$B$4="","&lt;&gt;",Settings!$B$4)))</f>
        <v>0</v>
      </c>
      <c r="M329">
        <f>IF($L329&lt;&gt;1,0,SUMIFS('JLR Materials'!$E:$E,'JLR Materials'!$A:$A,$K329,'JLR Materials'!$C:$C,IF(Settings!$B$2="","&lt;&gt;",Settings!$B$2),'JLR Materials'!$D:$D,IF(Settings!$B$4="","&lt;&gt;",Settings!$B$4)))</f>
        <v>0</v>
      </c>
      <c r="N329">
        <f>IF($L329&lt;&gt;1,0,SUMIFS('JLR Materials'!$F:$F,'JLR Materials'!$A:$A,$K329,'JLR Materials'!$C:$C,IF(Settings!$B$2="","&lt;&gt;",Settings!$B$2),'JLR Materials'!$D:$D,IF(Settings!$B$4="","&lt;&gt;",Settings!$B$4)))</f>
        <v>0</v>
      </c>
      <c r="O329">
        <f>IF($N329=0,0,IF(Settings!$B$5="percent",$M329*$N329/100,$N329))</f>
        <v>0</v>
      </c>
      <c r="P329">
        <f>IF($L329&lt;&gt;1,0,SUMIFS('JLR Materials'!$G:$G,'JLR Materials'!$A:$A,$K329,'JLR Materials'!$C:$C,IF(Settings!$B$2="","&lt;&gt;",Settings!$B$2),'JLR Materials'!$D:$D,IF(Settings!$B$4="","&lt;&gt;",Settings!$B$4)))</f>
        <v>0</v>
      </c>
    </row>
  </sheetData>
  <ignoredErrors>
    <ignoredError numberStoredAsText="1" sqref="A1:P32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Z179"/>
  <sheetViews>
    <sheetView workbookViewId="0"/>
  </sheetViews>
  <cols>
    <col min="1" max="1" width="22.83203125" customWidth="1"/>
    <col min="2" max="2" width="28.83203125" customWidth="1"/>
    <col min="3" max="3" width="10.83203125" customWidth="1"/>
    <col min="4" max="4" width="18.83203125" customWidth="1"/>
    <col min="5" max="5" width="14.83203125" customWidth="1"/>
    <col min="6" max="6" width="12.83203125" customWidth="1"/>
    <col min="7" max="7" width="12.83203125" customWidth="1"/>
    <col min="8" max="8" width="16.83203125" customWidth="1"/>
    <col min="9" max="9" width="14.83203125" customWidth="1"/>
    <col min="10" max="10" width="20.83203125" customWidth="1"/>
    <col min="11" max="11" width="18.83203125" customWidth="1"/>
    <col min="12" max="12" width="14.83203125" customWidth="1"/>
    <col min="13" max="13" width="52.83203125" customWidth="1"/>
    <col min="14" max="14" width="12.83203125" customWidth="1"/>
    <col min="15" max="15" width="12.83203125" customWidth="1"/>
    <col min="16" max="16" width="12.83203125" customWidth="1"/>
    <col min="17" max="17" width="14.83203125" customWidth="1"/>
    <col min="18" max="18" width="12.83203125" customWidth="1"/>
    <col min="19" max="19" width="10.83203125" customWidth="1"/>
    <col min="20" max="20" width="11.83203125" customWidth="1"/>
    <col min="21" max="21" width="10.83203125" customWidth="1"/>
    <col min="22" max="22" width="11.83203125" customWidth="1"/>
    <col min="23" max="23" width="13.83203125" customWidth="1"/>
    <col min="24" max="24" width="20.83203125" customWidth="1"/>
    <col min="25" max="25" width="14.83203125" customWidth="1"/>
    <col min="26" max="26" width="22.83203125" customWidth="1"/>
  </cols>
  <sheetData>
    <row r="1">
      <c r="A1" t="str">
        <v>id</v>
      </c>
      <c r="B1" t="str">
        <v>machineClass</v>
      </c>
      <c r="C1" t="str">
        <v>region</v>
      </c>
      <c r="D1" t="str">
        <v>annualDepreciation</v>
      </c>
      <c r="E1" t="str">
        <v>maintenance</v>
      </c>
      <c r="F1" t="str">
        <v>energy</v>
      </c>
      <c r="G1" t="str">
        <v>floorSpace</v>
      </c>
      <c r="H1" t="str">
        <v>indirectSupport</v>
      </c>
      <c r="I1" t="str">
        <v>financeCost</v>
      </c>
      <c r="J1" t="str">
        <v>annualAvailableHours</v>
      </c>
      <c r="K1" t="str">
        <v>machineUtilization</v>
      </c>
      <c r="L1" t="str">
        <v>effectiveDate</v>
      </c>
      <c r="M1" t="str">
        <v>sourceNote</v>
      </c>
      <c r="N1" t="str">
        <v>confidence</v>
      </c>
      <c r="O1" t="str">
        <v>JLR code</v>
      </c>
      <c r="P1" t="str">
        <v>rows matched</v>
      </c>
      <c r="Q1" t="str">
        <v>DEPRECIATION</v>
      </c>
      <c r="R1" t="str">
        <v>FLOORSPACE</v>
      </c>
      <c r="S1" t="str">
        <v>MRO</v>
      </c>
      <c r="T1" t="str">
        <v>INSURANCE</v>
      </c>
      <c r="U1" t="str">
        <v>INTEREST</v>
      </c>
      <c r="V1" t="str">
        <v>UTILITIES</v>
      </c>
      <c r="W1" t="str">
        <v>CONSUMABLES</v>
      </c>
      <c r="X1" t="str">
        <v>TOTAL_MACHINE_RATE</v>
      </c>
      <c r="Y1" t="str">
        <v>elements add to</v>
      </c>
      <c r="Z1" t="str">
        <v>rebuilt £/hr − JLR total</v>
      </c>
    </row>
    <row r="2">
      <c r="A2" t="str">
        <v>mach-lathe-cnc</v>
      </c>
      <c r="B2" t="str">
        <v>CNC Lathe (2-axis)</v>
      </c>
      <c r="C2" t="str">
        <v>UK</v>
      </c>
      <c r="D2">
        <f>IF($X2&gt;0,IF($Y2&gt;0,MAX(0,$Q2+$X2-$Y2)*3200,$X2*3200),40000)</f>
        <v>40000</v>
      </c>
      <c r="E2">
        <f>IF($X2&gt;0,IF($Y2&gt;0,$S2*3200,0),22000)</f>
        <v>22000</v>
      </c>
      <c r="F2">
        <f>IF($X2&gt;0,IF($Y2&gt;0,$V2*3200,0),20000)</f>
        <v>20000</v>
      </c>
      <c r="G2">
        <f>IF($X2&gt;0,IF($Y2&gt;0,$R2*3200,0),8000)</f>
        <v>8000</v>
      </c>
      <c r="H2">
        <f>IF($X2&gt;0,IF($Y2&gt;0,($T2+$W2)*3200,0),22000)</f>
        <v>22000</v>
      </c>
      <c r="I2">
        <f>IF($X2&gt;0,IF($Y2&gt;0,$U2*3200,0),16000)</f>
        <v>16000</v>
      </c>
      <c r="J2">
        <v>4000</v>
      </c>
      <c r="K2">
        <v>0.8</v>
      </c>
      <c r="L2" t="str">
        <f>IF($X2&gt;0,IF($P2&lt;&gt;1,"2026-06-14",IFERROR(INDEX('JLR Machines'!$D:$D,MATCH($O2,'JLR Machines'!$A:$A,0)),"2026-06-14")),"2026-06-14")</f>
        <v>2026-06-14</v>
      </c>
      <c r="M2" t="str">
        <f>IF($X2&gt;0,IF($Y2&gt;0,"JLR machine "&amp;$O2&amp;" at "&amp;TEXT($X2,"0.00")&amp;" per hr — build-up as supplied","JLR machine "&amp;$O2&amp;" at "&amp;TEXT($X2,"0.00")&amp;" per hr — build-up not supplied"),"UK Tier-2 CNC turning centre (Doosan/Hyundai class). Target £40/hr. Jun 2026")</f>
        <v>UK Tier-2 CNC turning centre (Doosan/Hyundai class). Target £40/hr. Jun 2026</v>
      </c>
      <c r="N2" t="str">
        <v>Medium</v>
      </c>
      <c r="O2" t="str">
        <f>IFERROR(INDEX(Mapping!$C:$C,MATCH($A2,Mapping!$A:$A,0)),"")</f>
        <v/>
      </c>
      <c r="P2">
        <f>IF($O2="",0,COUNTIFS('JLR Machines'!$A:$A,$O2,'JLR Machines'!$C:$C,IF(Settings!$B$2="","&lt;&gt;",Settings!$B$2),'JLR Machines'!$D:$D,IF(Settings!$B$3="","&lt;&gt;",Settings!$B$3)))</f>
        <v>0</v>
      </c>
      <c r="Q2">
        <f>IF($P2&lt;&gt;1,0,SUMIFS('JLR Machines'!$G:$G,'JLR Machines'!$A:$A,$O2,'JLR Machines'!$C:$C,IF(Settings!$B$2="","&lt;&gt;",Settings!$B$2),'JLR Machines'!$D:$D,IF(Settings!$B$3="","&lt;&gt;",Settings!$B$3)))</f>
        <v>0</v>
      </c>
      <c r="R2">
        <f>IF($P2&lt;&gt;1,0,SUMIFS('JLR Machines'!$H:$H,'JLR Machines'!$A:$A,$O2,'JLR Machines'!$C:$C,IF(Settings!$B$2="","&lt;&gt;",Settings!$B$2),'JLR Machines'!$D:$D,IF(Settings!$B$3="","&lt;&gt;",Settings!$B$3)))</f>
        <v>0</v>
      </c>
      <c r="S2">
        <f>IF($P2&lt;&gt;1,0,SUMIFS('JLR Machines'!$I:$I,'JLR Machines'!$A:$A,$O2,'JLR Machines'!$C:$C,IF(Settings!$B$2="","&lt;&gt;",Settings!$B$2),'JLR Machines'!$D:$D,IF(Settings!$B$3="","&lt;&gt;",Settings!$B$3)))</f>
        <v>0</v>
      </c>
      <c r="T2">
        <f>IF($P2&lt;&gt;1,0,SUMIFS('JLR Machines'!$J:$J,'JLR Machines'!$A:$A,$O2,'JLR Machines'!$C:$C,IF(Settings!$B$2="","&lt;&gt;",Settings!$B$2),'JLR Machines'!$D:$D,IF(Settings!$B$3="","&lt;&gt;",Settings!$B$3)))</f>
        <v>0</v>
      </c>
      <c r="U2">
        <f>IF($P2&lt;&gt;1,0,SUMIFS('JLR Machines'!$K:$K,'JLR Machines'!$A:$A,$O2,'JLR Machines'!$C:$C,IF(Settings!$B$2="","&lt;&gt;",Settings!$B$2),'JLR Machines'!$D:$D,IF(Settings!$B$3="","&lt;&gt;",Settings!$B$3)))</f>
        <v>0</v>
      </c>
      <c r="V2">
        <f>IF($P2&lt;&gt;1,0,SUMIFS('JLR Machines'!$L:$L,'JLR Machines'!$A:$A,$O2,'JLR Machines'!$C:$C,IF(Settings!$B$2="","&lt;&gt;",Settings!$B$2),'JLR Machines'!$D:$D,IF(Settings!$B$3="","&lt;&gt;",Settings!$B$3)))</f>
        <v>0</v>
      </c>
      <c r="W2">
        <f>IF($P2&lt;&gt;1,0,SUMIFS('JLR Machines'!$M:$M,'JLR Machines'!$A:$A,$O2,'JLR Machines'!$C:$C,IF(Settings!$B$2="","&lt;&gt;",Settings!$B$2),'JLR Machines'!$D:$D,IF(Settings!$B$3="","&lt;&gt;",Settings!$B$3)))</f>
        <v>0</v>
      </c>
      <c r="X2">
        <f>IF($P2&lt;&gt;1,0,SUMIFS('JLR Machines'!$N:$N,'JLR Machines'!$A:$A,$O2,'JLR Machines'!$C:$C,IF(Settings!$B$2="","&lt;&gt;",Settings!$B$2),'JLR Machines'!$D:$D,IF(Settings!$B$3="","&lt;&gt;",Settings!$B$3)))</f>
        <v>0</v>
      </c>
      <c r="Y2">
        <f>$Q2+$R2+$S2+$T2+$U2+$V2+$W2</f>
        <v>0</v>
      </c>
      <c r="Z2">
        <f>IF($X2&lt;=0,0,ROUND((D2+E2+F2+G2+H2+I2)/3200-$X2,4))</f>
        <v>0</v>
      </c>
    </row>
    <row r="3">
      <c r="A3" t="str">
        <v>mach-vmc3</v>
      </c>
      <c r="B3" t="str">
        <v>CNC VMC 3-axis</v>
      </c>
      <c r="C3" t="str">
        <v>UK</v>
      </c>
      <c r="D3">
        <f>IF($X3&gt;0,IF($Y3&gt;0,MAX(0,$Q3+$X3-$Y3)*3200,$X3*3200),55000)</f>
        <v>55000</v>
      </c>
      <c r="E3">
        <f>IF($X3&gt;0,IF($Y3&gt;0,$S3*3200,0),30000)</f>
        <v>30000</v>
      </c>
      <c r="F3">
        <f>IF($X3&gt;0,IF($Y3&gt;0,$V3*3200,0),28000)</f>
        <v>28000</v>
      </c>
      <c r="G3">
        <f>IF($X3&gt;0,IF($Y3&gt;0,$R3*3200,0),12000)</f>
        <v>12000</v>
      </c>
      <c r="H3">
        <f>IF($X3&gt;0,IF($Y3&gt;0,($T3+$W3)*3200,0),30000)</f>
        <v>30000</v>
      </c>
      <c r="I3">
        <f>IF($X3&gt;0,IF($Y3&gt;0,$U3*3200,0),21000)</f>
        <v>21000</v>
      </c>
      <c r="J3">
        <v>4000</v>
      </c>
      <c r="K3">
        <v>0.8</v>
      </c>
      <c r="L3" t="str">
        <f>IF($X3&gt;0,IF($P3&lt;&gt;1,"2026-06-14",IFERROR(INDEX('JLR Machines'!$D:$D,MATCH($O3,'JLR Machines'!$A:$A,0)),"2026-06-14")),"2026-06-14")</f>
        <v>2026-06-14</v>
      </c>
      <c r="M3" t="str">
        <f>IF($X3&gt;0,IF($Y3&gt;0,"JLR machine "&amp;$O3&amp;" at "&amp;TEXT($X3,"0.00")&amp;" per hr — build-up as supplied","JLR machine "&amp;$O3&amp;" at "&amp;TEXT($X3,"0.00")&amp;" per hr — build-up not supplied"),"UK Tier-2 3-axis VMC (HAAS VF/VM class). Target £55/hr. Jun 2026")</f>
        <v>UK Tier-2 3-axis VMC (HAAS VF/VM class). Target £55/hr. Jun 2026</v>
      </c>
      <c r="N3" t="str">
        <v>Medium</v>
      </c>
      <c r="O3" t="str">
        <f>IFERROR(INDEX(Mapping!$C:$C,MATCH($A3,Mapping!$A:$A,0)),"")</f>
        <v/>
      </c>
      <c r="P3">
        <f>IF($O3="",0,COUNTIFS('JLR Machines'!$A:$A,$O3,'JLR Machines'!$C:$C,IF(Settings!$B$2="","&lt;&gt;",Settings!$B$2),'JLR Machines'!$D:$D,IF(Settings!$B$3="","&lt;&gt;",Settings!$B$3)))</f>
        <v>0</v>
      </c>
      <c r="Q3">
        <f>IF($P3&lt;&gt;1,0,SUMIFS('JLR Machines'!$G:$G,'JLR Machines'!$A:$A,$O3,'JLR Machines'!$C:$C,IF(Settings!$B$2="","&lt;&gt;",Settings!$B$2),'JLR Machines'!$D:$D,IF(Settings!$B$3="","&lt;&gt;",Settings!$B$3)))</f>
        <v>0</v>
      </c>
      <c r="R3">
        <f>IF($P3&lt;&gt;1,0,SUMIFS('JLR Machines'!$H:$H,'JLR Machines'!$A:$A,$O3,'JLR Machines'!$C:$C,IF(Settings!$B$2="","&lt;&gt;",Settings!$B$2),'JLR Machines'!$D:$D,IF(Settings!$B$3="","&lt;&gt;",Settings!$B$3)))</f>
        <v>0</v>
      </c>
      <c r="S3">
        <f>IF($P3&lt;&gt;1,0,SUMIFS('JLR Machines'!$I:$I,'JLR Machines'!$A:$A,$O3,'JLR Machines'!$C:$C,IF(Settings!$B$2="","&lt;&gt;",Settings!$B$2),'JLR Machines'!$D:$D,IF(Settings!$B$3="","&lt;&gt;",Settings!$B$3)))</f>
        <v>0</v>
      </c>
      <c r="T3">
        <f>IF($P3&lt;&gt;1,0,SUMIFS('JLR Machines'!$J:$J,'JLR Machines'!$A:$A,$O3,'JLR Machines'!$C:$C,IF(Settings!$B$2="","&lt;&gt;",Settings!$B$2),'JLR Machines'!$D:$D,IF(Settings!$B$3="","&lt;&gt;",Settings!$B$3)))</f>
        <v>0</v>
      </c>
      <c r="U3">
        <f>IF($P3&lt;&gt;1,0,SUMIFS('JLR Machines'!$K:$K,'JLR Machines'!$A:$A,$O3,'JLR Machines'!$C:$C,IF(Settings!$B$2="","&lt;&gt;",Settings!$B$2),'JLR Machines'!$D:$D,IF(Settings!$B$3="","&lt;&gt;",Settings!$B$3)))</f>
        <v>0</v>
      </c>
      <c r="V3">
        <f>IF($P3&lt;&gt;1,0,SUMIFS('JLR Machines'!$L:$L,'JLR Machines'!$A:$A,$O3,'JLR Machines'!$C:$C,IF(Settings!$B$2="","&lt;&gt;",Settings!$B$2),'JLR Machines'!$D:$D,IF(Settings!$B$3="","&lt;&gt;",Settings!$B$3)))</f>
        <v>0</v>
      </c>
      <c r="W3">
        <f>IF($P3&lt;&gt;1,0,SUMIFS('JLR Machines'!$M:$M,'JLR Machines'!$A:$A,$O3,'JLR Machines'!$C:$C,IF(Settings!$B$2="","&lt;&gt;",Settings!$B$2),'JLR Machines'!$D:$D,IF(Settings!$B$3="","&lt;&gt;",Settings!$B$3)))</f>
        <v>0</v>
      </c>
      <c r="X3">
        <f>IF($P3&lt;&gt;1,0,SUMIFS('JLR Machines'!$N:$N,'JLR Machines'!$A:$A,$O3,'JLR Machines'!$C:$C,IF(Settings!$B$2="","&lt;&gt;",Settings!$B$2),'JLR Machines'!$D:$D,IF(Settings!$B$3="","&lt;&gt;",Settings!$B$3)))</f>
        <v>0</v>
      </c>
      <c r="Y3">
        <f>$Q3+$R3+$S3+$T3+$U3+$V3+$W3</f>
        <v>0</v>
      </c>
      <c r="Z3">
        <f>IF($X3&lt;=0,0,ROUND((D3+E3+F3+G3+H3+I3)/3200-$X3,4))</f>
        <v>0</v>
      </c>
    </row>
    <row r="4">
      <c r="A4" t="str">
        <v>mach-vmc5</v>
      </c>
      <c r="B4" t="str">
        <v>CNC VMC 5-axis</v>
      </c>
      <c r="C4" t="str">
        <v>UK</v>
      </c>
      <c r="D4">
        <f>IF($X4&gt;0,IF($Y4&gt;0,MAX(0,$Q4+$X4-$Y4)*3120,$X4*3120),95000)</f>
        <v>95000</v>
      </c>
      <c r="E4">
        <f>IF($X4&gt;0,IF($Y4&gt;0,$S4*3120,0),45000)</f>
        <v>45000</v>
      </c>
      <c r="F4">
        <f>IF($X4&gt;0,IF($Y4&gt;0,$V4*3120,0),35000)</f>
        <v>35000</v>
      </c>
      <c r="G4">
        <f>IF($X4&gt;0,IF($Y4&gt;0,$R4*3120,0),18000)</f>
        <v>18000</v>
      </c>
      <c r="H4">
        <f>IF($X4&gt;0,IF($Y4&gt;0,($T4+$W4)*3120,0),48000)</f>
        <v>48000</v>
      </c>
      <c r="I4">
        <f>IF($X4&gt;0,IF($Y4&gt;0,$U4*3120,0),24200)</f>
        <v>24200</v>
      </c>
      <c r="J4">
        <v>4000</v>
      </c>
      <c r="K4">
        <v>0.78</v>
      </c>
      <c r="L4" t="str">
        <f>IF($X4&gt;0,IF($P4&lt;&gt;1,"2026-06-14",IFERROR(INDEX('JLR Machines'!$D:$D,MATCH($O4,'JLR Machines'!$A:$A,0)),"2026-06-14")),"2026-06-14")</f>
        <v>2026-06-14</v>
      </c>
      <c r="M4" t="str">
        <f>IF($X4&gt;0,IF($Y4&gt;0,"JLR machine "&amp;$O4&amp;" at "&amp;TEXT($X4,"0.00")&amp;" per hr — build-up as supplied","JLR machine "&amp;$O4&amp;" at "&amp;TEXT($X4,"0.00")&amp;" per hr — build-up not supplied"),"UK Tier-1 5-axis machining centre (DMG/Hermle class). Target £85/hr. Jun 2026")</f>
        <v>UK Tier-1 5-axis machining centre (DMG/Hermle class). Target £85/hr. Jun 2026</v>
      </c>
      <c r="N4" t="str">
        <v>Medium</v>
      </c>
      <c r="O4" t="str">
        <f>IFERROR(INDEX(Mapping!$C:$C,MATCH($A4,Mapping!$A:$A,0)),"")</f>
        <v/>
      </c>
      <c r="P4">
        <f>IF($O4="",0,COUNTIFS('JLR Machines'!$A:$A,$O4,'JLR Machines'!$C:$C,IF(Settings!$B$2="","&lt;&gt;",Settings!$B$2),'JLR Machines'!$D:$D,IF(Settings!$B$3="","&lt;&gt;",Settings!$B$3)))</f>
        <v>0</v>
      </c>
      <c r="Q4">
        <f>IF($P4&lt;&gt;1,0,SUMIFS('JLR Machines'!$G:$G,'JLR Machines'!$A:$A,$O4,'JLR Machines'!$C:$C,IF(Settings!$B$2="","&lt;&gt;",Settings!$B$2),'JLR Machines'!$D:$D,IF(Settings!$B$3="","&lt;&gt;",Settings!$B$3)))</f>
        <v>0</v>
      </c>
      <c r="R4">
        <f>IF($P4&lt;&gt;1,0,SUMIFS('JLR Machines'!$H:$H,'JLR Machines'!$A:$A,$O4,'JLR Machines'!$C:$C,IF(Settings!$B$2="","&lt;&gt;",Settings!$B$2),'JLR Machines'!$D:$D,IF(Settings!$B$3="","&lt;&gt;",Settings!$B$3)))</f>
        <v>0</v>
      </c>
      <c r="S4">
        <f>IF($P4&lt;&gt;1,0,SUMIFS('JLR Machines'!$I:$I,'JLR Machines'!$A:$A,$O4,'JLR Machines'!$C:$C,IF(Settings!$B$2="","&lt;&gt;",Settings!$B$2),'JLR Machines'!$D:$D,IF(Settings!$B$3="","&lt;&gt;",Settings!$B$3)))</f>
        <v>0</v>
      </c>
      <c r="T4">
        <f>IF($P4&lt;&gt;1,0,SUMIFS('JLR Machines'!$J:$J,'JLR Machines'!$A:$A,$O4,'JLR Machines'!$C:$C,IF(Settings!$B$2="","&lt;&gt;",Settings!$B$2),'JLR Machines'!$D:$D,IF(Settings!$B$3="","&lt;&gt;",Settings!$B$3)))</f>
        <v>0</v>
      </c>
      <c r="U4">
        <f>IF($P4&lt;&gt;1,0,SUMIFS('JLR Machines'!$K:$K,'JLR Machines'!$A:$A,$O4,'JLR Machines'!$C:$C,IF(Settings!$B$2="","&lt;&gt;",Settings!$B$2),'JLR Machines'!$D:$D,IF(Settings!$B$3="","&lt;&gt;",Settings!$B$3)))</f>
        <v>0</v>
      </c>
      <c r="V4">
        <f>IF($P4&lt;&gt;1,0,SUMIFS('JLR Machines'!$L:$L,'JLR Machines'!$A:$A,$O4,'JLR Machines'!$C:$C,IF(Settings!$B$2="","&lt;&gt;",Settings!$B$2),'JLR Machines'!$D:$D,IF(Settings!$B$3="","&lt;&gt;",Settings!$B$3)))</f>
        <v>0</v>
      </c>
      <c r="W4">
        <f>IF($P4&lt;&gt;1,0,SUMIFS('JLR Machines'!$M:$M,'JLR Machines'!$A:$A,$O4,'JLR Machines'!$C:$C,IF(Settings!$B$2="","&lt;&gt;",Settings!$B$2),'JLR Machines'!$D:$D,IF(Settings!$B$3="","&lt;&gt;",Settings!$B$3)))</f>
        <v>0</v>
      </c>
      <c r="X4">
        <f>IF($P4&lt;&gt;1,0,SUMIFS('JLR Machines'!$N:$N,'JLR Machines'!$A:$A,$O4,'JLR Machines'!$C:$C,IF(Settings!$B$2="","&lt;&gt;",Settings!$B$2),'JLR Machines'!$D:$D,IF(Settings!$B$3="","&lt;&gt;",Settings!$B$3)))</f>
        <v>0</v>
      </c>
      <c r="Y4">
        <f>$Q4+$R4+$S4+$T4+$U4+$V4+$W4</f>
        <v>0</v>
      </c>
      <c r="Z4">
        <f>IF($X4&lt;=0,0,ROUND((D4+E4+F4+G4+H4+I4)/3120-$X4,4))</f>
        <v>0</v>
      </c>
    </row>
    <row r="5">
      <c r="A5" t="str">
        <v>mach-drill</v>
      </c>
      <c r="B5" t="str">
        <v>CNC Drilling Centre</v>
      </c>
      <c r="C5" t="str">
        <v>UK</v>
      </c>
      <c r="D5">
        <f>IF($X5&gt;0,IF($Y5&gt;0,MAX(0,$Q5+$X5-$Y5)*3200,$X5*3200),28000)</f>
        <v>28000</v>
      </c>
      <c r="E5">
        <f>IF($X5&gt;0,IF($Y5&gt;0,$S5*3200,0),12000)</f>
        <v>12000</v>
      </c>
      <c r="F5">
        <f>IF($X5&gt;0,IF($Y5&gt;0,$V5*3200,0),18000)</f>
        <v>18000</v>
      </c>
      <c r="G5">
        <f>IF($X5&gt;0,IF($Y5&gt;0,$R5*3200,0),8000)</f>
        <v>8000</v>
      </c>
      <c r="H5">
        <f>IF($X5&gt;0,IF($Y5&gt;0,($T5+$W5)*3200,0),16000)</f>
        <v>16000</v>
      </c>
      <c r="I5">
        <f>IF($X5&gt;0,IF($Y5&gt;0,$U5*3200,0),14000)</f>
        <v>14000</v>
      </c>
      <c r="J5">
        <v>4000</v>
      </c>
      <c r="K5">
        <v>0.8</v>
      </c>
      <c r="L5" t="str">
        <f>IF($X5&gt;0,IF($P5&lt;&gt;1,"2026-06-14",IFERROR(INDEX('JLR Machines'!$D:$D,MATCH($O5,'JLR Machines'!$A:$A,0)),"2026-06-14")),"2026-06-14")</f>
        <v>2026-06-14</v>
      </c>
      <c r="M5" t="str">
        <f>IF($X5&gt;0,IF($Y5&gt;0,"JLR machine "&amp;$O5&amp;" at "&amp;TEXT($X5,"0.00")&amp;" per hr — build-up as supplied","JLR machine "&amp;$O5&amp;" at "&amp;TEXT($X5,"0.00")&amp;" per hr — build-up not supplied"),"UK Tier-2 CNC drilling/tapping centre. Target £30/hr. Jun 2026")</f>
        <v>UK Tier-2 CNC drilling/tapping centre. Target £30/hr. Jun 2026</v>
      </c>
      <c r="N5" t="str">
        <v>Medium</v>
      </c>
      <c r="O5" t="str">
        <f>IFERROR(INDEX(Mapping!$C:$C,MATCH($A5,Mapping!$A:$A,0)),"")</f>
        <v/>
      </c>
      <c r="P5">
        <f>IF($O5="",0,COUNTIFS('JLR Machines'!$A:$A,$O5,'JLR Machines'!$C:$C,IF(Settings!$B$2="","&lt;&gt;",Settings!$B$2),'JLR Machines'!$D:$D,IF(Settings!$B$3="","&lt;&gt;",Settings!$B$3)))</f>
        <v>0</v>
      </c>
      <c r="Q5">
        <f>IF($P5&lt;&gt;1,0,SUMIFS('JLR Machines'!$G:$G,'JLR Machines'!$A:$A,$O5,'JLR Machines'!$C:$C,IF(Settings!$B$2="","&lt;&gt;",Settings!$B$2),'JLR Machines'!$D:$D,IF(Settings!$B$3="","&lt;&gt;",Settings!$B$3)))</f>
        <v>0</v>
      </c>
      <c r="R5">
        <f>IF($P5&lt;&gt;1,0,SUMIFS('JLR Machines'!$H:$H,'JLR Machines'!$A:$A,$O5,'JLR Machines'!$C:$C,IF(Settings!$B$2="","&lt;&gt;",Settings!$B$2),'JLR Machines'!$D:$D,IF(Settings!$B$3="","&lt;&gt;",Settings!$B$3)))</f>
        <v>0</v>
      </c>
      <c r="S5">
        <f>IF($P5&lt;&gt;1,0,SUMIFS('JLR Machines'!$I:$I,'JLR Machines'!$A:$A,$O5,'JLR Machines'!$C:$C,IF(Settings!$B$2="","&lt;&gt;",Settings!$B$2),'JLR Machines'!$D:$D,IF(Settings!$B$3="","&lt;&gt;",Settings!$B$3)))</f>
        <v>0</v>
      </c>
      <c r="T5">
        <f>IF($P5&lt;&gt;1,0,SUMIFS('JLR Machines'!$J:$J,'JLR Machines'!$A:$A,$O5,'JLR Machines'!$C:$C,IF(Settings!$B$2="","&lt;&gt;",Settings!$B$2),'JLR Machines'!$D:$D,IF(Settings!$B$3="","&lt;&gt;",Settings!$B$3)))</f>
        <v>0</v>
      </c>
      <c r="U5">
        <f>IF($P5&lt;&gt;1,0,SUMIFS('JLR Machines'!$K:$K,'JLR Machines'!$A:$A,$O5,'JLR Machines'!$C:$C,IF(Settings!$B$2="","&lt;&gt;",Settings!$B$2),'JLR Machines'!$D:$D,IF(Settings!$B$3="","&lt;&gt;",Settings!$B$3)))</f>
        <v>0</v>
      </c>
      <c r="V5">
        <f>IF($P5&lt;&gt;1,0,SUMIFS('JLR Machines'!$L:$L,'JLR Machines'!$A:$A,$O5,'JLR Machines'!$C:$C,IF(Settings!$B$2="","&lt;&gt;",Settings!$B$2),'JLR Machines'!$D:$D,IF(Settings!$B$3="","&lt;&gt;",Settings!$B$3)))</f>
        <v>0</v>
      </c>
      <c r="W5">
        <f>IF($P5&lt;&gt;1,0,SUMIFS('JLR Machines'!$M:$M,'JLR Machines'!$A:$A,$O5,'JLR Machines'!$C:$C,IF(Settings!$B$2="","&lt;&gt;",Settings!$B$2),'JLR Machines'!$D:$D,IF(Settings!$B$3="","&lt;&gt;",Settings!$B$3)))</f>
        <v>0</v>
      </c>
      <c r="X5">
        <f>IF($P5&lt;&gt;1,0,SUMIFS('JLR Machines'!$N:$N,'JLR Machines'!$A:$A,$O5,'JLR Machines'!$C:$C,IF(Settings!$B$2="","&lt;&gt;",Settings!$B$2),'JLR Machines'!$D:$D,IF(Settings!$B$3="","&lt;&gt;",Settings!$B$3)))</f>
        <v>0</v>
      </c>
      <c r="Y5">
        <f>$Q5+$R5+$S5+$T5+$U5+$V5+$W5</f>
        <v>0</v>
      </c>
      <c r="Z5">
        <f>IF($X5&lt;=0,0,ROUND((D5+E5+F5+G5+H5+I5)/3200-$X5,4))</f>
        <v>0</v>
      </c>
    </row>
    <row r="6">
      <c r="A6" t="str">
        <v>mach-grind</v>
      </c>
      <c r="B6" t="str">
        <v>CNC Cylindrical Grinder</v>
      </c>
      <c r="C6" t="str">
        <v>UK</v>
      </c>
      <c r="D6">
        <f>IF($X6&gt;0,IF($Y6&gt;0,MAX(0,$Q6+$X6-$Y6)*3120,$X6*3120),55000)</f>
        <v>55000</v>
      </c>
      <c r="E6">
        <f>IF($X6&gt;0,IF($Y6&gt;0,$S6*3120,0),30000)</f>
        <v>30000</v>
      </c>
      <c r="F6">
        <f>IF($X6&gt;0,IF($Y6&gt;0,$V6*3120,0),28000)</f>
        <v>28000</v>
      </c>
      <c r="G6">
        <f>IF($X6&gt;0,IF($Y6&gt;0,$R6*3120,0),10000)</f>
        <v>10000</v>
      </c>
      <c r="H6">
        <f>IF($X6&gt;0,IF($Y6&gt;0,($T6+$W6)*3120,0),28000)</f>
        <v>28000</v>
      </c>
      <c r="I6">
        <f>IF($X6&gt;0,IF($Y6&gt;0,$U6*3120,0),20600)</f>
        <v>20600</v>
      </c>
      <c r="J6">
        <v>4000</v>
      </c>
      <c r="K6">
        <v>0.78</v>
      </c>
      <c r="L6" t="str">
        <f>IF($X6&gt;0,IF($P6&lt;&gt;1,"2026-06-14",IFERROR(INDEX('JLR Machines'!$D:$D,MATCH($O6,'JLR Machines'!$A:$A,0)),"2026-06-14")),"2026-06-14")</f>
        <v>2026-06-14</v>
      </c>
      <c r="M6" t="str">
        <f>IF($X6&gt;0,IF($Y6&gt;0,"JLR machine "&amp;$O6&amp;" at "&amp;TEXT($X6,"0.00")&amp;" per hr — build-up as supplied","JLR machine "&amp;$O6&amp;" at "&amp;TEXT($X6,"0.00")&amp;" per hr — build-up not supplied"),"UK Tier-2 CNC cylindrical grinder. Target £55/hr (precision, high coolant cost). Jun 2026")</f>
        <v>UK Tier-2 CNC cylindrical grinder. Target £55/hr (precision, high coolant cost). Jun 2026</v>
      </c>
      <c r="N6" t="str">
        <v>Medium</v>
      </c>
      <c r="O6" t="str">
        <f>IFERROR(INDEX(Mapping!$C:$C,MATCH($A6,Mapping!$A:$A,0)),"")</f>
        <v/>
      </c>
      <c r="P6">
        <f>IF($O6="",0,COUNTIFS('JLR Machines'!$A:$A,$O6,'JLR Machines'!$C:$C,IF(Settings!$B$2="","&lt;&gt;",Settings!$B$2),'JLR Machines'!$D:$D,IF(Settings!$B$3="","&lt;&gt;",Settings!$B$3)))</f>
        <v>0</v>
      </c>
      <c r="Q6">
        <f>IF($P6&lt;&gt;1,0,SUMIFS('JLR Machines'!$G:$G,'JLR Machines'!$A:$A,$O6,'JLR Machines'!$C:$C,IF(Settings!$B$2="","&lt;&gt;",Settings!$B$2),'JLR Machines'!$D:$D,IF(Settings!$B$3="","&lt;&gt;",Settings!$B$3)))</f>
        <v>0</v>
      </c>
      <c r="R6">
        <f>IF($P6&lt;&gt;1,0,SUMIFS('JLR Machines'!$H:$H,'JLR Machines'!$A:$A,$O6,'JLR Machines'!$C:$C,IF(Settings!$B$2="","&lt;&gt;",Settings!$B$2),'JLR Machines'!$D:$D,IF(Settings!$B$3="","&lt;&gt;",Settings!$B$3)))</f>
        <v>0</v>
      </c>
      <c r="S6">
        <f>IF($P6&lt;&gt;1,0,SUMIFS('JLR Machines'!$I:$I,'JLR Machines'!$A:$A,$O6,'JLR Machines'!$C:$C,IF(Settings!$B$2="","&lt;&gt;",Settings!$B$2),'JLR Machines'!$D:$D,IF(Settings!$B$3="","&lt;&gt;",Settings!$B$3)))</f>
        <v>0</v>
      </c>
      <c r="T6">
        <f>IF($P6&lt;&gt;1,0,SUMIFS('JLR Machines'!$J:$J,'JLR Machines'!$A:$A,$O6,'JLR Machines'!$C:$C,IF(Settings!$B$2="","&lt;&gt;",Settings!$B$2),'JLR Machines'!$D:$D,IF(Settings!$B$3="","&lt;&gt;",Settings!$B$3)))</f>
        <v>0</v>
      </c>
      <c r="U6">
        <f>IF($P6&lt;&gt;1,0,SUMIFS('JLR Machines'!$K:$K,'JLR Machines'!$A:$A,$O6,'JLR Machines'!$C:$C,IF(Settings!$B$2="","&lt;&gt;",Settings!$B$2),'JLR Machines'!$D:$D,IF(Settings!$B$3="","&lt;&gt;",Settings!$B$3)))</f>
        <v>0</v>
      </c>
      <c r="V6">
        <f>IF($P6&lt;&gt;1,0,SUMIFS('JLR Machines'!$L:$L,'JLR Machines'!$A:$A,$O6,'JLR Machines'!$C:$C,IF(Settings!$B$2="","&lt;&gt;",Settings!$B$2),'JLR Machines'!$D:$D,IF(Settings!$B$3="","&lt;&gt;",Settings!$B$3)))</f>
        <v>0</v>
      </c>
      <c r="W6">
        <f>IF($P6&lt;&gt;1,0,SUMIFS('JLR Machines'!$M:$M,'JLR Machines'!$A:$A,$O6,'JLR Machines'!$C:$C,IF(Settings!$B$2="","&lt;&gt;",Settings!$B$2),'JLR Machines'!$D:$D,IF(Settings!$B$3="","&lt;&gt;",Settings!$B$3)))</f>
        <v>0</v>
      </c>
      <c r="X6">
        <f>IF($P6&lt;&gt;1,0,SUMIFS('JLR Machines'!$N:$N,'JLR Machines'!$A:$A,$O6,'JLR Machines'!$C:$C,IF(Settings!$B$2="","&lt;&gt;",Settings!$B$2),'JLR Machines'!$D:$D,IF(Settings!$B$3="","&lt;&gt;",Settings!$B$3)))</f>
        <v>0</v>
      </c>
      <c r="Y6">
        <f>$Q6+$R6+$S6+$T6+$U6+$V6+$W6</f>
        <v>0</v>
      </c>
      <c r="Z6">
        <f>IF($X6&lt;=0,0,ROUND((D6+E6+F6+G6+H6+I6)/3120-$X6,4))</f>
        <v>0</v>
      </c>
    </row>
    <row r="7">
      <c r="A7" t="str">
        <v>gear-hob-small</v>
      </c>
      <c r="B7" t="str">
        <v>CNC Gear Hobber — small (≤m4, ≤Ø200)</v>
      </c>
      <c r="C7" t="str">
        <v>UK</v>
      </c>
      <c r="D7">
        <f>IF($X7&gt;0,IF($Y7&gt;0,MAX(0,$Q7+$X7-$Y7)*3200,$X7*3200),62000)</f>
        <v>62000</v>
      </c>
      <c r="E7">
        <f>IF($X7&gt;0,IF($Y7&gt;0,$S7*3200,0),32000)</f>
        <v>32000</v>
      </c>
      <c r="F7">
        <f>IF($X7&gt;0,IF($Y7&gt;0,$V7*3200,0),26000)</f>
        <v>26000</v>
      </c>
      <c r="G7">
        <f>IF($X7&gt;0,IF($Y7&gt;0,$R7*3200,0),11000)</f>
        <v>11000</v>
      </c>
      <c r="H7">
        <f>IF($X7&gt;0,IF($Y7&gt;0,($T7+$W7)*3200,0),30000)</f>
        <v>30000</v>
      </c>
      <c r="I7">
        <f>IF($X7&gt;0,IF($Y7&gt;0,$U7*3200,0),21000)</f>
        <v>21000</v>
      </c>
      <c r="J7">
        <v>4000</v>
      </c>
      <c r="K7">
        <v>0.8</v>
      </c>
      <c r="L7" t="str">
        <f>IF($X7&gt;0,IF($P7&lt;&gt;1,"2026-06-14",IFERROR(INDEX('JLR Machines'!$D:$D,MATCH($O7,'JLR Machines'!$A:$A,0)),"2026-06-14")),"2026-06-14")</f>
        <v>2026-06-14</v>
      </c>
      <c r="M7" t="str">
        <f>IF($X7&gt;0,IF($Y7&gt;0,"JLR machine "&amp;$O7&amp;" at "&amp;TEXT($X7,"0.00")&amp;" per hr — build-up as supplied","JLR machine "&amp;$O7&amp;" at "&amp;TEXT($X7,"0.00")&amp;" per hr — build-up not supplied"),"REPRESENTATIVE — UK small CNC hobber class. Target ~£56/hr. Replace with plant data.")</f>
        <v>REPRESENTATIVE — UK small CNC hobber class. Target ~£56/hr. Replace with plant data.</v>
      </c>
      <c r="N7" t="str">
        <v>Medium</v>
      </c>
      <c r="O7" t="str">
        <f>IFERROR(INDEX(Mapping!$C:$C,MATCH($A7,Mapping!$A:$A,0)),"")</f>
        <v/>
      </c>
      <c r="P7">
        <f>IF($O7="",0,COUNTIFS('JLR Machines'!$A:$A,$O7,'JLR Machines'!$C:$C,IF(Settings!$B$2="","&lt;&gt;",Settings!$B$2),'JLR Machines'!$D:$D,IF(Settings!$B$3="","&lt;&gt;",Settings!$B$3)))</f>
        <v>0</v>
      </c>
      <c r="Q7">
        <f>IF($P7&lt;&gt;1,0,SUMIFS('JLR Machines'!$G:$G,'JLR Machines'!$A:$A,$O7,'JLR Machines'!$C:$C,IF(Settings!$B$2="","&lt;&gt;",Settings!$B$2),'JLR Machines'!$D:$D,IF(Settings!$B$3="","&lt;&gt;",Settings!$B$3)))</f>
        <v>0</v>
      </c>
      <c r="R7">
        <f>IF($P7&lt;&gt;1,0,SUMIFS('JLR Machines'!$H:$H,'JLR Machines'!$A:$A,$O7,'JLR Machines'!$C:$C,IF(Settings!$B$2="","&lt;&gt;",Settings!$B$2),'JLR Machines'!$D:$D,IF(Settings!$B$3="","&lt;&gt;",Settings!$B$3)))</f>
        <v>0</v>
      </c>
      <c r="S7">
        <f>IF($P7&lt;&gt;1,0,SUMIFS('JLR Machines'!$I:$I,'JLR Machines'!$A:$A,$O7,'JLR Machines'!$C:$C,IF(Settings!$B$2="","&lt;&gt;",Settings!$B$2),'JLR Machines'!$D:$D,IF(Settings!$B$3="","&lt;&gt;",Settings!$B$3)))</f>
        <v>0</v>
      </c>
      <c r="T7">
        <f>IF($P7&lt;&gt;1,0,SUMIFS('JLR Machines'!$J:$J,'JLR Machines'!$A:$A,$O7,'JLR Machines'!$C:$C,IF(Settings!$B$2="","&lt;&gt;",Settings!$B$2),'JLR Machines'!$D:$D,IF(Settings!$B$3="","&lt;&gt;",Settings!$B$3)))</f>
        <v>0</v>
      </c>
      <c r="U7">
        <f>IF($P7&lt;&gt;1,0,SUMIFS('JLR Machines'!$K:$K,'JLR Machines'!$A:$A,$O7,'JLR Machines'!$C:$C,IF(Settings!$B$2="","&lt;&gt;",Settings!$B$2),'JLR Machines'!$D:$D,IF(Settings!$B$3="","&lt;&gt;",Settings!$B$3)))</f>
        <v>0</v>
      </c>
      <c r="V7">
        <f>IF($P7&lt;&gt;1,0,SUMIFS('JLR Machines'!$L:$L,'JLR Machines'!$A:$A,$O7,'JLR Machines'!$C:$C,IF(Settings!$B$2="","&lt;&gt;",Settings!$B$2),'JLR Machines'!$D:$D,IF(Settings!$B$3="","&lt;&gt;",Settings!$B$3)))</f>
        <v>0</v>
      </c>
      <c r="W7">
        <f>IF($P7&lt;&gt;1,0,SUMIFS('JLR Machines'!$M:$M,'JLR Machines'!$A:$A,$O7,'JLR Machines'!$C:$C,IF(Settings!$B$2="","&lt;&gt;",Settings!$B$2),'JLR Machines'!$D:$D,IF(Settings!$B$3="","&lt;&gt;",Settings!$B$3)))</f>
        <v>0</v>
      </c>
      <c r="X7">
        <f>IF($P7&lt;&gt;1,0,SUMIFS('JLR Machines'!$N:$N,'JLR Machines'!$A:$A,$O7,'JLR Machines'!$C:$C,IF(Settings!$B$2="","&lt;&gt;",Settings!$B$2),'JLR Machines'!$D:$D,IF(Settings!$B$3="","&lt;&gt;",Settings!$B$3)))</f>
        <v>0</v>
      </c>
      <c r="Y7">
        <f>$Q7+$R7+$S7+$T7+$U7+$V7+$W7</f>
        <v>0</v>
      </c>
      <c r="Z7">
        <f>IF($X7&lt;=0,0,ROUND((D7+E7+F7+G7+H7+I7)/3200-$X7,4))</f>
        <v>0</v>
      </c>
    </row>
    <row r="8">
      <c r="A8" t="str">
        <v>gear-hob-medium</v>
      </c>
      <c r="B8" t="str">
        <v>CNC Gear Hobber — medium (≤m8, ≤Ø500)</v>
      </c>
      <c r="C8" t="str">
        <v>UK</v>
      </c>
      <c r="D8">
        <f>IF($X8&gt;0,IF($Y8&gt;0,MAX(0,$Q8+$X8-$Y8)*3120,$X8*3120),88000)</f>
        <v>88000</v>
      </c>
      <c r="E8">
        <f>IF($X8&gt;0,IF($Y8&gt;0,$S8*3120,0),42000)</f>
        <v>42000</v>
      </c>
      <c r="F8">
        <f>IF($X8&gt;0,IF($Y8&gt;0,$V8*3120,0),34000)</f>
        <v>34000</v>
      </c>
      <c r="G8">
        <f>IF($X8&gt;0,IF($Y8&gt;0,$R8*3120,0),16000)</f>
        <v>16000</v>
      </c>
      <c r="H8">
        <f>IF($X8&gt;0,IF($Y8&gt;0,($T8+$W8)*3120,0),40000)</f>
        <v>40000</v>
      </c>
      <c r="I8">
        <f>IF($X8&gt;0,IF($Y8&gt;0,$U8*3120,0),23500)</f>
        <v>23500</v>
      </c>
      <c r="J8">
        <v>4000</v>
      </c>
      <c r="K8">
        <v>0.78</v>
      </c>
      <c r="L8" t="str">
        <f>IF($X8&gt;0,IF($P8&lt;&gt;1,"2026-06-14",IFERROR(INDEX('JLR Machines'!$D:$D,MATCH($O8,'JLR Machines'!$A:$A,0)),"2026-06-14")),"2026-06-14")</f>
        <v>2026-06-14</v>
      </c>
      <c r="M8" t="str">
        <f>IF($X8&gt;0,IF($Y8&gt;0,"JLR machine "&amp;$O8&amp;" at "&amp;TEXT($X8,"0.00")&amp;" per hr — build-up as supplied","JLR machine "&amp;$O8&amp;" at "&amp;TEXT($X8,"0.00")&amp;" per hr — build-up not supplied"),"REPRESENTATIVE — UK medium CNC hobber class. Target ~£78/hr. Replace with plant data.")</f>
        <v>REPRESENTATIVE — UK medium CNC hobber class. Target ~£78/hr. Replace with plant data.</v>
      </c>
      <c r="N8" t="str">
        <v>Medium</v>
      </c>
      <c r="O8" t="str">
        <f>IFERROR(INDEX(Mapping!$C:$C,MATCH($A8,Mapping!$A:$A,0)),"")</f>
        <v/>
      </c>
      <c r="P8">
        <f>IF($O8="",0,COUNTIFS('JLR Machines'!$A:$A,$O8,'JLR Machines'!$C:$C,IF(Settings!$B$2="","&lt;&gt;",Settings!$B$2),'JLR Machines'!$D:$D,IF(Settings!$B$3="","&lt;&gt;",Settings!$B$3)))</f>
        <v>0</v>
      </c>
      <c r="Q8">
        <f>IF($P8&lt;&gt;1,0,SUMIFS('JLR Machines'!$G:$G,'JLR Machines'!$A:$A,$O8,'JLR Machines'!$C:$C,IF(Settings!$B$2="","&lt;&gt;",Settings!$B$2),'JLR Machines'!$D:$D,IF(Settings!$B$3="","&lt;&gt;",Settings!$B$3)))</f>
        <v>0</v>
      </c>
      <c r="R8">
        <f>IF($P8&lt;&gt;1,0,SUMIFS('JLR Machines'!$H:$H,'JLR Machines'!$A:$A,$O8,'JLR Machines'!$C:$C,IF(Settings!$B$2="","&lt;&gt;",Settings!$B$2),'JLR Machines'!$D:$D,IF(Settings!$B$3="","&lt;&gt;",Settings!$B$3)))</f>
        <v>0</v>
      </c>
      <c r="S8">
        <f>IF($P8&lt;&gt;1,0,SUMIFS('JLR Machines'!$I:$I,'JLR Machines'!$A:$A,$O8,'JLR Machines'!$C:$C,IF(Settings!$B$2="","&lt;&gt;",Settings!$B$2),'JLR Machines'!$D:$D,IF(Settings!$B$3="","&lt;&gt;",Settings!$B$3)))</f>
        <v>0</v>
      </c>
      <c r="T8">
        <f>IF($P8&lt;&gt;1,0,SUMIFS('JLR Machines'!$J:$J,'JLR Machines'!$A:$A,$O8,'JLR Machines'!$C:$C,IF(Settings!$B$2="","&lt;&gt;",Settings!$B$2),'JLR Machines'!$D:$D,IF(Settings!$B$3="","&lt;&gt;",Settings!$B$3)))</f>
        <v>0</v>
      </c>
      <c r="U8">
        <f>IF($P8&lt;&gt;1,0,SUMIFS('JLR Machines'!$K:$K,'JLR Machines'!$A:$A,$O8,'JLR Machines'!$C:$C,IF(Settings!$B$2="","&lt;&gt;",Settings!$B$2),'JLR Machines'!$D:$D,IF(Settings!$B$3="","&lt;&gt;",Settings!$B$3)))</f>
        <v>0</v>
      </c>
      <c r="V8">
        <f>IF($P8&lt;&gt;1,0,SUMIFS('JLR Machines'!$L:$L,'JLR Machines'!$A:$A,$O8,'JLR Machines'!$C:$C,IF(Settings!$B$2="","&lt;&gt;",Settings!$B$2),'JLR Machines'!$D:$D,IF(Settings!$B$3="","&lt;&gt;",Settings!$B$3)))</f>
        <v>0</v>
      </c>
      <c r="W8">
        <f>IF($P8&lt;&gt;1,0,SUMIFS('JLR Machines'!$M:$M,'JLR Machines'!$A:$A,$O8,'JLR Machines'!$C:$C,IF(Settings!$B$2="","&lt;&gt;",Settings!$B$2),'JLR Machines'!$D:$D,IF(Settings!$B$3="","&lt;&gt;",Settings!$B$3)))</f>
        <v>0</v>
      </c>
      <c r="X8">
        <f>IF($P8&lt;&gt;1,0,SUMIFS('JLR Machines'!$N:$N,'JLR Machines'!$A:$A,$O8,'JLR Machines'!$C:$C,IF(Settings!$B$2="","&lt;&gt;",Settings!$B$2),'JLR Machines'!$D:$D,IF(Settings!$B$3="","&lt;&gt;",Settings!$B$3)))</f>
        <v>0</v>
      </c>
      <c r="Y8">
        <f>$Q8+$R8+$S8+$T8+$U8+$V8+$W8</f>
        <v>0</v>
      </c>
      <c r="Z8">
        <f>IF($X8&lt;=0,0,ROUND((D8+E8+F8+G8+H8+I8)/3120-$X8,4))</f>
        <v>0</v>
      </c>
    </row>
    <row r="9">
      <c r="A9" t="str">
        <v>gear-hob-large</v>
      </c>
      <c r="B9" t="str">
        <v>CNC Gear Hobber — large (≤m25, ≤Ø1600)</v>
      </c>
      <c r="C9" t="str">
        <v>UK</v>
      </c>
      <c r="D9">
        <f>IF($X9&gt;0,IF($Y9&gt;0,MAX(0,$Q9+$X9-$Y9)*2660,$X9*2660),150000)</f>
        <v>150000</v>
      </c>
      <c r="E9">
        <f>IF($X9&gt;0,IF($Y9&gt;0,$S9*2660,0),62000)</f>
        <v>62000</v>
      </c>
      <c r="F9">
        <f>IF($X9&gt;0,IF($Y9&gt;0,$V9*2660,0),52000)</f>
        <v>52000</v>
      </c>
      <c r="G9">
        <f>IF($X9&gt;0,IF($Y9&gt;0,$R9*2660,0),30000)</f>
        <v>30000</v>
      </c>
      <c r="H9">
        <f>IF($X9&gt;0,IF($Y9&gt;0,($T9+$W9)*2660,0),58000)</f>
        <v>58000</v>
      </c>
      <c r="I9">
        <f>IF($X9&gt;0,IF($Y9&gt;0,$U9*2660,0),32000)</f>
        <v>32000</v>
      </c>
      <c r="J9">
        <v>3800</v>
      </c>
      <c r="K9">
        <v>0.7</v>
      </c>
      <c r="L9" t="str">
        <f>IF($X9&gt;0,IF($P9&lt;&gt;1,"2026-06-14",IFERROR(INDEX('JLR Machines'!$D:$D,MATCH($O9,'JLR Machines'!$A:$A,0)),"2026-06-14")),"2026-06-14")</f>
        <v>2026-06-14</v>
      </c>
      <c r="M9" t="str">
        <f>IF($X9&gt;0,IF($Y9&gt;0,"JLR machine "&amp;$O9&amp;" at "&amp;TEXT($X9,"0.00")&amp;" per hr — build-up as supplied","JLR machine "&amp;$O9&amp;" at "&amp;TEXT($X9,"0.00")&amp;" per hr — build-up not supplied"),"REPRESENTATIVE — UK large CNC hobber class. Target ~£140/hr. Replace with plant data.")</f>
        <v>REPRESENTATIVE — UK large CNC hobber class. Target ~£140/hr. Replace with plant data.</v>
      </c>
      <c r="N9" t="str">
        <v>Medium</v>
      </c>
      <c r="O9" t="str">
        <f>IFERROR(INDEX(Mapping!$C:$C,MATCH($A9,Mapping!$A:$A,0)),"")</f>
        <v/>
      </c>
      <c r="P9">
        <f>IF($O9="",0,COUNTIFS('JLR Machines'!$A:$A,$O9,'JLR Machines'!$C:$C,IF(Settings!$B$2="","&lt;&gt;",Settings!$B$2),'JLR Machines'!$D:$D,IF(Settings!$B$3="","&lt;&gt;",Settings!$B$3)))</f>
        <v>0</v>
      </c>
      <c r="Q9">
        <f>IF($P9&lt;&gt;1,0,SUMIFS('JLR Machines'!$G:$G,'JLR Machines'!$A:$A,$O9,'JLR Machines'!$C:$C,IF(Settings!$B$2="","&lt;&gt;",Settings!$B$2),'JLR Machines'!$D:$D,IF(Settings!$B$3="","&lt;&gt;",Settings!$B$3)))</f>
        <v>0</v>
      </c>
      <c r="R9">
        <f>IF($P9&lt;&gt;1,0,SUMIFS('JLR Machines'!$H:$H,'JLR Machines'!$A:$A,$O9,'JLR Machines'!$C:$C,IF(Settings!$B$2="","&lt;&gt;",Settings!$B$2),'JLR Machines'!$D:$D,IF(Settings!$B$3="","&lt;&gt;",Settings!$B$3)))</f>
        <v>0</v>
      </c>
      <c r="S9">
        <f>IF($P9&lt;&gt;1,0,SUMIFS('JLR Machines'!$I:$I,'JLR Machines'!$A:$A,$O9,'JLR Machines'!$C:$C,IF(Settings!$B$2="","&lt;&gt;",Settings!$B$2),'JLR Machines'!$D:$D,IF(Settings!$B$3="","&lt;&gt;",Settings!$B$3)))</f>
        <v>0</v>
      </c>
      <c r="T9">
        <f>IF($P9&lt;&gt;1,0,SUMIFS('JLR Machines'!$J:$J,'JLR Machines'!$A:$A,$O9,'JLR Machines'!$C:$C,IF(Settings!$B$2="","&lt;&gt;",Settings!$B$2),'JLR Machines'!$D:$D,IF(Settings!$B$3="","&lt;&gt;",Settings!$B$3)))</f>
        <v>0</v>
      </c>
      <c r="U9">
        <f>IF($P9&lt;&gt;1,0,SUMIFS('JLR Machines'!$K:$K,'JLR Machines'!$A:$A,$O9,'JLR Machines'!$C:$C,IF(Settings!$B$2="","&lt;&gt;",Settings!$B$2),'JLR Machines'!$D:$D,IF(Settings!$B$3="","&lt;&gt;",Settings!$B$3)))</f>
        <v>0</v>
      </c>
      <c r="V9">
        <f>IF($P9&lt;&gt;1,0,SUMIFS('JLR Machines'!$L:$L,'JLR Machines'!$A:$A,$O9,'JLR Machines'!$C:$C,IF(Settings!$B$2="","&lt;&gt;",Settings!$B$2),'JLR Machines'!$D:$D,IF(Settings!$B$3="","&lt;&gt;",Settings!$B$3)))</f>
        <v>0</v>
      </c>
      <c r="W9">
        <f>IF($P9&lt;&gt;1,0,SUMIFS('JLR Machines'!$M:$M,'JLR Machines'!$A:$A,$O9,'JLR Machines'!$C:$C,IF(Settings!$B$2="","&lt;&gt;",Settings!$B$2),'JLR Machines'!$D:$D,IF(Settings!$B$3="","&lt;&gt;",Settings!$B$3)))</f>
        <v>0</v>
      </c>
      <c r="X9">
        <f>IF($P9&lt;&gt;1,0,SUMIFS('JLR Machines'!$N:$N,'JLR Machines'!$A:$A,$O9,'JLR Machines'!$C:$C,IF(Settings!$B$2="","&lt;&gt;",Settings!$B$2),'JLR Machines'!$D:$D,IF(Settings!$B$3="","&lt;&gt;",Settings!$B$3)))</f>
        <v>0</v>
      </c>
      <c r="Y9">
        <f>$Q9+$R9+$S9+$T9+$U9+$V9+$W9</f>
        <v>0</v>
      </c>
      <c r="Z9">
        <f>IF($X9&lt;=0,0,ROUND((D9+E9+F9+G9+H9+I9)/2660-$X9,4))</f>
        <v>0</v>
      </c>
    </row>
    <row r="10">
      <c r="A10" t="str">
        <v>gear-shaper-small</v>
      </c>
      <c r="B10" t="str">
        <v>CNC Gear Shaper — small (≤m6, ≤Ø300)</v>
      </c>
      <c r="C10" t="str">
        <v>UK</v>
      </c>
      <c r="D10">
        <f>IF($X10&gt;0,IF($Y10&gt;0,MAX(0,$Q10+$X10-$Y10)*3120,$X10*3120),58000)</f>
        <v>58000</v>
      </c>
      <c r="E10">
        <f>IF($X10&gt;0,IF($Y10&gt;0,$S10*3120,0),34000)</f>
        <v>34000</v>
      </c>
      <c r="F10">
        <f>IF($X10&gt;0,IF($Y10&gt;0,$V10*3120,0),24000)</f>
        <v>24000</v>
      </c>
      <c r="G10">
        <f>IF($X10&gt;0,IF($Y10&gt;0,$R10*3120,0),11000)</f>
        <v>11000</v>
      </c>
      <c r="H10">
        <f>IF($X10&gt;0,IF($Y10&gt;0,($T10+$W10)*3120,0),30000)</f>
        <v>30000</v>
      </c>
      <c r="I10">
        <f>IF($X10&gt;0,IF($Y10&gt;0,$U10*3120,0),20500)</f>
        <v>20500</v>
      </c>
      <c r="J10">
        <v>4000</v>
      </c>
      <c r="K10">
        <v>0.78</v>
      </c>
      <c r="L10" t="str">
        <f>IF($X10&gt;0,IF($P10&lt;&gt;1,"2026-06-14",IFERROR(INDEX('JLR Machines'!$D:$D,MATCH($O10,'JLR Machines'!$A:$A,0)),"2026-06-14")),"2026-06-14")</f>
        <v>2026-06-14</v>
      </c>
      <c r="M10" t="str">
        <f>IF($X10&gt;0,IF($Y10&gt;0,"JLR machine "&amp;$O10&amp;" at "&amp;TEXT($X10,"0.00")&amp;" per hr — build-up as supplied","JLR machine "&amp;$O10&amp;" at "&amp;TEXT($X10,"0.00")&amp;" per hr — build-up not supplied"),"REPRESENTATIVE — UK small CNC shaper class. Target ~£56/hr. Replace with plant data.")</f>
        <v>REPRESENTATIVE — UK small CNC shaper class. Target ~£56/hr. Replace with plant data.</v>
      </c>
      <c r="N10" t="str">
        <v>Medium</v>
      </c>
      <c r="O10" t="str">
        <f>IFERROR(INDEX(Mapping!$C:$C,MATCH($A10,Mapping!$A:$A,0)),"")</f>
        <v/>
      </c>
      <c r="P10">
        <f>IF($O10="",0,COUNTIFS('JLR Machines'!$A:$A,$O10,'JLR Machines'!$C:$C,IF(Settings!$B$2="","&lt;&gt;",Settings!$B$2),'JLR Machines'!$D:$D,IF(Settings!$B$3="","&lt;&gt;",Settings!$B$3)))</f>
        <v>0</v>
      </c>
      <c r="Q10">
        <f>IF($P10&lt;&gt;1,0,SUMIFS('JLR Machines'!$G:$G,'JLR Machines'!$A:$A,$O10,'JLR Machines'!$C:$C,IF(Settings!$B$2="","&lt;&gt;",Settings!$B$2),'JLR Machines'!$D:$D,IF(Settings!$B$3="","&lt;&gt;",Settings!$B$3)))</f>
        <v>0</v>
      </c>
      <c r="R10">
        <f>IF($P10&lt;&gt;1,0,SUMIFS('JLR Machines'!$H:$H,'JLR Machines'!$A:$A,$O10,'JLR Machines'!$C:$C,IF(Settings!$B$2="","&lt;&gt;",Settings!$B$2),'JLR Machines'!$D:$D,IF(Settings!$B$3="","&lt;&gt;",Settings!$B$3)))</f>
        <v>0</v>
      </c>
      <c r="S10">
        <f>IF($P10&lt;&gt;1,0,SUMIFS('JLR Machines'!$I:$I,'JLR Machines'!$A:$A,$O10,'JLR Machines'!$C:$C,IF(Settings!$B$2="","&lt;&gt;",Settings!$B$2),'JLR Machines'!$D:$D,IF(Settings!$B$3="","&lt;&gt;",Settings!$B$3)))</f>
        <v>0</v>
      </c>
      <c r="T10">
        <f>IF($P10&lt;&gt;1,0,SUMIFS('JLR Machines'!$J:$J,'JLR Machines'!$A:$A,$O10,'JLR Machines'!$C:$C,IF(Settings!$B$2="","&lt;&gt;",Settings!$B$2),'JLR Machines'!$D:$D,IF(Settings!$B$3="","&lt;&gt;",Settings!$B$3)))</f>
        <v>0</v>
      </c>
      <c r="U10">
        <f>IF($P10&lt;&gt;1,0,SUMIFS('JLR Machines'!$K:$K,'JLR Machines'!$A:$A,$O10,'JLR Machines'!$C:$C,IF(Settings!$B$2="","&lt;&gt;",Settings!$B$2),'JLR Machines'!$D:$D,IF(Settings!$B$3="","&lt;&gt;",Settings!$B$3)))</f>
        <v>0</v>
      </c>
      <c r="V10">
        <f>IF($P10&lt;&gt;1,0,SUMIFS('JLR Machines'!$L:$L,'JLR Machines'!$A:$A,$O10,'JLR Machines'!$C:$C,IF(Settings!$B$2="","&lt;&gt;",Settings!$B$2),'JLR Machines'!$D:$D,IF(Settings!$B$3="","&lt;&gt;",Settings!$B$3)))</f>
        <v>0</v>
      </c>
      <c r="W10">
        <f>IF($P10&lt;&gt;1,0,SUMIFS('JLR Machines'!$M:$M,'JLR Machines'!$A:$A,$O10,'JLR Machines'!$C:$C,IF(Settings!$B$2="","&lt;&gt;",Settings!$B$2),'JLR Machines'!$D:$D,IF(Settings!$B$3="","&lt;&gt;",Settings!$B$3)))</f>
        <v>0</v>
      </c>
      <c r="X10">
        <f>IF($P10&lt;&gt;1,0,SUMIFS('JLR Machines'!$N:$N,'JLR Machines'!$A:$A,$O10,'JLR Machines'!$C:$C,IF(Settings!$B$2="","&lt;&gt;",Settings!$B$2),'JLR Machines'!$D:$D,IF(Settings!$B$3="","&lt;&gt;",Settings!$B$3)))</f>
        <v>0</v>
      </c>
      <c r="Y10">
        <f>$Q10+$R10+$S10+$T10+$U10+$V10+$W10</f>
        <v>0</v>
      </c>
      <c r="Z10">
        <f>IF($X10&lt;=0,0,ROUND((D10+E10+F10+G10+H10+I10)/3120-$X10,4))</f>
        <v>0</v>
      </c>
    </row>
    <row r="11">
      <c r="A11" t="str">
        <v>gear-shaper-large</v>
      </c>
      <c r="B11" t="str">
        <v>CNC Gear Shaper — large (≤m12, ≤Ø800)</v>
      </c>
      <c r="C11" t="str">
        <v>UK</v>
      </c>
      <c r="D11">
        <f>IF($X11&gt;0,IF($Y11&gt;0,MAX(0,$Q11+$X11-$Y11)*2812,$X11*2812),95000)</f>
        <v>95000</v>
      </c>
      <c r="E11">
        <f>IF($X11&gt;0,IF($Y11&gt;0,$S11*2812,0),48000)</f>
        <v>48000</v>
      </c>
      <c r="F11">
        <f>IF($X11&gt;0,IF($Y11&gt;0,$V11*2812,0),36000)</f>
        <v>36000</v>
      </c>
      <c r="G11">
        <f>IF($X11&gt;0,IF($Y11&gt;0,$R11*2812,0),20000)</f>
        <v>20000</v>
      </c>
      <c r="H11">
        <f>IF($X11&gt;0,IF($Y11&gt;0,($T11+$W11)*2812,0),42000)</f>
        <v>42000</v>
      </c>
      <c r="I11">
        <f>IF($X11&gt;0,IF($Y11&gt;0,$U11*2812,0),25000)</f>
        <v>25000</v>
      </c>
      <c r="J11">
        <v>3800</v>
      </c>
      <c r="K11">
        <v>0.74</v>
      </c>
      <c r="L11" t="str">
        <f>IF($X11&gt;0,IF($P11&lt;&gt;1,"2026-06-14",IFERROR(INDEX('JLR Machines'!$D:$D,MATCH($O11,'JLR Machines'!$A:$A,0)),"2026-06-14")),"2026-06-14")</f>
        <v>2026-06-14</v>
      </c>
      <c r="M11" t="str">
        <f>IF($X11&gt;0,IF($Y11&gt;0,"JLR machine "&amp;$O11&amp;" at "&amp;TEXT($X11,"0.00")&amp;" per hr — build-up as supplied","JLR machine "&amp;$O11&amp;" at "&amp;TEXT($X11,"0.00")&amp;" per hr — build-up not supplied"),"REPRESENTATIVE — UK large CNC shaper class. Target ~£95/hr. Replace with plant data.")</f>
        <v>REPRESENTATIVE — UK large CNC shaper class. Target ~£95/hr. Replace with plant data.</v>
      </c>
      <c r="N11" t="str">
        <v>Medium</v>
      </c>
      <c r="O11" t="str">
        <f>IFERROR(INDEX(Mapping!$C:$C,MATCH($A11,Mapping!$A:$A,0)),"")</f>
        <v/>
      </c>
      <c r="P11">
        <f>IF($O11="",0,COUNTIFS('JLR Machines'!$A:$A,$O11,'JLR Machines'!$C:$C,IF(Settings!$B$2="","&lt;&gt;",Settings!$B$2),'JLR Machines'!$D:$D,IF(Settings!$B$3="","&lt;&gt;",Settings!$B$3)))</f>
        <v>0</v>
      </c>
      <c r="Q11">
        <f>IF($P11&lt;&gt;1,0,SUMIFS('JLR Machines'!$G:$G,'JLR Machines'!$A:$A,$O11,'JLR Machines'!$C:$C,IF(Settings!$B$2="","&lt;&gt;",Settings!$B$2),'JLR Machines'!$D:$D,IF(Settings!$B$3="","&lt;&gt;",Settings!$B$3)))</f>
        <v>0</v>
      </c>
      <c r="R11">
        <f>IF($P11&lt;&gt;1,0,SUMIFS('JLR Machines'!$H:$H,'JLR Machines'!$A:$A,$O11,'JLR Machines'!$C:$C,IF(Settings!$B$2="","&lt;&gt;",Settings!$B$2),'JLR Machines'!$D:$D,IF(Settings!$B$3="","&lt;&gt;",Settings!$B$3)))</f>
        <v>0</v>
      </c>
      <c r="S11">
        <f>IF($P11&lt;&gt;1,0,SUMIFS('JLR Machines'!$I:$I,'JLR Machines'!$A:$A,$O11,'JLR Machines'!$C:$C,IF(Settings!$B$2="","&lt;&gt;",Settings!$B$2),'JLR Machines'!$D:$D,IF(Settings!$B$3="","&lt;&gt;",Settings!$B$3)))</f>
        <v>0</v>
      </c>
      <c r="T11">
        <f>IF($P11&lt;&gt;1,0,SUMIFS('JLR Machines'!$J:$J,'JLR Machines'!$A:$A,$O11,'JLR Machines'!$C:$C,IF(Settings!$B$2="","&lt;&gt;",Settings!$B$2),'JLR Machines'!$D:$D,IF(Settings!$B$3="","&lt;&gt;",Settings!$B$3)))</f>
        <v>0</v>
      </c>
      <c r="U11">
        <f>IF($P11&lt;&gt;1,0,SUMIFS('JLR Machines'!$K:$K,'JLR Machines'!$A:$A,$O11,'JLR Machines'!$C:$C,IF(Settings!$B$2="","&lt;&gt;",Settings!$B$2),'JLR Machines'!$D:$D,IF(Settings!$B$3="","&lt;&gt;",Settings!$B$3)))</f>
        <v>0</v>
      </c>
      <c r="V11">
        <f>IF($P11&lt;&gt;1,0,SUMIFS('JLR Machines'!$L:$L,'JLR Machines'!$A:$A,$O11,'JLR Machines'!$C:$C,IF(Settings!$B$2="","&lt;&gt;",Settings!$B$2),'JLR Machines'!$D:$D,IF(Settings!$B$3="","&lt;&gt;",Settings!$B$3)))</f>
        <v>0</v>
      </c>
      <c r="W11">
        <f>IF($P11&lt;&gt;1,0,SUMIFS('JLR Machines'!$M:$M,'JLR Machines'!$A:$A,$O11,'JLR Machines'!$C:$C,IF(Settings!$B$2="","&lt;&gt;",Settings!$B$2),'JLR Machines'!$D:$D,IF(Settings!$B$3="","&lt;&gt;",Settings!$B$3)))</f>
        <v>0</v>
      </c>
      <c r="X11">
        <f>IF($P11&lt;&gt;1,0,SUMIFS('JLR Machines'!$N:$N,'JLR Machines'!$A:$A,$O11,'JLR Machines'!$C:$C,IF(Settings!$B$2="","&lt;&gt;",Settings!$B$2),'JLR Machines'!$D:$D,IF(Settings!$B$3="","&lt;&gt;",Settings!$B$3)))</f>
        <v>0</v>
      </c>
      <c r="Y11">
        <f>$Q11+$R11+$S11+$T11+$U11+$V11+$W11</f>
        <v>0</v>
      </c>
      <c r="Z11">
        <f>IF($X11&lt;=0,0,ROUND((D11+E11+F11+G11+H11+I11)/2812-$X11,4))</f>
        <v>0</v>
      </c>
    </row>
    <row r="12">
      <c r="A12" t="str">
        <v>gear-skive-small</v>
      </c>
      <c r="B12" t="str">
        <v>Power Skiving Machine — small (≤m4, ≤Ø250)</v>
      </c>
      <c r="C12" t="str">
        <v>UK</v>
      </c>
      <c r="D12">
        <f>IF($X12&gt;0,IF($Y12&gt;0,MAX(0,$Q12+$X12-$Y12)*3200,$X12*3200),110000)</f>
        <v>110000</v>
      </c>
      <c r="E12">
        <f>IF($X12&gt;0,IF($Y12&gt;0,$S12*3200,0),46000)</f>
        <v>46000</v>
      </c>
      <c r="F12">
        <f>IF($X12&gt;0,IF($Y12&gt;0,$V12*3200,0),32000)</f>
        <v>32000</v>
      </c>
      <c r="G12">
        <f>IF($X12&gt;0,IF($Y12&gt;0,$R12*3200,0),14000)</f>
        <v>14000</v>
      </c>
      <c r="H12">
        <f>IF($X12&gt;0,IF($Y12&gt;0,($T12+$W12)*3200,0),42000)</f>
        <v>42000</v>
      </c>
      <c r="I12">
        <f>IF($X12&gt;0,IF($Y12&gt;0,$U12*3200,0),27000)</f>
        <v>27000</v>
      </c>
      <c r="J12">
        <v>4000</v>
      </c>
      <c r="K12">
        <v>0.8</v>
      </c>
      <c r="L12" t="str">
        <f>IF($X12&gt;0,IF($P12&lt;&gt;1,"2026-06-14",IFERROR(INDEX('JLR Machines'!$D:$D,MATCH($O12,'JLR Machines'!$A:$A,0)),"2026-06-14")),"2026-06-14")</f>
        <v>2026-06-14</v>
      </c>
      <c r="M12" t="str">
        <f>IF($X12&gt;0,IF($Y12&gt;0,"JLR machine "&amp;$O12&amp;" at "&amp;TEXT($X12,"0.00")&amp;" per hr — build-up as supplied","JLR machine "&amp;$O12&amp;" at "&amp;TEXT($X12,"0.00")&amp;" per hr — build-up not supplied"),"REPRESENTATIVE — UK small power skiving class. Target ~£85/hr. Replace with plant data.")</f>
        <v>REPRESENTATIVE — UK small power skiving class. Target ~£85/hr. Replace with plant data.</v>
      </c>
      <c r="N12" t="str">
        <v>Medium</v>
      </c>
      <c r="O12" t="str">
        <f>IFERROR(INDEX(Mapping!$C:$C,MATCH($A12,Mapping!$A:$A,0)),"")</f>
        <v/>
      </c>
      <c r="P12">
        <f>IF($O12="",0,COUNTIFS('JLR Machines'!$A:$A,$O12,'JLR Machines'!$C:$C,IF(Settings!$B$2="","&lt;&gt;",Settings!$B$2),'JLR Machines'!$D:$D,IF(Settings!$B$3="","&lt;&gt;",Settings!$B$3)))</f>
        <v>0</v>
      </c>
      <c r="Q12">
        <f>IF($P12&lt;&gt;1,0,SUMIFS('JLR Machines'!$G:$G,'JLR Machines'!$A:$A,$O12,'JLR Machines'!$C:$C,IF(Settings!$B$2="","&lt;&gt;",Settings!$B$2),'JLR Machines'!$D:$D,IF(Settings!$B$3="","&lt;&gt;",Settings!$B$3)))</f>
        <v>0</v>
      </c>
      <c r="R12">
        <f>IF($P12&lt;&gt;1,0,SUMIFS('JLR Machines'!$H:$H,'JLR Machines'!$A:$A,$O12,'JLR Machines'!$C:$C,IF(Settings!$B$2="","&lt;&gt;",Settings!$B$2),'JLR Machines'!$D:$D,IF(Settings!$B$3="","&lt;&gt;",Settings!$B$3)))</f>
        <v>0</v>
      </c>
      <c r="S12">
        <f>IF($P12&lt;&gt;1,0,SUMIFS('JLR Machines'!$I:$I,'JLR Machines'!$A:$A,$O12,'JLR Machines'!$C:$C,IF(Settings!$B$2="","&lt;&gt;",Settings!$B$2),'JLR Machines'!$D:$D,IF(Settings!$B$3="","&lt;&gt;",Settings!$B$3)))</f>
        <v>0</v>
      </c>
      <c r="T12">
        <f>IF($P12&lt;&gt;1,0,SUMIFS('JLR Machines'!$J:$J,'JLR Machines'!$A:$A,$O12,'JLR Machines'!$C:$C,IF(Settings!$B$2="","&lt;&gt;",Settings!$B$2),'JLR Machines'!$D:$D,IF(Settings!$B$3="","&lt;&gt;",Settings!$B$3)))</f>
        <v>0</v>
      </c>
      <c r="U12">
        <f>IF($P12&lt;&gt;1,0,SUMIFS('JLR Machines'!$K:$K,'JLR Machines'!$A:$A,$O12,'JLR Machines'!$C:$C,IF(Settings!$B$2="","&lt;&gt;",Settings!$B$2),'JLR Machines'!$D:$D,IF(Settings!$B$3="","&lt;&gt;",Settings!$B$3)))</f>
        <v>0</v>
      </c>
      <c r="V12">
        <f>IF($P12&lt;&gt;1,0,SUMIFS('JLR Machines'!$L:$L,'JLR Machines'!$A:$A,$O12,'JLR Machines'!$C:$C,IF(Settings!$B$2="","&lt;&gt;",Settings!$B$2),'JLR Machines'!$D:$D,IF(Settings!$B$3="","&lt;&gt;",Settings!$B$3)))</f>
        <v>0</v>
      </c>
      <c r="W12">
        <f>IF($P12&lt;&gt;1,0,SUMIFS('JLR Machines'!$M:$M,'JLR Machines'!$A:$A,$O12,'JLR Machines'!$C:$C,IF(Settings!$B$2="","&lt;&gt;",Settings!$B$2),'JLR Machines'!$D:$D,IF(Settings!$B$3="","&lt;&gt;",Settings!$B$3)))</f>
        <v>0</v>
      </c>
      <c r="X12">
        <f>IF($P12&lt;&gt;1,0,SUMIFS('JLR Machines'!$N:$N,'JLR Machines'!$A:$A,$O12,'JLR Machines'!$C:$C,IF(Settings!$B$2="","&lt;&gt;",Settings!$B$2),'JLR Machines'!$D:$D,IF(Settings!$B$3="","&lt;&gt;",Settings!$B$3)))</f>
        <v>0</v>
      </c>
      <c r="Y12">
        <f>$Q12+$R12+$S12+$T12+$U12+$V12+$W12</f>
        <v>0</v>
      </c>
      <c r="Z12">
        <f>IF($X12&lt;=0,0,ROUND((D12+E12+F12+G12+H12+I12)/3200-$X12,4))</f>
        <v>0</v>
      </c>
    </row>
    <row r="13">
      <c r="A13" t="str">
        <v>gear-skive-medium</v>
      </c>
      <c r="B13" t="str">
        <v>Power Skiving Machine — medium (≤m8, ≤Ø600)</v>
      </c>
      <c r="C13" t="str">
        <v>UK</v>
      </c>
      <c r="D13">
        <f>IF($X13&gt;0,IF($Y13&gt;0,MAX(0,$Q13+$X13-$Y13)*3120,$X13*3120),155000)</f>
        <v>155000</v>
      </c>
      <c r="E13">
        <f>IF($X13&gt;0,IF($Y13&gt;0,$S13*3120,0),60000)</f>
        <v>60000</v>
      </c>
      <c r="F13">
        <f>IF($X13&gt;0,IF($Y13&gt;0,$V13*3120,0),44000)</f>
        <v>44000</v>
      </c>
      <c r="G13">
        <f>IF($X13&gt;0,IF($Y13&gt;0,$R13*3120,0),22000)</f>
        <v>22000</v>
      </c>
      <c r="H13">
        <f>IF($X13&gt;0,IF($Y13&gt;0,($T13+$W13)*3120,0),54000)</f>
        <v>54000</v>
      </c>
      <c r="I13">
        <f>IF($X13&gt;0,IF($Y13&gt;0,$U13*3120,0),33000)</f>
        <v>33000</v>
      </c>
      <c r="J13">
        <v>4000</v>
      </c>
      <c r="K13">
        <v>0.78</v>
      </c>
      <c r="L13" t="str">
        <f>IF($X13&gt;0,IF($P13&lt;&gt;1,"2026-06-14",IFERROR(INDEX('JLR Machines'!$D:$D,MATCH($O13,'JLR Machines'!$A:$A,0)),"2026-06-14")),"2026-06-14")</f>
        <v>2026-06-14</v>
      </c>
      <c r="M13" t="str">
        <f>IF($X13&gt;0,IF($Y13&gt;0,"JLR machine "&amp;$O13&amp;" at "&amp;TEXT($X13,"0.00")&amp;" per hr — build-up as supplied","JLR machine "&amp;$O13&amp;" at "&amp;TEXT($X13,"0.00")&amp;" per hr — build-up not supplied"),"REPRESENTATIVE — UK medium power skiving class. Target ~£120/hr. Replace with plant data.")</f>
        <v>REPRESENTATIVE — UK medium power skiving class. Target ~£120/hr. Replace with plant data.</v>
      </c>
      <c r="N13" t="str">
        <v>Medium</v>
      </c>
      <c r="O13" t="str">
        <f>IFERROR(INDEX(Mapping!$C:$C,MATCH($A13,Mapping!$A:$A,0)),"")</f>
        <v/>
      </c>
      <c r="P13">
        <f>IF($O13="",0,COUNTIFS('JLR Machines'!$A:$A,$O13,'JLR Machines'!$C:$C,IF(Settings!$B$2="","&lt;&gt;",Settings!$B$2),'JLR Machines'!$D:$D,IF(Settings!$B$3="","&lt;&gt;",Settings!$B$3)))</f>
        <v>0</v>
      </c>
      <c r="Q13">
        <f>IF($P13&lt;&gt;1,0,SUMIFS('JLR Machines'!$G:$G,'JLR Machines'!$A:$A,$O13,'JLR Machines'!$C:$C,IF(Settings!$B$2="","&lt;&gt;",Settings!$B$2),'JLR Machines'!$D:$D,IF(Settings!$B$3="","&lt;&gt;",Settings!$B$3)))</f>
        <v>0</v>
      </c>
      <c r="R13">
        <f>IF($P13&lt;&gt;1,0,SUMIFS('JLR Machines'!$H:$H,'JLR Machines'!$A:$A,$O13,'JLR Machines'!$C:$C,IF(Settings!$B$2="","&lt;&gt;",Settings!$B$2),'JLR Machines'!$D:$D,IF(Settings!$B$3="","&lt;&gt;",Settings!$B$3)))</f>
        <v>0</v>
      </c>
      <c r="S13">
        <f>IF($P13&lt;&gt;1,0,SUMIFS('JLR Machines'!$I:$I,'JLR Machines'!$A:$A,$O13,'JLR Machines'!$C:$C,IF(Settings!$B$2="","&lt;&gt;",Settings!$B$2),'JLR Machines'!$D:$D,IF(Settings!$B$3="","&lt;&gt;",Settings!$B$3)))</f>
        <v>0</v>
      </c>
      <c r="T13">
        <f>IF($P13&lt;&gt;1,0,SUMIFS('JLR Machines'!$J:$J,'JLR Machines'!$A:$A,$O13,'JLR Machines'!$C:$C,IF(Settings!$B$2="","&lt;&gt;",Settings!$B$2),'JLR Machines'!$D:$D,IF(Settings!$B$3="","&lt;&gt;",Settings!$B$3)))</f>
        <v>0</v>
      </c>
      <c r="U13">
        <f>IF($P13&lt;&gt;1,0,SUMIFS('JLR Machines'!$K:$K,'JLR Machines'!$A:$A,$O13,'JLR Machines'!$C:$C,IF(Settings!$B$2="","&lt;&gt;",Settings!$B$2),'JLR Machines'!$D:$D,IF(Settings!$B$3="","&lt;&gt;",Settings!$B$3)))</f>
        <v>0</v>
      </c>
      <c r="V13">
        <f>IF($P13&lt;&gt;1,0,SUMIFS('JLR Machines'!$L:$L,'JLR Machines'!$A:$A,$O13,'JLR Machines'!$C:$C,IF(Settings!$B$2="","&lt;&gt;",Settings!$B$2),'JLR Machines'!$D:$D,IF(Settings!$B$3="","&lt;&gt;",Settings!$B$3)))</f>
        <v>0</v>
      </c>
      <c r="W13">
        <f>IF($P13&lt;&gt;1,0,SUMIFS('JLR Machines'!$M:$M,'JLR Machines'!$A:$A,$O13,'JLR Machines'!$C:$C,IF(Settings!$B$2="","&lt;&gt;",Settings!$B$2),'JLR Machines'!$D:$D,IF(Settings!$B$3="","&lt;&gt;",Settings!$B$3)))</f>
        <v>0</v>
      </c>
      <c r="X13">
        <f>IF($P13&lt;&gt;1,0,SUMIFS('JLR Machines'!$N:$N,'JLR Machines'!$A:$A,$O13,'JLR Machines'!$C:$C,IF(Settings!$B$2="","&lt;&gt;",Settings!$B$2),'JLR Machines'!$D:$D,IF(Settings!$B$3="","&lt;&gt;",Settings!$B$3)))</f>
        <v>0</v>
      </c>
      <c r="Y13">
        <f>$Q13+$R13+$S13+$T13+$U13+$V13+$W13</f>
        <v>0</v>
      </c>
      <c r="Z13">
        <f>IF($X13&lt;=0,0,ROUND((D13+E13+F13+G13+H13+I13)/3120-$X13,4))</f>
        <v>0</v>
      </c>
    </row>
    <row r="14">
      <c r="A14" t="str">
        <v>gear-broach</v>
      </c>
      <c r="B14" t="str">
        <v>Vertical Internal Gear Broach</v>
      </c>
      <c r="C14" t="str">
        <v>UK</v>
      </c>
      <c r="D14">
        <f>IF($X14&gt;0,IF($Y14&gt;0,MAX(0,$Q14+$X14-$Y14)*3400,$X14*3400),72000)</f>
        <v>72000</v>
      </c>
      <c r="E14">
        <f>IF($X14&gt;0,IF($Y14&gt;0,$S14*3400,0),38000)</f>
        <v>38000</v>
      </c>
      <c r="F14">
        <f>IF($X14&gt;0,IF($Y14&gt;0,$V14*3400,0),30000)</f>
        <v>30000</v>
      </c>
      <c r="G14">
        <f>IF($X14&gt;0,IF($Y14&gt;0,$R14*3400,0),18000)</f>
        <v>18000</v>
      </c>
      <c r="H14">
        <f>IF($X14&gt;0,IF($Y14&gt;0,($T14+$W14)*3400,0),34000)</f>
        <v>34000</v>
      </c>
      <c r="I14">
        <f>IF($X14&gt;0,IF($Y14&gt;0,$U14*3400,0),22000)</f>
        <v>22000</v>
      </c>
      <c r="J14">
        <v>4000</v>
      </c>
      <c r="K14">
        <v>0.85</v>
      </c>
      <c r="L14" t="str">
        <f>IF($X14&gt;0,IF($P14&lt;&gt;1,"2026-06-14",IFERROR(INDEX('JLR Machines'!$D:$D,MATCH($O14,'JLR Machines'!$A:$A,0)),"2026-06-14")),"2026-06-14")</f>
        <v>2026-06-14</v>
      </c>
      <c r="M14" t="str">
        <f>IF($X14&gt;0,IF($Y14&gt;0,"JLR machine "&amp;$O14&amp;" at "&amp;TEXT($X14,"0.00")&amp;" per hr — build-up as supplied","JLR machine "&amp;$O14&amp;" at "&amp;TEXT($X14,"0.00")&amp;" per hr — build-up not supplied"),"REPRESENTATIVE — UK internal gear/spline broach class. Target ~£63/hr. Replace with plant data.")</f>
        <v>REPRESENTATIVE — UK internal gear/spline broach class. Target ~£63/hr. Replace with plant data.</v>
      </c>
      <c r="N14" t="str">
        <v>Medium</v>
      </c>
      <c r="O14" t="str">
        <f>IFERROR(INDEX(Mapping!$C:$C,MATCH($A14,Mapping!$A:$A,0)),"")</f>
        <v/>
      </c>
      <c r="P14">
        <f>IF($O14="",0,COUNTIFS('JLR Machines'!$A:$A,$O14,'JLR Machines'!$C:$C,IF(Settings!$B$2="","&lt;&gt;",Settings!$B$2),'JLR Machines'!$D:$D,IF(Settings!$B$3="","&lt;&gt;",Settings!$B$3)))</f>
        <v>0</v>
      </c>
      <c r="Q14">
        <f>IF($P14&lt;&gt;1,0,SUMIFS('JLR Machines'!$G:$G,'JLR Machines'!$A:$A,$O14,'JLR Machines'!$C:$C,IF(Settings!$B$2="","&lt;&gt;",Settings!$B$2),'JLR Machines'!$D:$D,IF(Settings!$B$3="","&lt;&gt;",Settings!$B$3)))</f>
        <v>0</v>
      </c>
      <c r="R14">
        <f>IF($P14&lt;&gt;1,0,SUMIFS('JLR Machines'!$H:$H,'JLR Machines'!$A:$A,$O14,'JLR Machines'!$C:$C,IF(Settings!$B$2="","&lt;&gt;",Settings!$B$2),'JLR Machines'!$D:$D,IF(Settings!$B$3="","&lt;&gt;",Settings!$B$3)))</f>
        <v>0</v>
      </c>
      <c r="S14">
        <f>IF($P14&lt;&gt;1,0,SUMIFS('JLR Machines'!$I:$I,'JLR Machines'!$A:$A,$O14,'JLR Machines'!$C:$C,IF(Settings!$B$2="","&lt;&gt;",Settings!$B$2),'JLR Machines'!$D:$D,IF(Settings!$B$3="","&lt;&gt;",Settings!$B$3)))</f>
        <v>0</v>
      </c>
      <c r="T14">
        <f>IF($P14&lt;&gt;1,0,SUMIFS('JLR Machines'!$J:$J,'JLR Machines'!$A:$A,$O14,'JLR Machines'!$C:$C,IF(Settings!$B$2="","&lt;&gt;",Settings!$B$2),'JLR Machines'!$D:$D,IF(Settings!$B$3="","&lt;&gt;",Settings!$B$3)))</f>
        <v>0</v>
      </c>
      <c r="U14">
        <f>IF($P14&lt;&gt;1,0,SUMIFS('JLR Machines'!$K:$K,'JLR Machines'!$A:$A,$O14,'JLR Machines'!$C:$C,IF(Settings!$B$2="","&lt;&gt;",Settings!$B$2),'JLR Machines'!$D:$D,IF(Settings!$B$3="","&lt;&gt;",Settings!$B$3)))</f>
        <v>0</v>
      </c>
      <c r="V14">
        <f>IF($P14&lt;&gt;1,0,SUMIFS('JLR Machines'!$L:$L,'JLR Machines'!$A:$A,$O14,'JLR Machines'!$C:$C,IF(Settings!$B$2="","&lt;&gt;",Settings!$B$2),'JLR Machines'!$D:$D,IF(Settings!$B$3="","&lt;&gt;",Settings!$B$3)))</f>
        <v>0</v>
      </c>
      <c r="W14">
        <f>IF($P14&lt;&gt;1,0,SUMIFS('JLR Machines'!$M:$M,'JLR Machines'!$A:$A,$O14,'JLR Machines'!$C:$C,IF(Settings!$B$2="","&lt;&gt;",Settings!$B$2),'JLR Machines'!$D:$D,IF(Settings!$B$3="","&lt;&gt;",Settings!$B$3)))</f>
        <v>0</v>
      </c>
      <c r="X14">
        <f>IF($P14&lt;&gt;1,0,SUMIFS('JLR Machines'!$N:$N,'JLR Machines'!$A:$A,$O14,'JLR Machines'!$C:$C,IF(Settings!$B$2="","&lt;&gt;",Settings!$B$2),'JLR Machines'!$D:$D,IF(Settings!$B$3="","&lt;&gt;",Settings!$B$3)))</f>
        <v>0</v>
      </c>
      <c r="Y14">
        <f>$Q14+$R14+$S14+$T14+$U14+$V14+$W14</f>
        <v>0</v>
      </c>
      <c r="Z14">
        <f>IF($X14&lt;=0,0,ROUND((D14+E14+F14+G14+H14+I14)/3400-$X14,4))</f>
        <v>0</v>
      </c>
    </row>
    <row r="15">
      <c r="A15" t="str">
        <v>gear-grind-generating</v>
      </c>
      <c r="B15" t="str">
        <v>Generating Gear Grinder (threaded wheel, ≤m6)</v>
      </c>
      <c r="C15" t="str">
        <v>UK</v>
      </c>
      <c r="D15">
        <f>IF($X15&gt;0,IF($Y15&gt;0,MAX(0,$Q15+$X15-$Y15)*3120,$X15*3120),165000)</f>
        <v>165000</v>
      </c>
      <c r="E15">
        <f>IF($X15&gt;0,IF($Y15&gt;0,$S15*3120,0),68000)</f>
        <v>68000</v>
      </c>
      <c r="F15">
        <f>IF($X15&gt;0,IF($Y15&gt;0,$V15*3120,0),55000)</f>
        <v>55000</v>
      </c>
      <c r="G15">
        <f>IF($X15&gt;0,IF($Y15&gt;0,$R15*3120,0),22000)</f>
        <v>22000</v>
      </c>
      <c r="H15">
        <f>IF($X15&gt;0,IF($Y15&gt;0,($T15+$W15)*3120,0),58000)</f>
        <v>58000</v>
      </c>
      <c r="I15">
        <f>IF($X15&gt;0,IF($Y15&gt;0,$U15*3120,0),35000)</f>
        <v>35000</v>
      </c>
      <c r="J15">
        <v>4000</v>
      </c>
      <c r="K15">
        <v>0.78</v>
      </c>
      <c r="L15" t="str">
        <f>IF($X15&gt;0,IF($P15&lt;&gt;1,"2026-06-14",IFERROR(INDEX('JLR Machines'!$D:$D,MATCH($O15,'JLR Machines'!$A:$A,0)),"2026-06-14")),"2026-06-14")</f>
        <v>2026-06-14</v>
      </c>
      <c r="M15" t="str">
        <f>IF($X15&gt;0,IF($Y15&gt;0,"JLR machine "&amp;$O15&amp;" at "&amp;TEXT($X15,"0.00")&amp;" per hr — build-up as supplied","JLR machine "&amp;$O15&amp;" at "&amp;TEXT($X15,"0.00")&amp;" per hr — build-up not supplied"),"REPRESENTATIVE — UK generating (threaded-wheel) gear grinder class. Target ~£130/hr. Replace with plant data.")</f>
        <v>REPRESENTATIVE — UK generating (threaded-wheel) gear grinder class. Target ~£130/hr. Replace with plant data.</v>
      </c>
      <c r="N15" t="str">
        <v>Medium</v>
      </c>
      <c r="O15" t="str">
        <f>IFERROR(INDEX(Mapping!$C:$C,MATCH($A15,Mapping!$A:$A,0)),"")</f>
        <v/>
      </c>
      <c r="P15">
        <f>IF($O15="",0,COUNTIFS('JLR Machines'!$A:$A,$O15,'JLR Machines'!$C:$C,IF(Settings!$B$2="","&lt;&gt;",Settings!$B$2),'JLR Machines'!$D:$D,IF(Settings!$B$3="","&lt;&gt;",Settings!$B$3)))</f>
        <v>0</v>
      </c>
      <c r="Q15">
        <f>IF($P15&lt;&gt;1,0,SUMIFS('JLR Machines'!$G:$G,'JLR Machines'!$A:$A,$O15,'JLR Machines'!$C:$C,IF(Settings!$B$2="","&lt;&gt;",Settings!$B$2),'JLR Machines'!$D:$D,IF(Settings!$B$3="","&lt;&gt;",Settings!$B$3)))</f>
        <v>0</v>
      </c>
      <c r="R15">
        <f>IF($P15&lt;&gt;1,0,SUMIFS('JLR Machines'!$H:$H,'JLR Machines'!$A:$A,$O15,'JLR Machines'!$C:$C,IF(Settings!$B$2="","&lt;&gt;",Settings!$B$2),'JLR Machines'!$D:$D,IF(Settings!$B$3="","&lt;&gt;",Settings!$B$3)))</f>
        <v>0</v>
      </c>
      <c r="S15">
        <f>IF($P15&lt;&gt;1,0,SUMIFS('JLR Machines'!$I:$I,'JLR Machines'!$A:$A,$O15,'JLR Machines'!$C:$C,IF(Settings!$B$2="","&lt;&gt;",Settings!$B$2),'JLR Machines'!$D:$D,IF(Settings!$B$3="","&lt;&gt;",Settings!$B$3)))</f>
        <v>0</v>
      </c>
      <c r="T15">
        <f>IF($P15&lt;&gt;1,0,SUMIFS('JLR Machines'!$J:$J,'JLR Machines'!$A:$A,$O15,'JLR Machines'!$C:$C,IF(Settings!$B$2="","&lt;&gt;",Settings!$B$2),'JLR Machines'!$D:$D,IF(Settings!$B$3="","&lt;&gt;",Settings!$B$3)))</f>
        <v>0</v>
      </c>
      <c r="U15">
        <f>IF($P15&lt;&gt;1,0,SUMIFS('JLR Machines'!$K:$K,'JLR Machines'!$A:$A,$O15,'JLR Machines'!$C:$C,IF(Settings!$B$2="","&lt;&gt;",Settings!$B$2),'JLR Machines'!$D:$D,IF(Settings!$B$3="","&lt;&gt;",Settings!$B$3)))</f>
        <v>0</v>
      </c>
      <c r="V15">
        <f>IF($P15&lt;&gt;1,0,SUMIFS('JLR Machines'!$L:$L,'JLR Machines'!$A:$A,$O15,'JLR Machines'!$C:$C,IF(Settings!$B$2="","&lt;&gt;",Settings!$B$2),'JLR Machines'!$D:$D,IF(Settings!$B$3="","&lt;&gt;",Settings!$B$3)))</f>
        <v>0</v>
      </c>
      <c r="W15">
        <f>IF($P15&lt;&gt;1,0,SUMIFS('JLR Machines'!$M:$M,'JLR Machines'!$A:$A,$O15,'JLR Machines'!$C:$C,IF(Settings!$B$2="","&lt;&gt;",Settings!$B$2),'JLR Machines'!$D:$D,IF(Settings!$B$3="","&lt;&gt;",Settings!$B$3)))</f>
        <v>0</v>
      </c>
      <c r="X15">
        <f>IF($P15&lt;&gt;1,0,SUMIFS('JLR Machines'!$N:$N,'JLR Machines'!$A:$A,$O15,'JLR Machines'!$C:$C,IF(Settings!$B$2="","&lt;&gt;",Settings!$B$2),'JLR Machines'!$D:$D,IF(Settings!$B$3="","&lt;&gt;",Settings!$B$3)))</f>
        <v>0</v>
      </c>
      <c r="Y15">
        <f>$Q15+$R15+$S15+$T15+$U15+$V15+$W15</f>
        <v>0</v>
      </c>
      <c r="Z15">
        <f>IF($X15&lt;=0,0,ROUND((D15+E15+F15+G15+H15+I15)/3120-$X15,4))</f>
        <v>0</v>
      </c>
    </row>
    <row r="16">
      <c r="A16" t="str">
        <v>gear-grind-profile</v>
      </c>
      <c r="B16" t="str">
        <v>Profile Gear Grinder (form wheel, ≤m12)</v>
      </c>
      <c r="C16" t="str">
        <v>UK</v>
      </c>
      <c r="D16">
        <f>IF($X16&gt;0,IF($Y16&gt;0,MAX(0,$Q16+$X16-$Y16)*2736,$X16*2736),190000)</f>
        <v>190000</v>
      </c>
      <c r="E16">
        <f>IF($X16&gt;0,IF($Y16&gt;0,$S16*2736,0),78000)</f>
        <v>78000</v>
      </c>
      <c r="F16">
        <f>IF($X16&gt;0,IF($Y16&gt;0,$V16*2736,0),62000)</f>
        <v>62000</v>
      </c>
      <c r="G16">
        <f>IF($X16&gt;0,IF($Y16&gt;0,$R16*2736,0),28000)</f>
        <v>28000</v>
      </c>
      <c r="H16">
        <f>IF($X16&gt;0,IF($Y16&gt;0,($T16+$W16)*2736,0),66000)</f>
        <v>66000</v>
      </c>
      <c r="I16">
        <f>IF($X16&gt;0,IF($Y16&gt;0,$U16*2736,0),40000)</f>
        <v>40000</v>
      </c>
      <c r="J16">
        <v>3800</v>
      </c>
      <c r="K16">
        <v>0.72</v>
      </c>
      <c r="L16" t="str">
        <f>IF($X16&gt;0,IF($P16&lt;&gt;1,"2026-06-14",IFERROR(INDEX('JLR Machines'!$D:$D,MATCH($O16,'JLR Machines'!$A:$A,0)),"2026-06-14")),"2026-06-14")</f>
        <v>2026-06-14</v>
      </c>
      <c r="M16" t="str">
        <f>IF($X16&gt;0,IF($Y16&gt;0,"JLR machine "&amp;$O16&amp;" at "&amp;TEXT($X16,"0.00")&amp;" per hr — build-up as supplied","JLR machine "&amp;$O16&amp;" at "&amp;TEXT($X16,"0.00")&amp;" per hr — build-up not supplied"),"REPRESENTATIVE — UK profile (form-wheel) gear grinder class. Target ~£170/hr. Replace with plant data.")</f>
        <v>REPRESENTATIVE — UK profile (form-wheel) gear grinder class. Target ~£170/hr. Replace with plant data.</v>
      </c>
      <c r="N16" t="str">
        <v>Medium</v>
      </c>
      <c r="O16" t="str">
        <f>IFERROR(INDEX(Mapping!$C:$C,MATCH($A16,Mapping!$A:$A,0)),"")</f>
        <v/>
      </c>
      <c r="P16">
        <f>IF($O16="",0,COUNTIFS('JLR Machines'!$A:$A,$O16,'JLR Machines'!$C:$C,IF(Settings!$B$2="","&lt;&gt;",Settings!$B$2),'JLR Machines'!$D:$D,IF(Settings!$B$3="","&lt;&gt;",Settings!$B$3)))</f>
        <v>0</v>
      </c>
      <c r="Q16">
        <f>IF($P16&lt;&gt;1,0,SUMIFS('JLR Machines'!$G:$G,'JLR Machines'!$A:$A,$O16,'JLR Machines'!$C:$C,IF(Settings!$B$2="","&lt;&gt;",Settings!$B$2),'JLR Machines'!$D:$D,IF(Settings!$B$3="","&lt;&gt;",Settings!$B$3)))</f>
        <v>0</v>
      </c>
      <c r="R16">
        <f>IF($P16&lt;&gt;1,0,SUMIFS('JLR Machines'!$H:$H,'JLR Machines'!$A:$A,$O16,'JLR Machines'!$C:$C,IF(Settings!$B$2="","&lt;&gt;",Settings!$B$2),'JLR Machines'!$D:$D,IF(Settings!$B$3="","&lt;&gt;",Settings!$B$3)))</f>
        <v>0</v>
      </c>
      <c r="S16">
        <f>IF($P16&lt;&gt;1,0,SUMIFS('JLR Machines'!$I:$I,'JLR Machines'!$A:$A,$O16,'JLR Machines'!$C:$C,IF(Settings!$B$2="","&lt;&gt;",Settings!$B$2),'JLR Machines'!$D:$D,IF(Settings!$B$3="","&lt;&gt;",Settings!$B$3)))</f>
        <v>0</v>
      </c>
      <c r="T16">
        <f>IF($P16&lt;&gt;1,0,SUMIFS('JLR Machines'!$J:$J,'JLR Machines'!$A:$A,$O16,'JLR Machines'!$C:$C,IF(Settings!$B$2="","&lt;&gt;",Settings!$B$2),'JLR Machines'!$D:$D,IF(Settings!$B$3="","&lt;&gt;",Settings!$B$3)))</f>
        <v>0</v>
      </c>
      <c r="U16">
        <f>IF($P16&lt;&gt;1,0,SUMIFS('JLR Machines'!$K:$K,'JLR Machines'!$A:$A,$O16,'JLR Machines'!$C:$C,IF(Settings!$B$2="","&lt;&gt;",Settings!$B$2),'JLR Machines'!$D:$D,IF(Settings!$B$3="","&lt;&gt;",Settings!$B$3)))</f>
        <v>0</v>
      </c>
      <c r="V16">
        <f>IF($P16&lt;&gt;1,0,SUMIFS('JLR Machines'!$L:$L,'JLR Machines'!$A:$A,$O16,'JLR Machines'!$C:$C,IF(Settings!$B$2="","&lt;&gt;",Settings!$B$2),'JLR Machines'!$D:$D,IF(Settings!$B$3="","&lt;&gt;",Settings!$B$3)))</f>
        <v>0</v>
      </c>
      <c r="W16">
        <f>IF($P16&lt;&gt;1,0,SUMIFS('JLR Machines'!$M:$M,'JLR Machines'!$A:$A,$O16,'JLR Machines'!$C:$C,IF(Settings!$B$2="","&lt;&gt;",Settings!$B$2),'JLR Machines'!$D:$D,IF(Settings!$B$3="","&lt;&gt;",Settings!$B$3)))</f>
        <v>0</v>
      </c>
      <c r="X16">
        <f>IF($P16&lt;&gt;1,0,SUMIFS('JLR Machines'!$N:$N,'JLR Machines'!$A:$A,$O16,'JLR Machines'!$C:$C,IF(Settings!$B$2="","&lt;&gt;",Settings!$B$2),'JLR Machines'!$D:$D,IF(Settings!$B$3="","&lt;&gt;",Settings!$B$3)))</f>
        <v>0</v>
      </c>
      <c r="Y16">
        <f>$Q16+$R16+$S16+$T16+$U16+$V16+$W16</f>
        <v>0</v>
      </c>
      <c r="Z16">
        <f>IF($X16&lt;=0,0,ROUND((D16+E16+F16+G16+H16+I16)/2736-$X16,4))</f>
        <v>0</v>
      </c>
    </row>
    <row r="17">
      <c r="A17" t="str">
        <v>gear-shave</v>
      </c>
      <c r="B17" t="str">
        <v>Gear Shaving Machine</v>
      </c>
      <c r="C17" t="str">
        <v>UK</v>
      </c>
      <c r="D17">
        <f>IF($X17&gt;0,IF($Y17&gt;0,MAX(0,$Q17+$X17-$Y17)*3200,$X17*3200),48000)</f>
        <v>48000</v>
      </c>
      <c r="E17">
        <f>IF($X17&gt;0,IF($Y17&gt;0,$S17*3200,0),26000)</f>
        <v>26000</v>
      </c>
      <c r="F17">
        <f>IF($X17&gt;0,IF($Y17&gt;0,$V17*3200,0),20000)</f>
        <v>20000</v>
      </c>
      <c r="G17">
        <f>IF($X17&gt;0,IF($Y17&gt;0,$R17*3200,0),10000)</f>
        <v>10000</v>
      </c>
      <c r="H17">
        <f>IF($X17&gt;0,IF($Y17&gt;0,($T17+$W17)*3200,0),26000)</f>
        <v>26000</v>
      </c>
      <c r="I17">
        <f>IF($X17&gt;0,IF($Y17&gt;0,$U17*3200,0),18000)</f>
        <v>18000</v>
      </c>
      <c r="J17">
        <v>4000</v>
      </c>
      <c r="K17">
        <v>0.8</v>
      </c>
      <c r="L17" t="str">
        <f>IF($X17&gt;0,IF($P17&lt;&gt;1,"2026-06-14",IFERROR(INDEX('JLR Machines'!$D:$D,MATCH($O17,'JLR Machines'!$A:$A,0)),"2026-06-14")),"2026-06-14")</f>
        <v>2026-06-14</v>
      </c>
      <c r="M17" t="str">
        <f>IF($X17&gt;0,IF($Y17&gt;0,"JLR machine "&amp;$O17&amp;" at "&amp;TEXT($X17,"0.00")&amp;" per hr — build-up as supplied","JLR machine "&amp;$O17&amp;" at "&amp;TEXT($X17,"0.00")&amp;" per hr — build-up not supplied"),"REPRESENTATIVE — UK gear shaving class. Target ~£45/hr. Replace with plant data.")</f>
        <v>REPRESENTATIVE — UK gear shaving class. Target ~£45/hr. Replace with plant data.</v>
      </c>
      <c r="N17" t="str">
        <v>Medium</v>
      </c>
      <c r="O17" t="str">
        <f>IFERROR(INDEX(Mapping!$C:$C,MATCH($A17,Mapping!$A:$A,0)),"")</f>
        <v/>
      </c>
      <c r="P17">
        <f>IF($O17="",0,COUNTIFS('JLR Machines'!$A:$A,$O17,'JLR Machines'!$C:$C,IF(Settings!$B$2="","&lt;&gt;",Settings!$B$2),'JLR Machines'!$D:$D,IF(Settings!$B$3="","&lt;&gt;",Settings!$B$3)))</f>
        <v>0</v>
      </c>
      <c r="Q17">
        <f>IF($P17&lt;&gt;1,0,SUMIFS('JLR Machines'!$G:$G,'JLR Machines'!$A:$A,$O17,'JLR Machines'!$C:$C,IF(Settings!$B$2="","&lt;&gt;",Settings!$B$2),'JLR Machines'!$D:$D,IF(Settings!$B$3="","&lt;&gt;",Settings!$B$3)))</f>
        <v>0</v>
      </c>
      <c r="R17">
        <f>IF($P17&lt;&gt;1,0,SUMIFS('JLR Machines'!$H:$H,'JLR Machines'!$A:$A,$O17,'JLR Machines'!$C:$C,IF(Settings!$B$2="","&lt;&gt;",Settings!$B$2),'JLR Machines'!$D:$D,IF(Settings!$B$3="","&lt;&gt;",Settings!$B$3)))</f>
        <v>0</v>
      </c>
      <c r="S17">
        <f>IF($P17&lt;&gt;1,0,SUMIFS('JLR Machines'!$I:$I,'JLR Machines'!$A:$A,$O17,'JLR Machines'!$C:$C,IF(Settings!$B$2="","&lt;&gt;",Settings!$B$2),'JLR Machines'!$D:$D,IF(Settings!$B$3="","&lt;&gt;",Settings!$B$3)))</f>
        <v>0</v>
      </c>
      <c r="T17">
        <f>IF($P17&lt;&gt;1,0,SUMIFS('JLR Machines'!$J:$J,'JLR Machines'!$A:$A,$O17,'JLR Machines'!$C:$C,IF(Settings!$B$2="","&lt;&gt;",Settings!$B$2),'JLR Machines'!$D:$D,IF(Settings!$B$3="","&lt;&gt;",Settings!$B$3)))</f>
        <v>0</v>
      </c>
      <c r="U17">
        <f>IF($P17&lt;&gt;1,0,SUMIFS('JLR Machines'!$K:$K,'JLR Machines'!$A:$A,$O17,'JLR Machines'!$C:$C,IF(Settings!$B$2="","&lt;&gt;",Settings!$B$2),'JLR Machines'!$D:$D,IF(Settings!$B$3="","&lt;&gt;",Settings!$B$3)))</f>
        <v>0</v>
      </c>
      <c r="V17">
        <f>IF($P17&lt;&gt;1,0,SUMIFS('JLR Machines'!$L:$L,'JLR Machines'!$A:$A,$O17,'JLR Machines'!$C:$C,IF(Settings!$B$2="","&lt;&gt;",Settings!$B$2),'JLR Machines'!$D:$D,IF(Settings!$B$3="","&lt;&gt;",Settings!$B$3)))</f>
        <v>0</v>
      </c>
      <c r="W17">
        <f>IF($P17&lt;&gt;1,0,SUMIFS('JLR Machines'!$M:$M,'JLR Machines'!$A:$A,$O17,'JLR Machines'!$C:$C,IF(Settings!$B$2="","&lt;&gt;",Settings!$B$2),'JLR Machines'!$D:$D,IF(Settings!$B$3="","&lt;&gt;",Settings!$B$3)))</f>
        <v>0</v>
      </c>
      <c r="X17">
        <f>IF($P17&lt;&gt;1,0,SUMIFS('JLR Machines'!$N:$N,'JLR Machines'!$A:$A,$O17,'JLR Machines'!$C:$C,IF(Settings!$B$2="","&lt;&gt;",Settings!$B$2),'JLR Machines'!$D:$D,IF(Settings!$B$3="","&lt;&gt;",Settings!$B$3)))</f>
        <v>0</v>
      </c>
      <c r="Y17">
        <f>$Q17+$R17+$S17+$T17+$U17+$V17+$W17</f>
        <v>0</v>
      </c>
      <c r="Z17">
        <f>IF($X17&lt;=0,0,ROUND((D17+E17+F17+G17+H17+I17)/3200-$X17,4))</f>
        <v>0</v>
      </c>
    </row>
    <row r="18">
      <c r="A18" t="str">
        <v>gear-hone</v>
      </c>
      <c r="B18" t="str">
        <v>Gear Honing Machine</v>
      </c>
      <c r="C18" t="str">
        <v>UK</v>
      </c>
      <c r="D18">
        <f>IF($X18&gt;0,IF($Y18&gt;0,MAX(0,$Q18+$X18-$Y18)*3120,$X18*3120),96000)</f>
        <v>96000</v>
      </c>
      <c r="E18">
        <f>IF($X18&gt;0,IF($Y18&gt;0,$S18*3120,0),44000)</f>
        <v>44000</v>
      </c>
      <c r="F18">
        <f>IF($X18&gt;0,IF($Y18&gt;0,$V18*3120,0),30000)</f>
        <v>30000</v>
      </c>
      <c r="G18">
        <f>IF($X18&gt;0,IF($Y18&gt;0,$R18*3120,0),14000)</f>
        <v>14000</v>
      </c>
      <c r="H18">
        <f>IF($X18&gt;0,IF($Y18&gt;0,($T18+$W18)*3120,0),38000)</f>
        <v>38000</v>
      </c>
      <c r="I18">
        <f>IF($X18&gt;0,IF($Y18&gt;0,$U18*3120,0),25000)</f>
        <v>25000</v>
      </c>
      <c r="J18">
        <v>4000</v>
      </c>
      <c r="K18">
        <v>0.78</v>
      </c>
      <c r="L18" t="str">
        <f>IF($X18&gt;0,IF($P18&lt;&gt;1,"2026-06-14",IFERROR(INDEX('JLR Machines'!$D:$D,MATCH($O18,'JLR Machines'!$A:$A,0)),"2026-06-14")),"2026-06-14")</f>
        <v>2026-06-14</v>
      </c>
      <c r="M18" t="str">
        <f>IF($X18&gt;0,IF($Y18&gt;0,"JLR machine "&amp;$O18&amp;" at "&amp;TEXT($X18,"0.00")&amp;" per hr — build-up as supplied","JLR machine "&amp;$O18&amp;" at "&amp;TEXT($X18,"0.00")&amp;" per hr — build-up not supplied"),"REPRESENTATIVE — UK gear honing class (NVH finishing). Target ~£80/hr. Replace with plant data.")</f>
        <v>REPRESENTATIVE — UK gear honing class (NVH finishing). Target ~£80/hr. Replace with plant data.</v>
      </c>
      <c r="N18" t="str">
        <v>Medium</v>
      </c>
      <c r="O18" t="str">
        <f>IFERROR(INDEX(Mapping!$C:$C,MATCH($A18,Mapping!$A:$A,0)),"")</f>
        <v/>
      </c>
      <c r="P18">
        <f>IF($O18="",0,COUNTIFS('JLR Machines'!$A:$A,$O18,'JLR Machines'!$C:$C,IF(Settings!$B$2="","&lt;&gt;",Settings!$B$2),'JLR Machines'!$D:$D,IF(Settings!$B$3="","&lt;&gt;",Settings!$B$3)))</f>
        <v>0</v>
      </c>
      <c r="Q18">
        <f>IF($P18&lt;&gt;1,0,SUMIFS('JLR Machines'!$G:$G,'JLR Machines'!$A:$A,$O18,'JLR Machines'!$C:$C,IF(Settings!$B$2="","&lt;&gt;",Settings!$B$2),'JLR Machines'!$D:$D,IF(Settings!$B$3="","&lt;&gt;",Settings!$B$3)))</f>
        <v>0</v>
      </c>
      <c r="R18">
        <f>IF($P18&lt;&gt;1,0,SUMIFS('JLR Machines'!$H:$H,'JLR Machines'!$A:$A,$O18,'JLR Machines'!$C:$C,IF(Settings!$B$2="","&lt;&gt;",Settings!$B$2),'JLR Machines'!$D:$D,IF(Settings!$B$3="","&lt;&gt;",Settings!$B$3)))</f>
        <v>0</v>
      </c>
      <c r="S18">
        <f>IF($P18&lt;&gt;1,0,SUMIFS('JLR Machines'!$I:$I,'JLR Machines'!$A:$A,$O18,'JLR Machines'!$C:$C,IF(Settings!$B$2="","&lt;&gt;",Settings!$B$2),'JLR Machines'!$D:$D,IF(Settings!$B$3="","&lt;&gt;",Settings!$B$3)))</f>
        <v>0</v>
      </c>
      <c r="T18">
        <f>IF($P18&lt;&gt;1,0,SUMIFS('JLR Machines'!$J:$J,'JLR Machines'!$A:$A,$O18,'JLR Machines'!$C:$C,IF(Settings!$B$2="","&lt;&gt;",Settings!$B$2),'JLR Machines'!$D:$D,IF(Settings!$B$3="","&lt;&gt;",Settings!$B$3)))</f>
        <v>0</v>
      </c>
      <c r="U18">
        <f>IF($P18&lt;&gt;1,0,SUMIFS('JLR Machines'!$K:$K,'JLR Machines'!$A:$A,$O18,'JLR Machines'!$C:$C,IF(Settings!$B$2="","&lt;&gt;",Settings!$B$2),'JLR Machines'!$D:$D,IF(Settings!$B$3="","&lt;&gt;",Settings!$B$3)))</f>
        <v>0</v>
      </c>
      <c r="V18">
        <f>IF($P18&lt;&gt;1,0,SUMIFS('JLR Machines'!$L:$L,'JLR Machines'!$A:$A,$O18,'JLR Machines'!$C:$C,IF(Settings!$B$2="","&lt;&gt;",Settings!$B$2),'JLR Machines'!$D:$D,IF(Settings!$B$3="","&lt;&gt;",Settings!$B$3)))</f>
        <v>0</v>
      </c>
      <c r="W18">
        <f>IF($P18&lt;&gt;1,0,SUMIFS('JLR Machines'!$M:$M,'JLR Machines'!$A:$A,$O18,'JLR Machines'!$C:$C,IF(Settings!$B$2="","&lt;&gt;",Settings!$B$2),'JLR Machines'!$D:$D,IF(Settings!$B$3="","&lt;&gt;",Settings!$B$3)))</f>
        <v>0</v>
      </c>
      <c r="X18">
        <f>IF($P18&lt;&gt;1,0,SUMIFS('JLR Machines'!$N:$N,'JLR Machines'!$A:$A,$O18,'JLR Machines'!$C:$C,IF(Settings!$B$2="","&lt;&gt;",Settings!$B$2),'JLR Machines'!$D:$D,IF(Settings!$B$3="","&lt;&gt;",Settings!$B$3)))</f>
        <v>0</v>
      </c>
      <c r="Y18">
        <f>$Q18+$R18+$S18+$T18+$U18+$V18+$W18</f>
        <v>0</v>
      </c>
      <c r="Z18">
        <f>IF($X18&lt;=0,0,ROUND((D18+E18+F18+G18+H18+I18)/3120-$X18,4))</f>
        <v>0</v>
      </c>
    </row>
    <row r="19">
      <c r="A19" t="str">
        <v>gear-deburr</v>
      </c>
      <c r="B19" t="str">
        <v>Gear Chamfer / Deburr Cell</v>
      </c>
      <c r="C19" t="str">
        <v>UK</v>
      </c>
      <c r="D19">
        <f>IF($X19&gt;0,IF($Y19&gt;0,MAX(0,$Q19+$X19-$Y19)*3280,$X19*3280),26000)</f>
        <v>26000</v>
      </c>
      <c r="E19">
        <f>IF($X19&gt;0,IF($Y19&gt;0,$S19*3280,0),14000)</f>
        <v>14000</v>
      </c>
      <c r="F19">
        <f>IF($X19&gt;0,IF($Y19&gt;0,$V19*3280,0),12000)</f>
        <v>12000</v>
      </c>
      <c r="G19">
        <f>IF($X19&gt;0,IF($Y19&gt;0,$R19*3280,0),8000)</f>
        <v>8000</v>
      </c>
      <c r="H19">
        <f>IF($X19&gt;0,IF($Y19&gt;0,($T19+$W19)*3280,0),18000)</f>
        <v>18000</v>
      </c>
      <c r="I19">
        <f>IF($X19&gt;0,IF($Y19&gt;0,$U19*3280,0),9000)</f>
        <v>9000</v>
      </c>
      <c r="J19">
        <v>4000</v>
      </c>
      <c r="K19">
        <v>0.82</v>
      </c>
      <c r="L19" t="str">
        <f>IF($X19&gt;0,IF($P19&lt;&gt;1,"2026-06-14",IFERROR(INDEX('JLR Machines'!$D:$D,MATCH($O19,'JLR Machines'!$A:$A,0)),"2026-06-14")),"2026-06-14")</f>
        <v>2026-06-14</v>
      </c>
      <c r="M19" t="str">
        <f>IF($X19&gt;0,IF($Y19&gt;0,"JLR machine "&amp;$O19&amp;" at "&amp;TEXT($X19,"0.00")&amp;" per hr — build-up as supplied","JLR machine "&amp;$O19&amp;" at "&amp;TEXT($X19,"0.00")&amp;" per hr — build-up not supplied"),"REPRESENTATIVE — UK chamfer/deburr cell class. Target ~£26/hr. Replace with plant data.")</f>
        <v>REPRESENTATIVE — UK chamfer/deburr cell class. Target ~£26/hr. Replace with plant data.</v>
      </c>
      <c r="N19" t="str">
        <v>Medium</v>
      </c>
      <c r="O19" t="str">
        <f>IFERROR(INDEX(Mapping!$C:$C,MATCH($A19,Mapping!$A:$A,0)),"")</f>
        <v/>
      </c>
      <c r="P19">
        <f>IF($O19="",0,COUNTIFS('JLR Machines'!$A:$A,$O19,'JLR Machines'!$C:$C,IF(Settings!$B$2="","&lt;&gt;",Settings!$B$2),'JLR Machines'!$D:$D,IF(Settings!$B$3="","&lt;&gt;",Settings!$B$3)))</f>
        <v>0</v>
      </c>
      <c r="Q19">
        <f>IF($P19&lt;&gt;1,0,SUMIFS('JLR Machines'!$G:$G,'JLR Machines'!$A:$A,$O19,'JLR Machines'!$C:$C,IF(Settings!$B$2="","&lt;&gt;",Settings!$B$2),'JLR Machines'!$D:$D,IF(Settings!$B$3="","&lt;&gt;",Settings!$B$3)))</f>
        <v>0</v>
      </c>
      <c r="R19">
        <f>IF($P19&lt;&gt;1,0,SUMIFS('JLR Machines'!$H:$H,'JLR Machines'!$A:$A,$O19,'JLR Machines'!$C:$C,IF(Settings!$B$2="","&lt;&gt;",Settings!$B$2),'JLR Machines'!$D:$D,IF(Settings!$B$3="","&lt;&gt;",Settings!$B$3)))</f>
        <v>0</v>
      </c>
      <c r="S19">
        <f>IF($P19&lt;&gt;1,0,SUMIFS('JLR Machines'!$I:$I,'JLR Machines'!$A:$A,$O19,'JLR Machines'!$C:$C,IF(Settings!$B$2="","&lt;&gt;",Settings!$B$2),'JLR Machines'!$D:$D,IF(Settings!$B$3="","&lt;&gt;",Settings!$B$3)))</f>
        <v>0</v>
      </c>
      <c r="T19">
        <f>IF($P19&lt;&gt;1,0,SUMIFS('JLR Machines'!$J:$J,'JLR Machines'!$A:$A,$O19,'JLR Machines'!$C:$C,IF(Settings!$B$2="","&lt;&gt;",Settings!$B$2),'JLR Machines'!$D:$D,IF(Settings!$B$3="","&lt;&gt;",Settings!$B$3)))</f>
        <v>0</v>
      </c>
      <c r="U19">
        <f>IF($P19&lt;&gt;1,0,SUMIFS('JLR Machines'!$K:$K,'JLR Machines'!$A:$A,$O19,'JLR Machines'!$C:$C,IF(Settings!$B$2="","&lt;&gt;",Settings!$B$2),'JLR Machines'!$D:$D,IF(Settings!$B$3="","&lt;&gt;",Settings!$B$3)))</f>
        <v>0</v>
      </c>
      <c r="V19">
        <f>IF($P19&lt;&gt;1,0,SUMIFS('JLR Machines'!$L:$L,'JLR Machines'!$A:$A,$O19,'JLR Machines'!$C:$C,IF(Settings!$B$2="","&lt;&gt;",Settings!$B$2),'JLR Machines'!$D:$D,IF(Settings!$B$3="","&lt;&gt;",Settings!$B$3)))</f>
        <v>0</v>
      </c>
      <c r="W19">
        <f>IF($P19&lt;&gt;1,0,SUMIFS('JLR Machines'!$M:$M,'JLR Machines'!$A:$A,$O19,'JLR Machines'!$C:$C,IF(Settings!$B$2="","&lt;&gt;",Settings!$B$2),'JLR Machines'!$D:$D,IF(Settings!$B$3="","&lt;&gt;",Settings!$B$3)))</f>
        <v>0</v>
      </c>
      <c r="X19">
        <f>IF($P19&lt;&gt;1,0,SUMIFS('JLR Machines'!$N:$N,'JLR Machines'!$A:$A,$O19,'JLR Machines'!$C:$C,IF(Settings!$B$2="","&lt;&gt;",Settings!$B$2),'JLR Machines'!$D:$D,IF(Settings!$B$3="","&lt;&gt;",Settings!$B$3)))</f>
        <v>0</v>
      </c>
      <c r="Y19">
        <f>$Q19+$R19+$S19+$T19+$U19+$V19+$W19</f>
        <v>0</v>
      </c>
      <c r="Z19">
        <f>IF($X19&lt;=0,0,ROUND((D19+E19+F19+G19+H19+I19)/3280-$X19,4))</f>
        <v>0</v>
      </c>
    </row>
    <row r="20">
      <c r="A20" t="str">
        <v>gear-induction</v>
      </c>
      <c r="B20" t="str">
        <v>Gear Induction Hardening Cell (RF + quench + temper)</v>
      </c>
      <c r="C20" t="str">
        <v>UK</v>
      </c>
      <c r="D20">
        <f>IF($X20&gt;0,IF($Y20&gt;0,MAX(0,$Q20+$X20-$Y20)*3200,$X20*3200),62000)</f>
        <v>62000</v>
      </c>
      <c r="E20">
        <f>IF($X20&gt;0,IF($Y20&gt;0,$S20*3200,0),26000)</f>
        <v>26000</v>
      </c>
      <c r="F20">
        <f>IF($X20&gt;0,IF($Y20&gt;0,$V20*3200,0),42000)</f>
        <v>42000</v>
      </c>
      <c r="G20">
        <f>IF($X20&gt;0,IF($Y20&gt;0,$R20*3200,0),9000)</f>
        <v>9000</v>
      </c>
      <c r="H20">
        <f>IF($X20&gt;0,IF($Y20&gt;0,($T20+$W20)*3200,0),20000)</f>
        <v>20000</v>
      </c>
      <c r="I20">
        <f>IF($X20&gt;0,IF($Y20&gt;0,$U20*3200,0),15000)</f>
        <v>15000</v>
      </c>
      <c r="J20">
        <v>4000</v>
      </c>
      <c r="K20">
        <v>0.8</v>
      </c>
      <c r="L20" t="str">
        <f>IF($X20&gt;0,IF($P20&lt;&gt;1,"2026-06-14",IFERROR(INDEX('JLR Machines'!$D:$D,MATCH($O20,'JLR Machines'!$A:$A,0)),"2026-06-14")),"2026-06-14")</f>
        <v>2026-06-14</v>
      </c>
      <c r="M20" t="str">
        <f>IF($X20&gt;0,IF($Y20&gt;0,"JLR machine "&amp;$O20&amp;" at "&amp;TEXT($X20,"0.00")&amp;" per hr — build-up as supplied","JLR machine "&amp;$O20&amp;" at "&amp;TEXT($X20,"0.00")&amp;" per hr — build-up not supplied"),"REPRESENTATIVE — UK gear induction hardening cell. Energy-heavy (RF generator + quench recirculation). Target ~£55/hr. Replace with plant data.")</f>
        <v>REPRESENTATIVE — UK gear induction hardening cell. Energy-heavy (RF generator + quench recirculation). Target ~£55/hr. Replace with plant data.</v>
      </c>
      <c r="N20" t="str">
        <v>Medium</v>
      </c>
      <c r="O20" t="str">
        <f>IFERROR(INDEX(Mapping!$C:$C,MATCH($A20,Mapping!$A:$A,0)),"")</f>
        <v/>
      </c>
      <c r="P20">
        <f>IF($O20="",0,COUNTIFS('JLR Machines'!$A:$A,$O20,'JLR Machines'!$C:$C,IF(Settings!$B$2="","&lt;&gt;",Settings!$B$2),'JLR Machines'!$D:$D,IF(Settings!$B$3="","&lt;&gt;",Settings!$B$3)))</f>
        <v>0</v>
      </c>
      <c r="Q20">
        <f>IF($P20&lt;&gt;1,0,SUMIFS('JLR Machines'!$G:$G,'JLR Machines'!$A:$A,$O20,'JLR Machines'!$C:$C,IF(Settings!$B$2="","&lt;&gt;",Settings!$B$2),'JLR Machines'!$D:$D,IF(Settings!$B$3="","&lt;&gt;",Settings!$B$3)))</f>
        <v>0</v>
      </c>
      <c r="R20">
        <f>IF($P20&lt;&gt;1,0,SUMIFS('JLR Machines'!$H:$H,'JLR Machines'!$A:$A,$O20,'JLR Machines'!$C:$C,IF(Settings!$B$2="","&lt;&gt;",Settings!$B$2),'JLR Machines'!$D:$D,IF(Settings!$B$3="","&lt;&gt;",Settings!$B$3)))</f>
        <v>0</v>
      </c>
      <c r="S20">
        <f>IF($P20&lt;&gt;1,0,SUMIFS('JLR Machines'!$I:$I,'JLR Machines'!$A:$A,$O20,'JLR Machines'!$C:$C,IF(Settings!$B$2="","&lt;&gt;",Settings!$B$2),'JLR Machines'!$D:$D,IF(Settings!$B$3="","&lt;&gt;",Settings!$B$3)))</f>
        <v>0</v>
      </c>
      <c r="T20">
        <f>IF($P20&lt;&gt;1,0,SUMIFS('JLR Machines'!$J:$J,'JLR Machines'!$A:$A,$O20,'JLR Machines'!$C:$C,IF(Settings!$B$2="","&lt;&gt;",Settings!$B$2),'JLR Machines'!$D:$D,IF(Settings!$B$3="","&lt;&gt;",Settings!$B$3)))</f>
        <v>0</v>
      </c>
      <c r="U20">
        <f>IF($P20&lt;&gt;1,0,SUMIFS('JLR Machines'!$K:$K,'JLR Machines'!$A:$A,$O20,'JLR Machines'!$C:$C,IF(Settings!$B$2="","&lt;&gt;",Settings!$B$2),'JLR Machines'!$D:$D,IF(Settings!$B$3="","&lt;&gt;",Settings!$B$3)))</f>
        <v>0</v>
      </c>
      <c r="V20">
        <f>IF($P20&lt;&gt;1,0,SUMIFS('JLR Machines'!$L:$L,'JLR Machines'!$A:$A,$O20,'JLR Machines'!$C:$C,IF(Settings!$B$2="","&lt;&gt;",Settings!$B$2),'JLR Machines'!$D:$D,IF(Settings!$B$3="","&lt;&gt;",Settings!$B$3)))</f>
        <v>0</v>
      </c>
      <c r="W20">
        <f>IF($P20&lt;&gt;1,0,SUMIFS('JLR Machines'!$M:$M,'JLR Machines'!$A:$A,$O20,'JLR Machines'!$C:$C,IF(Settings!$B$2="","&lt;&gt;",Settings!$B$2),'JLR Machines'!$D:$D,IF(Settings!$B$3="","&lt;&gt;",Settings!$B$3)))</f>
        <v>0</v>
      </c>
      <c r="X20">
        <f>IF($P20&lt;&gt;1,0,SUMIFS('JLR Machines'!$N:$N,'JLR Machines'!$A:$A,$O20,'JLR Machines'!$C:$C,IF(Settings!$B$2="","&lt;&gt;",Settings!$B$2),'JLR Machines'!$D:$D,IF(Settings!$B$3="","&lt;&gt;",Settings!$B$3)))</f>
        <v>0</v>
      </c>
      <c r="Y20">
        <f>$Q20+$R20+$S20+$T20+$U20+$V20+$W20</f>
        <v>0</v>
      </c>
      <c r="Z20">
        <f>IF($X20&lt;=0,0,ROUND((D20+E20+F20+G20+H20+I20)/3200-$X20,4))</f>
        <v>0</v>
      </c>
    </row>
    <row r="21">
      <c r="A21" t="str">
        <v>gear-checker</v>
      </c>
      <c r="B21" t="str">
        <v>CNC Gear Checker (profile / lead / pitch)</v>
      </c>
      <c r="C21" t="str">
        <v>UK</v>
      </c>
      <c r="D21">
        <f>IF($X21&gt;0,IF($Y21&gt;0,MAX(0,$Q21+$X21-$Y21)*2600,$X21*2600),58000)</f>
        <v>58000</v>
      </c>
      <c r="E21">
        <f>IF($X21&gt;0,IF($Y21&gt;0,$S21*2600,0),22000)</f>
        <v>22000</v>
      </c>
      <c r="F21">
        <f>IF($X21&gt;0,IF($Y21&gt;0,$V21*2600,0),10000)</f>
        <v>10000</v>
      </c>
      <c r="G21">
        <f>IF($X21&gt;0,IF($Y21&gt;0,$R21*2600,0),12000)</f>
        <v>12000</v>
      </c>
      <c r="H21">
        <f>IF($X21&gt;0,IF($Y21&gt;0,($T21+$W21)*2600,0),30000)</f>
        <v>30000</v>
      </c>
      <c r="I21">
        <f>IF($X21&gt;0,IF($Y21&gt;0,$U21*2600,0),15000)</f>
        <v>15000</v>
      </c>
      <c r="J21">
        <v>4000</v>
      </c>
      <c r="K21">
        <v>0.65</v>
      </c>
      <c r="L21" t="str">
        <f>IF($X21&gt;0,IF($P21&lt;&gt;1,"2026-06-14",IFERROR(INDEX('JLR Machines'!$D:$D,MATCH($O21,'JLR Machines'!$A:$A,0)),"2026-06-14")),"2026-06-14")</f>
        <v>2026-06-14</v>
      </c>
      <c r="M21" t="str">
        <f>IF($X21&gt;0,IF($Y21&gt;0,"JLR machine "&amp;$O21&amp;" at "&amp;TEXT($X21,"0.00")&amp;" per hr — build-up as supplied","JLR machine "&amp;$O21&amp;" at "&amp;TEXT($X21,"0.00")&amp;" per hr — build-up not supplied"),"REPRESENTATIVE — UK CNC gear metrology class (Klingelnberg/Gleason type). Target ~£56/hr. Replace with plant data.")</f>
        <v>REPRESENTATIVE — UK CNC gear metrology class (Klingelnberg/Gleason type). Target ~£56/hr. Replace with plant data.</v>
      </c>
      <c r="N21" t="str">
        <v>Medium</v>
      </c>
      <c r="O21" t="str">
        <f>IFERROR(INDEX(Mapping!$C:$C,MATCH($A21,Mapping!$A:$A,0)),"")</f>
        <v/>
      </c>
      <c r="P21">
        <f>IF($O21="",0,COUNTIFS('JLR Machines'!$A:$A,$O21,'JLR Machines'!$C:$C,IF(Settings!$B$2="","&lt;&gt;",Settings!$B$2),'JLR Machines'!$D:$D,IF(Settings!$B$3="","&lt;&gt;",Settings!$B$3)))</f>
        <v>0</v>
      </c>
      <c r="Q21">
        <f>IF($P21&lt;&gt;1,0,SUMIFS('JLR Machines'!$G:$G,'JLR Machines'!$A:$A,$O21,'JLR Machines'!$C:$C,IF(Settings!$B$2="","&lt;&gt;",Settings!$B$2),'JLR Machines'!$D:$D,IF(Settings!$B$3="","&lt;&gt;",Settings!$B$3)))</f>
        <v>0</v>
      </c>
      <c r="R21">
        <f>IF($P21&lt;&gt;1,0,SUMIFS('JLR Machines'!$H:$H,'JLR Machines'!$A:$A,$O21,'JLR Machines'!$C:$C,IF(Settings!$B$2="","&lt;&gt;",Settings!$B$2),'JLR Machines'!$D:$D,IF(Settings!$B$3="","&lt;&gt;",Settings!$B$3)))</f>
        <v>0</v>
      </c>
      <c r="S21">
        <f>IF($P21&lt;&gt;1,0,SUMIFS('JLR Machines'!$I:$I,'JLR Machines'!$A:$A,$O21,'JLR Machines'!$C:$C,IF(Settings!$B$2="","&lt;&gt;",Settings!$B$2),'JLR Machines'!$D:$D,IF(Settings!$B$3="","&lt;&gt;",Settings!$B$3)))</f>
        <v>0</v>
      </c>
      <c r="T21">
        <f>IF($P21&lt;&gt;1,0,SUMIFS('JLR Machines'!$J:$J,'JLR Machines'!$A:$A,$O21,'JLR Machines'!$C:$C,IF(Settings!$B$2="","&lt;&gt;",Settings!$B$2),'JLR Machines'!$D:$D,IF(Settings!$B$3="","&lt;&gt;",Settings!$B$3)))</f>
        <v>0</v>
      </c>
      <c r="U21">
        <f>IF($P21&lt;&gt;1,0,SUMIFS('JLR Machines'!$K:$K,'JLR Machines'!$A:$A,$O21,'JLR Machines'!$C:$C,IF(Settings!$B$2="","&lt;&gt;",Settings!$B$2),'JLR Machines'!$D:$D,IF(Settings!$B$3="","&lt;&gt;",Settings!$B$3)))</f>
        <v>0</v>
      </c>
      <c r="V21">
        <f>IF($P21&lt;&gt;1,0,SUMIFS('JLR Machines'!$L:$L,'JLR Machines'!$A:$A,$O21,'JLR Machines'!$C:$C,IF(Settings!$B$2="","&lt;&gt;",Settings!$B$2),'JLR Machines'!$D:$D,IF(Settings!$B$3="","&lt;&gt;",Settings!$B$3)))</f>
        <v>0</v>
      </c>
      <c r="W21">
        <f>IF($P21&lt;&gt;1,0,SUMIFS('JLR Machines'!$M:$M,'JLR Machines'!$A:$A,$O21,'JLR Machines'!$C:$C,IF(Settings!$B$2="","&lt;&gt;",Settings!$B$2),'JLR Machines'!$D:$D,IF(Settings!$B$3="","&lt;&gt;",Settings!$B$3)))</f>
        <v>0</v>
      </c>
      <c r="X21">
        <f>IF($P21&lt;&gt;1,0,SUMIFS('JLR Machines'!$N:$N,'JLR Machines'!$A:$A,$O21,'JLR Machines'!$C:$C,IF(Settings!$B$2="","&lt;&gt;",Settings!$B$2),'JLR Machines'!$D:$D,IF(Settings!$B$3="","&lt;&gt;",Settings!$B$3)))</f>
        <v>0</v>
      </c>
      <c r="Y21">
        <f>$Q21+$R21+$S21+$T21+$U21+$V21+$W21</f>
        <v>0</v>
      </c>
      <c r="Z21">
        <f>IF($X21&lt;=0,0,ROUND((D21+E21+F21+G21+H21+I21)/2600-$X21,4))</f>
        <v>0</v>
      </c>
    </row>
    <row r="22">
      <c r="A22" t="str">
        <v>bench-assembly</v>
      </c>
      <c r="B22" t="str">
        <v>Assembly Workbench</v>
      </c>
      <c r="C22" t="str">
        <v>UK</v>
      </c>
      <c r="D22">
        <f>IF($X22&gt;0,IF($Y22&gt;0,MAX(0,$Q22+$X22-$Y22)*3400,$X22*3400),500)</f>
        <v>500</v>
      </c>
      <c r="E22">
        <f>IF($X22&gt;0,IF($Y22&gt;0,$S22*3400,0),200)</f>
        <v>200</v>
      </c>
      <c r="F22">
        <f>IF($X22&gt;0,IF($Y22&gt;0,$V22*3400,0),300)</f>
        <v>300</v>
      </c>
      <c r="G22">
        <f>IF($X22&gt;0,IF($Y22&gt;0,$R22*3400,0),800)</f>
        <v>800</v>
      </c>
      <c r="H22">
        <f>IF($X22&gt;0,IF($Y22&gt;0,($T22+$W22)*3400,0),500)</f>
        <v>500</v>
      </c>
      <c r="I22">
        <f>IF($X22&gt;0,IF($Y22&gt;0,$U22*3400,0),50)</f>
        <v>50</v>
      </c>
      <c r="J22">
        <v>4000</v>
      </c>
      <c r="K22">
        <v>0.85</v>
      </c>
      <c r="L22" t="str">
        <f>IF($X22&gt;0,IF($P22&lt;&gt;1,"2026-06-14",IFERROR(INDEX('JLR Machines'!$D:$D,MATCH($O22,'JLR Machines'!$A:$A,0)),"2026-06-14")),"2026-06-14")</f>
        <v>2026-06-14</v>
      </c>
      <c r="M22" t="str">
        <f>IF($X22&gt;0,IF($Y22&gt;0,"JLR machine "&amp;$O22&amp;" at "&amp;TEXT($X22,"0.00")&amp;" per hr — build-up as supplied","JLR machine "&amp;$O22&amp;" at "&amp;TEXT($X22,"0.00")&amp;" per hr — build-up not supplied"),"Assembly bench — low machine rate; cost primarily driven by labour")</f>
        <v>Assembly bench — low machine rate; cost primarily driven by labour</v>
      </c>
      <c r="N22" t="str">
        <v>Medium</v>
      </c>
      <c r="O22" t="str">
        <f>IFERROR(INDEX(Mapping!$C:$C,MATCH($A22,Mapping!$A:$A,0)),"")</f>
        <v/>
      </c>
      <c r="P22">
        <f>IF($O22="",0,COUNTIFS('JLR Machines'!$A:$A,$O22,'JLR Machines'!$C:$C,IF(Settings!$B$2="","&lt;&gt;",Settings!$B$2),'JLR Machines'!$D:$D,IF(Settings!$B$3="","&lt;&gt;",Settings!$B$3)))</f>
        <v>0</v>
      </c>
      <c r="Q22">
        <f>IF($P22&lt;&gt;1,0,SUMIFS('JLR Machines'!$G:$G,'JLR Machines'!$A:$A,$O22,'JLR Machines'!$C:$C,IF(Settings!$B$2="","&lt;&gt;",Settings!$B$2),'JLR Machines'!$D:$D,IF(Settings!$B$3="","&lt;&gt;",Settings!$B$3)))</f>
        <v>0</v>
      </c>
      <c r="R22">
        <f>IF($P22&lt;&gt;1,0,SUMIFS('JLR Machines'!$H:$H,'JLR Machines'!$A:$A,$O22,'JLR Machines'!$C:$C,IF(Settings!$B$2="","&lt;&gt;",Settings!$B$2),'JLR Machines'!$D:$D,IF(Settings!$B$3="","&lt;&gt;",Settings!$B$3)))</f>
        <v>0</v>
      </c>
      <c r="S22">
        <f>IF($P22&lt;&gt;1,0,SUMIFS('JLR Machines'!$I:$I,'JLR Machines'!$A:$A,$O22,'JLR Machines'!$C:$C,IF(Settings!$B$2="","&lt;&gt;",Settings!$B$2),'JLR Machines'!$D:$D,IF(Settings!$B$3="","&lt;&gt;",Settings!$B$3)))</f>
        <v>0</v>
      </c>
      <c r="T22">
        <f>IF($P22&lt;&gt;1,0,SUMIFS('JLR Machines'!$J:$J,'JLR Machines'!$A:$A,$O22,'JLR Machines'!$C:$C,IF(Settings!$B$2="","&lt;&gt;",Settings!$B$2),'JLR Machines'!$D:$D,IF(Settings!$B$3="","&lt;&gt;",Settings!$B$3)))</f>
        <v>0</v>
      </c>
      <c r="U22">
        <f>IF($P22&lt;&gt;1,0,SUMIFS('JLR Machines'!$K:$K,'JLR Machines'!$A:$A,$O22,'JLR Machines'!$C:$C,IF(Settings!$B$2="","&lt;&gt;",Settings!$B$2),'JLR Machines'!$D:$D,IF(Settings!$B$3="","&lt;&gt;",Settings!$B$3)))</f>
        <v>0</v>
      </c>
      <c r="V22">
        <f>IF($P22&lt;&gt;1,0,SUMIFS('JLR Machines'!$L:$L,'JLR Machines'!$A:$A,$O22,'JLR Machines'!$C:$C,IF(Settings!$B$2="","&lt;&gt;",Settings!$B$2),'JLR Machines'!$D:$D,IF(Settings!$B$3="","&lt;&gt;",Settings!$B$3)))</f>
        <v>0</v>
      </c>
      <c r="W22">
        <f>IF($P22&lt;&gt;1,0,SUMIFS('JLR Machines'!$M:$M,'JLR Machines'!$A:$A,$O22,'JLR Machines'!$C:$C,IF(Settings!$B$2="","&lt;&gt;",Settings!$B$2),'JLR Machines'!$D:$D,IF(Settings!$B$3="","&lt;&gt;",Settings!$B$3)))</f>
        <v>0</v>
      </c>
      <c r="X22">
        <f>IF($P22&lt;&gt;1,0,SUMIFS('JLR Machines'!$N:$N,'JLR Machines'!$A:$A,$O22,'JLR Machines'!$C:$C,IF(Settings!$B$2="","&lt;&gt;",Settings!$B$2),'JLR Machines'!$D:$D,IF(Settings!$B$3="","&lt;&gt;",Settings!$B$3)))</f>
        <v>0</v>
      </c>
      <c r="Y22">
        <f>$Q22+$R22+$S22+$T22+$U22+$V22+$W22</f>
        <v>0</v>
      </c>
      <c r="Z22">
        <f>IF($X22&lt;=0,0,ROUND((D22+E22+F22+G22+H22+I22)/3400-$X22,4))</f>
        <v>0</v>
      </c>
    </row>
    <row r="23">
      <c r="A23" t="str">
        <v>mach-haas-vf2</v>
      </c>
      <c r="B23" t="str">
        <v>HAAS VF-2 (3-axis Mill)</v>
      </c>
      <c r="C23" t="str">
        <v>UK</v>
      </c>
      <c r="D23">
        <f>IF($X23&gt;0,IF($Y23&gt;0,MAX(0,$Q23+$X23-$Y23)*2000,$X23*2000),38000)</f>
        <v>38000</v>
      </c>
      <c r="E23">
        <f>IF($X23&gt;0,IF($Y23&gt;0,$S23*2000,0),18000)</f>
        <v>18000</v>
      </c>
      <c r="F23">
        <f>IF($X23&gt;0,IF($Y23&gt;0,$V23*2000,0),10500)</f>
        <v>10500</v>
      </c>
      <c r="G23">
        <f>IF($X23&gt;0,IF($Y23&gt;0,$R23*2000,0),5000)</f>
        <v>5000</v>
      </c>
      <c r="H23">
        <f>IF($X23&gt;0,IF($Y23&gt;0,($T23+$W23)*2000,0),9500)</f>
        <v>9500</v>
      </c>
      <c r="I23">
        <f>IF($X23&gt;0,IF($Y23&gt;0,$U23*2000,0),9000)</f>
        <v>9000</v>
      </c>
      <c r="J23">
        <v>4000</v>
      </c>
      <c r="K23">
        <v>0.5</v>
      </c>
      <c r="L23" t="str">
        <f>IF($X23&gt;0,IF($P23&lt;&gt;1,"2026-06-14",IFERROR(INDEX('JLR Machines'!$D:$D,MATCH($O23,'JLR Machines'!$A:$A,0)),"2026-06-14")),"2026-06-14")</f>
        <v>2026-06-14</v>
      </c>
      <c r="M23" t="str">
        <f>IF($X23&gt;0,IF($Y23&gt;0,"JLR machine "&amp;$O23&amp;" at "&amp;TEXT($X23,"0.00")&amp;" per hr — build-up as supplied","JLR machine "&amp;$O23&amp;" at "&amp;TEXT($X23,"0.00")&amp;" per hr — build-up not supplied"),"HAAS VF-2 benchmark, UK Tier-2 machining shop")</f>
        <v>HAAS VF-2 benchmark, UK Tier-2 machining shop</v>
      </c>
      <c r="N23" t="str">
        <v>Medium</v>
      </c>
      <c r="O23" t="str">
        <f>IFERROR(INDEX(Mapping!$C:$C,MATCH($A23,Mapping!$A:$A,0)),"")</f>
        <v/>
      </c>
      <c r="P23">
        <f>IF($O23="",0,COUNTIFS('JLR Machines'!$A:$A,$O23,'JLR Machines'!$C:$C,IF(Settings!$B$2="","&lt;&gt;",Settings!$B$2),'JLR Machines'!$D:$D,IF(Settings!$B$3="","&lt;&gt;",Settings!$B$3)))</f>
        <v>0</v>
      </c>
      <c r="Q23">
        <f>IF($P23&lt;&gt;1,0,SUMIFS('JLR Machines'!$G:$G,'JLR Machines'!$A:$A,$O23,'JLR Machines'!$C:$C,IF(Settings!$B$2="","&lt;&gt;",Settings!$B$2),'JLR Machines'!$D:$D,IF(Settings!$B$3="","&lt;&gt;",Settings!$B$3)))</f>
        <v>0</v>
      </c>
      <c r="R23">
        <f>IF($P23&lt;&gt;1,0,SUMIFS('JLR Machines'!$H:$H,'JLR Machines'!$A:$A,$O23,'JLR Machines'!$C:$C,IF(Settings!$B$2="","&lt;&gt;",Settings!$B$2),'JLR Machines'!$D:$D,IF(Settings!$B$3="","&lt;&gt;",Settings!$B$3)))</f>
        <v>0</v>
      </c>
      <c r="S23">
        <f>IF($P23&lt;&gt;1,0,SUMIFS('JLR Machines'!$I:$I,'JLR Machines'!$A:$A,$O23,'JLR Machines'!$C:$C,IF(Settings!$B$2="","&lt;&gt;",Settings!$B$2),'JLR Machines'!$D:$D,IF(Settings!$B$3="","&lt;&gt;",Settings!$B$3)))</f>
        <v>0</v>
      </c>
      <c r="T23">
        <f>IF($P23&lt;&gt;1,0,SUMIFS('JLR Machines'!$J:$J,'JLR Machines'!$A:$A,$O23,'JLR Machines'!$C:$C,IF(Settings!$B$2="","&lt;&gt;",Settings!$B$2),'JLR Machines'!$D:$D,IF(Settings!$B$3="","&lt;&gt;",Settings!$B$3)))</f>
        <v>0</v>
      </c>
      <c r="U23">
        <f>IF($P23&lt;&gt;1,0,SUMIFS('JLR Machines'!$K:$K,'JLR Machines'!$A:$A,$O23,'JLR Machines'!$C:$C,IF(Settings!$B$2="","&lt;&gt;",Settings!$B$2),'JLR Machines'!$D:$D,IF(Settings!$B$3="","&lt;&gt;",Settings!$B$3)))</f>
        <v>0</v>
      </c>
      <c r="V23">
        <f>IF($P23&lt;&gt;1,0,SUMIFS('JLR Machines'!$L:$L,'JLR Machines'!$A:$A,$O23,'JLR Machines'!$C:$C,IF(Settings!$B$2="","&lt;&gt;",Settings!$B$2),'JLR Machines'!$D:$D,IF(Settings!$B$3="","&lt;&gt;",Settings!$B$3)))</f>
        <v>0</v>
      </c>
      <c r="W23">
        <f>IF($P23&lt;&gt;1,0,SUMIFS('JLR Machines'!$M:$M,'JLR Machines'!$A:$A,$O23,'JLR Machines'!$C:$C,IF(Settings!$B$2="","&lt;&gt;",Settings!$B$2),'JLR Machines'!$D:$D,IF(Settings!$B$3="","&lt;&gt;",Settings!$B$3)))</f>
        <v>0</v>
      </c>
      <c r="X23">
        <f>IF($P23&lt;&gt;1,0,SUMIFS('JLR Machines'!$N:$N,'JLR Machines'!$A:$A,$O23,'JLR Machines'!$C:$C,IF(Settings!$B$2="","&lt;&gt;",Settings!$B$2),'JLR Machines'!$D:$D,IF(Settings!$B$3="","&lt;&gt;",Settings!$B$3)))</f>
        <v>0</v>
      </c>
      <c r="Y23">
        <f>$Q23+$R23+$S23+$T23+$U23+$V23+$W23</f>
        <v>0</v>
      </c>
      <c r="Z23">
        <f>IF($X23&lt;=0,0,ROUND((D23+E23+F23+G23+H23+I23)/2000-$X23,4))</f>
        <v>0</v>
      </c>
    </row>
    <row r="24">
      <c r="A24" t="str">
        <v>mach-dmg-dmu50</v>
      </c>
      <c r="B24" t="str">
        <v>DMG Mori DMU 50 (5-axis Mill)</v>
      </c>
      <c r="C24" t="str">
        <v>UK</v>
      </c>
      <c r="D24">
        <f>IF($X24&gt;0,IF($Y24&gt;0,MAX(0,$Q24+$X24-$Y24)*2000,$X24*2000),85000)</f>
        <v>85000</v>
      </c>
      <c r="E24">
        <f>IF($X24&gt;0,IF($Y24&gt;0,$S24*2000,0),35000)</f>
        <v>35000</v>
      </c>
      <c r="F24">
        <f>IF($X24&gt;0,IF($Y24&gt;0,$V24*2000,0),20000)</f>
        <v>20000</v>
      </c>
      <c r="G24">
        <f>IF($X24&gt;0,IF($Y24&gt;0,$R24*2000,0),8000)</f>
        <v>8000</v>
      </c>
      <c r="H24">
        <f>IF($X24&gt;0,IF($Y24&gt;0,($T24+$W24)*2000,0),22000)</f>
        <v>22000</v>
      </c>
      <c r="I24">
        <f>IF($X24&gt;0,IF($Y24&gt;0,$U24*2000,0),20000)</f>
        <v>20000</v>
      </c>
      <c r="J24">
        <v>4000</v>
      </c>
      <c r="K24">
        <v>0.5</v>
      </c>
      <c r="L24" t="str">
        <f>IF($X24&gt;0,IF($P24&lt;&gt;1,"2026-06-14",IFERROR(INDEX('JLR Machines'!$D:$D,MATCH($O24,'JLR Machines'!$A:$A,0)),"2026-06-14")),"2026-06-14")</f>
        <v>2026-06-14</v>
      </c>
      <c r="M24" t="str">
        <f>IF($X24&gt;0,IF($Y24&gt;0,"JLR machine "&amp;$O24&amp;" at "&amp;TEXT($X24,"0.00")&amp;" per hr — build-up as supplied","JLR machine "&amp;$O24&amp;" at "&amp;TEXT($X24,"0.00")&amp;" per hr — build-up not supplied"),"DMG Mori DMU 50 benchmark, UK Tier-1 precision shop")</f>
        <v>DMG Mori DMU 50 benchmark, UK Tier-1 precision shop</v>
      </c>
      <c r="N24" t="str">
        <v>Medium</v>
      </c>
      <c r="O24" t="str">
        <f>IFERROR(INDEX(Mapping!$C:$C,MATCH($A24,Mapping!$A:$A,0)),"")</f>
        <v/>
      </c>
      <c r="P24">
        <f>IF($O24="",0,COUNTIFS('JLR Machines'!$A:$A,$O24,'JLR Machines'!$C:$C,IF(Settings!$B$2="","&lt;&gt;",Settings!$B$2),'JLR Machines'!$D:$D,IF(Settings!$B$3="","&lt;&gt;",Settings!$B$3)))</f>
        <v>0</v>
      </c>
      <c r="Q24">
        <f>IF($P24&lt;&gt;1,0,SUMIFS('JLR Machines'!$G:$G,'JLR Machines'!$A:$A,$O24,'JLR Machines'!$C:$C,IF(Settings!$B$2="","&lt;&gt;",Settings!$B$2),'JLR Machines'!$D:$D,IF(Settings!$B$3="","&lt;&gt;",Settings!$B$3)))</f>
        <v>0</v>
      </c>
      <c r="R24">
        <f>IF($P24&lt;&gt;1,0,SUMIFS('JLR Machines'!$H:$H,'JLR Machines'!$A:$A,$O24,'JLR Machines'!$C:$C,IF(Settings!$B$2="","&lt;&gt;",Settings!$B$2),'JLR Machines'!$D:$D,IF(Settings!$B$3="","&lt;&gt;",Settings!$B$3)))</f>
        <v>0</v>
      </c>
      <c r="S24">
        <f>IF($P24&lt;&gt;1,0,SUMIFS('JLR Machines'!$I:$I,'JLR Machines'!$A:$A,$O24,'JLR Machines'!$C:$C,IF(Settings!$B$2="","&lt;&gt;",Settings!$B$2),'JLR Machines'!$D:$D,IF(Settings!$B$3="","&lt;&gt;",Settings!$B$3)))</f>
        <v>0</v>
      </c>
      <c r="T24">
        <f>IF($P24&lt;&gt;1,0,SUMIFS('JLR Machines'!$J:$J,'JLR Machines'!$A:$A,$O24,'JLR Machines'!$C:$C,IF(Settings!$B$2="","&lt;&gt;",Settings!$B$2),'JLR Machines'!$D:$D,IF(Settings!$B$3="","&lt;&gt;",Settings!$B$3)))</f>
        <v>0</v>
      </c>
      <c r="U24">
        <f>IF($P24&lt;&gt;1,0,SUMIFS('JLR Machines'!$K:$K,'JLR Machines'!$A:$A,$O24,'JLR Machines'!$C:$C,IF(Settings!$B$2="","&lt;&gt;",Settings!$B$2),'JLR Machines'!$D:$D,IF(Settings!$B$3="","&lt;&gt;",Settings!$B$3)))</f>
        <v>0</v>
      </c>
      <c r="V24">
        <f>IF($P24&lt;&gt;1,0,SUMIFS('JLR Machines'!$L:$L,'JLR Machines'!$A:$A,$O24,'JLR Machines'!$C:$C,IF(Settings!$B$2="","&lt;&gt;",Settings!$B$2),'JLR Machines'!$D:$D,IF(Settings!$B$3="","&lt;&gt;",Settings!$B$3)))</f>
        <v>0</v>
      </c>
      <c r="W24">
        <f>IF($P24&lt;&gt;1,0,SUMIFS('JLR Machines'!$M:$M,'JLR Machines'!$A:$A,$O24,'JLR Machines'!$C:$C,IF(Settings!$B$2="","&lt;&gt;",Settings!$B$2),'JLR Machines'!$D:$D,IF(Settings!$B$3="","&lt;&gt;",Settings!$B$3)))</f>
        <v>0</v>
      </c>
      <c r="X24">
        <f>IF($P24&lt;&gt;1,0,SUMIFS('JLR Machines'!$N:$N,'JLR Machines'!$A:$A,$O24,'JLR Machines'!$C:$C,IF(Settings!$B$2="","&lt;&gt;",Settings!$B$2),'JLR Machines'!$D:$D,IF(Settings!$B$3="","&lt;&gt;",Settings!$B$3)))</f>
        <v>0</v>
      </c>
      <c r="Y24">
        <f>$Q24+$R24+$S24+$T24+$U24+$V24+$W24</f>
        <v>0</v>
      </c>
      <c r="Z24">
        <f>IF($X24&lt;=0,0,ROUND((D24+E24+F24+G24+H24+I24)/2000-$X24,4))</f>
        <v>0</v>
      </c>
    </row>
    <row r="25">
      <c r="A25" t="str">
        <v>mach-haas-umc500</v>
      </c>
      <c r="B25" t="str">
        <v>HAAS UMC-500 (5-axis Mill)</v>
      </c>
      <c r="C25" t="str">
        <v>UK</v>
      </c>
      <c r="D25">
        <f>IF($X25&gt;0,IF($Y25&gt;0,MAX(0,$Q25+$X25-$Y25)*2000,$X25*2000),65000)</f>
        <v>65000</v>
      </c>
      <c r="E25">
        <f>IF($X25&gt;0,IF($Y25&gt;0,$S25*2000,0),28000)</f>
        <v>28000</v>
      </c>
      <c r="F25">
        <f>IF($X25&gt;0,IF($Y25&gt;0,$V25*2000,0),16000)</f>
        <v>16000</v>
      </c>
      <c r="G25">
        <f>IF($X25&gt;0,IF($Y25&gt;0,$R25*2000,0),7000)</f>
        <v>7000</v>
      </c>
      <c r="H25">
        <f>IF($X25&gt;0,IF($Y25&gt;0,($T25+$W25)*2000,0),18000)</f>
        <v>18000</v>
      </c>
      <c r="I25">
        <f>IF($X25&gt;0,IF($Y25&gt;0,$U25*2000,0),16000)</f>
        <v>16000</v>
      </c>
      <c r="J25">
        <v>4000</v>
      </c>
      <c r="K25">
        <v>0.5</v>
      </c>
      <c r="L25" t="str">
        <f>IF($X25&gt;0,IF($P25&lt;&gt;1,"2026-06-14",IFERROR(INDEX('JLR Machines'!$D:$D,MATCH($O25,'JLR Machines'!$A:$A,0)),"2026-06-14")),"2026-06-14")</f>
        <v>2026-06-14</v>
      </c>
      <c r="M25" t="str">
        <f>IF($X25&gt;0,IF($Y25&gt;0,"JLR machine "&amp;$O25&amp;" at "&amp;TEXT($X25,"0.00")&amp;" per hr — build-up as supplied","JLR machine "&amp;$O25&amp;" at "&amp;TEXT($X25,"0.00")&amp;" per hr — build-up not supplied"),"HAAS UMC-500 benchmark, UK Tier-2 machining shop")</f>
        <v>HAAS UMC-500 benchmark, UK Tier-2 machining shop</v>
      </c>
      <c r="N25" t="str">
        <v>Medium</v>
      </c>
      <c r="O25" t="str">
        <f>IFERROR(INDEX(Mapping!$C:$C,MATCH($A25,Mapping!$A:$A,0)),"")</f>
        <v/>
      </c>
      <c r="P25">
        <f>IF($O25="",0,COUNTIFS('JLR Machines'!$A:$A,$O25,'JLR Machines'!$C:$C,IF(Settings!$B$2="","&lt;&gt;",Settings!$B$2),'JLR Machines'!$D:$D,IF(Settings!$B$3="","&lt;&gt;",Settings!$B$3)))</f>
        <v>0</v>
      </c>
      <c r="Q25">
        <f>IF($P25&lt;&gt;1,0,SUMIFS('JLR Machines'!$G:$G,'JLR Machines'!$A:$A,$O25,'JLR Machines'!$C:$C,IF(Settings!$B$2="","&lt;&gt;",Settings!$B$2),'JLR Machines'!$D:$D,IF(Settings!$B$3="","&lt;&gt;",Settings!$B$3)))</f>
        <v>0</v>
      </c>
      <c r="R25">
        <f>IF($P25&lt;&gt;1,0,SUMIFS('JLR Machines'!$H:$H,'JLR Machines'!$A:$A,$O25,'JLR Machines'!$C:$C,IF(Settings!$B$2="","&lt;&gt;",Settings!$B$2),'JLR Machines'!$D:$D,IF(Settings!$B$3="","&lt;&gt;",Settings!$B$3)))</f>
        <v>0</v>
      </c>
      <c r="S25">
        <f>IF($P25&lt;&gt;1,0,SUMIFS('JLR Machines'!$I:$I,'JLR Machines'!$A:$A,$O25,'JLR Machines'!$C:$C,IF(Settings!$B$2="","&lt;&gt;",Settings!$B$2),'JLR Machines'!$D:$D,IF(Settings!$B$3="","&lt;&gt;",Settings!$B$3)))</f>
        <v>0</v>
      </c>
      <c r="T25">
        <f>IF($P25&lt;&gt;1,0,SUMIFS('JLR Machines'!$J:$J,'JLR Machines'!$A:$A,$O25,'JLR Machines'!$C:$C,IF(Settings!$B$2="","&lt;&gt;",Settings!$B$2),'JLR Machines'!$D:$D,IF(Settings!$B$3="","&lt;&gt;",Settings!$B$3)))</f>
        <v>0</v>
      </c>
      <c r="U25">
        <f>IF($P25&lt;&gt;1,0,SUMIFS('JLR Machines'!$K:$K,'JLR Machines'!$A:$A,$O25,'JLR Machines'!$C:$C,IF(Settings!$B$2="","&lt;&gt;",Settings!$B$2),'JLR Machines'!$D:$D,IF(Settings!$B$3="","&lt;&gt;",Settings!$B$3)))</f>
        <v>0</v>
      </c>
      <c r="V25">
        <f>IF($P25&lt;&gt;1,0,SUMIFS('JLR Machines'!$L:$L,'JLR Machines'!$A:$A,$O25,'JLR Machines'!$C:$C,IF(Settings!$B$2="","&lt;&gt;",Settings!$B$2),'JLR Machines'!$D:$D,IF(Settings!$B$3="","&lt;&gt;",Settings!$B$3)))</f>
        <v>0</v>
      </c>
      <c r="W25">
        <f>IF($P25&lt;&gt;1,0,SUMIFS('JLR Machines'!$M:$M,'JLR Machines'!$A:$A,$O25,'JLR Machines'!$C:$C,IF(Settings!$B$2="","&lt;&gt;",Settings!$B$2),'JLR Machines'!$D:$D,IF(Settings!$B$3="","&lt;&gt;",Settings!$B$3)))</f>
        <v>0</v>
      </c>
      <c r="X25">
        <f>IF($P25&lt;&gt;1,0,SUMIFS('JLR Machines'!$N:$N,'JLR Machines'!$A:$A,$O25,'JLR Machines'!$C:$C,IF(Settings!$B$2="","&lt;&gt;",Settings!$B$2),'JLR Machines'!$D:$D,IF(Settings!$B$3="","&lt;&gt;",Settings!$B$3)))</f>
        <v>0</v>
      </c>
      <c r="Y25">
        <f>$Q25+$R25+$S25+$T25+$U25+$V25+$W25</f>
        <v>0</v>
      </c>
      <c r="Z25">
        <f>IF($X25&lt;=0,0,ROUND((D25+E25+F25+G25+H25+I25)/2000-$X25,4))</f>
        <v>0</v>
      </c>
    </row>
    <row r="26">
      <c r="A26" t="str">
        <v>mach-mazak-qt200</v>
      </c>
      <c r="B26" t="str">
        <v>Mazak Quick Turn 200 (Turning)</v>
      </c>
      <c r="C26" t="str">
        <v>UK</v>
      </c>
      <c r="D26">
        <f>IF($X26&gt;0,IF($Y26&gt;0,MAX(0,$Q26+$X26-$Y26)*2000,$X26*2000),42000)</f>
        <v>42000</v>
      </c>
      <c r="E26">
        <f>IF($X26&gt;0,IF($Y26&gt;0,$S26*2000,0),20000)</f>
        <v>20000</v>
      </c>
      <c r="F26">
        <f>IF($X26&gt;0,IF($Y26&gt;0,$V26*2000,0),11000)</f>
        <v>11000</v>
      </c>
      <c r="G26">
        <f>IF($X26&gt;0,IF($Y26&gt;0,$R26*2000,0),5000)</f>
        <v>5000</v>
      </c>
      <c r="H26">
        <f>IF($X26&gt;0,IF($Y26&gt;0,($T26+$W26)*2000,0),12000)</f>
        <v>12000</v>
      </c>
      <c r="I26">
        <f>IF($X26&gt;0,IF($Y26&gt;0,$U26*2000,0),10000)</f>
        <v>10000</v>
      </c>
      <c r="J26">
        <v>4000</v>
      </c>
      <c r="K26">
        <v>0.5</v>
      </c>
      <c r="L26" t="str">
        <f>IF($X26&gt;0,IF($P26&lt;&gt;1,"2026-06-14",IFERROR(INDEX('JLR Machines'!$D:$D,MATCH($O26,'JLR Machines'!$A:$A,0)),"2026-06-14")),"2026-06-14")</f>
        <v>2026-06-14</v>
      </c>
      <c r="M26" t="str">
        <f>IF($X26&gt;0,IF($Y26&gt;0,"JLR machine "&amp;$O26&amp;" at "&amp;TEXT($X26,"0.00")&amp;" per hr — build-up as supplied","JLR machine "&amp;$O26&amp;" at "&amp;TEXT($X26,"0.00")&amp;" per hr — build-up not supplied"),"Mazak Quick Turn 200 benchmark, UK Tier-2 machining shop")</f>
        <v>Mazak Quick Turn 200 benchmark, UK Tier-2 machining shop</v>
      </c>
      <c r="N26" t="str">
        <v>Medium</v>
      </c>
      <c r="O26" t="str">
        <f>IFERROR(INDEX(Mapping!$C:$C,MATCH($A26,Mapping!$A:$A,0)),"")</f>
        <v/>
      </c>
      <c r="P26">
        <f>IF($O26="",0,COUNTIFS('JLR Machines'!$A:$A,$O26,'JLR Machines'!$C:$C,IF(Settings!$B$2="","&lt;&gt;",Settings!$B$2),'JLR Machines'!$D:$D,IF(Settings!$B$3="","&lt;&gt;",Settings!$B$3)))</f>
        <v>0</v>
      </c>
      <c r="Q26">
        <f>IF($P26&lt;&gt;1,0,SUMIFS('JLR Machines'!$G:$G,'JLR Machines'!$A:$A,$O26,'JLR Machines'!$C:$C,IF(Settings!$B$2="","&lt;&gt;",Settings!$B$2),'JLR Machines'!$D:$D,IF(Settings!$B$3="","&lt;&gt;",Settings!$B$3)))</f>
        <v>0</v>
      </c>
      <c r="R26">
        <f>IF($P26&lt;&gt;1,0,SUMIFS('JLR Machines'!$H:$H,'JLR Machines'!$A:$A,$O26,'JLR Machines'!$C:$C,IF(Settings!$B$2="","&lt;&gt;",Settings!$B$2),'JLR Machines'!$D:$D,IF(Settings!$B$3="","&lt;&gt;",Settings!$B$3)))</f>
        <v>0</v>
      </c>
      <c r="S26">
        <f>IF($P26&lt;&gt;1,0,SUMIFS('JLR Machines'!$I:$I,'JLR Machines'!$A:$A,$O26,'JLR Machines'!$C:$C,IF(Settings!$B$2="","&lt;&gt;",Settings!$B$2),'JLR Machines'!$D:$D,IF(Settings!$B$3="","&lt;&gt;",Settings!$B$3)))</f>
        <v>0</v>
      </c>
      <c r="T26">
        <f>IF($P26&lt;&gt;1,0,SUMIFS('JLR Machines'!$J:$J,'JLR Machines'!$A:$A,$O26,'JLR Machines'!$C:$C,IF(Settings!$B$2="","&lt;&gt;",Settings!$B$2),'JLR Machines'!$D:$D,IF(Settings!$B$3="","&lt;&gt;",Settings!$B$3)))</f>
        <v>0</v>
      </c>
      <c r="U26">
        <f>IF($P26&lt;&gt;1,0,SUMIFS('JLR Machines'!$K:$K,'JLR Machines'!$A:$A,$O26,'JLR Machines'!$C:$C,IF(Settings!$B$2="","&lt;&gt;",Settings!$B$2),'JLR Machines'!$D:$D,IF(Settings!$B$3="","&lt;&gt;",Settings!$B$3)))</f>
        <v>0</v>
      </c>
      <c r="V26">
        <f>IF($P26&lt;&gt;1,0,SUMIFS('JLR Machines'!$L:$L,'JLR Machines'!$A:$A,$O26,'JLR Machines'!$C:$C,IF(Settings!$B$2="","&lt;&gt;",Settings!$B$2),'JLR Machines'!$D:$D,IF(Settings!$B$3="","&lt;&gt;",Settings!$B$3)))</f>
        <v>0</v>
      </c>
      <c r="W26">
        <f>IF($P26&lt;&gt;1,0,SUMIFS('JLR Machines'!$M:$M,'JLR Machines'!$A:$A,$O26,'JLR Machines'!$C:$C,IF(Settings!$B$2="","&lt;&gt;",Settings!$B$2),'JLR Machines'!$D:$D,IF(Settings!$B$3="","&lt;&gt;",Settings!$B$3)))</f>
        <v>0</v>
      </c>
      <c r="X26">
        <f>IF($P26&lt;&gt;1,0,SUMIFS('JLR Machines'!$N:$N,'JLR Machines'!$A:$A,$O26,'JLR Machines'!$C:$C,IF(Settings!$B$2="","&lt;&gt;",Settings!$B$2),'JLR Machines'!$D:$D,IF(Settings!$B$3="","&lt;&gt;",Settings!$B$3)))</f>
        <v>0</v>
      </c>
      <c r="Y26">
        <f>$Q26+$R26+$S26+$T26+$U26+$V26+$W26</f>
        <v>0</v>
      </c>
      <c r="Z26">
        <f>IF($X26&lt;=0,0,ROUND((D26+E26+F26+G26+H26+I26)/2000-$X26,4))</f>
        <v>0</v>
      </c>
    </row>
    <row r="27">
      <c r="A27" t="str">
        <v>grav-die-cast-std</v>
      </c>
      <c r="B27" t="str">
        <v>Gravity Die Casting Machine</v>
      </c>
      <c r="C27" t="str">
        <v>UK</v>
      </c>
      <c r="D27">
        <f>IF($X27&gt;0,IF($Y27&gt;0,MAX(0,$Q27+$X27-$Y27)*2000,$X27*2000),28000)</f>
        <v>28000</v>
      </c>
      <c r="E27">
        <f>IF($X27&gt;0,IF($Y27&gt;0,$S27*2000,0),14000)</f>
        <v>14000</v>
      </c>
      <c r="F27">
        <f>IF($X27&gt;0,IF($Y27&gt;0,$V27*2000,0),10000)</f>
        <v>10000</v>
      </c>
      <c r="G27">
        <f>IF($X27&gt;0,IF($Y27&gt;0,$R27*2000,0),8000)</f>
        <v>8000</v>
      </c>
      <c r="H27">
        <f>IF($X27&gt;0,IF($Y27&gt;0,($T27+$W27)*2000,0),9000)</f>
        <v>9000</v>
      </c>
      <c r="I27">
        <f>IF($X27&gt;0,IF($Y27&gt;0,$U27*2000,0),7000)</f>
        <v>7000</v>
      </c>
      <c r="J27">
        <v>4000</v>
      </c>
      <c r="K27">
        <v>0.5</v>
      </c>
      <c r="L27" t="str">
        <f>IF($X27&gt;0,IF($P27&lt;&gt;1,"2026-06-14",IFERROR(INDEX('JLR Machines'!$D:$D,MATCH($O27,'JLR Machines'!$A:$A,0)),"2026-06-14")),"2026-06-14")</f>
        <v>2026-06-14</v>
      </c>
      <c r="M27" t="str">
        <f>IF($X27&gt;0,IF($Y27&gt;0,"JLR machine "&amp;$O27&amp;" at "&amp;TEXT($X27,"0.00")&amp;" per hr — build-up as supplied","JLR machine "&amp;$O27&amp;" at "&amp;TEXT($X27,"0.00")&amp;" per hr — build-up not supplied"),"Standard gravity die casting machine, UK foundry benchmark")</f>
        <v>Standard gravity die casting machine, UK foundry benchmark</v>
      </c>
      <c r="N27" t="str">
        <v>Medium</v>
      </c>
      <c r="O27" t="str">
        <f>IFERROR(INDEX(Mapping!$C:$C,MATCH($A27,Mapping!$A:$A,0)),"")</f>
        <v/>
      </c>
      <c r="P27">
        <f>IF($O27="",0,COUNTIFS('JLR Machines'!$A:$A,$O27,'JLR Machines'!$C:$C,IF(Settings!$B$2="","&lt;&gt;",Settings!$B$2),'JLR Machines'!$D:$D,IF(Settings!$B$3="","&lt;&gt;",Settings!$B$3)))</f>
        <v>0</v>
      </c>
      <c r="Q27">
        <f>IF($P27&lt;&gt;1,0,SUMIFS('JLR Machines'!$G:$G,'JLR Machines'!$A:$A,$O27,'JLR Machines'!$C:$C,IF(Settings!$B$2="","&lt;&gt;",Settings!$B$2),'JLR Machines'!$D:$D,IF(Settings!$B$3="","&lt;&gt;",Settings!$B$3)))</f>
        <v>0</v>
      </c>
      <c r="R27">
        <f>IF($P27&lt;&gt;1,0,SUMIFS('JLR Machines'!$H:$H,'JLR Machines'!$A:$A,$O27,'JLR Machines'!$C:$C,IF(Settings!$B$2="","&lt;&gt;",Settings!$B$2),'JLR Machines'!$D:$D,IF(Settings!$B$3="","&lt;&gt;",Settings!$B$3)))</f>
        <v>0</v>
      </c>
      <c r="S27">
        <f>IF($P27&lt;&gt;1,0,SUMIFS('JLR Machines'!$I:$I,'JLR Machines'!$A:$A,$O27,'JLR Machines'!$C:$C,IF(Settings!$B$2="","&lt;&gt;",Settings!$B$2),'JLR Machines'!$D:$D,IF(Settings!$B$3="","&lt;&gt;",Settings!$B$3)))</f>
        <v>0</v>
      </c>
      <c r="T27">
        <f>IF($P27&lt;&gt;1,0,SUMIFS('JLR Machines'!$J:$J,'JLR Machines'!$A:$A,$O27,'JLR Machines'!$C:$C,IF(Settings!$B$2="","&lt;&gt;",Settings!$B$2),'JLR Machines'!$D:$D,IF(Settings!$B$3="","&lt;&gt;",Settings!$B$3)))</f>
        <v>0</v>
      </c>
      <c r="U27">
        <f>IF($P27&lt;&gt;1,0,SUMIFS('JLR Machines'!$K:$K,'JLR Machines'!$A:$A,$O27,'JLR Machines'!$C:$C,IF(Settings!$B$2="","&lt;&gt;",Settings!$B$2),'JLR Machines'!$D:$D,IF(Settings!$B$3="","&lt;&gt;",Settings!$B$3)))</f>
        <v>0</v>
      </c>
      <c r="V27">
        <f>IF($P27&lt;&gt;1,0,SUMIFS('JLR Machines'!$L:$L,'JLR Machines'!$A:$A,$O27,'JLR Machines'!$C:$C,IF(Settings!$B$2="","&lt;&gt;",Settings!$B$2),'JLR Machines'!$D:$D,IF(Settings!$B$3="","&lt;&gt;",Settings!$B$3)))</f>
        <v>0</v>
      </c>
      <c r="W27">
        <f>IF($P27&lt;&gt;1,0,SUMIFS('JLR Machines'!$M:$M,'JLR Machines'!$A:$A,$O27,'JLR Machines'!$C:$C,IF(Settings!$B$2="","&lt;&gt;",Settings!$B$2),'JLR Machines'!$D:$D,IF(Settings!$B$3="","&lt;&gt;",Settings!$B$3)))</f>
        <v>0</v>
      </c>
      <c r="X27">
        <f>IF($P27&lt;&gt;1,0,SUMIFS('JLR Machines'!$N:$N,'JLR Machines'!$A:$A,$O27,'JLR Machines'!$C:$C,IF(Settings!$B$2="","&lt;&gt;",Settings!$B$2),'JLR Machines'!$D:$D,IF(Settings!$B$3="","&lt;&gt;",Settings!$B$3)))</f>
        <v>0</v>
      </c>
      <c r="Y27">
        <f>$Q27+$R27+$S27+$T27+$U27+$V27+$W27</f>
        <v>0</v>
      </c>
      <c r="Z27">
        <f>IF($X27&lt;=0,0,ROUND((D27+E27+F27+G27+H27+I27)/2000-$X27,4))</f>
        <v>0</v>
      </c>
    </row>
    <row r="28">
      <c r="A28" t="str">
        <v>invest-cast-furnace</v>
      </c>
      <c r="B28" t="str">
        <v>Investment Casting Furnace</v>
      </c>
      <c r="C28" t="str">
        <v>UK</v>
      </c>
      <c r="D28">
        <f>IF($X28&gt;0,IF($Y28&gt;0,MAX(0,$Q28+$X28-$Y28)*2400,$X28*2400),40000)</f>
        <v>40000</v>
      </c>
      <c r="E28">
        <f>IF($X28&gt;0,IF($Y28&gt;0,$S28*2400,0),16000)</f>
        <v>16000</v>
      </c>
      <c r="F28">
        <f>IF($X28&gt;0,IF($Y28&gt;0,$V28*2400,0),18000)</f>
        <v>18000</v>
      </c>
      <c r="G28">
        <f>IF($X28&gt;0,IF($Y28&gt;0,$R28*2400,0),8000)</f>
        <v>8000</v>
      </c>
      <c r="H28">
        <f>IF($X28&gt;0,IF($Y28&gt;0,($T28+$W28)*2400,0),9600)</f>
        <v>9600</v>
      </c>
      <c r="I28">
        <f>IF($X28&gt;0,IF($Y28&gt;0,$U28*2400,0),8400)</f>
        <v>8400</v>
      </c>
      <c r="J28">
        <v>4000</v>
      </c>
      <c r="K28">
        <v>0.6</v>
      </c>
      <c r="L28" t="str">
        <f>IF($X28&gt;0,IF($P28&lt;&gt;1,"2026-06-14",IFERROR(INDEX('JLR Machines'!$D:$D,MATCH($O28,'JLR Machines'!$A:$A,0)),"2026-06-14")),"2026-06-14")</f>
        <v>2026-06-14</v>
      </c>
      <c r="M28" t="str">
        <f>IF($X28&gt;0,IF($Y28&gt;0,"JLR machine "&amp;$O28&amp;" at "&amp;TEXT($X28,"0.00")&amp;" per hr — build-up as supplied","JLR machine "&amp;$O28&amp;" at "&amp;TEXT($X28,"0.00")&amp;" per hr — build-up not supplied"),"Investment casting furnace, UK foundry benchmark")</f>
        <v>Investment casting furnace, UK foundry benchmark</v>
      </c>
      <c r="N28" t="str">
        <v>Medium</v>
      </c>
      <c r="O28" t="str">
        <f>IFERROR(INDEX(Mapping!$C:$C,MATCH($A28,Mapping!$A:$A,0)),"")</f>
        <v/>
      </c>
      <c r="P28">
        <f>IF($O28="",0,COUNTIFS('JLR Machines'!$A:$A,$O28,'JLR Machines'!$C:$C,IF(Settings!$B$2="","&lt;&gt;",Settings!$B$2),'JLR Machines'!$D:$D,IF(Settings!$B$3="","&lt;&gt;",Settings!$B$3)))</f>
        <v>0</v>
      </c>
      <c r="Q28">
        <f>IF($P28&lt;&gt;1,0,SUMIFS('JLR Machines'!$G:$G,'JLR Machines'!$A:$A,$O28,'JLR Machines'!$C:$C,IF(Settings!$B$2="","&lt;&gt;",Settings!$B$2),'JLR Machines'!$D:$D,IF(Settings!$B$3="","&lt;&gt;",Settings!$B$3)))</f>
        <v>0</v>
      </c>
      <c r="R28">
        <f>IF($P28&lt;&gt;1,0,SUMIFS('JLR Machines'!$H:$H,'JLR Machines'!$A:$A,$O28,'JLR Machines'!$C:$C,IF(Settings!$B$2="","&lt;&gt;",Settings!$B$2),'JLR Machines'!$D:$D,IF(Settings!$B$3="","&lt;&gt;",Settings!$B$3)))</f>
        <v>0</v>
      </c>
      <c r="S28">
        <f>IF($P28&lt;&gt;1,0,SUMIFS('JLR Machines'!$I:$I,'JLR Machines'!$A:$A,$O28,'JLR Machines'!$C:$C,IF(Settings!$B$2="","&lt;&gt;",Settings!$B$2),'JLR Machines'!$D:$D,IF(Settings!$B$3="","&lt;&gt;",Settings!$B$3)))</f>
        <v>0</v>
      </c>
      <c r="T28">
        <f>IF($P28&lt;&gt;1,0,SUMIFS('JLR Machines'!$J:$J,'JLR Machines'!$A:$A,$O28,'JLR Machines'!$C:$C,IF(Settings!$B$2="","&lt;&gt;",Settings!$B$2),'JLR Machines'!$D:$D,IF(Settings!$B$3="","&lt;&gt;",Settings!$B$3)))</f>
        <v>0</v>
      </c>
      <c r="U28">
        <f>IF($P28&lt;&gt;1,0,SUMIFS('JLR Machines'!$K:$K,'JLR Machines'!$A:$A,$O28,'JLR Machines'!$C:$C,IF(Settings!$B$2="","&lt;&gt;",Settings!$B$2),'JLR Machines'!$D:$D,IF(Settings!$B$3="","&lt;&gt;",Settings!$B$3)))</f>
        <v>0</v>
      </c>
      <c r="V28">
        <f>IF($P28&lt;&gt;1,0,SUMIFS('JLR Machines'!$L:$L,'JLR Machines'!$A:$A,$O28,'JLR Machines'!$C:$C,IF(Settings!$B$2="","&lt;&gt;",Settings!$B$2),'JLR Machines'!$D:$D,IF(Settings!$B$3="","&lt;&gt;",Settings!$B$3)))</f>
        <v>0</v>
      </c>
      <c r="W28">
        <f>IF($P28&lt;&gt;1,0,SUMIFS('JLR Machines'!$M:$M,'JLR Machines'!$A:$A,$O28,'JLR Machines'!$C:$C,IF(Settings!$B$2="","&lt;&gt;",Settings!$B$2),'JLR Machines'!$D:$D,IF(Settings!$B$3="","&lt;&gt;",Settings!$B$3)))</f>
        <v>0</v>
      </c>
      <c r="X28">
        <f>IF($P28&lt;&gt;1,0,SUMIFS('JLR Machines'!$N:$N,'JLR Machines'!$A:$A,$O28,'JLR Machines'!$C:$C,IF(Settings!$B$2="","&lt;&gt;",Settings!$B$2),'JLR Machines'!$D:$D,IF(Settings!$B$3="","&lt;&gt;",Settings!$B$3)))</f>
        <v>0</v>
      </c>
      <c r="Y28">
        <f>$Q28+$R28+$S28+$T28+$U28+$V28+$W28</f>
        <v>0</v>
      </c>
      <c r="Z28">
        <f>IF($X28&lt;=0,0,ROUND((D28+E28+F28+G28+H28+I28)/2400-$X28,4))</f>
        <v>0</v>
      </c>
    </row>
    <row r="29">
      <c r="A29" t="str">
        <v>heat-treat-furnace</v>
      </c>
      <c r="B29" t="str">
        <v>Heat Treatment / Ageing Furnace</v>
      </c>
      <c r="C29" t="str">
        <v>UK</v>
      </c>
      <c r="D29">
        <f>IF($X29&gt;0,IF($Y29&gt;0,MAX(0,$Q29+$X29-$Y29)*4500,$X29*4500),22000)</f>
        <v>22000</v>
      </c>
      <c r="E29">
        <f>IF($X29&gt;0,IF($Y29&gt;0,$S29*4500,0),8000)</f>
        <v>8000</v>
      </c>
      <c r="F29">
        <f>IF($X29&gt;0,IF($Y29&gt;0,$V29*4500,0),35000)</f>
        <v>35000</v>
      </c>
      <c r="G29">
        <f>IF($X29&gt;0,IF($Y29&gt;0,$R29*4500,0),6000)</f>
        <v>6000</v>
      </c>
      <c r="H29">
        <f>IF($X29&gt;0,IF($Y29&gt;0,($T29+$W29)*4500,0),5000)</f>
        <v>5000</v>
      </c>
      <c r="I29">
        <f>IF($X29&gt;0,IF($Y29&gt;0,$U29*4500,0),2750)</f>
        <v>2750</v>
      </c>
      <c r="J29">
        <v>6000</v>
      </c>
      <c r="K29">
        <v>0.75</v>
      </c>
      <c r="L29" t="str">
        <f>IF($X29&gt;0,IF($P29&lt;&gt;1,"2026-06-14",IFERROR(INDEX('JLR Machines'!$D:$D,MATCH($O29,'JLR Machines'!$A:$A,0)),"2026-06-14")),"2026-06-14")</f>
        <v>2026-06-14</v>
      </c>
      <c r="M29" t="str">
        <f>IF($X29&gt;0,IF($Y29&gt;0,"JLR machine "&amp;$O29&amp;" at "&amp;TEXT($X29,"0.00")&amp;" per hr — build-up as supplied","JLR machine "&amp;$O29&amp;" at "&amp;TEXT($X29,"0.00")&amp;" per hr — build-up not supplied"),"T5/T6 solution + ageing furnace, UK foundry benchmark")</f>
        <v>T5/T6 solution + ageing furnace, UK foundry benchmark</v>
      </c>
      <c r="N29" t="str">
        <v>Medium</v>
      </c>
      <c r="O29" t="str">
        <f>IFERROR(INDEX(Mapping!$C:$C,MATCH($A29,Mapping!$A:$A,0)),"")</f>
        <v/>
      </c>
      <c r="P29">
        <f>IF($O29="",0,COUNTIFS('JLR Machines'!$A:$A,$O29,'JLR Machines'!$C:$C,IF(Settings!$B$2="","&lt;&gt;",Settings!$B$2),'JLR Machines'!$D:$D,IF(Settings!$B$3="","&lt;&gt;",Settings!$B$3)))</f>
        <v>0</v>
      </c>
      <c r="Q29">
        <f>IF($P29&lt;&gt;1,0,SUMIFS('JLR Machines'!$G:$G,'JLR Machines'!$A:$A,$O29,'JLR Machines'!$C:$C,IF(Settings!$B$2="","&lt;&gt;",Settings!$B$2),'JLR Machines'!$D:$D,IF(Settings!$B$3="","&lt;&gt;",Settings!$B$3)))</f>
        <v>0</v>
      </c>
      <c r="R29">
        <f>IF($P29&lt;&gt;1,0,SUMIFS('JLR Machines'!$H:$H,'JLR Machines'!$A:$A,$O29,'JLR Machines'!$C:$C,IF(Settings!$B$2="","&lt;&gt;",Settings!$B$2),'JLR Machines'!$D:$D,IF(Settings!$B$3="","&lt;&gt;",Settings!$B$3)))</f>
        <v>0</v>
      </c>
      <c r="S29">
        <f>IF($P29&lt;&gt;1,0,SUMIFS('JLR Machines'!$I:$I,'JLR Machines'!$A:$A,$O29,'JLR Machines'!$C:$C,IF(Settings!$B$2="","&lt;&gt;",Settings!$B$2),'JLR Machines'!$D:$D,IF(Settings!$B$3="","&lt;&gt;",Settings!$B$3)))</f>
        <v>0</v>
      </c>
      <c r="T29">
        <f>IF($P29&lt;&gt;1,0,SUMIFS('JLR Machines'!$J:$J,'JLR Machines'!$A:$A,$O29,'JLR Machines'!$C:$C,IF(Settings!$B$2="","&lt;&gt;",Settings!$B$2),'JLR Machines'!$D:$D,IF(Settings!$B$3="","&lt;&gt;",Settings!$B$3)))</f>
        <v>0</v>
      </c>
      <c r="U29">
        <f>IF($P29&lt;&gt;1,0,SUMIFS('JLR Machines'!$K:$K,'JLR Machines'!$A:$A,$O29,'JLR Machines'!$C:$C,IF(Settings!$B$2="","&lt;&gt;",Settings!$B$2),'JLR Machines'!$D:$D,IF(Settings!$B$3="","&lt;&gt;",Settings!$B$3)))</f>
        <v>0</v>
      </c>
      <c r="V29">
        <f>IF($P29&lt;&gt;1,0,SUMIFS('JLR Machines'!$L:$L,'JLR Machines'!$A:$A,$O29,'JLR Machines'!$C:$C,IF(Settings!$B$2="","&lt;&gt;",Settings!$B$2),'JLR Machines'!$D:$D,IF(Settings!$B$3="","&lt;&gt;",Settings!$B$3)))</f>
        <v>0</v>
      </c>
      <c r="W29">
        <f>IF($P29&lt;&gt;1,0,SUMIFS('JLR Machines'!$M:$M,'JLR Machines'!$A:$A,$O29,'JLR Machines'!$C:$C,IF(Settings!$B$2="","&lt;&gt;",Settings!$B$2),'JLR Machines'!$D:$D,IF(Settings!$B$3="","&lt;&gt;",Settings!$B$3)))</f>
        <v>0</v>
      </c>
      <c r="X29">
        <f>IF($P29&lt;&gt;1,0,SUMIFS('JLR Machines'!$N:$N,'JLR Machines'!$A:$A,$O29,'JLR Machines'!$C:$C,IF(Settings!$B$2="","&lt;&gt;",Settings!$B$2),'JLR Machines'!$D:$D,IF(Settings!$B$3="","&lt;&gt;",Settings!$B$3)))</f>
        <v>0</v>
      </c>
      <c r="Y29">
        <f>$Q29+$R29+$S29+$T29+$U29+$V29+$W29</f>
        <v>0</v>
      </c>
      <c r="Z29">
        <f>IF($X29&lt;=0,0,ROUND((D29+E29+F29+G29+H29+I29)/4500-$X29,4))</f>
        <v>0</v>
      </c>
    </row>
    <row r="30">
      <c r="A30" t="str">
        <v>press-100t</v>
      </c>
      <c r="B30" t="str">
        <v>100T Mechanical Press (general press shop)</v>
      </c>
      <c r="C30" t="str">
        <v>UK</v>
      </c>
      <c r="D30">
        <f>IF($X30&gt;0,IF($Y30&gt;0,MAX(0,$Q30+$X30-$Y30)*2800,$X30*2800),18000)</f>
        <v>18000</v>
      </c>
      <c r="E30">
        <f>IF($X30&gt;0,IF($Y30&gt;0,$S30*2800,0),9000)</f>
        <v>9000</v>
      </c>
      <c r="F30">
        <f>IF($X30&gt;0,IF($Y30&gt;0,$V30*2800,0),5000)</f>
        <v>5000</v>
      </c>
      <c r="G30">
        <f>IF($X30&gt;0,IF($Y30&gt;0,$R30*2800,0),5000)</f>
        <v>5000</v>
      </c>
      <c r="H30">
        <f>IF($X30&gt;0,IF($Y30&gt;0,($T30+$W30)*2800,0),4000)</f>
        <v>4000</v>
      </c>
      <c r="I30">
        <f>IF($X30&gt;0,IF($Y30&gt;0,$U30*2800,0),2250)</f>
        <v>2250</v>
      </c>
      <c r="J30">
        <v>3500</v>
      </c>
      <c r="K30">
        <v>0.8</v>
      </c>
      <c r="L30" t="str">
        <f>IF($X30&gt;0,IF($P30&lt;&gt;1,"2026-06-14",IFERROR(INDEX('JLR Machines'!$D:$D,MATCH($O30,'JLR Machines'!$A:$A,0)),"2026-06-14")),"2026-06-14")</f>
        <v>2026-06-14</v>
      </c>
      <c r="M30" t="str">
        <f>IF($X30&gt;0,IF($Y30&gt;0,"JLR machine "&amp;$O30&amp;" at "&amp;TEXT($X30,"0.00")&amp;" per hr — build-up as supplied","JLR machine "&amp;$O30&amp;" at "&amp;TEXT($X30,"0.00")&amp;" per hr — build-up not supplied"),"UK general press-shop benchmark (standard/amortised mechanical press), Jun 2026")</f>
        <v>UK general press-shop benchmark (standard/amortised mechanical press), Jun 2026</v>
      </c>
      <c r="N30" t="str">
        <v>Medium</v>
      </c>
      <c r="O30" t="str">
        <f>IFERROR(INDEX(Mapping!$C:$C,MATCH($A30,Mapping!$A:$A,0)),"")</f>
        <v/>
      </c>
      <c r="P30">
        <f>IF($O30="",0,COUNTIFS('JLR Machines'!$A:$A,$O30,'JLR Machines'!$C:$C,IF(Settings!$B$2="","&lt;&gt;",Settings!$B$2),'JLR Machines'!$D:$D,IF(Settings!$B$3="","&lt;&gt;",Settings!$B$3)))</f>
        <v>0</v>
      </c>
      <c r="Q30">
        <f>IF($P30&lt;&gt;1,0,SUMIFS('JLR Machines'!$G:$G,'JLR Machines'!$A:$A,$O30,'JLR Machines'!$C:$C,IF(Settings!$B$2="","&lt;&gt;",Settings!$B$2),'JLR Machines'!$D:$D,IF(Settings!$B$3="","&lt;&gt;",Settings!$B$3)))</f>
        <v>0</v>
      </c>
      <c r="R30">
        <f>IF($P30&lt;&gt;1,0,SUMIFS('JLR Machines'!$H:$H,'JLR Machines'!$A:$A,$O30,'JLR Machines'!$C:$C,IF(Settings!$B$2="","&lt;&gt;",Settings!$B$2),'JLR Machines'!$D:$D,IF(Settings!$B$3="","&lt;&gt;",Settings!$B$3)))</f>
        <v>0</v>
      </c>
      <c r="S30">
        <f>IF($P30&lt;&gt;1,0,SUMIFS('JLR Machines'!$I:$I,'JLR Machines'!$A:$A,$O30,'JLR Machines'!$C:$C,IF(Settings!$B$2="","&lt;&gt;",Settings!$B$2),'JLR Machines'!$D:$D,IF(Settings!$B$3="","&lt;&gt;",Settings!$B$3)))</f>
        <v>0</v>
      </c>
      <c r="T30">
        <f>IF($P30&lt;&gt;1,0,SUMIFS('JLR Machines'!$J:$J,'JLR Machines'!$A:$A,$O30,'JLR Machines'!$C:$C,IF(Settings!$B$2="","&lt;&gt;",Settings!$B$2),'JLR Machines'!$D:$D,IF(Settings!$B$3="","&lt;&gt;",Settings!$B$3)))</f>
        <v>0</v>
      </c>
      <c r="U30">
        <f>IF($P30&lt;&gt;1,0,SUMIFS('JLR Machines'!$K:$K,'JLR Machines'!$A:$A,$O30,'JLR Machines'!$C:$C,IF(Settings!$B$2="","&lt;&gt;",Settings!$B$2),'JLR Machines'!$D:$D,IF(Settings!$B$3="","&lt;&gt;",Settings!$B$3)))</f>
        <v>0</v>
      </c>
      <c r="V30">
        <f>IF($P30&lt;&gt;1,0,SUMIFS('JLR Machines'!$L:$L,'JLR Machines'!$A:$A,$O30,'JLR Machines'!$C:$C,IF(Settings!$B$2="","&lt;&gt;",Settings!$B$2),'JLR Machines'!$D:$D,IF(Settings!$B$3="","&lt;&gt;",Settings!$B$3)))</f>
        <v>0</v>
      </c>
      <c r="W30">
        <f>IF($P30&lt;&gt;1,0,SUMIFS('JLR Machines'!$M:$M,'JLR Machines'!$A:$A,$O30,'JLR Machines'!$C:$C,IF(Settings!$B$2="","&lt;&gt;",Settings!$B$2),'JLR Machines'!$D:$D,IF(Settings!$B$3="","&lt;&gt;",Settings!$B$3)))</f>
        <v>0</v>
      </c>
      <c r="X30">
        <f>IF($P30&lt;&gt;1,0,SUMIFS('JLR Machines'!$N:$N,'JLR Machines'!$A:$A,$O30,'JLR Machines'!$C:$C,IF(Settings!$B$2="","&lt;&gt;",Settings!$B$2),'JLR Machines'!$D:$D,IF(Settings!$B$3="","&lt;&gt;",Settings!$B$3)))</f>
        <v>0</v>
      </c>
      <c r="Y30">
        <f>$Q30+$R30+$S30+$T30+$U30+$V30+$W30</f>
        <v>0</v>
      </c>
      <c r="Z30">
        <f>IF($X30&lt;=0,0,ROUND((D30+E30+F30+G30+H30+I30)/2800-$X30,4))</f>
        <v>0</v>
      </c>
    </row>
    <row r="31">
      <c r="A31" t="str">
        <v>press-200t</v>
      </c>
      <c r="B31" t="str">
        <v>200T Mechanical Press (general press shop)</v>
      </c>
      <c r="C31" t="str">
        <v>UK</v>
      </c>
      <c r="D31">
        <f>IF($X31&gt;0,IF($Y31&gt;0,MAX(0,$Q31+$X31-$Y31)*2800,$X31*2800),28000)</f>
        <v>28000</v>
      </c>
      <c r="E31">
        <f>IF($X31&gt;0,IF($Y31&gt;0,$S31*2800,0),14000)</f>
        <v>14000</v>
      </c>
      <c r="F31">
        <f>IF($X31&gt;0,IF($Y31&gt;0,$V31*2800,0),7500)</f>
        <v>7500</v>
      </c>
      <c r="G31">
        <f>IF($X31&gt;0,IF($Y31&gt;0,$R31*2800,0),7500)</f>
        <v>7500</v>
      </c>
      <c r="H31">
        <f>IF($X31&gt;0,IF($Y31&gt;0,($T31+$W31)*2800,0),6000)</f>
        <v>6000</v>
      </c>
      <c r="I31">
        <f>IF($X31&gt;0,IF($Y31&gt;0,$U31*2800,0),3500)</f>
        <v>3500</v>
      </c>
      <c r="J31">
        <v>3500</v>
      </c>
      <c r="K31">
        <v>0.8</v>
      </c>
      <c r="L31" t="str">
        <f>IF($X31&gt;0,IF($P31&lt;&gt;1,"2026-06-14",IFERROR(INDEX('JLR Machines'!$D:$D,MATCH($O31,'JLR Machines'!$A:$A,0)),"2026-06-14")),"2026-06-14")</f>
        <v>2026-06-14</v>
      </c>
      <c r="M31" t="str">
        <f>IF($X31&gt;0,IF($Y31&gt;0,"JLR machine "&amp;$O31&amp;" at "&amp;TEXT($X31,"0.00")&amp;" per hr — build-up as supplied","JLR machine "&amp;$O31&amp;" at "&amp;TEXT($X31,"0.00")&amp;" per hr — build-up not supplied"),"UK general press-shop benchmark (standard/amortised mechanical press), Jun 2026")</f>
        <v>UK general press-shop benchmark (standard/amortised mechanical press), Jun 2026</v>
      </c>
      <c r="N31" t="str">
        <v>Medium</v>
      </c>
      <c r="O31" t="str">
        <f>IFERROR(INDEX(Mapping!$C:$C,MATCH($A31,Mapping!$A:$A,0)),"")</f>
        <v/>
      </c>
      <c r="P31">
        <f>IF($O31="",0,COUNTIFS('JLR Machines'!$A:$A,$O31,'JLR Machines'!$C:$C,IF(Settings!$B$2="","&lt;&gt;",Settings!$B$2),'JLR Machines'!$D:$D,IF(Settings!$B$3="","&lt;&gt;",Settings!$B$3)))</f>
        <v>0</v>
      </c>
      <c r="Q31">
        <f>IF($P31&lt;&gt;1,0,SUMIFS('JLR Machines'!$G:$G,'JLR Machines'!$A:$A,$O31,'JLR Machines'!$C:$C,IF(Settings!$B$2="","&lt;&gt;",Settings!$B$2),'JLR Machines'!$D:$D,IF(Settings!$B$3="","&lt;&gt;",Settings!$B$3)))</f>
        <v>0</v>
      </c>
      <c r="R31">
        <f>IF($P31&lt;&gt;1,0,SUMIFS('JLR Machines'!$H:$H,'JLR Machines'!$A:$A,$O31,'JLR Machines'!$C:$C,IF(Settings!$B$2="","&lt;&gt;",Settings!$B$2),'JLR Machines'!$D:$D,IF(Settings!$B$3="","&lt;&gt;",Settings!$B$3)))</f>
        <v>0</v>
      </c>
      <c r="S31">
        <f>IF($P31&lt;&gt;1,0,SUMIFS('JLR Machines'!$I:$I,'JLR Machines'!$A:$A,$O31,'JLR Machines'!$C:$C,IF(Settings!$B$2="","&lt;&gt;",Settings!$B$2),'JLR Machines'!$D:$D,IF(Settings!$B$3="","&lt;&gt;",Settings!$B$3)))</f>
        <v>0</v>
      </c>
      <c r="T31">
        <f>IF($P31&lt;&gt;1,0,SUMIFS('JLR Machines'!$J:$J,'JLR Machines'!$A:$A,$O31,'JLR Machines'!$C:$C,IF(Settings!$B$2="","&lt;&gt;",Settings!$B$2),'JLR Machines'!$D:$D,IF(Settings!$B$3="","&lt;&gt;",Settings!$B$3)))</f>
        <v>0</v>
      </c>
      <c r="U31">
        <f>IF($P31&lt;&gt;1,0,SUMIFS('JLR Machines'!$K:$K,'JLR Machines'!$A:$A,$O31,'JLR Machines'!$C:$C,IF(Settings!$B$2="","&lt;&gt;",Settings!$B$2),'JLR Machines'!$D:$D,IF(Settings!$B$3="","&lt;&gt;",Settings!$B$3)))</f>
        <v>0</v>
      </c>
      <c r="V31">
        <f>IF($P31&lt;&gt;1,0,SUMIFS('JLR Machines'!$L:$L,'JLR Machines'!$A:$A,$O31,'JLR Machines'!$C:$C,IF(Settings!$B$2="","&lt;&gt;",Settings!$B$2),'JLR Machines'!$D:$D,IF(Settings!$B$3="","&lt;&gt;",Settings!$B$3)))</f>
        <v>0</v>
      </c>
      <c r="W31">
        <f>IF($P31&lt;&gt;1,0,SUMIFS('JLR Machines'!$M:$M,'JLR Machines'!$A:$A,$O31,'JLR Machines'!$C:$C,IF(Settings!$B$2="","&lt;&gt;",Settings!$B$2),'JLR Machines'!$D:$D,IF(Settings!$B$3="","&lt;&gt;",Settings!$B$3)))</f>
        <v>0</v>
      </c>
      <c r="X31">
        <f>IF($P31&lt;&gt;1,0,SUMIFS('JLR Machines'!$N:$N,'JLR Machines'!$A:$A,$O31,'JLR Machines'!$C:$C,IF(Settings!$B$2="","&lt;&gt;",Settings!$B$2),'JLR Machines'!$D:$D,IF(Settings!$B$3="","&lt;&gt;",Settings!$B$3)))</f>
        <v>0</v>
      </c>
      <c r="Y31">
        <f>$Q31+$R31+$S31+$T31+$U31+$V31+$W31</f>
        <v>0</v>
      </c>
      <c r="Z31">
        <f>IF($X31&lt;=0,0,ROUND((D31+E31+F31+G31+H31+I31)/2800-$X31,4))</f>
        <v>0</v>
      </c>
    </row>
    <row r="32">
      <c r="A32" t="str">
        <v>press-400t</v>
      </c>
      <c r="B32" t="str">
        <v>400T Mechanical Press (general press shop)</v>
      </c>
      <c r="C32" t="str">
        <v>UK</v>
      </c>
      <c r="D32">
        <f>IF($X32&gt;0,IF($Y32&gt;0,MAX(0,$Q32+$X32-$Y32)*2800,$X32*2800),50000)</f>
        <v>50000</v>
      </c>
      <c r="E32">
        <f>IF($X32&gt;0,IF($Y32&gt;0,$S32*2800,0),22000)</f>
        <v>22000</v>
      </c>
      <c r="F32">
        <f>IF($X32&gt;0,IF($Y32&gt;0,$V32*2800,0),11000)</f>
        <v>11000</v>
      </c>
      <c r="G32">
        <f>IF($X32&gt;0,IF($Y32&gt;0,$R32*2800,0),10000)</f>
        <v>10000</v>
      </c>
      <c r="H32">
        <f>IF($X32&gt;0,IF($Y32&gt;0,($T32+$W32)*2800,0),9000)</f>
        <v>9000</v>
      </c>
      <c r="I32">
        <f>IF($X32&gt;0,IF($Y32&gt;0,$U32*2800,0),6250)</f>
        <v>6250</v>
      </c>
      <c r="J32">
        <v>3500</v>
      </c>
      <c r="K32">
        <v>0.8</v>
      </c>
      <c r="L32" t="str">
        <f>IF($X32&gt;0,IF($P32&lt;&gt;1,"2026-06-14",IFERROR(INDEX('JLR Machines'!$D:$D,MATCH($O32,'JLR Machines'!$A:$A,0)),"2026-06-14")),"2026-06-14")</f>
        <v>2026-06-14</v>
      </c>
      <c r="M32" t="str">
        <f>IF($X32&gt;0,IF($Y32&gt;0,"JLR machine "&amp;$O32&amp;" at "&amp;TEXT($X32,"0.00")&amp;" per hr — build-up as supplied","JLR machine "&amp;$O32&amp;" at "&amp;TEXT($X32,"0.00")&amp;" per hr — build-up not supplied"),"UK general press-shop benchmark (standard/amortised mechanical press; new servo transfer line: use press-schuler-400t), Jun 2026")</f>
        <v>UK general press-shop benchmark (standard/amortised mechanical press; new servo transfer line: use press-schuler-400t), Jun 2026</v>
      </c>
      <c r="N32" t="str">
        <v>Medium</v>
      </c>
      <c r="O32" t="str">
        <f>IFERROR(INDEX(Mapping!$C:$C,MATCH($A32,Mapping!$A:$A,0)),"")</f>
        <v/>
      </c>
      <c r="P32">
        <f>IF($O32="",0,COUNTIFS('JLR Machines'!$A:$A,$O32,'JLR Machines'!$C:$C,IF(Settings!$B$2="","&lt;&gt;",Settings!$B$2),'JLR Machines'!$D:$D,IF(Settings!$B$3="","&lt;&gt;",Settings!$B$3)))</f>
        <v>0</v>
      </c>
      <c r="Q32">
        <f>IF($P32&lt;&gt;1,0,SUMIFS('JLR Machines'!$G:$G,'JLR Machines'!$A:$A,$O32,'JLR Machines'!$C:$C,IF(Settings!$B$2="","&lt;&gt;",Settings!$B$2),'JLR Machines'!$D:$D,IF(Settings!$B$3="","&lt;&gt;",Settings!$B$3)))</f>
        <v>0</v>
      </c>
      <c r="R32">
        <f>IF($P32&lt;&gt;1,0,SUMIFS('JLR Machines'!$H:$H,'JLR Machines'!$A:$A,$O32,'JLR Machines'!$C:$C,IF(Settings!$B$2="","&lt;&gt;",Settings!$B$2),'JLR Machines'!$D:$D,IF(Settings!$B$3="","&lt;&gt;",Settings!$B$3)))</f>
        <v>0</v>
      </c>
      <c r="S32">
        <f>IF($P32&lt;&gt;1,0,SUMIFS('JLR Machines'!$I:$I,'JLR Machines'!$A:$A,$O32,'JLR Machines'!$C:$C,IF(Settings!$B$2="","&lt;&gt;",Settings!$B$2),'JLR Machines'!$D:$D,IF(Settings!$B$3="","&lt;&gt;",Settings!$B$3)))</f>
        <v>0</v>
      </c>
      <c r="T32">
        <f>IF($P32&lt;&gt;1,0,SUMIFS('JLR Machines'!$J:$J,'JLR Machines'!$A:$A,$O32,'JLR Machines'!$C:$C,IF(Settings!$B$2="","&lt;&gt;",Settings!$B$2),'JLR Machines'!$D:$D,IF(Settings!$B$3="","&lt;&gt;",Settings!$B$3)))</f>
        <v>0</v>
      </c>
      <c r="U32">
        <f>IF($P32&lt;&gt;1,0,SUMIFS('JLR Machines'!$K:$K,'JLR Machines'!$A:$A,$O32,'JLR Machines'!$C:$C,IF(Settings!$B$2="","&lt;&gt;",Settings!$B$2),'JLR Machines'!$D:$D,IF(Settings!$B$3="","&lt;&gt;",Settings!$B$3)))</f>
        <v>0</v>
      </c>
      <c r="V32">
        <f>IF($P32&lt;&gt;1,0,SUMIFS('JLR Machines'!$L:$L,'JLR Machines'!$A:$A,$O32,'JLR Machines'!$C:$C,IF(Settings!$B$2="","&lt;&gt;",Settings!$B$2),'JLR Machines'!$D:$D,IF(Settings!$B$3="","&lt;&gt;",Settings!$B$3)))</f>
        <v>0</v>
      </c>
      <c r="W32">
        <f>IF($P32&lt;&gt;1,0,SUMIFS('JLR Machines'!$M:$M,'JLR Machines'!$A:$A,$O32,'JLR Machines'!$C:$C,IF(Settings!$B$2="","&lt;&gt;",Settings!$B$2),'JLR Machines'!$D:$D,IF(Settings!$B$3="","&lt;&gt;",Settings!$B$3)))</f>
        <v>0</v>
      </c>
      <c r="X32">
        <f>IF($P32&lt;&gt;1,0,SUMIFS('JLR Machines'!$N:$N,'JLR Machines'!$A:$A,$O32,'JLR Machines'!$C:$C,IF(Settings!$B$2="","&lt;&gt;",Settings!$B$2),'JLR Machines'!$D:$D,IF(Settings!$B$3="","&lt;&gt;",Settings!$B$3)))</f>
        <v>0</v>
      </c>
      <c r="Y32">
        <f>$Q32+$R32+$S32+$T32+$U32+$V32+$W32</f>
        <v>0</v>
      </c>
      <c r="Z32">
        <f>IF($X32&lt;=0,0,ROUND((D32+E32+F32+G32+H32+I32)/2800-$X32,4))</f>
        <v>0</v>
      </c>
    </row>
    <row r="33">
      <c r="A33" t="str">
        <v>press-630t</v>
      </c>
      <c r="B33" t="str">
        <v>630T Mechanical Press (general press shop)</v>
      </c>
      <c r="C33" t="str">
        <v>UK</v>
      </c>
      <c r="D33">
        <f>IF($X33&gt;0,IF($Y33&gt;0,MAX(0,$Q33+$X33-$Y33)*2730,$X33*2730),75000)</f>
        <v>75000</v>
      </c>
      <c r="E33">
        <f>IF($X33&gt;0,IF($Y33&gt;0,$S33*2730,0),35000)</f>
        <v>35000</v>
      </c>
      <c r="F33">
        <f>IF($X33&gt;0,IF($Y33&gt;0,$V33*2730,0),15000)</f>
        <v>15000</v>
      </c>
      <c r="G33">
        <f>IF($X33&gt;0,IF($Y33&gt;0,$R33*2730,0),15000)</f>
        <v>15000</v>
      </c>
      <c r="H33">
        <f>IF($X33&gt;0,IF($Y33&gt;0,($T33+$W33)*2730,0),14000)</f>
        <v>14000</v>
      </c>
      <c r="I33">
        <f>IF($X33&gt;0,IF($Y33&gt;0,$U33*2730,0),9375)</f>
        <v>9375</v>
      </c>
      <c r="J33">
        <v>3500</v>
      </c>
      <c r="K33">
        <v>0.78</v>
      </c>
      <c r="L33" t="str">
        <f>IF($X33&gt;0,IF($P33&lt;&gt;1,"2026-06-14",IFERROR(INDEX('JLR Machines'!$D:$D,MATCH($O33,'JLR Machines'!$A:$A,0)),"2026-06-14")),"2026-06-14")</f>
        <v>2026-06-14</v>
      </c>
      <c r="M33" t="str">
        <f>IF($X33&gt;0,IF($Y33&gt;0,"JLR machine "&amp;$O33&amp;" at "&amp;TEXT($X33,"0.00")&amp;" per hr — build-up as supplied","JLR machine "&amp;$O33&amp;" at "&amp;TEXT($X33,"0.00")&amp;" per hr — build-up not supplied"),"UK general press-shop benchmark (standard/amortised mechanical press), Jun 2026")</f>
        <v>UK general press-shop benchmark (standard/amortised mechanical press), Jun 2026</v>
      </c>
      <c r="N33" t="str">
        <v>Medium</v>
      </c>
      <c r="O33" t="str">
        <f>IFERROR(INDEX(Mapping!$C:$C,MATCH($A33,Mapping!$A:$A,0)),"")</f>
        <v/>
      </c>
      <c r="P33">
        <f>IF($O33="",0,COUNTIFS('JLR Machines'!$A:$A,$O33,'JLR Machines'!$C:$C,IF(Settings!$B$2="","&lt;&gt;",Settings!$B$2),'JLR Machines'!$D:$D,IF(Settings!$B$3="","&lt;&gt;",Settings!$B$3)))</f>
        <v>0</v>
      </c>
      <c r="Q33">
        <f>IF($P33&lt;&gt;1,0,SUMIFS('JLR Machines'!$G:$G,'JLR Machines'!$A:$A,$O33,'JLR Machines'!$C:$C,IF(Settings!$B$2="","&lt;&gt;",Settings!$B$2),'JLR Machines'!$D:$D,IF(Settings!$B$3="","&lt;&gt;",Settings!$B$3)))</f>
        <v>0</v>
      </c>
      <c r="R33">
        <f>IF($P33&lt;&gt;1,0,SUMIFS('JLR Machines'!$H:$H,'JLR Machines'!$A:$A,$O33,'JLR Machines'!$C:$C,IF(Settings!$B$2="","&lt;&gt;",Settings!$B$2),'JLR Machines'!$D:$D,IF(Settings!$B$3="","&lt;&gt;",Settings!$B$3)))</f>
        <v>0</v>
      </c>
      <c r="S33">
        <f>IF($P33&lt;&gt;1,0,SUMIFS('JLR Machines'!$I:$I,'JLR Machines'!$A:$A,$O33,'JLR Machines'!$C:$C,IF(Settings!$B$2="","&lt;&gt;",Settings!$B$2),'JLR Machines'!$D:$D,IF(Settings!$B$3="","&lt;&gt;",Settings!$B$3)))</f>
        <v>0</v>
      </c>
      <c r="T33">
        <f>IF($P33&lt;&gt;1,0,SUMIFS('JLR Machines'!$J:$J,'JLR Machines'!$A:$A,$O33,'JLR Machines'!$C:$C,IF(Settings!$B$2="","&lt;&gt;",Settings!$B$2),'JLR Machines'!$D:$D,IF(Settings!$B$3="","&lt;&gt;",Settings!$B$3)))</f>
        <v>0</v>
      </c>
      <c r="U33">
        <f>IF($P33&lt;&gt;1,0,SUMIFS('JLR Machines'!$K:$K,'JLR Machines'!$A:$A,$O33,'JLR Machines'!$C:$C,IF(Settings!$B$2="","&lt;&gt;",Settings!$B$2),'JLR Machines'!$D:$D,IF(Settings!$B$3="","&lt;&gt;",Settings!$B$3)))</f>
        <v>0</v>
      </c>
      <c r="V33">
        <f>IF($P33&lt;&gt;1,0,SUMIFS('JLR Machines'!$L:$L,'JLR Machines'!$A:$A,$O33,'JLR Machines'!$C:$C,IF(Settings!$B$2="","&lt;&gt;",Settings!$B$2),'JLR Machines'!$D:$D,IF(Settings!$B$3="","&lt;&gt;",Settings!$B$3)))</f>
        <v>0</v>
      </c>
      <c r="W33">
        <f>IF($P33&lt;&gt;1,0,SUMIFS('JLR Machines'!$M:$M,'JLR Machines'!$A:$A,$O33,'JLR Machines'!$C:$C,IF(Settings!$B$2="","&lt;&gt;",Settings!$B$2),'JLR Machines'!$D:$D,IF(Settings!$B$3="","&lt;&gt;",Settings!$B$3)))</f>
        <v>0</v>
      </c>
      <c r="X33">
        <f>IF($P33&lt;&gt;1,0,SUMIFS('JLR Machines'!$N:$N,'JLR Machines'!$A:$A,$O33,'JLR Machines'!$C:$C,IF(Settings!$B$2="","&lt;&gt;",Settings!$B$2),'JLR Machines'!$D:$D,IF(Settings!$B$3="","&lt;&gt;",Settings!$B$3)))</f>
        <v>0</v>
      </c>
      <c r="Y33">
        <f>$Q33+$R33+$S33+$T33+$U33+$V33+$W33</f>
        <v>0</v>
      </c>
      <c r="Z33">
        <f>IF($X33&lt;=0,0,ROUND((D33+E33+F33+G33+H33+I33)/2730-$X33,4))</f>
        <v>0</v>
      </c>
    </row>
    <row r="34">
      <c r="A34" t="str">
        <v>press-800t</v>
      </c>
      <c r="B34" t="str">
        <v>800T Mechanical Press (general press shop)</v>
      </c>
      <c r="C34" t="str">
        <v>UK</v>
      </c>
      <c r="D34">
        <f>IF($X34&gt;0,IF($Y34&gt;0,MAX(0,$Q34+$X34-$Y34)*2730,$X34*2730),90000)</f>
        <v>90000</v>
      </c>
      <c r="E34">
        <f>IF($X34&gt;0,IF($Y34&gt;0,$S34*2730,0),42000)</f>
        <v>42000</v>
      </c>
      <c r="F34">
        <f>IF($X34&gt;0,IF($Y34&gt;0,$V34*2730,0),18000)</f>
        <v>18000</v>
      </c>
      <c r="G34">
        <f>IF($X34&gt;0,IF($Y34&gt;0,$R34*2730,0),18000)</f>
        <v>18000</v>
      </c>
      <c r="H34">
        <f>IF($X34&gt;0,IF($Y34&gt;0,($T34+$W34)*2730,0),16000)</f>
        <v>16000</v>
      </c>
      <c r="I34">
        <f>IF($X34&gt;0,IF($Y34&gt;0,$U34*2730,0),11250)</f>
        <v>11250</v>
      </c>
      <c r="J34">
        <v>3500</v>
      </c>
      <c r="K34">
        <v>0.78</v>
      </c>
      <c r="L34" t="str">
        <f>IF($X34&gt;0,IF($P34&lt;&gt;1,"2026-06-14",IFERROR(INDEX('JLR Machines'!$D:$D,MATCH($O34,'JLR Machines'!$A:$A,0)),"2026-06-14")),"2026-06-14")</f>
        <v>2026-06-14</v>
      </c>
      <c r="M34" t="str">
        <f>IF($X34&gt;0,IF($Y34&gt;0,"JLR machine "&amp;$O34&amp;" at "&amp;TEXT($X34,"0.00")&amp;" per hr — build-up as supplied","JLR machine "&amp;$O34&amp;" at "&amp;TEXT($X34,"0.00")&amp;" per hr — build-up not supplied"),"UK general press-shop benchmark (standard/amortised mechanical press), Jun 2026")</f>
        <v>UK general press-shop benchmark (standard/amortised mechanical press), Jun 2026</v>
      </c>
      <c r="N34" t="str">
        <v>Medium</v>
      </c>
      <c r="O34" t="str">
        <f>IFERROR(INDEX(Mapping!$C:$C,MATCH($A34,Mapping!$A:$A,0)),"")</f>
        <v/>
      </c>
      <c r="P34">
        <f>IF($O34="",0,COUNTIFS('JLR Machines'!$A:$A,$O34,'JLR Machines'!$C:$C,IF(Settings!$B$2="","&lt;&gt;",Settings!$B$2),'JLR Machines'!$D:$D,IF(Settings!$B$3="","&lt;&gt;",Settings!$B$3)))</f>
        <v>0</v>
      </c>
      <c r="Q34">
        <f>IF($P34&lt;&gt;1,0,SUMIFS('JLR Machines'!$G:$G,'JLR Machines'!$A:$A,$O34,'JLR Machines'!$C:$C,IF(Settings!$B$2="","&lt;&gt;",Settings!$B$2),'JLR Machines'!$D:$D,IF(Settings!$B$3="","&lt;&gt;",Settings!$B$3)))</f>
        <v>0</v>
      </c>
      <c r="R34">
        <f>IF($P34&lt;&gt;1,0,SUMIFS('JLR Machines'!$H:$H,'JLR Machines'!$A:$A,$O34,'JLR Machines'!$C:$C,IF(Settings!$B$2="","&lt;&gt;",Settings!$B$2),'JLR Machines'!$D:$D,IF(Settings!$B$3="","&lt;&gt;",Settings!$B$3)))</f>
        <v>0</v>
      </c>
      <c r="S34">
        <f>IF($P34&lt;&gt;1,0,SUMIFS('JLR Machines'!$I:$I,'JLR Machines'!$A:$A,$O34,'JLR Machines'!$C:$C,IF(Settings!$B$2="","&lt;&gt;",Settings!$B$2),'JLR Machines'!$D:$D,IF(Settings!$B$3="","&lt;&gt;",Settings!$B$3)))</f>
        <v>0</v>
      </c>
      <c r="T34">
        <f>IF($P34&lt;&gt;1,0,SUMIFS('JLR Machines'!$J:$J,'JLR Machines'!$A:$A,$O34,'JLR Machines'!$C:$C,IF(Settings!$B$2="","&lt;&gt;",Settings!$B$2),'JLR Machines'!$D:$D,IF(Settings!$B$3="","&lt;&gt;",Settings!$B$3)))</f>
        <v>0</v>
      </c>
      <c r="U34">
        <f>IF($P34&lt;&gt;1,0,SUMIFS('JLR Machines'!$K:$K,'JLR Machines'!$A:$A,$O34,'JLR Machines'!$C:$C,IF(Settings!$B$2="","&lt;&gt;",Settings!$B$2),'JLR Machines'!$D:$D,IF(Settings!$B$3="","&lt;&gt;",Settings!$B$3)))</f>
        <v>0</v>
      </c>
      <c r="V34">
        <f>IF($P34&lt;&gt;1,0,SUMIFS('JLR Machines'!$L:$L,'JLR Machines'!$A:$A,$O34,'JLR Machines'!$C:$C,IF(Settings!$B$2="","&lt;&gt;",Settings!$B$2),'JLR Machines'!$D:$D,IF(Settings!$B$3="","&lt;&gt;",Settings!$B$3)))</f>
        <v>0</v>
      </c>
      <c r="W34">
        <f>IF($P34&lt;&gt;1,0,SUMIFS('JLR Machines'!$M:$M,'JLR Machines'!$A:$A,$O34,'JLR Machines'!$C:$C,IF(Settings!$B$2="","&lt;&gt;",Settings!$B$2),'JLR Machines'!$D:$D,IF(Settings!$B$3="","&lt;&gt;",Settings!$B$3)))</f>
        <v>0</v>
      </c>
      <c r="X34">
        <f>IF($P34&lt;&gt;1,0,SUMIFS('JLR Machines'!$N:$N,'JLR Machines'!$A:$A,$O34,'JLR Machines'!$C:$C,IF(Settings!$B$2="","&lt;&gt;",Settings!$B$2),'JLR Machines'!$D:$D,IF(Settings!$B$3="","&lt;&gt;",Settings!$B$3)))</f>
        <v>0</v>
      </c>
      <c r="Y34">
        <f>$Q34+$R34+$S34+$T34+$U34+$V34+$W34</f>
        <v>0</v>
      </c>
      <c r="Z34">
        <f>IF($X34&lt;=0,0,ROUND((D34+E34+F34+G34+H34+I34)/2730-$X34,4))</f>
        <v>0</v>
      </c>
    </row>
    <row r="35">
      <c r="A35" t="str">
        <v>press-1000t</v>
      </c>
      <c r="B35" t="str">
        <v>1000T Mechanical Press (general press shop)</v>
      </c>
      <c r="C35" t="str">
        <v>UK</v>
      </c>
      <c r="D35">
        <f>IF($X35&gt;0,IF($Y35&gt;0,MAX(0,$Q35+$X35-$Y35)*2730,$X35*2730),115000)</f>
        <v>115000</v>
      </c>
      <c r="E35">
        <f>IF($X35&gt;0,IF($Y35&gt;0,$S35*2730,0),52000)</f>
        <v>52000</v>
      </c>
      <c r="F35">
        <f>IF($X35&gt;0,IF($Y35&gt;0,$V35*2730,0),22000)</f>
        <v>22000</v>
      </c>
      <c r="G35">
        <f>IF($X35&gt;0,IF($Y35&gt;0,$R35*2730,0),22000)</f>
        <v>22000</v>
      </c>
      <c r="H35">
        <f>IF($X35&gt;0,IF($Y35&gt;0,($T35+$W35)*2730,0),20000)</f>
        <v>20000</v>
      </c>
      <c r="I35">
        <f>IF($X35&gt;0,IF($Y35&gt;0,$U35*2730,0),14375)</f>
        <v>14375</v>
      </c>
      <c r="J35">
        <v>3500</v>
      </c>
      <c r="K35">
        <v>0.78</v>
      </c>
      <c r="L35" t="str">
        <f>IF($X35&gt;0,IF($P35&lt;&gt;1,"2026-06-14",IFERROR(INDEX('JLR Machines'!$D:$D,MATCH($O35,'JLR Machines'!$A:$A,0)),"2026-06-14")),"2026-06-14")</f>
        <v>2026-06-14</v>
      </c>
      <c r="M35" t="str">
        <f>IF($X35&gt;0,IF($Y35&gt;0,"JLR machine "&amp;$O35&amp;" at "&amp;TEXT($X35,"0.00")&amp;" per hr — build-up as supplied","JLR machine "&amp;$O35&amp;" at "&amp;TEXT($X35,"0.00")&amp;" per hr — build-up not supplied"),"UK general press-shop benchmark (large stamping press — deep-draw panels, structural), Jun 2026")</f>
        <v>UK general press-shop benchmark (large stamping press — deep-draw panels, structural), Jun 2026</v>
      </c>
      <c r="N35" t="str">
        <v>Medium</v>
      </c>
      <c r="O35" t="str">
        <f>IFERROR(INDEX(Mapping!$C:$C,MATCH($A35,Mapping!$A:$A,0)),"")</f>
        <v/>
      </c>
      <c r="P35">
        <f>IF($O35="",0,COUNTIFS('JLR Machines'!$A:$A,$O35,'JLR Machines'!$C:$C,IF(Settings!$B$2="","&lt;&gt;",Settings!$B$2),'JLR Machines'!$D:$D,IF(Settings!$B$3="","&lt;&gt;",Settings!$B$3)))</f>
        <v>0</v>
      </c>
      <c r="Q35">
        <f>IF($P35&lt;&gt;1,0,SUMIFS('JLR Machines'!$G:$G,'JLR Machines'!$A:$A,$O35,'JLR Machines'!$C:$C,IF(Settings!$B$2="","&lt;&gt;",Settings!$B$2),'JLR Machines'!$D:$D,IF(Settings!$B$3="","&lt;&gt;",Settings!$B$3)))</f>
        <v>0</v>
      </c>
      <c r="R35">
        <f>IF($P35&lt;&gt;1,0,SUMIFS('JLR Machines'!$H:$H,'JLR Machines'!$A:$A,$O35,'JLR Machines'!$C:$C,IF(Settings!$B$2="","&lt;&gt;",Settings!$B$2),'JLR Machines'!$D:$D,IF(Settings!$B$3="","&lt;&gt;",Settings!$B$3)))</f>
        <v>0</v>
      </c>
      <c r="S35">
        <f>IF($P35&lt;&gt;1,0,SUMIFS('JLR Machines'!$I:$I,'JLR Machines'!$A:$A,$O35,'JLR Machines'!$C:$C,IF(Settings!$B$2="","&lt;&gt;",Settings!$B$2),'JLR Machines'!$D:$D,IF(Settings!$B$3="","&lt;&gt;",Settings!$B$3)))</f>
        <v>0</v>
      </c>
      <c r="T35">
        <f>IF($P35&lt;&gt;1,0,SUMIFS('JLR Machines'!$J:$J,'JLR Machines'!$A:$A,$O35,'JLR Machines'!$C:$C,IF(Settings!$B$2="","&lt;&gt;",Settings!$B$2),'JLR Machines'!$D:$D,IF(Settings!$B$3="","&lt;&gt;",Settings!$B$3)))</f>
        <v>0</v>
      </c>
      <c r="U35">
        <f>IF($P35&lt;&gt;1,0,SUMIFS('JLR Machines'!$K:$K,'JLR Machines'!$A:$A,$O35,'JLR Machines'!$C:$C,IF(Settings!$B$2="","&lt;&gt;",Settings!$B$2),'JLR Machines'!$D:$D,IF(Settings!$B$3="","&lt;&gt;",Settings!$B$3)))</f>
        <v>0</v>
      </c>
      <c r="V35">
        <f>IF($P35&lt;&gt;1,0,SUMIFS('JLR Machines'!$L:$L,'JLR Machines'!$A:$A,$O35,'JLR Machines'!$C:$C,IF(Settings!$B$2="","&lt;&gt;",Settings!$B$2),'JLR Machines'!$D:$D,IF(Settings!$B$3="","&lt;&gt;",Settings!$B$3)))</f>
        <v>0</v>
      </c>
      <c r="W35">
        <f>IF($P35&lt;&gt;1,0,SUMIFS('JLR Machines'!$M:$M,'JLR Machines'!$A:$A,$O35,'JLR Machines'!$C:$C,IF(Settings!$B$2="","&lt;&gt;",Settings!$B$2),'JLR Machines'!$D:$D,IF(Settings!$B$3="","&lt;&gt;",Settings!$B$3)))</f>
        <v>0</v>
      </c>
      <c r="X35">
        <f>IF($P35&lt;&gt;1,0,SUMIFS('JLR Machines'!$N:$N,'JLR Machines'!$A:$A,$O35,'JLR Machines'!$C:$C,IF(Settings!$B$2="","&lt;&gt;",Settings!$B$2),'JLR Machines'!$D:$D,IF(Settings!$B$3="","&lt;&gt;",Settings!$B$3)))</f>
        <v>0</v>
      </c>
      <c r="Y35">
        <f>$Q35+$R35+$S35+$T35+$U35+$V35+$W35</f>
        <v>0</v>
      </c>
      <c r="Z35">
        <f>IF($X35&lt;=0,0,ROUND((D35+E35+F35+G35+H35+I35)/2730-$X35,4))</f>
        <v>0</v>
      </c>
    </row>
    <row r="36">
      <c r="A36" t="str">
        <v>press-1250t</v>
      </c>
      <c r="B36" t="str">
        <v>1250T Mechanical Press (general press shop)</v>
      </c>
      <c r="C36" t="str">
        <v>UK</v>
      </c>
      <c r="D36">
        <f>IF($X36&gt;0,IF($Y36&gt;0,MAX(0,$Q36+$X36-$Y36)*2730,$X36*2730),145000)</f>
        <v>145000</v>
      </c>
      <c r="E36">
        <f>IF($X36&gt;0,IF($Y36&gt;0,$S36*2730,0),65000)</f>
        <v>65000</v>
      </c>
      <c r="F36">
        <f>IF($X36&gt;0,IF($Y36&gt;0,$V36*2730,0),27000)</f>
        <v>27000</v>
      </c>
      <c r="G36">
        <f>IF($X36&gt;0,IF($Y36&gt;0,$R36*2730,0),26000)</f>
        <v>26000</v>
      </c>
      <c r="H36">
        <f>IF($X36&gt;0,IF($Y36&gt;0,($T36+$W36)*2730,0),24000)</f>
        <v>24000</v>
      </c>
      <c r="I36">
        <f>IF($X36&gt;0,IF($Y36&gt;0,$U36*2730,0),18125)</f>
        <v>18125</v>
      </c>
      <c r="J36">
        <v>3500</v>
      </c>
      <c r="K36">
        <v>0.78</v>
      </c>
      <c r="L36" t="str">
        <f>IF($X36&gt;0,IF($P36&lt;&gt;1,"2026-06-14",IFERROR(INDEX('JLR Machines'!$D:$D,MATCH($O36,'JLR Machines'!$A:$A,0)),"2026-06-14")),"2026-06-14")</f>
        <v>2026-06-14</v>
      </c>
      <c r="M36" t="str">
        <f>IF($X36&gt;0,IF($Y36&gt;0,"JLR machine "&amp;$O36&amp;" at "&amp;TEXT($X36,"0.00")&amp;" per hr — build-up as supplied","JLR machine "&amp;$O36&amp;" at "&amp;TEXT($X36,"0.00")&amp;" per hr — build-up not supplied"),"UK general press-shop benchmark (heavy stamping press — large body/chassis panels), Jun 2026")</f>
        <v>UK general press-shop benchmark (heavy stamping press — large body/chassis panels), Jun 2026</v>
      </c>
      <c r="N36" t="str">
        <v>Medium</v>
      </c>
      <c r="O36" t="str">
        <f>IFERROR(INDEX(Mapping!$C:$C,MATCH($A36,Mapping!$A:$A,0)),"")</f>
        <v/>
      </c>
      <c r="P36">
        <f>IF($O36="",0,COUNTIFS('JLR Machines'!$A:$A,$O36,'JLR Machines'!$C:$C,IF(Settings!$B$2="","&lt;&gt;",Settings!$B$2),'JLR Machines'!$D:$D,IF(Settings!$B$3="","&lt;&gt;",Settings!$B$3)))</f>
        <v>0</v>
      </c>
      <c r="Q36">
        <f>IF($P36&lt;&gt;1,0,SUMIFS('JLR Machines'!$G:$G,'JLR Machines'!$A:$A,$O36,'JLR Machines'!$C:$C,IF(Settings!$B$2="","&lt;&gt;",Settings!$B$2),'JLR Machines'!$D:$D,IF(Settings!$B$3="","&lt;&gt;",Settings!$B$3)))</f>
        <v>0</v>
      </c>
      <c r="R36">
        <f>IF($P36&lt;&gt;1,0,SUMIFS('JLR Machines'!$H:$H,'JLR Machines'!$A:$A,$O36,'JLR Machines'!$C:$C,IF(Settings!$B$2="","&lt;&gt;",Settings!$B$2),'JLR Machines'!$D:$D,IF(Settings!$B$3="","&lt;&gt;",Settings!$B$3)))</f>
        <v>0</v>
      </c>
      <c r="S36">
        <f>IF($P36&lt;&gt;1,0,SUMIFS('JLR Machines'!$I:$I,'JLR Machines'!$A:$A,$O36,'JLR Machines'!$C:$C,IF(Settings!$B$2="","&lt;&gt;",Settings!$B$2),'JLR Machines'!$D:$D,IF(Settings!$B$3="","&lt;&gt;",Settings!$B$3)))</f>
        <v>0</v>
      </c>
      <c r="T36">
        <f>IF($P36&lt;&gt;1,0,SUMIFS('JLR Machines'!$J:$J,'JLR Machines'!$A:$A,$O36,'JLR Machines'!$C:$C,IF(Settings!$B$2="","&lt;&gt;",Settings!$B$2),'JLR Machines'!$D:$D,IF(Settings!$B$3="","&lt;&gt;",Settings!$B$3)))</f>
        <v>0</v>
      </c>
      <c r="U36">
        <f>IF($P36&lt;&gt;1,0,SUMIFS('JLR Machines'!$K:$K,'JLR Machines'!$A:$A,$O36,'JLR Machines'!$C:$C,IF(Settings!$B$2="","&lt;&gt;",Settings!$B$2),'JLR Machines'!$D:$D,IF(Settings!$B$3="","&lt;&gt;",Settings!$B$3)))</f>
        <v>0</v>
      </c>
      <c r="V36">
        <f>IF($P36&lt;&gt;1,0,SUMIFS('JLR Machines'!$L:$L,'JLR Machines'!$A:$A,$O36,'JLR Machines'!$C:$C,IF(Settings!$B$2="","&lt;&gt;",Settings!$B$2),'JLR Machines'!$D:$D,IF(Settings!$B$3="","&lt;&gt;",Settings!$B$3)))</f>
        <v>0</v>
      </c>
      <c r="W36">
        <f>IF($P36&lt;&gt;1,0,SUMIFS('JLR Machines'!$M:$M,'JLR Machines'!$A:$A,$O36,'JLR Machines'!$C:$C,IF(Settings!$B$2="","&lt;&gt;",Settings!$B$2),'JLR Machines'!$D:$D,IF(Settings!$B$3="","&lt;&gt;",Settings!$B$3)))</f>
        <v>0</v>
      </c>
      <c r="X36">
        <f>IF($P36&lt;&gt;1,0,SUMIFS('JLR Machines'!$N:$N,'JLR Machines'!$A:$A,$O36,'JLR Machines'!$C:$C,IF(Settings!$B$2="","&lt;&gt;",Settings!$B$2),'JLR Machines'!$D:$D,IF(Settings!$B$3="","&lt;&gt;",Settings!$B$3)))</f>
        <v>0</v>
      </c>
      <c r="Y36">
        <f>$Q36+$R36+$S36+$T36+$U36+$V36+$W36</f>
        <v>0</v>
      </c>
      <c r="Z36">
        <f>IF($X36&lt;=0,0,ROUND((D36+E36+F36+G36+H36+I36)/2730-$X36,4))</f>
        <v>0</v>
      </c>
    </row>
    <row r="37">
      <c r="A37" t="str">
        <v>press-fineblank-250t</v>
      </c>
      <c r="B37" t="str">
        <v>250T Fine-Blanking Press (triple-action)</v>
      </c>
      <c r="C37" t="str">
        <v>UK</v>
      </c>
      <c r="D37">
        <f>IF($X37&gt;0,IF($Y37&gt;0,MAX(0,$Q37+$X37-$Y37)*2800,$X37*2800),60000)</f>
        <v>60000</v>
      </c>
      <c r="E37">
        <f>IF($X37&gt;0,IF($Y37&gt;0,$S37*2800,0),28000)</f>
        <v>28000</v>
      </c>
      <c r="F37">
        <f>IF($X37&gt;0,IF($Y37&gt;0,$V37*2800,0),12000)</f>
        <v>12000</v>
      </c>
      <c r="G37">
        <f>IF($X37&gt;0,IF($Y37&gt;0,$R37*2800,0),12000)</f>
        <v>12000</v>
      </c>
      <c r="H37">
        <f>IF($X37&gt;0,IF($Y37&gt;0,($T37+$W37)*2800,0),11000)</f>
        <v>11000</v>
      </c>
      <c r="I37">
        <f>IF($X37&gt;0,IF($Y37&gt;0,$U37*2800,0),7500)</f>
        <v>7500</v>
      </c>
      <c r="J37">
        <v>3500</v>
      </c>
      <c r="K37">
        <v>0.8</v>
      </c>
      <c r="L37" t="str">
        <f>IF($X37&gt;0,IF($P37&lt;&gt;1,"2026-06-14",IFERROR(INDEX('JLR Machines'!$D:$D,MATCH($O37,'JLR Machines'!$A:$A,0)),"2026-06-14")),"2026-06-14")</f>
        <v>2026-06-14</v>
      </c>
      <c r="M37" t="str">
        <f>IF($X37&gt;0,IF($Y37&gt;0,"JLR machine "&amp;$O37&amp;" at "&amp;TEXT($X37,"0.00")&amp;" per hr — build-up as supplied","JLR machine "&amp;$O37&amp;" at "&amp;TEXT($X37,"0.00")&amp;" per hr — build-up not supplied"),"UK fine-blanking benchmark. Triple-action FB press — full-shear precision edges (gears, levers, seat recliners). Jun 2026")</f>
        <v>UK fine-blanking benchmark. Triple-action FB press — full-shear precision edges (gears, levers, seat recliners). Jun 2026</v>
      </c>
      <c r="N37" t="str">
        <v>Medium</v>
      </c>
      <c r="O37" t="str">
        <f>IFERROR(INDEX(Mapping!$C:$C,MATCH($A37,Mapping!$A:$A,0)),"")</f>
        <v/>
      </c>
      <c r="P37">
        <f>IF($O37="",0,COUNTIFS('JLR Machines'!$A:$A,$O37,'JLR Machines'!$C:$C,IF(Settings!$B$2="","&lt;&gt;",Settings!$B$2),'JLR Machines'!$D:$D,IF(Settings!$B$3="","&lt;&gt;",Settings!$B$3)))</f>
        <v>0</v>
      </c>
      <c r="Q37">
        <f>IF($P37&lt;&gt;1,0,SUMIFS('JLR Machines'!$G:$G,'JLR Machines'!$A:$A,$O37,'JLR Machines'!$C:$C,IF(Settings!$B$2="","&lt;&gt;",Settings!$B$2),'JLR Machines'!$D:$D,IF(Settings!$B$3="","&lt;&gt;",Settings!$B$3)))</f>
        <v>0</v>
      </c>
      <c r="R37">
        <f>IF($P37&lt;&gt;1,0,SUMIFS('JLR Machines'!$H:$H,'JLR Machines'!$A:$A,$O37,'JLR Machines'!$C:$C,IF(Settings!$B$2="","&lt;&gt;",Settings!$B$2),'JLR Machines'!$D:$D,IF(Settings!$B$3="","&lt;&gt;",Settings!$B$3)))</f>
        <v>0</v>
      </c>
      <c r="S37">
        <f>IF($P37&lt;&gt;1,0,SUMIFS('JLR Machines'!$I:$I,'JLR Machines'!$A:$A,$O37,'JLR Machines'!$C:$C,IF(Settings!$B$2="","&lt;&gt;",Settings!$B$2),'JLR Machines'!$D:$D,IF(Settings!$B$3="","&lt;&gt;",Settings!$B$3)))</f>
        <v>0</v>
      </c>
      <c r="T37">
        <f>IF($P37&lt;&gt;1,0,SUMIFS('JLR Machines'!$J:$J,'JLR Machines'!$A:$A,$O37,'JLR Machines'!$C:$C,IF(Settings!$B$2="","&lt;&gt;",Settings!$B$2),'JLR Machines'!$D:$D,IF(Settings!$B$3="","&lt;&gt;",Settings!$B$3)))</f>
        <v>0</v>
      </c>
      <c r="U37">
        <f>IF($P37&lt;&gt;1,0,SUMIFS('JLR Machines'!$K:$K,'JLR Machines'!$A:$A,$O37,'JLR Machines'!$C:$C,IF(Settings!$B$2="","&lt;&gt;",Settings!$B$2),'JLR Machines'!$D:$D,IF(Settings!$B$3="","&lt;&gt;",Settings!$B$3)))</f>
        <v>0</v>
      </c>
      <c r="V37">
        <f>IF($P37&lt;&gt;1,0,SUMIFS('JLR Machines'!$L:$L,'JLR Machines'!$A:$A,$O37,'JLR Machines'!$C:$C,IF(Settings!$B$2="","&lt;&gt;",Settings!$B$2),'JLR Machines'!$D:$D,IF(Settings!$B$3="","&lt;&gt;",Settings!$B$3)))</f>
        <v>0</v>
      </c>
      <c r="W37">
        <f>IF($P37&lt;&gt;1,0,SUMIFS('JLR Machines'!$M:$M,'JLR Machines'!$A:$A,$O37,'JLR Machines'!$C:$C,IF(Settings!$B$2="","&lt;&gt;",Settings!$B$2),'JLR Machines'!$D:$D,IF(Settings!$B$3="","&lt;&gt;",Settings!$B$3)))</f>
        <v>0</v>
      </c>
      <c r="X37">
        <f>IF($P37&lt;&gt;1,0,SUMIFS('JLR Machines'!$N:$N,'JLR Machines'!$A:$A,$O37,'JLR Machines'!$C:$C,IF(Settings!$B$2="","&lt;&gt;",Settings!$B$2),'JLR Machines'!$D:$D,IF(Settings!$B$3="","&lt;&gt;",Settings!$B$3)))</f>
        <v>0</v>
      </c>
      <c r="Y37">
        <f>$Q37+$R37+$S37+$T37+$U37+$V37+$W37</f>
        <v>0</v>
      </c>
      <c r="Z37">
        <f>IF($X37&lt;=0,0,ROUND((D37+E37+F37+G37+H37+I37)/2800-$X37,4))</f>
        <v>0</v>
      </c>
    </row>
    <row r="38">
      <c r="A38" t="str">
        <v>press-hotstamp-1000t</v>
      </c>
      <c r="B38" t="str">
        <v>1000T Hot-Stamping Press (water-cooled dies)</v>
      </c>
      <c r="C38" t="str">
        <v>UK</v>
      </c>
      <c r="D38">
        <f>IF($X38&gt;0,IF($Y38&gt;0,MAX(0,$Q38+$X38-$Y38)*2625,$X38*2625),180000)</f>
        <v>180000</v>
      </c>
      <c r="E38">
        <f>IF($X38&gt;0,IF($Y38&gt;0,$S38*2625,0),80000)</f>
        <v>80000</v>
      </c>
      <c r="F38">
        <f>IF($X38&gt;0,IF($Y38&gt;0,$V38*2625,0),30000)</f>
        <v>30000</v>
      </c>
      <c r="G38">
        <f>IF($X38&gt;0,IF($Y38&gt;0,$R38*2625,0),25000)</f>
        <v>25000</v>
      </c>
      <c r="H38">
        <f>IF($X38&gt;0,IF($Y38&gt;0,($T38+$W38)*2625,0),24000)</f>
        <v>24000</v>
      </c>
      <c r="I38">
        <f>IF($X38&gt;0,IF($Y38&gt;0,$U38*2625,0),22500)</f>
        <v>22500</v>
      </c>
      <c r="J38">
        <v>3500</v>
      </c>
      <c r="K38">
        <v>0.75</v>
      </c>
      <c r="L38" t="str">
        <f>IF($X38&gt;0,IF($P38&lt;&gt;1,"2026-06-14",IFERROR(INDEX('JLR Machines'!$D:$D,MATCH($O38,'JLR Machines'!$A:$A,0)),"2026-06-14")),"2026-06-14")</f>
        <v>2026-06-14</v>
      </c>
      <c r="M38" t="str">
        <f>IF($X38&gt;0,IF($Y38&gt;0,"JLR machine "&amp;$O38&amp;" at "&amp;TEXT($X38,"0.00")&amp;" per hr — build-up as supplied","JLR machine "&amp;$O38&amp;" at "&amp;TEXT($X38,"0.00")&amp;" per hr — build-up not supplied"),"UK hot-stamping line press. Forms + quenches austenitised boron blanks in water-cooled dies (B-pillar, rocker). Quench-dwell limited. Jun 2026")</f>
        <v>UK hot-stamping line press. Forms + quenches austenitised boron blanks in water-cooled dies (B-pillar, rocker). Quench-dwell limited. Jun 2026</v>
      </c>
      <c r="N38" t="str">
        <v>Medium</v>
      </c>
      <c r="O38" t="str">
        <f>IFERROR(INDEX(Mapping!$C:$C,MATCH($A38,Mapping!$A:$A,0)),"")</f>
        <v/>
      </c>
      <c r="P38">
        <f>IF($O38="",0,COUNTIFS('JLR Machines'!$A:$A,$O38,'JLR Machines'!$C:$C,IF(Settings!$B$2="","&lt;&gt;",Settings!$B$2),'JLR Machines'!$D:$D,IF(Settings!$B$3="","&lt;&gt;",Settings!$B$3)))</f>
        <v>0</v>
      </c>
      <c r="Q38">
        <f>IF($P38&lt;&gt;1,0,SUMIFS('JLR Machines'!$G:$G,'JLR Machines'!$A:$A,$O38,'JLR Machines'!$C:$C,IF(Settings!$B$2="","&lt;&gt;",Settings!$B$2),'JLR Machines'!$D:$D,IF(Settings!$B$3="","&lt;&gt;",Settings!$B$3)))</f>
        <v>0</v>
      </c>
      <c r="R38">
        <f>IF($P38&lt;&gt;1,0,SUMIFS('JLR Machines'!$H:$H,'JLR Machines'!$A:$A,$O38,'JLR Machines'!$C:$C,IF(Settings!$B$2="","&lt;&gt;",Settings!$B$2),'JLR Machines'!$D:$D,IF(Settings!$B$3="","&lt;&gt;",Settings!$B$3)))</f>
        <v>0</v>
      </c>
      <c r="S38">
        <f>IF($P38&lt;&gt;1,0,SUMIFS('JLR Machines'!$I:$I,'JLR Machines'!$A:$A,$O38,'JLR Machines'!$C:$C,IF(Settings!$B$2="","&lt;&gt;",Settings!$B$2),'JLR Machines'!$D:$D,IF(Settings!$B$3="","&lt;&gt;",Settings!$B$3)))</f>
        <v>0</v>
      </c>
      <c r="T38">
        <f>IF($P38&lt;&gt;1,0,SUMIFS('JLR Machines'!$J:$J,'JLR Machines'!$A:$A,$O38,'JLR Machines'!$C:$C,IF(Settings!$B$2="","&lt;&gt;",Settings!$B$2),'JLR Machines'!$D:$D,IF(Settings!$B$3="","&lt;&gt;",Settings!$B$3)))</f>
        <v>0</v>
      </c>
      <c r="U38">
        <f>IF($P38&lt;&gt;1,0,SUMIFS('JLR Machines'!$K:$K,'JLR Machines'!$A:$A,$O38,'JLR Machines'!$C:$C,IF(Settings!$B$2="","&lt;&gt;",Settings!$B$2),'JLR Machines'!$D:$D,IF(Settings!$B$3="","&lt;&gt;",Settings!$B$3)))</f>
        <v>0</v>
      </c>
      <c r="V38">
        <f>IF($P38&lt;&gt;1,0,SUMIFS('JLR Machines'!$L:$L,'JLR Machines'!$A:$A,$O38,'JLR Machines'!$C:$C,IF(Settings!$B$2="","&lt;&gt;",Settings!$B$2),'JLR Machines'!$D:$D,IF(Settings!$B$3="","&lt;&gt;",Settings!$B$3)))</f>
        <v>0</v>
      </c>
      <c r="W38">
        <f>IF($P38&lt;&gt;1,0,SUMIFS('JLR Machines'!$M:$M,'JLR Machines'!$A:$A,$O38,'JLR Machines'!$C:$C,IF(Settings!$B$2="","&lt;&gt;",Settings!$B$2),'JLR Machines'!$D:$D,IF(Settings!$B$3="","&lt;&gt;",Settings!$B$3)))</f>
        <v>0</v>
      </c>
      <c r="X38">
        <f>IF($P38&lt;&gt;1,0,SUMIFS('JLR Machines'!$N:$N,'JLR Machines'!$A:$A,$O38,'JLR Machines'!$C:$C,IF(Settings!$B$2="","&lt;&gt;",Settings!$B$2),'JLR Machines'!$D:$D,IF(Settings!$B$3="","&lt;&gt;",Settings!$B$3)))</f>
        <v>0</v>
      </c>
      <c r="Y38">
        <f>$Q38+$R38+$S38+$T38+$U38+$V38+$W38</f>
        <v>0</v>
      </c>
      <c r="Z38">
        <f>IF($X38&lt;=0,0,ROUND((D38+E38+F38+G38+H38+I38)/2625-$X38,4))</f>
        <v>0</v>
      </c>
    </row>
    <row r="39">
      <c r="A39" t="str">
        <v>furnace-roller-hearth</v>
      </c>
      <c r="B39" t="str">
        <v>Roller-Hearth Austenitising Furnace (hot stamping)</v>
      </c>
      <c r="C39" t="str">
        <v>UK</v>
      </c>
      <c r="D39">
        <f>IF($X39&gt;0,IF($Y39&gt;0,MAX(0,$Q39+$X39-$Y39)*4800,$X39*4800),90000)</f>
        <v>90000</v>
      </c>
      <c r="E39">
        <f>IF($X39&gt;0,IF($Y39&gt;0,$S39*4800,0),40000)</f>
        <v>40000</v>
      </c>
      <c r="F39">
        <f>IF($X39&gt;0,IF($Y39&gt;0,$V39*4800,0),50000)</f>
        <v>50000</v>
      </c>
      <c r="G39">
        <f>IF($X39&gt;0,IF($Y39&gt;0,$R39*4800,0),40000)</f>
        <v>40000</v>
      </c>
      <c r="H39">
        <f>IF($X39&gt;0,IF($Y39&gt;0,($T39+$W39)*4800,0),20000)</f>
        <v>20000</v>
      </c>
      <c r="I39">
        <f>IF($X39&gt;0,IF($Y39&gt;0,$U39*4800,0),11250)</f>
        <v>11250</v>
      </c>
      <c r="J39">
        <v>6000</v>
      </c>
      <c r="K39">
        <v>0.8</v>
      </c>
      <c r="L39" t="str">
        <f>IF($X39&gt;0,IF($P39&lt;&gt;1,"2026-06-14",IFERROR(INDEX('JLR Machines'!$D:$D,MATCH($O39,'JLR Machines'!$A:$A,0)),"2026-06-14")),"2026-06-14")</f>
        <v>2026-06-14</v>
      </c>
      <c r="M39" t="str">
        <f>IF($X39&gt;0,IF($Y39&gt;0,"JLR machine "&amp;$O39&amp;" at "&amp;TEXT($X39,"0.00")&amp;" per hr — build-up as supplied","JLR machine "&amp;$O39&amp;" at "&amp;TEXT($X39,"0.00")&amp;" per hr — build-up not supplied"),"UK hot-stamping furnace. ~900–950°C austenitising roller hearth. Capital/standby only — per-part austenitising heat is a separate energy consumable. Jun 2026")</f>
        <v>UK hot-stamping furnace. ~900–950°C austenitising roller hearth. Capital/standby only — per-part austenitising heat is a separate energy consumable. Jun 2026</v>
      </c>
      <c r="N39" t="str">
        <v>Medium</v>
      </c>
      <c r="O39" t="str">
        <f>IFERROR(INDEX(Mapping!$C:$C,MATCH($A39,Mapping!$A:$A,0)),"")</f>
        <v/>
      </c>
      <c r="P39">
        <f>IF($O39="",0,COUNTIFS('JLR Machines'!$A:$A,$O39,'JLR Machines'!$C:$C,IF(Settings!$B$2="","&lt;&gt;",Settings!$B$2),'JLR Machines'!$D:$D,IF(Settings!$B$3="","&lt;&gt;",Settings!$B$3)))</f>
        <v>0</v>
      </c>
      <c r="Q39">
        <f>IF($P39&lt;&gt;1,0,SUMIFS('JLR Machines'!$G:$G,'JLR Machines'!$A:$A,$O39,'JLR Machines'!$C:$C,IF(Settings!$B$2="","&lt;&gt;",Settings!$B$2),'JLR Machines'!$D:$D,IF(Settings!$B$3="","&lt;&gt;",Settings!$B$3)))</f>
        <v>0</v>
      </c>
      <c r="R39">
        <f>IF($P39&lt;&gt;1,0,SUMIFS('JLR Machines'!$H:$H,'JLR Machines'!$A:$A,$O39,'JLR Machines'!$C:$C,IF(Settings!$B$2="","&lt;&gt;",Settings!$B$2),'JLR Machines'!$D:$D,IF(Settings!$B$3="","&lt;&gt;",Settings!$B$3)))</f>
        <v>0</v>
      </c>
      <c r="S39">
        <f>IF($P39&lt;&gt;1,0,SUMIFS('JLR Machines'!$I:$I,'JLR Machines'!$A:$A,$O39,'JLR Machines'!$C:$C,IF(Settings!$B$2="","&lt;&gt;",Settings!$B$2),'JLR Machines'!$D:$D,IF(Settings!$B$3="","&lt;&gt;",Settings!$B$3)))</f>
        <v>0</v>
      </c>
      <c r="T39">
        <f>IF($P39&lt;&gt;1,0,SUMIFS('JLR Machines'!$J:$J,'JLR Machines'!$A:$A,$O39,'JLR Machines'!$C:$C,IF(Settings!$B$2="","&lt;&gt;",Settings!$B$2),'JLR Machines'!$D:$D,IF(Settings!$B$3="","&lt;&gt;",Settings!$B$3)))</f>
        <v>0</v>
      </c>
      <c r="U39">
        <f>IF($P39&lt;&gt;1,0,SUMIFS('JLR Machines'!$K:$K,'JLR Machines'!$A:$A,$O39,'JLR Machines'!$C:$C,IF(Settings!$B$2="","&lt;&gt;",Settings!$B$2),'JLR Machines'!$D:$D,IF(Settings!$B$3="","&lt;&gt;",Settings!$B$3)))</f>
        <v>0</v>
      </c>
      <c r="V39">
        <f>IF($P39&lt;&gt;1,0,SUMIFS('JLR Machines'!$L:$L,'JLR Machines'!$A:$A,$O39,'JLR Machines'!$C:$C,IF(Settings!$B$2="","&lt;&gt;",Settings!$B$2),'JLR Machines'!$D:$D,IF(Settings!$B$3="","&lt;&gt;",Settings!$B$3)))</f>
        <v>0</v>
      </c>
      <c r="W39">
        <f>IF($P39&lt;&gt;1,0,SUMIFS('JLR Machines'!$M:$M,'JLR Machines'!$A:$A,$O39,'JLR Machines'!$C:$C,IF(Settings!$B$2="","&lt;&gt;",Settings!$B$2),'JLR Machines'!$D:$D,IF(Settings!$B$3="","&lt;&gt;",Settings!$B$3)))</f>
        <v>0</v>
      </c>
      <c r="X39">
        <f>IF($P39&lt;&gt;1,0,SUMIFS('JLR Machines'!$N:$N,'JLR Machines'!$A:$A,$O39,'JLR Machines'!$C:$C,IF(Settings!$B$2="","&lt;&gt;",Settings!$B$2),'JLR Machines'!$D:$D,IF(Settings!$B$3="","&lt;&gt;",Settings!$B$3)))</f>
        <v>0</v>
      </c>
      <c r="Y39">
        <f>$Q39+$R39+$S39+$T39+$U39+$V39+$W39</f>
        <v>0</v>
      </c>
      <c r="Z39">
        <f>IF($X39&lt;=0,0,ROUND((D39+E39+F39+G39+H39+I39)/4800-$X39,4))</f>
        <v>0</v>
      </c>
    </row>
    <row r="40">
      <c r="A40" t="str">
        <v>notching-machine</v>
      </c>
      <c r="B40" t="str">
        <v>CNC Notching Machine (laminations)</v>
      </c>
      <c r="C40" t="str">
        <v>UK</v>
      </c>
      <c r="D40">
        <f>IF($X40&gt;0,IF($Y40&gt;0,MAX(0,$Q40+$X40-$Y40)*3000,$X40*3000),40000)</f>
        <v>40000</v>
      </c>
      <c r="E40">
        <f>IF($X40&gt;0,IF($Y40&gt;0,$S40*3000,0),18000)</f>
        <v>18000</v>
      </c>
      <c r="F40">
        <f>IF($X40&gt;0,IF($Y40&gt;0,$V40*3000,0),10000)</f>
        <v>10000</v>
      </c>
      <c r="G40">
        <f>IF($X40&gt;0,IF($Y40&gt;0,$R40*3000,0),10000)</f>
        <v>10000</v>
      </c>
      <c r="H40">
        <f>IF($X40&gt;0,IF($Y40&gt;0,($T40+$W40)*3000,0),9000)</f>
        <v>9000</v>
      </c>
      <c r="I40">
        <f>IF($X40&gt;0,IF($Y40&gt;0,$U40*3000,0),5000)</f>
        <v>5000</v>
      </c>
      <c r="J40">
        <v>4000</v>
      </c>
      <c r="K40">
        <v>0.75</v>
      </c>
      <c r="L40" t="str">
        <f>IF($X40&gt;0,IF($P40&lt;&gt;1,"2026-06-14",IFERROR(INDEX('JLR Machines'!$D:$D,MATCH($O40,'JLR Machines'!$A:$A,0)),"2026-06-14")),"2026-06-14")</f>
        <v>2026-06-14</v>
      </c>
      <c r="M40" t="str">
        <f>IF($X40&gt;0,IF($Y40&gt;0,"JLR machine "&amp;$O40&amp;" at "&amp;TEXT($X40,"0.00")&amp;" per hr — build-up as supplied","JLR machine "&amp;$O40&amp;" at "&amp;TEXT($X40,"0.00")&amp;" per hr — build-up not supplied"),"UK electrical-steel benchmark. Single-slot rotary notching for prototype / low-volume stator &amp; rotor laminations (no hard progressive die). Jun 2026")</f>
        <v>UK electrical-steel benchmark. Single-slot rotary notching for prototype / low-volume stator &amp; rotor laminations (no hard progressive die). Jun 2026</v>
      </c>
      <c r="N40" t="str">
        <v>Medium</v>
      </c>
      <c r="O40" t="str">
        <f>IFERROR(INDEX(Mapping!$C:$C,MATCH($A40,Mapping!$A:$A,0)),"")</f>
        <v/>
      </c>
      <c r="P40">
        <f>IF($O40="",0,COUNTIFS('JLR Machines'!$A:$A,$O40,'JLR Machines'!$C:$C,IF(Settings!$B$2="","&lt;&gt;",Settings!$B$2),'JLR Machines'!$D:$D,IF(Settings!$B$3="","&lt;&gt;",Settings!$B$3)))</f>
        <v>0</v>
      </c>
      <c r="Q40">
        <f>IF($P40&lt;&gt;1,0,SUMIFS('JLR Machines'!$G:$G,'JLR Machines'!$A:$A,$O40,'JLR Machines'!$C:$C,IF(Settings!$B$2="","&lt;&gt;",Settings!$B$2),'JLR Machines'!$D:$D,IF(Settings!$B$3="","&lt;&gt;",Settings!$B$3)))</f>
        <v>0</v>
      </c>
      <c r="R40">
        <f>IF($P40&lt;&gt;1,0,SUMIFS('JLR Machines'!$H:$H,'JLR Machines'!$A:$A,$O40,'JLR Machines'!$C:$C,IF(Settings!$B$2="","&lt;&gt;",Settings!$B$2),'JLR Machines'!$D:$D,IF(Settings!$B$3="","&lt;&gt;",Settings!$B$3)))</f>
        <v>0</v>
      </c>
      <c r="S40">
        <f>IF($P40&lt;&gt;1,0,SUMIFS('JLR Machines'!$I:$I,'JLR Machines'!$A:$A,$O40,'JLR Machines'!$C:$C,IF(Settings!$B$2="","&lt;&gt;",Settings!$B$2),'JLR Machines'!$D:$D,IF(Settings!$B$3="","&lt;&gt;",Settings!$B$3)))</f>
        <v>0</v>
      </c>
      <c r="T40">
        <f>IF($P40&lt;&gt;1,0,SUMIFS('JLR Machines'!$J:$J,'JLR Machines'!$A:$A,$O40,'JLR Machines'!$C:$C,IF(Settings!$B$2="","&lt;&gt;",Settings!$B$2),'JLR Machines'!$D:$D,IF(Settings!$B$3="","&lt;&gt;",Settings!$B$3)))</f>
        <v>0</v>
      </c>
      <c r="U40">
        <f>IF($P40&lt;&gt;1,0,SUMIFS('JLR Machines'!$K:$K,'JLR Machines'!$A:$A,$O40,'JLR Machines'!$C:$C,IF(Settings!$B$2="","&lt;&gt;",Settings!$B$2),'JLR Machines'!$D:$D,IF(Settings!$B$3="","&lt;&gt;",Settings!$B$3)))</f>
        <v>0</v>
      </c>
      <c r="V40">
        <f>IF($P40&lt;&gt;1,0,SUMIFS('JLR Machines'!$L:$L,'JLR Machines'!$A:$A,$O40,'JLR Machines'!$C:$C,IF(Settings!$B$2="","&lt;&gt;",Settings!$B$2),'JLR Machines'!$D:$D,IF(Settings!$B$3="","&lt;&gt;",Settings!$B$3)))</f>
        <v>0</v>
      </c>
      <c r="W40">
        <f>IF($P40&lt;&gt;1,0,SUMIFS('JLR Machines'!$M:$M,'JLR Machines'!$A:$A,$O40,'JLR Machines'!$C:$C,IF(Settings!$B$2="","&lt;&gt;",Settings!$B$2),'JLR Machines'!$D:$D,IF(Settings!$B$3="","&lt;&gt;",Settings!$B$3)))</f>
        <v>0</v>
      </c>
      <c r="X40">
        <f>IF($P40&lt;&gt;1,0,SUMIFS('JLR Machines'!$N:$N,'JLR Machines'!$A:$A,$O40,'JLR Machines'!$C:$C,IF(Settings!$B$2="","&lt;&gt;",Settings!$B$2),'JLR Machines'!$D:$D,IF(Settings!$B$3="","&lt;&gt;",Settings!$B$3)))</f>
        <v>0</v>
      </c>
      <c r="Y40">
        <f>$Q40+$R40+$S40+$T40+$U40+$V40+$W40</f>
        <v>0</v>
      </c>
      <c r="Z40">
        <f>IF($X40&lt;=0,0,ROUND((D40+E40+F40+G40+H40+I40)/3000-$X40,4))</f>
        <v>0</v>
      </c>
    </row>
    <row r="41">
      <c r="A41" t="str">
        <v>lamination-anneal-furnace</v>
      </c>
      <c r="B41" t="str">
        <v>Stress-Relief Annealing Furnace (laminations)</v>
      </c>
      <c r="C41" t="str">
        <v>UK</v>
      </c>
      <c r="D41">
        <f>IF($X41&gt;0,IF($Y41&gt;0,MAX(0,$Q41+$X41-$Y41)*4800,$X41*4800),70000)</f>
        <v>70000</v>
      </c>
      <c r="E41">
        <f>IF($X41&gt;0,IF($Y41&gt;0,$S41*4800,0),30000)</f>
        <v>30000</v>
      </c>
      <c r="F41">
        <f>IF($X41&gt;0,IF($Y41&gt;0,$V41*4800,0),40000)</f>
        <v>40000</v>
      </c>
      <c r="G41">
        <f>IF($X41&gt;0,IF($Y41&gt;0,$R41*4800,0),20000)</f>
        <v>20000</v>
      </c>
      <c r="H41">
        <f>IF($X41&gt;0,IF($Y41&gt;0,($T41+$W41)*4800,0),15000)</f>
        <v>15000</v>
      </c>
      <c r="I41">
        <f>IF($X41&gt;0,IF($Y41&gt;0,$U41*4800,0),8750)</f>
        <v>8750</v>
      </c>
      <c r="J41">
        <v>6000</v>
      </c>
      <c r="K41">
        <v>0.8</v>
      </c>
      <c r="L41" t="str">
        <f>IF($X41&gt;0,IF($P41&lt;&gt;1,"2026-06-14",IFERROR(INDEX('JLR Machines'!$D:$D,MATCH($O41,'JLR Machines'!$A:$A,0)),"2026-06-14")),"2026-06-14")</f>
        <v>2026-06-14</v>
      </c>
      <c r="M41" t="str">
        <f>IF($X41&gt;0,IF($Y41&gt;0,"JLR machine "&amp;$O41&amp;" at "&amp;TEXT($X41,"0.00")&amp;" per hr — build-up as supplied","JLR machine "&amp;$O41&amp;" at "&amp;TEXT($X41,"0.00")&amp;" per hr — build-up not supplied"),"UK electrical-steel benchmark. ~750–850°C continuous N₂/H₂ stress-relief/decarb anneal to restore core loss after blanking. Per-part heat is a separate energy consumable. Jun 2026")</f>
        <v>UK electrical-steel benchmark. ~750–850°C continuous N₂/H₂ stress-relief/decarb anneal to restore core loss after blanking. Per-part heat is a separate energy consumable. Jun 2026</v>
      </c>
      <c r="N41" t="str">
        <v>Medium</v>
      </c>
      <c r="O41" t="str">
        <f>IFERROR(INDEX(Mapping!$C:$C,MATCH($A41,Mapping!$A:$A,0)),"")</f>
        <v/>
      </c>
      <c r="P41">
        <f>IF($O41="",0,COUNTIFS('JLR Machines'!$A:$A,$O41,'JLR Machines'!$C:$C,IF(Settings!$B$2="","&lt;&gt;",Settings!$B$2),'JLR Machines'!$D:$D,IF(Settings!$B$3="","&lt;&gt;",Settings!$B$3)))</f>
        <v>0</v>
      </c>
      <c r="Q41">
        <f>IF($P41&lt;&gt;1,0,SUMIFS('JLR Machines'!$G:$G,'JLR Machines'!$A:$A,$O41,'JLR Machines'!$C:$C,IF(Settings!$B$2="","&lt;&gt;",Settings!$B$2),'JLR Machines'!$D:$D,IF(Settings!$B$3="","&lt;&gt;",Settings!$B$3)))</f>
        <v>0</v>
      </c>
      <c r="R41">
        <f>IF($P41&lt;&gt;1,0,SUMIFS('JLR Machines'!$H:$H,'JLR Machines'!$A:$A,$O41,'JLR Machines'!$C:$C,IF(Settings!$B$2="","&lt;&gt;",Settings!$B$2),'JLR Machines'!$D:$D,IF(Settings!$B$3="","&lt;&gt;",Settings!$B$3)))</f>
        <v>0</v>
      </c>
      <c r="S41">
        <f>IF($P41&lt;&gt;1,0,SUMIFS('JLR Machines'!$I:$I,'JLR Machines'!$A:$A,$O41,'JLR Machines'!$C:$C,IF(Settings!$B$2="","&lt;&gt;",Settings!$B$2),'JLR Machines'!$D:$D,IF(Settings!$B$3="","&lt;&gt;",Settings!$B$3)))</f>
        <v>0</v>
      </c>
      <c r="T41">
        <f>IF($P41&lt;&gt;1,0,SUMIFS('JLR Machines'!$J:$J,'JLR Machines'!$A:$A,$O41,'JLR Machines'!$C:$C,IF(Settings!$B$2="","&lt;&gt;",Settings!$B$2),'JLR Machines'!$D:$D,IF(Settings!$B$3="","&lt;&gt;",Settings!$B$3)))</f>
        <v>0</v>
      </c>
      <c r="U41">
        <f>IF($P41&lt;&gt;1,0,SUMIFS('JLR Machines'!$K:$K,'JLR Machines'!$A:$A,$O41,'JLR Machines'!$C:$C,IF(Settings!$B$2="","&lt;&gt;",Settings!$B$2),'JLR Machines'!$D:$D,IF(Settings!$B$3="","&lt;&gt;",Settings!$B$3)))</f>
        <v>0</v>
      </c>
      <c r="V41">
        <f>IF($P41&lt;&gt;1,0,SUMIFS('JLR Machines'!$L:$L,'JLR Machines'!$A:$A,$O41,'JLR Machines'!$C:$C,IF(Settings!$B$2="","&lt;&gt;",Settings!$B$2),'JLR Machines'!$D:$D,IF(Settings!$B$3="","&lt;&gt;",Settings!$B$3)))</f>
        <v>0</v>
      </c>
      <c r="W41">
        <f>IF($P41&lt;&gt;1,0,SUMIFS('JLR Machines'!$M:$M,'JLR Machines'!$A:$A,$O41,'JLR Machines'!$C:$C,IF(Settings!$B$2="","&lt;&gt;",Settings!$B$2),'JLR Machines'!$D:$D,IF(Settings!$B$3="","&lt;&gt;",Settings!$B$3)))</f>
        <v>0</v>
      </c>
      <c r="X41">
        <f>IF($P41&lt;&gt;1,0,SUMIFS('JLR Machines'!$N:$N,'JLR Machines'!$A:$A,$O41,'JLR Machines'!$C:$C,IF(Settings!$B$2="","&lt;&gt;",Settings!$B$2),'JLR Machines'!$D:$D,IF(Settings!$B$3="","&lt;&gt;",Settings!$B$3)))</f>
        <v>0</v>
      </c>
      <c r="Y41">
        <f>$Q41+$R41+$S41+$T41+$U41+$V41+$W41</f>
        <v>0</v>
      </c>
      <c r="Z41">
        <f>IF($X41&lt;=0,0,ROUND((D41+E41+F41+G41+H41+I41)/4800-$X41,4))</f>
        <v>0</v>
      </c>
    </row>
    <row r="42">
      <c r="A42" t="str">
        <v>backlack-bonding-oven</v>
      </c>
      <c r="B42" t="str">
        <v>Backlack Bonding Oven/Press (self-bonded stacks)</v>
      </c>
      <c r="C42" t="str">
        <v>UK</v>
      </c>
      <c r="D42">
        <f>IF($X42&gt;0,IF($Y42&gt;0,MAX(0,$Q42+$X42-$Y42)*3120,$X42*3120),45000)</f>
        <v>45000</v>
      </c>
      <c r="E42">
        <f>IF($X42&gt;0,IF($Y42&gt;0,$S42*3120,0),20000)</f>
        <v>20000</v>
      </c>
      <c r="F42">
        <f>IF($X42&gt;0,IF($Y42&gt;0,$V42*3120,0),25000)</f>
        <v>25000</v>
      </c>
      <c r="G42">
        <f>IF($X42&gt;0,IF($Y42&gt;0,$R42*3120,0),12000)</f>
        <v>12000</v>
      </c>
      <c r="H42">
        <f>IF($X42&gt;0,IF($Y42&gt;0,($T42+$W42)*3120,0),10000)</f>
        <v>10000</v>
      </c>
      <c r="I42">
        <f>IF($X42&gt;0,IF($Y42&gt;0,$U42*3120,0),5625)</f>
        <v>5625</v>
      </c>
      <c r="J42">
        <v>4000</v>
      </c>
      <c r="K42">
        <v>0.78</v>
      </c>
      <c r="L42" t="str">
        <f>IF($X42&gt;0,IF($P42&lt;&gt;1,"2026-06-14",IFERROR(INDEX('JLR Machines'!$D:$D,MATCH($O42,'JLR Machines'!$A:$A,0)),"2026-06-14")),"2026-06-14")</f>
        <v>2026-06-14</v>
      </c>
      <c r="M42" t="str">
        <f>IF($X42&gt;0,IF($Y42&gt;0,"JLR machine "&amp;$O42&amp;" at "&amp;TEXT($X42,"0.00")&amp;" per hr — build-up as supplied","JLR machine "&amp;$O42&amp;" at "&amp;TEXT($X42,"0.00")&amp;" per hr — build-up not supplied"),"UK electrical-steel benchmark. Heat+pressure cure of self-bonding (backlack) varnish — lowest-loss laminated stacks, EV traction. Jun 2026")</f>
        <v>UK electrical-steel benchmark. Heat+pressure cure of self-bonding (backlack) varnish — lowest-loss laminated stacks, EV traction. Jun 2026</v>
      </c>
      <c r="N42" t="str">
        <v>Medium</v>
      </c>
      <c r="O42" t="str">
        <f>IFERROR(INDEX(Mapping!$C:$C,MATCH($A42,Mapping!$A:$A,0)),"")</f>
        <v/>
      </c>
      <c r="P42">
        <f>IF($O42="",0,COUNTIFS('JLR Machines'!$A:$A,$O42,'JLR Machines'!$C:$C,IF(Settings!$B$2="","&lt;&gt;",Settings!$B$2),'JLR Machines'!$D:$D,IF(Settings!$B$3="","&lt;&gt;",Settings!$B$3)))</f>
        <v>0</v>
      </c>
      <c r="Q42">
        <f>IF($P42&lt;&gt;1,0,SUMIFS('JLR Machines'!$G:$G,'JLR Machines'!$A:$A,$O42,'JLR Machines'!$C:$C,IF(Settings!$B$2="","&lt;&gt;",Settings!$B$2),'JLR Machines'!$D:$D,IF(Settings!$B$3="","&lt;&gt;",Settings!$B$3)))</f>
        <v>0</v>
      </c>
      <c r="R42">
        <f>IF($P42&lt;&gt;1,0,SUMIFS('JLR Machines'!$H:$H,'JLR Machines'!$A:$A,$O42,'JLR Machines'!$C:$C,IF(Settings!$B$2="","&lt;&gt;",Settings!$B$2),'JLR Machines'!$D:$D,IF(Settings!$B$3="","&lt;&gt;",Settings!$B$3)))</f>
        <v>0</v>
      </c>
      <c r="S42">
        <f>IF($P42&lt;&gt;1,0,SUMIFS('JLR Machines'!$I:$I,'JLR Machines'!$A:$A,$O42,'JLR Machines'!$C:$C,IF(Settings!$B$2="","&lt;&gt;",Settings!$B$2),'JLR Machines'!$D:$D,IF(Settings!$B$3="","&lt;&gt;",Settings!$B$3)))</f>
        <v>0</v>
      </c>
      <c r="T42">
        <f>IF($P42&lt;&gt;1,0,SUMIFS('JLR Machines'!$J:$J,'JLR Machines'!$A:$A,$O42,'JLR Machines'!$C:$C,IF(Settings!$B$2="","&lt;&gt;",Settings!$B$2),'JLR Machines'!$D:$D,IF(Settings!$B$3="","&lt;&gt;",Settings!$B$3)))</f>
        <v>0</v>
      </c>
      <c r="U42">
        <f>IF($P42&lt;&gt;1,0,SUMIFS('JLR Machines'!$K:$K,'JLR Machines'!$A:$A,$O42,'JLR Machines'!$C:$C,IF(Settings!$B$2="","&lt;&gt;",Settings!$B$2),'JLR Machines'!$D:$D,IF(Settings!$B$3="","&lt;&gt;",Settings!$B$3)))</f>
        <v>0</v>
      </c>
      <c r="V42">
        <f>IF($P42&lt;&gt;1,0,SUMIFS('JLR Machines'!$L:$L,'JLR Machines'!$A:$A,$O42,'JLR Machines'!$C:$C,IF(Settings!$B$2="","&lt;&gt;",Settings!$B$2),'JLR Machines'!$D:$D,IF(Settings!$B$3="","&lt;&gt;",Settings!$B$3)))</f>
        <v>0</v>
      </c>
      <c r="W42">
        <f>IF($P42&lt;&gt;1,0,SUMIFS('JLR Machines'!$M:$M,'JLR Machines'!$A:$A,$O42,'JLR Machines'!$C:$C,IF(Settings!$B$2="","&lt;&gt;",Settings!$B$2),'JLR Machines'!$D:$D,IF(Settings!$B$3="","&lt;&gt;",Settings!$B$3)))</f>
        <v>0</v>
      </c>
      <c r="X42">
        <f>IF($P42&lt;&gt;1,0,SUMIFS('JLR Machines'!$N:$N,'JLR Machines'!$A:$A,$O42,'JLR Machines'!$C:$C,IF(Settings!$B$2="","&lt;&gt;",Settings!$B$2),'JLR Machines'!$D:$D,IF(Settings!$B$3="","&lt;&gt;",Settings!$B$3)))</f>
        <v>0</v>
      </c>
      <c r="Y42">
        <f>$Q42+$R42+$S42+$T42+$U42+$V42+$W42</f>
        <v>0</v>
      </c>
      <c r="Z42">
        <f>IF($X42&lt;=0,0,ROUND((D42+E42+F42+G42+H42+I42)/3120-$X42,4))</f>
        <v>0</v>
      </c>
    </row>
    <row r="43">
      <c r="A43" t="str">
        <v>laser-stack-welder</v>
      </c>
      <c r="B43" t="str">
        <v>Laser Stack Welder (stator OD welds)</v>
      </c>
      <c r="C43" t="str">
        <v>UK</v>
      </c>
      <c r="D43">
        <f>IF($X43&gt;0,IF($Y43&gt;0,MAX(0,$Q43+$X43-$Y43)*3200,$X43*3200),90000)</f>
        <v>90000</v>
      </c>
      <c r="E43">
        <f>IF($X43&gt;0,IF($Y43&gt;0,$S43*3200,0),35000)</f>
        <v>35000</v>
      </c>
      <c r="F43">
        <f>IF($X43&gt;0,IF($Y43&gt;0,$V43*3200,0),15000)</f>
        <v>15000</v>
      </c>
      <c r="G43">
        <f>IF($X43&gt;0,IF($Y43&gt;0,$R43*3200,0),10000)</f>
        <v>10000</v>
      </c>
      <c r="H43">
        <f>IF($X43&gt;0,IF($Y43&gt;0,($T43+$W43)*3200,0),14000)</f>
        <v>14000</v>
      </c>
      <c r="I43">
        <f>IF($X43&gt;0,IF($Y43&gt;0,$U43*3200,0),11250)</f>
        <v>11250</v>
      </c>
      <c r="J43">
        <v>4000</v>
      </c>
      <c r="K43">
        <v>0.8</v>
      </c>
      <c r="L43" t="str">
        <f>IF($X43&gt;0,IF($P43&lt;&gt;1,"2026-06-14",IFERROR(INDEX('JLR Machines'!$D:$D,MATCH($O43,'JLR Machines'!$A:$A,0)),"2026-06-14")),"2026-06-14")</f>
        <v>2026-06-14</v>
      </c>
      <c r="M43" t="str">
        <f>IF($X43&gt;0,IF($Y43&gt;0,"JLR machine "&amp;$O43&amp;" at "&amp;TEXT($X43,"0.00")&amp;" per hr — build-up as supplied","JLR machine "&amp;$O43&amp;" at "&amp;TEXT($X43,"0.00")&amp;" per hr — build-up not supplied"),"UK electrical-steel benchmark. Laser welding of stacked stator laminations along the OD — fast, but weld shorts a few edge laminations (small loss penalty). Jun 2026")</f>
        <v>UK electrical-steel benchmark. Laser welding of stacked stator laminations along the OD — fast, but weld shorts a few edge laminations (small loss penalty). Jun 2026</v>
      </c>
      <c r="N43" t="str">
        <v>Medium</v>
      </c>
      <c r="O43" t="str">
        <f>IFERROR(INDEX(Mapping!$C:$C,MATCH($A43,Mapping!$A:$A,0)),"")</f>
        <v/>
      </c>
      <c r="P43">
        <f>IF($O43="",0,COUNTIFS('JLR Machines'!$A:$A,$O43,'JLR Machines'!$C:$C,IF(Settings!$B$2="","&lt;&gt;",Settings!$B$2),'JLR Machines'!$D:$D,IF(Settings!$B$3="","&lt;&gt;",Settings!$B$3)))</f>
        <v>0</v>
      </c>
      <c r="Q43">
        <f>IF($P43&lt;&gt;1,0,SUMIFS('JLR Machines'!$G:$G,'JLR Machines'!$A:$A,$O43,'JLR Machines'!$C:$C,IF(Settings!$B$2="","&lt;&gt;",Settings!$B$2),'JLR Machines'!$D:$D,IF(Settings!$B$3="","&lt;&gt;",Settings!$B$3)))</f>
        <v>0</v>
      </c>
      <c r="R43">
        <f>IF($P43&lt;&gt;1,0,SUMIFS('JLR Machines'!$H:$H,'JLR Machines'!$A:$A,$O43,'JLR Machines'!$C:$C,IF(Settings!$B$2="","&lt;&gt;",Settings!$B$2),'JLR Machines'!$D:$D,IF(Settings!$B$3="","&lt;&gt;",Settings!$B$3)))</f>
        <v>0</v>
      </c>
      <c r="S43">
        <f>IF($P43&lt;&gt;1,0,SUMIFS('JLR Machines'!$I:$I,'JLR Machines'!$A:$A,$O43,'JLR Machines'!$C:$C,IF(Settings!$B$2="","&lt;&gt;",Settings!$B$2),'JLR Machines'!$D:$D,IF(Settings!$B$3="","&lt;&gt;",Settings!$B$3)))</f>
        <v>0</v>
      </c>
      <c r="T43">
        <f>IF($P43&lt;&gt;1,0,SUMIFS('JLR Machines'!$J:$J,'JLR Machines'!$A:$A,$O43,'JLR Machines'!$C:$C,IF(Settings!$B$2="","&lt;&gt;",Settings!$B$2),'JLR Machines'!$D:$D,IF(Settings!$B$3="","&lt;&gt;",Settings!$B$3)))</f>
        <v>0</v>
      </c>
      <c r="U43">
        <f>IF($P43&lt;&gt;1,0,SUMIFS('JLR Machines'!$K:$K,'JLR Machines'!$A:$A,$O43,'JLR Machines'!$C:$C,IF(Settings!$B$2="","&lt;&gt;",Settings!$B$2),'JLR Machines'!$D:$D,IF(Settings!$B$3="","&lt;&gt;",Settings!$B$3)))</f>
        <v>0</v>
      </c>
      <c r="V43">
        <f>IF($P43&lt;&gt;1,0,SUMIFS('JLR Machines'!$L:$L,'JLR Machines'!$A:$A,$O43,'JLR Machines'!$C:$C,IF(Settings!$B$2="","&lt;&gt;",Settings!$B$2),'JLR Machines'!$D:$D,IF(Settings!$B$3="","&lt;&gt;",Settings!$B$3)))</f>
        <v>0</v>
      </c>
      <c r="W43">
        <f>IF($P43&lt;&gt;1,0,SUMIFS('JLR Machines'!$M:$M,'JLR Machines'!$A:$A,$O43,'JLR Machines'!$C:$C,IF(Settings!$B$2="","&lt;&gt;",Settings!$B$2),'JLR Machines'!$D:$D,IF(Settings!$B$3="","&lt;&gt;",Settings!$B$3)))</f>
        <v>0</v>
      </c>
      <c r="X43">
        <f>IF($P43&lt;&gt;1,0,SUMIFS('JLR Machines'!$N:$N,'JLR Machines'!$A:$A,$O43,'JLR Machines'!$C:$C,IF(Settings!$B$2="","&lt;&gt;",Settings!$B$2),'JLR Machines'!$D:$D,IF(Settings!$B$3="","&lt;&gt;",Settings!$B$3)))</f>
        <v>0</v>
      </c>
      <c r="Y43">
        <f>$Q43+$R43+$S43+$T43+$U43+$V43+$W43</f>
        <v>0</v>
      </c>
      <c r="Z43">
        <f>IF($X43&lt;=0,0,ROUND((D43+E43+F43+G43+H43+I43)/3200-$X43,4))</f>
        <v>0</v>
      </c>
    </row>
    <row r="44">
      <c r="A44" t="str">
        <v>imm-50t</v>
      </c>
      <c r="B44" t="str">
        <v>50T Injection Moulding Machine</v>
      </c>
      <c r="C44" t="str">
        <v>UK</v>
      </c>
      <c r="D44">
        <f>IF($X44&gt;0,IF($Y44&gt;0,MAX(0,$Q44+$X44-$Y44)*3200,$X44*3200),9000)</f>
        <v>9000</v>
      </c>
      <c r="E44">
        <f>IF($X44&gt;0,IF($Y44&gt;0,$S44*3200,0),4500)</f>
        <v>4500</v>
      </c>
      <c r="F44">
        <f>IF($X44&gt;0,IF($Y44&gt;0,$V44*3200,0),11000)</f>
        <v>11000</v>
      </c>
      <c r="G44">
        <f>IF($X44&gt;0,IF($Y44&gt;0,$R44*3200,0),2500)</f>
        <v>2500</v>
      </c>
      <c r="H44">
        <f>IF($X44&gt;0,IF($Y44&gt;0,($T44+$W44)*3200,0),2000)</f>
        <v>2000</v>
      </c>
      <c r="I44">
        <f>IF($X44&gt;0,IF($Y44&gt;0,$U44*3200,0),1125)</f>
        <v>1125</v>
      </c>
      <c r="J44">
        <v>4000</v>
      </c>
      <c r="K44">
        <v>0.8</v>
      </c>
      <c r="L44" t="str">
        <f>IF($X44&gt;0,IF($P44&lt;&gt;1,"2026-06-14",IFERROR(INDEX('JLR Machines'!$D:$D,MATCH($O44,'JLR Machines'!$A:$A,0)),"2026-06-14")),"2026-06-14")</f>
        <v>2026-06-14</v>
      </c>
      <c r="M44" t="str">
        <f>IF($X44&gt;0,IF($Y44&gt;0,"JLR machine "&amp;$O44&amp;" at "&amp;TEXT($X44,"0.00")&amp;" per hr — build-up as supplied","JLR machine "&amp;$O44&amp;" at "&amp;TEXT($X44,"0.00")&amp;" per hr — build-up not supplied"),"UK plastics benchmark (small precision/technical mouldings), Jun 2026")</f>
        <v>UK plastics benchmark (small precision/technical mouldings), Jun 2026</v>
      </c>
      <c r="N44" t="str">
        <v>Medium</v>
      </c>
      <c r="O44" t="str">
        <f>IFERROR(INDEX(Mapping!$C:$C,MATCH($A44,Mapping!$A:$A,0)),"")</f>
        <v/>
      </c>
      <c r="P44">
        <f>IF($O44="",0,COUNTIFS('JLR Machines'!$A:$A,$O44,'JLR Machines'!$C:$C,IF(Settings!$B$2="","&lt;&gt;",Settings!$B$2),'JLR Machines'!$D:$D,IF(Settings!$B$3="","&lt;&gt;",Settings!$B$3)))</f>
        <v>0</v>
      </c>
      <c r="Q44">
        <f>IF($P44&lt;&gt;1,0,SUMIFS('JLR Machines'!$G:$G,'JLR Machines'!$A:$A,$O44,'JLR Machines'!$C:$C,IF(Settings!$B$2="","&lt;&gt;",Settings!$B$2),'JLR Machines'!$D:$D,IF(Settings!$B$3="","&lt;&gt;",Settings!$B$3)))</f>
        <v>0</v>
      </c>
      <c r="R44">
        <f>IF($P44&lt;&gt;1,0,SUMIFS('JLR Machines'!$H:$H,'JLR Machines'!$A:$A,$O44,'JLR Machines'!$C:$C,IF(Settings!$B$2="","&lt;&gt;",Settings!$B$2),'JLR Machines'!$D:$D,IF(Settings!$B$3="","&lt;&gt;",Settings!$B$3)))</f>
        <v>0</v>
      </c>
      <c r="S44">
        <f>IF($P44&lt;&gt;1,0,SUMIFS('JLR Machines'!$I:$I,'JLR Machines'!$A:$A,$O44,'JLR Machines'!$C:$C,IF(Settings!$B$2="","&lt;&gt;",Settings!$B$2),'JLR Machines'!$D:$D,IF(Settings!$B$3="","&lt;&gt;",Settings!$B$3)))</f>
        <v>0</v>
      </c>
      <c r="T44">
        <f>IF($P44&lt;&gt;1,0,SUMIFS('JLR Machines'!$J:$J,'JLR Machines'!$A:$A,$O44,'JLR Machines'!$C:$C,IF(Settings!$B$2="","&lt;&gt;",Settings!$B$2),'JLR Machines'!$D:$D,IF(Settings!$B$3="","&lt;&gt;",Settings!$B$3)))</f>
        <v>0</v>
      </c>
      <c r="U44">
        <f>IF($P44&lt;&gt;1,0,SUMIFS('JLR Machines'!$K:$K,'JLR Machines'!$A:$A,$O44,'JLR Machines'!$C:$C,IF(Settings!$B$2="","&lt;&gt;",Settings!$B$2),'JLR Machines'!$D:$D,IF(Settings!$B$3="","&lt;&gt;",Settings!$B$3)))</f>
        <v>0</v>
      </c>
      <c r="V44">
        <f>IF($P44&lt;&gt;1,0,SUMIFS('JLR Machines'!$L:$L,'JLR Machines'!$A:$A,$O44,'JLR Machines'!$C:$C,IF(Settings!$B$2="","&lt;&gt;",Settings!$B$2),'JLR Machines'!$D:$D,IF(Settings!$B$3="","&lt;&gt;",Settings!$B$3)))</f>
        <v>0</v>
      </c>
      <c r="W44">
        <f>IF($P44&lt;&gt;1,0,SUMIFS('JLR Machines'!$M:$M,'JLR Machines'!$A:$A,$O44,'JLR Machines'!$C:$C,IF(Settings!$B$2="","&lt;&gt;",Settings!$B$2),'JLR Machines'!$D:$D,IF(Settings!$B$3="","&lt;&gt;",Settings!$B$3)))</f>
        <v>0</v>
      </c>
      <c r="X44">
        <f>IF($P44&lt;&gt;1,0,SUMIFS('JLR Machines'!$N:$N,'JLR Machines'!$A:$A,$O44,'JLR Machines'!$C:$C,IF(Settings!$B$2="","&lt;&gt;",Settings!$B$2),'JLR Machines'!$D:$D,IF(Settings!$B$3="","&lt;&gt;",Settings!$B$3)))</f>
        <v>0</v>
      </c>
      <c r="Y44">
        <f>$Q44+$R44+$S44+$T44+$U44+$V44+$W44</f>
        <v>0</v>
      </c>
      <c r="Z44">
        <f>IF($X44&lt;=0,0,ROUND((D44+E44+F44+G44+H44+I44)/3200-$X44,4))</f>
        <v>0</v>
      </c>
    </row>
    <row r="45">
      <c r="A45" t="str">
        <v>imm-100t</v>
      </c>
      <c r="B45" t="str">
        <v>100T Injection Moulding Machine</v>
      </c>
      <c r="C45" t="str">
        <v>UK</v>
      </c>
      <c r="D45">
        <f>IF($X45&gt;0,IF($Y45&gt;0,MAX(0,$Q45+$X45-$Y45)*3200,$X45*3200),14000)</f>
        <v>14000</v>
      </c>
      <c r="E45">
        <f>IF($X45&gt;0,IF($Y45&gt;0,$S45*3200,0),7000)</f>
        <v>7000</v>
      </c>
      <c r="F45">
        <f>IF($X45&gt;0,IF($Y45&gt;0,$V45*3200,0),20000)</f>
        <v>20000</v>
      </c>
      <c r="G45">
        <f>IF($X45&gt;0,IF($Y45&gt;0,$R45*3200,0),3500)</f>
        <v>3500</v>
      </c>
      <c r="H45">
        <f>IF($X45&gt;0,IF($Y45&gt;0,($T45+$W45)*3200,0),3000)</f>
        <v>3000</v>
      </c>
      <c r="I45">
        <f>IF($X45&gt;0,IF($Y45&gt;0,$U45*3200,0),1750)</f>
        <v>1750</v>
      </c>
      <c r="J45">
        <v>4000</v>
      </c>
      <c r="K45">
        <v>0.8</v>
      </c>
      <c r="L45" t="str">
        <f>IF($X45&gt;0,IF($P45&lt;&gt;1,"2026-06-14",IFERROR(INDEX('JLR Machines'!$D:$D,MATCH($O45,'JLR Machines'!$A:$A,0)),"2026-06-14")),"2026-06-14")</f>
        <v>2026-06-14</v>
      </c>
      <c r="M45" t="str">
        <f>IF($X45&gt;0,IF($Y45&gt;0,"JLR machine "&amp;$O45&amp;" at "&amp;TEXT($X45,"0.00")&amp;" per hr — build-up as supplied","JLR machine "&amp;$O45&amp;" at "&amp;TEXT($X45,"0.00")&amp;" per hr — build-up not supplied"),"UK plastics benchmark, Jun 2026")</f>
        <v>UK plastics benchmark, Jun 2026</v>
      </c>
      <c r="N45" t="str">
        <v>Medium</v>
      </c>
      <c r="O45" t="str">
        <f>IFERROR(INDEX(Mapping!$C:$C,MATCH($A45,Mapping!$A:$A,0)),"")</f>
        <v/>
      </c>
      <c r="P45">
        <f>IF($O45="",0,COUNTIFS('JLR Machines'!$A:$A,$O45,'JLR Machines'!$C:$C,IF(Settings!$B$2="","&lt;&gt;",Settings!$B$2),'JLR Machines'!$D:$D,IF(Settings!$B$3="","&lt;&gt;",Settings!$B$3)))</f>
        <v>0</v>
      </c>
      <c r="Q45">
        <f>IF($P45&lt;&gt;1,0,SUMIFS('JLR Machines'!$G:$G,'JLR Machines'!$A:$A,$O45,'JLR Machines'!$C:$C,IF(Settings!$B$2="","&lt;&gt;",Settings!$B$2),'JLR Machines'!$D:$D,IF(Settings!$B$3="","&lt;&gt;",Settings!$B$3)))</f>
        <v>0</v>
      </c>
      <c r="R45">
        <f>IF($P45&lt;&gt;1,0,SUMIFS('JLR Machines'!$H:$H,'JLR Machines'!$A:$A,$O45,'JLR Machines'!$C:$C,IF(Settings!$B$2="","&lt;&gt;",Settings!$B$2),'JLR Machines'!$D:$D,IF(Settings!$B$3="","&lt;&gt;",Settings!$B$3)))</f>
        <v>0</v>
      </c>
      <c r="S45">
        <f>IF($P45&lt;&gt;1,0,SUMIFS('JLR Machines'!$I:$I,'JLR Machines'!$A:$A,$O45,'JLR Machines'!$C:$C,IF(Settings!$B$2="","&lt;&gt;",Settings!$B$2),'JLR Machines'!$D:$D,IF(Settings!$B$3="","&lt;&gt;",Settings!$B$3)))</f>
        <v>0</v>
      </c>
      <c r="T45">
        <f>IF($P45&lt;&gt;1,0,SUMIFS('JLR Machines'!$J:$J,'JLR Machines'!$A:$A,$O45,'JLR Machines'!$C:$C,IF(Settings!$B$2="","&lt;&gt;",Settings!$B$2),'JLR Machines'!$D:$D,IF(Settings!$B$3="","&lt;&gt;",Settings!$B$3)))</f>
        <v>0</v>
      </c>
      <c r="U45">
        <f>IF($P45&lt;&gt;1,0,SUMIFS('JLR Machines'!$K:$K,'JLR Machines'!$A:$A,$O45,'JLR Machines'!$C:$C,IF(Settings!$B$2="","&lt;&gt;",Settings!$B$2),'JLR Machines'!$D:$D,IF(Settings!$B$3="","&lt;&gt;",Settings!$B$3)))</f>
        <v>0</v>
      </c>
      <c r="V45">
        <f>IF($P45&lt;&gt;1,0,SUMIFS('JLR Machines'!$L:$L,'JLR Machines'!$A:$A,$O45,'JLR Machines'!$C:$C,IF(Settings!$B$2="","&lt;&gt;",Settings!$B$2),'JLR Machines'!$D:$D,IF(Settings!$B$3="","&lt;&gt;",Settings!$B$3)))</f>
        <v>0</v>
      </c>
      <c r="W45">
        <f>IF($P45&lt;&gt;1,0,SUMIFS('JLR Machines'!$M:$M,'JLR Machines'!$A:$A,$O45,'JLR Machines'!$C:$C,IF(Settings!$B$2="","&lt;&gt;",Settings!$B$2),'JLR Machines'!$D:$D,IF(Settings!$B$3="","&lt;&gt;",Settings!$B$3)))</f>
        <v>0</v>
      </c>
      <c r="X45">
        <f>IF($P45&lt;&gt;1,0,SUMIFS('JLR Machines'!$N:$N,'JLR Machines'!$A:$A,$O45,'JLR Machines'!$C:$C,IF(Settings!$B$2="","&lt;&gt;",Settings!$B$2),'JLR Machines'!$D:$D,IF(Settings!$B$3="","&lt;&gt;",Settings!$B$3)))</f>
        <v>0</v>
      </c>
      <c r="Y45">
        <f>$Q45+$R45+$S45+$T45+$U45+$V45+$W45</f>
        <v>0</v>
      </c>
      <c r="Z45">
        <f>IF($X45&lt;=0,0,ROUND((D45+E45+F45+G45+H45+I45)/3200-$X45,4))</f>
        <v>0</v>
      </c>
    </row>
    <row r="46">
      <c r="A46" t="str">
        <v>imm-200t</v>
      </c>
      <c r="B46" t="str">
        <v>200T Injection Moulding Machine</v>
      </c>
      <c r="C46" t="str">
        <v>UK</v>
      </c>
      <c r="D46">
        <f>IF($X46&gt;0,IF($Y46&gt;0,MAX(0,$Q46+$X46-$Y46)*3200,$X46*3200),22000)</f>
        <v>22000</v>
      </c>
      <c r="E46">
        <f>IF($X46&gt;0,IF($Y46&gt;0,$S46*3200,0),11000)</f>
        <v>11000</v>
      </c>
      <c r="F46">
        <f>IF($X46&gt;0,IF($Y46&gt;0,$V46*3200,0),35000)</f>
        <v>35000</v>
      </c>
      <c r="G46">
        <f>IF($X46&gt;0,IF($Y46&gt;0,$R46*3200,0),5000)</f>
        <v>5000</v>
      </c>
      <c r="H46">
        <f>IF($X46&gt;0,IF($Y46&gt;0,($T46+$W46)*3200,0),4500)</f>
        <v>4500</v>
      </c>
      <c r="I46">
        <f>IF($X46&gt;0,IF($Y46&gt;0,$U46*3200,0),2750)</f>
        <v>2750</v>
      </c>
      <c r="J46">
        <v>4000</v>
      </c>
      <c r="K46">
        <v>0.8</v>
      </c>
      <c r="L46" t="str">
        <f>IF($X46&gt;0,IF($P46&lt;&gt;1,"2026-06-14",IFERROR(INDEX('JLR Machines'!$D:$D,MATCH($O46,'JLR Machines'!$A:$A,0)),"2026-06-14")),"2026-06-14")</f>
        <v>2026-06-14</v>
      </c>
      <c r="M46" t="str">
        <f>IF($X46&gt;0,IF($Y46&gt;0,"JLR machine "&amp;$O46&amp;" at "&amp;TEXT($X46,"0.00")&amp;" per hr — build-up as supplied","JLR machine "&amp;$O46&amp;" at "&amp;TEXT($X46,"0.00")&amp;" per hr — build-up not supplied"),"UK plastics benchmark, Jun 2026")</f>
        <v>UK plastics benchmark, Jun 2026</v>
      </c>
      <c r="N46" t="str">
        <v>Medium</v>
      </c>
      <c r="O46" t="str">
        <f>IFERROR(INDEX(Mapping!$C:$C,MATCH($A46,Mapping!$A:$A,0)),"")</f>
        <v/>
      </c>
      <c r="P46">
        <f>IF($O46="",0,COUNTIFS('JLR Machines'!$A:$A,$O46,'JLR Machines'!$C:$C,IF(Settings!$B$2="","&lt;&gt;",Settings!$B$2),'JLR Machines'!$D:$D,IF(Settings!$B$3="","&lt;&gt;",Settings!$B$3)))</f>
        <v>0</v>
      </c>
      <c r="Q46">
        <f>IF($P46&lt;&gt;1,0,SUMIFS('JLR Machines'!$G:$G,'JLR Machines'!$A:$A,$O46,'JLR Machines'!$C:$C,IF(Settings!$B$2="","&lt;&gt;",Settings!$B$2),'JLR Machines'!$D:$D,IF(Settings!$B$3="","&lt;&gt;",Settings!$B$3)))</f>
        <v>0</v>
      </c>
      <c r="R46">
        <f>IF($P46&lt;&gt;1,0,SUMIFS('JLR Machines'!$H:$H,'JLR Machines'!$A:$A,$O46,'JLR Machines'!$C:$C,IF(Settings!$B$2="","&lt;&gt;",Settings!$B$2),'JLR Machines'!$D:$D,IF(Settings!$B$3="","&lt;&gt;",Settings!$B$3)))</f>
        <v>0</v>
      </c>
      <c r="S46">
        <f>IF($P46&lt;&gt;1,0,SUMIFS('JLR Machines'!$I:$I,'JLR Machines'!$A:$A,$O46,'JLR Machines'!$C:$C,IF(Settings!$B$2="","&lt;&gt;",Settings!$B$2),'JLR Machines'!$D:$D,IF(Settings!$B$3="","&lt;&gt;",Settings!$B$3)))</f>
        <v>0</v>
      </c>
      <c r="T46">
        <f>IF($P46&lt;&gt;1,0,SUMIFS('JLR Machines'!$J:$J,'JLR Machines'!$A:$A,$O46,'JLR Machines'!$C:$C,IF(Settings!$B$2="","&lt;&gt;",Settings!$B$2),'JLR Machines'!$D:$D,IF(Settings!$B$3="","&lt;&gt;",Settings!$B$3)))</f>
        <v>0</v>
      </c>
      <c r="U46">
        <f>IF($P46&lt;&gt;1,0,SUMIFS('JLR Machines'!$K:$K,'JLR Machines'!$A:$A,$O46,'JLR Machines'!$C:$C,IF(Settings!$B$2="","&lt;&gt;",Settings!$B$2),'JLR Machines'!$D:$D,IF(Settings!$B$3="","&lt;&gt;",Settings!$B$3)))</f>
        <v>0</v>
      </c>
      <c r="V46">
        <f>IF($P46&lt;&gt;1,0,SUMIFS('JLR Machines'!$L:$L,'JLR Machines'!$A:$A,$O46,'JLR Machines'!$C:$C,IF(Settings!$B$2="","&lt;&gt;",Settings!$B$2),'JLR Machines'!$D:$D,IF(Settings!$B$3="","&lt;&gt;",Settings!$B$3)))</f>
        <v>0</v>
      </c>
      <c r="W46">
        <f>IF($P46&lt;&gt;1,0,SUMIFS('JLR Machines'!$M:$M,'JLR Machines'!$A:$A,$O46,'JLR Machines'!$C:$C,IF(Settings!$B$2="","&lt;&gt;",Settings!$B$2),'JLR Machines'!$D:$D,IF(Settings!$B$3="","&lt;&gt;",Settings!$B$3)))</f>
        <v>0</v>
      </c>
      <c r="X46">
        <f>IF($P46&lt;&gt;1,0,SUMIFS('JLR Machines'!$N:$N,'JLR Machines'!$A:$A,$O46,'JLR Machines'!$C:$C,IF(Settings!$B$2="","&lt;&gt;",Settings!$B$2),'JLR Machines'!$D:$D,IF(Settings!$B$3="","&lt;&gt;",Settings!$B$3)))</f>
        <v>0</v>
      </c>
      <c r="Y46">
        <f>$Q46+$R46+$S46+$T46+$U46+$V46+$W46</f>
        <v>0</v>
      </c>
      <c r="Z46">
        <f>IF($X46&lt;=0,0,ROUND((D46+E46+F46+G46+H46+I46)/3200-$X46,4))</f>
        <v>0</v>
      </c>
    </row>
    <row r="47">
      <c r="A47" t="str">
        <v>imm-350t</v>
      </c>
      <c r="B47" t="str">
        <v>350T Injection Moulding Machine</v>
      </c>
      <c r="C47" t="str">
        <v>UK</v>
      </c>
      <c r="D47">
        <f>IF($X47&gt;0,IF($Y47&gt;0,MAX(0,$Q47+$X47-$Y47)*3200,$X47*3200),34000)</f>
        <v>34000</v>
      </c>
      <c r="E47">
        <f>IF($X47&gt;0,IF($Y47&gt;0,$S47*3200,0),15500)</f>
        <v>15500</v>
      </c>
      <c r="F47">
        <f>IF($X47&gt;0,IF($Y47&gt;0,$V47*3200,0),52000)</f>
        <v>52000</v>
      </c>
      <c r="G47">
        <f>IF($X47&gt;0,IF($Y47&gt;0,$R47*3200,0),7000)</f>
        <v>7000</v>
      </c>
      <c r="H47">
        <f>IF($X47&gt;0,IF($Y47&gt;0,($T47+$W47)*3200,0),6800)</f>
        <v>6800</v>
      </c>
      <c r="I47">
        <f>IF($X47&gt;0,IF($Y47&gt;0,$U47*3200,0),4250)</f>
        <v>4250</v>
      </c>
      <c r="J47">
        <v>4000</v>
      </c>
      <c r="K47">
        <v>0.8</v>
      </c>
      <c r="L47" t="str">
        <f>IF($X47&gt;0,IF($P47&lt;&gt;1,"2026-06-14",IFERROR(INDEX('JLR Machines'!$D:$D,MATCH($O47,'JLR Machines'!$A:$A,0)),"2026-06-14")),"2026-06-14")</f>
        <v>2026-06-14</v>
      </c>
      <c r="M47" t="str">
        <f>IF($X47&gt;0,IF($Y47&gt;0,"JLR machine "&amp;$O47&amp;" at "&amp;TEXT($X47,"0.00")&amp;" per hr — build-up as supplied","JLR machine "&amp;$O47&amp;" at "&amp;TEXT($X47,"0.00")&amp;" per hr — build-up not supplied"),"UK plastics benchmark, Jun 2026")</f>
        <v>UK plastics benchmark, Jun 2026</v>
      </c>
      <c r="N47" t="str">
        <v>Medium</v>
      </c>
      <c r="O47" t="str">
        <f>IFERROR(INDEX(Mapping!$C:$C,MATCH($A47,Mapping!$A:$A,0)),"")</f>
        <v/>
      </c>
      <c r="P47">
        <f>IF($O47="",0,COUNTIFS('JLR Machines'!$A:$A,$O47,'JLR Machines'!$C:$C,IF(Settings!$B$2="","&lt;&gt;",Settings!$B$2),'JLR Machines'!$D:$D,IF(Settings!$B$3="","&lt;&gt;",Settings!$B$3)))</f>
        <v>0</v>
      </c>
      <c r="Q47">
        <f>IF($P47&lt;&gt;1,0,SUMIFS('JLR Machines'!$G:$G,'JLR Machines'!$A:$A,$O47,'JLR Machines'!$C:$C,IF(Settings!$B$2="","&lt;&gt;",Settings!$B$2),'JLR Machines'!$D:$D,IF(Settings!$B$3="","&lt;&gt;",Settings!$B$3)))</f>
        <v>0</v>
      </c>
      <c r="R47">
        <f>IF($P47&lt;&gt;1,0,SUMIFS('JLR Machines'!$H:$H,'JLR Machines'!$A:$A,$O47,'JLR Machines'!$C:$C,IF(Settings!$B$2="","&lt;&gt;",Settings!$B$2),'JLR Machines'!$D:$D,IF(Settings!$B$3="","&lt;&gt;",Settings!$B$3)))</f>
        <v>0</v>
      </c>
      <c r="S47">
        <f>IF($P47&lt;&gt;1,0,SUMIFS('JLR Machines'!$I:$I,'JLR Machines'!$A:$A,$O47,'JLR Machines'!$C:$C,IF(Settings!$B$2="","&lt;&gt;",Settings!$B$2),'JLR Machines'!$D:$D,IF(Settings!$B$3="","&lt;&gt;",Settings!$B$3)))</f>
        <v>0</v>
      </c>
      <c r="T47">
        <f>IF($P47&lt;&gt;1,0,SUMIFS('JLR Machines'!$J:$J,'JLR Machines'!$A:$A,$O47,'JLR Machines'!$C:$C,IF(Settings!$B$2="","&lt;&gt;",Settings!$B$2),'JLR Machines'!$D:$D,IF(Settings!$B$3="","&lt;&gt;",Settings!$B$3)))</f>
        <v>0</v>
      </c>
      <c r="U47">
        <f>IF($P47&lt;&gt;1,0,SUMIFS('JLR Machines'!$K:$K,'JLR Machines'!$A:$A,$O47,'JLR Machines'!$C:$C,IF(Settings!$B$2="","&lt;&gt;",Settings!$B$2),'JLR Machines'!$D:$D,IF(Settings!$B$3="","&lt;&gt;",Settings!$B$3)))</f>
        <v>0</v>
      </c>
      <c r="V47">
        <f>IF($P47&lt;&gt;1,0,SUMIFS('JLR Machines'!$L:$L,'JLR Machines'!$A:$A,$O47,'JLR Machines'!$C:$C,IF(Settings!$B$2="","&lt;&gt;",Settings!$B$2),'JLR Machines'!$D:$D,IF(Settings!$B$3="","&lt;&gt;",Settings!$B$3)))</f>
        <v>0</v>
      </c>
      <c r="W47">
        <f>IF($P47&lt;&gt;1,0,SUMIFS('JLR Machines'!$M:$M,'JLR Machines'!$A:$A,$O47,'JLR Machines'!$C:$C,IF(Settings!$B$2="","&lt;&gt;",Settings!$B$2),'JLR Machines'!$D:$D,IF(Settings!$B$3="","&lt;&gt;",Settings!$B$3)))</f>
        <v>0</v>
      </c>
      <c r="X47">
        <f>IF($P47&lt;&gt;1,0,SUMIFS('JLR Machines'!$N:$N,'JLR Machines'!$A:$A,$O47,'JLR Machines'!$C:$C,IF(Settings!$B$2="","&lt;&gt;",Settings!$B$2),'JLR Machines'!$D:$D,IF(Settings!$B$3="","&lt;&gt;",Settings!$B$3)))</f>
        <v>0</v>
      </c>
      <c r="Y47">
        <f>$Q47+$R47+$S47+$T47+$U47+$V47+$W47</f>
        <v>0</v>
      </c>
      <c r="Z47">
        <f>IF($X47&lt;=0,0,ROUND((D47+E47+F47+G47+H47+I47)/3200-$X47,4))</f>
        <v>0</v>
      </c>
    </row>
    <row r="48">
      <c r="A48" t="str">
        <v>imm-400t</v>
      </c>
      <c r="B48" t="str">
        <v>400T Injection Moulding Machine</v>
      </c>
      <c r="C48" t="str">
        <v>UK</v>
      </c>
      <c r="D48">
        <f>IF($X48&gt;0,IF($Y48&gt;0,MAX(0,$Q48+$X48-$Y48)*3200,$X48*3200),40000)</f>
        <v>40000</v>
      </c>
      <c r="E48">
        <f>IF($X48&gt;0,IF($Y48&gt;0,$S48*3200,0),18000)</f>
        <v>18000</v>
      </c>
      <c r="F48">
        <f>IF($X48&gt;0,IF($Y48&gt;0,$V48*3200,0),60000)</f>
        <v>60000</v>
      </c>
      <c r="G48">
        <f>IF($X48&gt;0,IF($Y48&gt;0,$R48*3200,0),8000)</f>
        <v>8000</v>
      </c>
      <c r="H48">
        <f>IF($X48&gt;0,IF($Y48&gt;0,($T48+$W48)*3200,0),8000)</f>
        <v>8000</v>
      </c>
      <c r="I48">
        <f>IF($X48&gt;0,IF($Y48&gt;0,$U48*3200,0),5000)</f>
        <v>5000</v>
      </c>
      <c r="J48">
        <v>4000</v>
      </c>
      <c r="K48">
        <v>0.8</v>
      </c>
      <c r="L48" t="str">
        <f>IF($X48&gt;0,IF($P48&lt;&gt;1,"2026-06-14",IFERROR(INDEX('JLR Machines'!$D:$D,MATCH($O48,'JLR Machines'!$A:$A,0)),"2026-06-14")),"2026-06-14")</f>
        <v>2026-06-14</v>
      </c>
      <c r="M48" t="str">
        <f>IF($X48&gt;0,IF($Y48&gt;0,"JLR machine "&amp;$O48&amp;" at "&amp;TEXT($X48,"0.00")&amp;" per hr — build-up as supplied","JLR machine "&amp;$O48&amp;" at "&amp;TEXT($X48,"0.00")&amp;" per hr — build-up not supplied"),"UK plastics benchmark, Jun 2026")</f>
        <v>UK plastics benchmark, Jun 2026</v>
      </c>
      <c r="N48" t="str">
        <v>Medium</v>
      </c>
      <c r="O48" t="str">
        <f>IFERROR(INDEX(Mapping!$C:$C,MATCH($A48,Mapping!$A:$A,0)),"")</f>
        <v/>
      </c>
      <c r="P48">
        <f>IF($O48="",0,COUNTIFS('JLR Machines'!$A:$A,$O48,'JLR Machines'!$C:$C,IF(Settings!$B$2="","&lt;&gt;",Settings!$B$2),'JLR Machines'!$D:$D,IF(Settings!$B$3="","&lt;&gt;",Settings!$B$3)))</f>
        <v>0</v>
      </c>
      <c r="Q48">
        <f>IF($P48&lt;&gt;1,0,SUMIFS('JLR Machines'!$G:$G,'JLR Machines'!$A:$A,$O48,'JLR Machines'!$C:$C,IF(Settings!$B$2="","&lt;&gt;",Settings!$B$2),'JLR Machines'!$D:$D,IF(Settings!$B$3="","&lt;&gt;",Settings!$B$3)))</f>
        <v>0</v>
      </c>
      <c r="R48">
        <f>IF($P48&lt;&gt;1,0,SUMIFS('JLR Machines'!$H:$H,'JLR Machines'!$A:$A,$O48,'JLR Machines'!$C:$C,IF(Settings!$B$2="","&lt;&gt;",Settings!$B$2),'JLR Machines'!$D:$D,IF(Settings!$B$3="","&lt;&gt;",Settings!$B$3)))</f>
        <v>0</v>
      </c>
      <c r="S48">
        <f>IF($P48&lt;&gt;1,0,SUMIFS('JLR Machines'!$I:$I,'JLR Machines'!$A:$A,$O48,'JLR Machines'!$C:$C,IF(Settings!$B$2="","&lt;&gt;",Settings!$B$2),'JLR Machines'!$D:$D,IF(Settings!$B$3="","&lt;&gt;",Settings!$B$3)))</f>
        <v>0</v>
      </c>
      <c r="T48">
        <f>IF($P48&lt;&gt;1,0,SUMIFS('JLR Machines'!$J:$J,'JLR Machines'!$A:$A,$O48,'JLR Machines'!$C:$C,IF(Settings!$B$2="","&lt;&gt;",Settings!$B$2),'JLR Machines'!$D:$D,IF(Settings!$B$3="","&lt;&gt;",Settings!$B$3)))</f>
        <v>0</v>
      </c>
      <c r="U48">
        <f>IF($P48&lt;&gt;1,0,SUMIFS('JLR Machines'!$K:$K,'JLR Machines'!$A:$A,$O48,'JLR Machines'!$C:$C,IF(Settings!$B$2="","&lt;&gt;",Settings!$B$2),'JLR Machines'!$D:$D,IF(Settings!$B$3="","&lt;&gt;",Settings!$B$3)))</f>
        <v>0</v>
      </c>
      <c r="V48">
        <f>IF($P48&lt;&gt;1,0,SUMIFS('JLR Machines'!$L:$L,'JLR Machines'!$A:$A,$O48,'JLR Machines'!$C:$C,IF(Settings!$B$2="","&lt;&gt;",Settings!$B$2),'JLR Machines'!$D:$D,IF(Settings!$B$3="","&lt;&gt;",Settings!$B$3)))</f>
        <v>0</v>
      </c>
      <c r="W48">
        <f>IF($P48&lt;&gt;1,0,SUMIFS('JLR Machines'!$M:$M,'JLR Machines'!$A:$A,$O48,'JLR Machines'!$C:$C,IF(Settings!$B$2="","&lt;&gt;",Settings!$B$2),'JLR Machines'!$D:$D,IF(Settings!$B$3="","&lt;&gt;",Settings!$B$3)))</f>
        <v>0</v>
      </c>
      <c r="X48">
        <f>IF($P48&lt;&gt;1,0,SUMIFS('JLR Machines'!$N:$N,'JLR Machines'!$A:$A,$O48,'JLR Machines'!$C:$C,IF(Settings!$B$2="","&lt;&gt;",Settings!$B$2),'JLR Machines'!$D:$D,IF(Settings!$B$3="","&lt;&gt;",Settings!$B$3)))</f>
        <v>0</v>
      </c>
      <c r="Y48">
        <f>$Q48+$R48+$S48+$T48+$U48+$V48+$W48</f>
        <v>0</v>
      </c>
      <c r="Z48">
        <f>IF($X48&lt;=0,0,ROUND((D48+E48+F48+G48+H48+I48)/3200-$X48,4))</f>
        <v>0</v>
      </c>
    </row>
    <row r="49">
      <c r="A49" t="str">
        <v>imm-500t</v>
      </c>
      <c r="B49" t="str">
        <v>500T Injection Moulding Machine</v>
      </c>
      <c r="C49" t="str">
        <v>UK</v>
      </c>
      <c r="D49">
        <f>IF($X49&gt;0,IF($Y49&gt;0,MAX(0,$Q49+$X49-$Y49)*3200,$X49*3200),50000)</f>
        <v>50000</v>
      </c>
      <c r="E49">
        <f>IF($X49&gt;0,IF($Y49&gt;0,$S49*3200,0),22000)</f>
        <v>22000</v>
      </c>
      <c r="F49">
        <f>IF($X49&gt;0,IF($Y49&gt;0,$V49*3200,0),72000)</f>
        <v>72000</v>
      </c>
      <c r="G49">
        <f>IF($X49&gt;0,IF($Y49&gt;0,$R49*3200,0),9500)</f>
        <v>9500</v>
      </c>
      <c r="H49">
        <f>IF($X49&gt;0,IF($Y49&gt;0,($T49+$W49)*3200,0),10000)</f>
        <v>10000</v>
      </c>
      <c r="I49">
        <f>IF($X49&gt;0,IF($Y49&gt;0,$U49*3200,0),6250)</f>
        <v>6250</v>
      </c>
      <c r="J49">
        <v>4000</v>
      </c>
      <c r="K49">
        <v>0.8</v>
      </c>
      <c r="L49" t="str">
        <f>IF($X49&gt;0,IF($P49&lt;&gt;1,"2026-06-14",IFERROR(INDEX('JLR Machines'!$D:$D,MATCH($O49,'JLR Machines'!$A:$A,0)),"2026-06-14")),"2026-06-14")</f>
        <v>2026-06-14</v>
      </c>
      <c r="M49" t="str">
        <f>IF($X49&gt;0,IF($Y49&gt;0,"JLR machine "&amp;$O49&amp;" at "&amp;TEXT($X49,"0.00")&amp;" per hr — build-up as supplied","JLR machine "&amp;$O49&amp;" at "&amp;TEXT($X49,"0.00")&amp;" per hr — build-up not supplied"),"UK plastics benchmark, Jun 2026")</f>
        <v>UK plastics benchmark, Jun 2026</v>
      </c>
      <c r="N49" t="str">
        <v>Medium</v>
      </c>
      <c r="O49" t="str">
        <f>IFERROR(INDEX(Mapping!$C:$C,MATCH($A49,Mapping!$A:$A,0)),"")</f>
        <v/>
      </c>
      <c r="P49">
        <f>IF($O49="",0,COUNTIFS('JLR Machines'!$A:$A,$O49,'JLR Machines'!$C:$C,IF(Settings!$B$2="","&lt;&gt;",Settings!$B$2),'JLR Machines'!$D:$D,IF(Settings!$B$3="","&lt;&gt;",Settings!$B$3)))</f>
        <v>0</v>
      </c>
      <c r="Q49">
        <f>IF($P49&lt;&gt;1,0,SUMIFS('JLR Machines'!$G:$G,'JLR Machines'!$A:$A,$O49,'JLR Machines'!$C:$C,IF(Settings!$B$2="","&lt;&gt;",Settings!$B$2),'JLR Machines'!$D:$D,IF(Settings!$B$3="","&lt;&gt;",Settings!$B$3)))</f>
        <v>0</v>
      </c>
      <c r="R49">
        <f>IF($P49&lt;&gt;1,0,SUMIFS('JLR Machines'!$H:$H,'JLR Machines'!$A:$A,$O49,'JLR Machines'!$C:$C,IF(Settings!$B$2="","&lt;&gt;",Settings!$B$2),'JLR Machines'!$D:$D,IF(Settings!$B$3="","&lt;&gt;",Settings!$B$3)))</f>
        <v>0</v>
      </c>
      <c r="S49">
        <f>IF($P49&lt;&gt;1,0,SUMIFS('JLR Machines'!$I:$I,'JLR Machines'!$A:$A,$O49,'JLR Machines'!$C:$C,IF(Settings!$B$2="","&lt;&gt;",Settings!$B$2),'JLR Machines'!$D:$D,IF(Settings!$B$3="","&lt;&gt;",Settings!$B$3)))</f>
        <v>0</v>
      </c>
      <c r="T49">
        <f>IF($P49&lt;&gt;1,0,SUMIFS('JLR Machines'!$J:$J,'JLR Machines'!$A:$A,$O49,'JLR Machines'!$C:$C,IF(Settings!$B$2="","&lt;&gt;",Settings!$B$2),'JLR Machines'!$D:$D,IF(Settings!$B$3="","&lt;&gt;",Settings!$B$3)))</f>
        <v>0</v>
      </c>
      <c r="U49">
        <f>IF($P49&lt;&gt;1,0,SUMIFS('JLR Machines'!$K:$K,'JLR Machines'!$A:$A,$O49,'JLR Machines'!$C:$C,IF(Settings!$B$2="","&lt;&gt;",Settings!$B$2),'JLR Machines'!$D:$D,IF(Settings!$B$3="","&lt;&gt;",Settings!$B$3)))</f>
        <v>0</v>
      </c>
      <c r="V49">
        <f>IF($P49&lt;&gt;1,0,SUMIFS('JLR Machines'!$L:$L,'JLR Machines'!$A:$A,$O49,'JLR Machines'!$C:$C,IF(Settings!$B$2="","&lt;&gt;",Settings!$B$2),'JLR Machines'!$D:$D,IF(Settings!$B$3="","&lt;&gt;",Settings!$B$3)))</f>
        <v>0</v>
      </c>
      <c r="W49">
        <f>IF($P49&lt;&gt;1,0,SUMIFS('JLR Machines'!$M:$M,'JLR Machines'!$A:$A,$O49,'JLR Machines'!$C:$C,IF(Settings!$B$2="","&lt;&gt;",Settings!$B$2),'JLR Machines'!$D:$D,IF(Settings!$B$3="","&lt;&gt;",Settings!$B$3)))</f>
        <v>0</v>
      </c>
      <c r="X49">
        <f>IF($P49&lt;&gt;1,0,SUMIFS('JLR Machines'!$N:$N,'JLR Machines'!$A:$A,$O49,'JLR Machines'!$C:$C,IF(Settings!$B$2="","&lt;&gt;",Settings!$B$2),'JLR Machines'!$D:$D,IF(Settings!$B$3="","&lt;&gt;",Settings!$B$3)))</f>
        <v>0</v>
      </c>
      <c r="Y49">
        <f>$Q49+$R49+$S49+$T49+$U49+$V49+$W49</f>
        <v>0</v>
      </c>
      <c r="Z49">
        <f>IF($X49&lt;=0,0,ROUND((D49+E49+F49+G49+H49+I49)/3200-$X49,4))</f>
        <v>0</v>
      </c>
    </row>
    <row r="50">
      <c r="A50" t="str">
        <v>imm-800t</v>
      </c>
      <c r="B50" t="str">
        <v>800T Injection Moulding Machine</v>
      </c>
      <c r="C50" t="str">
        <v>UK</v>
      </c>
      <c r="D50">
        <f>IF($X50&gt;0,IF($Y50&gt;0,MAX(0,$Q50+$X50-$Y50)*3120,$X50*3120),70000)</f>
        <v>70000</v>
      </c>
      <c r="E50">
        <f>IF($X50&gt;0,IF($Y50&gt;0,$S50*3120,0),32000)</f>
        <v>32000</v>
      </c>
      <c r="F50">
        <f>IF($X50&gt;0,IF($Y50&gt;0,$V50*3120,0),105000)</f>
        <v>105000</v>
      </c>
      <c r="G50">
        <f>IF($X50&gt;0,IF($Y50&gt;0,$R50*3120,0),14000)</f>
        <v>14000</v>
      </c>
      <c r="H50">
        <f>IF($X50&gt;0,IF($Y50&gt;0,($T50+$W50)*3120,0),14000)</f>
        <v>14000</v>
      </c>
      <c r="I50">
        <f>IF($X50&gt;0,IF($Y50&gt;0,$U50*3120,0),8750)</f>
        <v>8750</v>
      </c>
      <c r="J50">
        <v>4000</v>
      </c>
      <c r="K50">
        <v>0.78</v>
      </c>
      <c r="L50" t="str">
        <f>IF($X50&gt;0,IF($P50&lt;&gt;1,"2026-06-14",IFERROR(INDEX('JLR Machines'!$D:$D,MATCH($O50,'JLR Machines'!$A:$A,0)),"2026-06-14")),"2026-06-14")</f>
        <v>2026-06-14</v>
      </c>
      <c r="M50" t="str">
        <f>IF($X50&gt;0,IF($Y50&gt;0,"JLR machine "&amp;$O50&amp;" at "&amp;TEXT($X50,"0.00")&amp;" per hr — build-up as supplied","JLR machine "&amp;$O50&amp;" at "&amp;TEXT($X50,"0.00")&amp;" per hr — build-up not supplied"),"UK plastics benchmark, Jun 2026")</f>
        <v>UK plastics benchmark, Jun 2026</v>
      </c>
      <c r="N50" t="str">
        <v>Medium</v>
      </c>
      <c r="O50" t="str">
        <f>IFERROR(INDEX(Mapping!$C:$C,MATCH($A50,Mapping!$A:$A,0)),"")</f>
        <v/>
      </c>
      <c r="P50">
        <f>IF($O50="",0,COUNTIFS('JLR Machines'!$A:$A,$O50,'JLR Machines'!$C:$C,IF(Settings!$B$2="","&lt;&gt;",Settings!$B$2),'JLR Machines'!$D:$D,IF(Settings!$B$3="","&lt;&gt;",Settings!$B$3)))</f>
        <v>0</v>
      </c>
      <c r="Q50">
        <f>IF($P50&lt;&gt;1,0,SUMIFS('JLR Machines'!$G:$G,'JLR Machines'!$A:$A,$O50,'JLR Machines'!$C:$C,IF(Settings!$B$2="","&lt;&gt;",Settings!$B$2),'JLR Machines'!$D:$D,IF(Settings!$B$3="","&lt;&gt;",Settings!$B$3)))</f>
        <v>0</v>
      </c>
      <c r="R50">
        <f>IF($P50&lt;&gt;1,0,SUMIFS('JLR Machines'!$H:$H,'JLR Machines'!$A:$A,$O50,'JLR Machines'!$C:$C,IF(Settings!$B$2="","&lt;&gt;",Settings!$B$2),'JLR Machines'!$D:$D,IF(Settings!$B$3="","&lt;&gt;",Settings!$B$3)))</f>
        <v>0</v>
      </c>
      <c r="S50">
        <f>IF($P50&lt;&gt;1,0,SUMIFS('JLR Machines'!$I:$I,'JLR Machines'!$A:$A,$O50,'JLR Machines'!$C:$C,IF(Settings!$B$2="","&lt;&gt;",Settings!$B$2),'JLR Machines'!$D:$D,IF(Settings!$B$3="","&lt;&gt;",Settings!$B$3)))</f>
        <v>0</v>
      </c>
      <c r="T50">
        <f>IF($P50&lt;&gt;1,0,SUMIFS('JLR Machines'!$J:$J,'JLR Machines'!$A:$A,$O50,'JLR Machines'!$C:$C,IF(Settings!$B$2="","&lt;&gt;",Settings!$B$2),'JLR Machines'!$D:$D,IF(Settings!$B$3="","&lt;&gt;",Settings!$B$3)))</f>
        <v>0</v>
      </c>
      <c r="U50">
        <f>IF($P50&lt;&gt;1,0,SUMIFS('JLR Machines'!$K:$K,'JLR Machines'!$A:$A,$O50,'JLR Machines'!$C:$C,IF(Settings!$B$2="","&lt;&gt;",Settings!$B$2),'JLR Machines'!$D:$D,IF(Settings!$B$3="","&lt;&gt;",Settings!$B$3)))</f>
        <v>0</v>
      </c>
      <c r="V50">
        <f>IF($P50&lt;&gt;1,0,SUMIFS('JLR Machines'!$L:$L,'JLR Machines'!$A:$A,$O50,'JLR Machines'!$C:$C,IF(Settings!$B$2="","&lt;&gt;",Settings!$B$2),'JLR Machines'!$D:$D,IF(Settings!$B$3="","&lt;&gt;",Settings!$B$3)))</f>
        <v>0</v>
      </c>
      <c r="W50">
        <f>IF($P50&lt;&gt;1,0,SUMIFS('JLR Machines'!$M:$M,'JLR Machines'!$A:$A,$O50,'JLR Machines'!$C:$C,IF(Settings!$B$2="","&lt;&gt;",Settings!$B$2),'JLR Machines'!$D:$D,IF(Settings!$B$3="","&lt;&gt;",Settings!$B$3)))</f>
        <v>0</v>
      </c>
      <c r="X50">
        <f>IF($P50&lt;&gt;1,0,SUMIFS('JLR Machines'!$N:$N,'JLR Machines'!$A:$A,$O50,'JLR Machines'!$C:$C,IF(Settings!$B$2="","&lt;&gt;",Settings!$B$2),'JLR Machines'!$D:$D,IF(Settings!$B$3="","&lt;&gt;",Settings!$B$3)))</f>
        <v>0</v>
      </c>
      <c r="Y50">
        <f>$Q50+$R50+$S50+$T50+$U50+$V50+$W50</f>
        <v>0</v>
      </c>
      <c r="Z50">
        <f>IF($X50&lt;=0,0,ROUND((D50+E50+F50+G50+H50+I50)/3120-$X50,4))</f>
        <v>0</v>
      </c>
    </row>
    <row r="51">
      <c r="A51" t="str">
        <v>imm-1200t</v>
      </c>
      <c r="B51" t="str">
        <v>1200T Injection Moulding Machine</v>
      </c>
      <c r="C51" t="str">
        <v>UK</v>
      </c>
      <c r="D51">
        <f>IF($X51&gt;0,IF($Y51&gt;0,MAX(0,$Q51+$X51-$Y51)*3120,$X51*3120),100000)</f>
        <v>100000</v>
      </c>
      <c r="E51">
        <f>IF($X51&gt;0,IF($Y51&gt;0,$S51*3120,0),46000)</f>
        <v>46000</v>
      </c>
      <c r="F51">
        <f>IF($X51&gt;0,IF($Y51&gt;0,$V51*3120,0),150000)</f>
        <v>150000</v>
      </c>
      <c r="G51">
        <f>IF($X51&gt;0,IF($Y51&gt;0,$R51*3120,0),20000)</f>
        <v>20000</v>
      </c>
      <c r="H51">
        <f>IF($X51&gt;0,IF($Y51&gt;0,($T51+$W51)*3120,0),20000)</f>
        <v>20000</v>
      </c>
      <c r="I51">
        <f>IF($X51&gt;0,IF($Y51&gt;0,$U51*3120,0),12500)</f>
        <v>12500</v>
      </c>
      <c r="J51">
        <v>4000</v>
      </c>
      <c r="K51">
        <v>0.78</v>
      </c>
      <c r="L51" t="str">
        <f>IF($X51&gt;0,IF($P51&lt;&gt;1,"2026-06-14",IFERROR(INDEX('JLR Machines'!$D:$D,MATCH($O51,'JLR Machines'!$A:$A,0)),"2026-06-14")),"2026-06-14")</f>
        <v>2026-06-14</v>
      </c>
      <c r="M51" t="str">
        <f>IF($X51&gt;0,IF($Y51&gt;0,"JLR machine "&amp;$O51&amp;" at "&amp;TEXT($X51,"0.00")&amp;" per hr — build-up as supplied","JLR machine "&amp;$O51&amp;" at "&amp;TEXT($X51,"0.00")&amp;" per hr — build-up not supplied"),"UK plastics benchmark (large structural mouldings), Jun 2026")</f>
        <v>UK plastics benchmark (large structural mouldings), Jun 2026</v>
      </c>
      <c r="N51" t="str">
        <v>Medium</v>
      </c>
      <c r="O51" t="str">
        <f>IFERROR(INDEX(Mapping!$C:$C,MATCH($A51,Mapping!$A:$A,0)),"")</f>
        <v/>
      </c>
      <c r="P51">
        <f>IF($O51="",0,COUNTIFS('JLR Machines'!$A:$A,$O51,'JLR Machines'!$C:$C,IF(Settings!$B$2="","&lt;&gt;",Settings!$B$2),'JLR Machines'!$D:$D,IF(Settings!$B$3="","&lt;&gt;",Settings!$B$3)))</f>
        <v>0</v>
      </c>
      <c r="Q51">
        <f>IF($P51&lt;&gt;1,0,SUMIFS('JLR Machines'!$G:$G,'JLR Machines'!$A:$A,$O51,'JLR Machines'!$C:$C,IF(Settings!$B$2="","&lt;&gt;",Settings!$B$2),'JLR Machines'!$D:$D,IF(Settings!$B$3="","&lt;&gt;",Settings!$B$3)))</f>
        <v>0</v>
      </c>
      <c r="R51">
        <f>IF($P51&lt;&gt;1,0,SUMIFS('JLR Machines'!$H:$H,'JLR Machines'!$A:$A,$O51,'JLR Machines'!$C:$C,IF(Settings!$B$2="","&lt;&gt;",Settings!$B$2),'JLR Machines'!$D:$D,IF(Settings!$B$3="","&lt;&gt;",Settings!$B$3)))</f>
        <v>0</v>
      </c>
      <c r="S51">
        <f>IF($P51&lt;&gt;1,0,SUMIFS('JLR Machines'!$I:$I,'JLR Machines'!$A:$A,$O51,'JLR Machines'!$C:$C,IF(Settings!$B$2="","&lt;&gt;",Settings!$B$2),'JLR Machines'!$D:$D,IF(Settings!$B$3="","&lt;&gt;",Settings!$B$3)))</f>
        <v>0</v>
      </c>
      <c r="T51">
        <f>IF($P51&lt;&gt;1,0,SUMIFS('JLR Machines'!$J:$J,'JLR Machines'!$A:$A,$O51,'JLR Machines'!$C:$C,IF(Settings!$B$2="","&lt;&gt;",Settings!$B$2),'JLR Machines'!$D:$D,IF(Settings!$B$3="","&lt;&gt;",Settings!$B$3)))</f>
        <v>0</v>
      </c>
      <c r="U51">
        <f>IF($P51&lt;&gt;1,0,SUMIFS('JLR Machines'!$K:$K,'JLR Machines'!$A:$A,$O51,'JLR Machines'!$C:$C,IF(Settings!$B$2="","&lt;&gt;",Settings!$B$2),'JLR Machines'!$D:$D,IF(Settings!$B$3="","&lt;&gt;",Settings!$B$3)))</f>
        <v>0</v>
      </c>
      <c r="V51">
        <f>IF($P51&lt;&gt;1,0,SUMIFS('JLR Machines'!$L:$L,'JLR Machines'!$A:$A,$O51,'JLR Machines'!$C:$C,IF(Settings!$B$2="","&lt;&gt;",Settings!$B$2),'JLR Machines'!$D:$D,IF(Settings!$B$3="","&lt;&gt;",Settings!$B$3)))</f>
        <v>0</v>
      </c>
      <c r="W51">
        <f>IF($P51&lt;&gt;1,0,SUMIFS('JLR Machines'!$M:$M,'JLR Machines'!$A:$A,$O51,'JLR Machines'!$C:$C,IF(Settings!$B$2="","&lt;&gt;",Settings!$B$2),'JLR Machines'!$D:$D,IF(Settings!$B$3="","&lt;&gt;",Settings!$B$3)))</f>
        <v>0</v>
      </c>
      <c r="X51">
        <f>IF($P51&lt;&gt;1,0,SUMIFS('JLR Machines'!$N:$N,'JLR Machines'!$A:$A,$O51,'JLR Machines'!$C:$C,IF(Settings!$B$2="","&lt;&gt;",Settings!$B$2),'JLR Machines'!$D:$D,IF(Settings!$B$3="","&lt;&gt;",Settings!$B$3)))</f>
        <v>0</v>
      </c>
      <c r="Y51">
        <f>$Q51+$R51+$S51+$T51+$U51+$V51+$W51</f>
        <v>0</v>
      </c>
      <c r="Z51">
        <f>IF($X51&lt;=0,0,ROUND((D51+E51+F51+G51+H51+I51)/3120-$X51,4))</f>
        <v>0</v>
      </c>
    </row>
    <row r="52">
      <c r="A52" t="str">
        <v>imm-2000t</v>
      </c>
      <c r="B52" t="str">
        <v>2000T Injection Moulding Machine</v>
      </c>
      <c r="C52" t="str">
        <v>UK</v>
      </c>
      <c r="D52">
        <f>IF($X52&gt;0,IF($Y52&gt;0,MAX(0,$Q52+$X52-$Y52)*3040,$X52*3040),158000)</f>
        <v>158000</v>
      </c>
      <c r="E52">
        <f>IF($X52&gt;0,IF($Y52&gt;0,$S52*3040,0),72000)</f>
        <v>72000</v>
      </c>
      <c r="F52">
        <f>IF($X52&gt;0,IF($Y52&gt;0,$V52*3040,0),232000)</f>
        <v>232000</v>
      </c>
      <c r="G52">
        <f>IF($X52&gt;0,IF($Y52&gt;0,$R52*3040,0),30000)</f>
        <v>30000</v>
      </c>
      <c r="H52">
        <f>IF($X52&gt;0,IF($Y52&gt;0,($T52+$W52)*3040,0),31000)</f>
        <v>31000</v>
      </c>
      <c r="I52">
        <f>IF($X52&gt;0,IF($Y52&gt;0,$U52*3040,0),19750)</f>
        <v>19750</v>
      </c>
      <c r="J52">
        <v>4000</v>
      </c>
      <c r="K52">
        <v>0.76</v>
      </c>
      <c r="L52" t="str">
        <f>IF($X52&gt;0,IF($P52&lt;&gt;1,"2026-06-14",IFERROR(INDEX('JLR Machines'!$D:$D,MATCH($O52,'JLR Machines'!$A:$A,0)),"2026-06-14")),"2026-06-14")</f>
        <v>2026-06-14</v>
      </c>
      <c r="M52" t="str">
        <f>IF($X52&gt;0,IF($Y52&gt;0,"JLR machine "&amp;$O52&amp;" at "&amp;TEXT($X52,"0.00")&amp;" per hr — build-up as supplied","JLR machine "&amp;$O52&amp;" at "&amp;TEXT($X52,"0.00")&amp;" per hr — build-up not supplied"),"UK plastics benchmark (large automotive mouldings — door panels, cladding), Jun 2026")</f>
        <v>UK plastics benchmark (large automotive mouldings — door panels, cladding), Jun 2026</v>
      </c>
      <c r="N52" t="str">
        <v>Medium</v>
      </c>
      <c r="O52" t="str">
        <f>IFERROR(INDEX(Mapping!$C:$C,MATCH($A52,Mapping!$A:$A,0)),"")</f>
        <v/>
      </c>
      <c r="P52">
        <f>IF($O52="",0,COUNTIFS('JLR Machines'!$A:$A,$O52,'JLR Machines'!$C:$C,IF(Settings!$B$2="","&lt;&gt;",Settings!$B$2),'JLR Machines'!$D:$D,IF(Settings!$B$3="","&lt;&gt;",Settings!$B$3)))</f>
        <v>0</v>
      </c>
      <c r="Q52">
        <f>IF($P52&lt;&gt;1,0,SUMIFS('JLR Machines'!$G:$G,'JLR Machines'!$A:$A,$O52,'JLR Machines'!$C:$C,IF(Settings!$B$2="","&lt;&gt;",Settings!$B$2),'JLR Machines'!$D:$D,IF(Settings!$B$3="","&lt;&gt;",Settings!$B$3)))</f>
        <v>0</v>
      </c>
      <c r="R52">
        <f>IF($P52&lt;&gt;1,0,SUMIFS('JLR Machines'!$H:$H,'JLR Machines'!$A:$A,$O52,'JLR Machines'!$C:$C,IF(Settings!$B$2="","&lt;&gt;",Settings!$B$2),'JLR Machines'!$D:$D,IF(Settings!$B$3="","&lt;&gt;",Settings!$B$3)))</f>
        <v>0</v>
      </c>
      <c r="S52">
        <f>IF($P52&lt;&gt;1,0,SUMIFS('JLR Machines'!$I:$I,'JLR Machines'!$A:$A,$O52,'JLR Machines'!$C:$C,IF(Settings!$B$2="","&lt;&gt;",Settings!$B$2),'JLR Machines'!$D:$D,IF(Settings!$B$3="","&lt;&gt;",Settings!$B$3)))</f>
        <v>0</v>
      </c>
      <c r="T52">
        <f>IF($P52&lt;&gt;1,0,SUMIFS('JLR Machines'!$J:$J,'JLR Machines'!$A:$A,$O52,'JLR Machines'!$C:$C,IF(Settings!$B$2="","&lt;&gt;",Settings!$B$2),'JLR Machines'!$D:$D,IF(Settings!$B$3="","&lt;&gt;",Settings!$B$3)))</f>
        <v>0</v>
      </c>
      <c r="U52">
        <f>IF($P52&lt;&gt;1,0,SUMIFS('JLR Machines'!$K:$K,'JLR Machines'!$A:$A,$O52,'JLR Machines'!$C:$C,IF(Settings!$B$2="","&lt;&gt;",Settings!$B$2),'JLR Machines'!$D:$D,IF(Settings!$B$3="","&lt;&gt;",Settings!$B$3)))</f>
        <v>0</v>
      </c>
      <c r="V52">
        <f>IF($P52&lt;&gt;1,0,SUMIFS('JLR Machines'!$L:$L,'JLR Machines'!$A:$A,$O52,'JLR Machines'!$C:$C,IF(Settings!$B$2="","&lt;&gt;",Settings!$B$2),'JLR Machines'!$D:$D,IF(Settings!$B$3="","&lt;&gt;",Settings!$B$3)))</f>
        <v>0</v>
      </c>
      <c r="W52">
        <f>IF($P52&lt;&gt;1,0,SUMIFS('JLR Machines'!$M:$M,'JLR Machines'!$A:$A,$O52,'JLR Machines'!$C:$C,IF(Settings!$B$2="","&lt;&gt;",Settings!$B$2),'JLR Machines'!$D:$D,IF(Settings!$B$3="","&lt;&gt;",Settings!$B$3)))</f>
        <v>0</v>
      </c>
      <c r="X52">
        <f>IF($P52&lt;&gt;1,0,SUMIFS('JLR Machines'!$N:$N,'JLR Machines'!$A:$A,$O52,'JLR Machines'!$C:$C,IF(Settings!$B$2="","&lt;&gt;",Settings!$B$2),'JLR Machines'!$D:$D,IF(Settings!$B$3="","&lt;&gt;",Settings!$B$3)))</f>
        <v>0</v>
      </c>
      <c r="Y52">
        <f>$Q52+$R52+$S52+$T52+$U52+$V52+$W52</f>
        <v>0</v>
      </c>
      <c r="Z52">
        <f>IF($X52&lt;=0,0,ROUND((D52+E52+F52+G52+H52+I52)/3040-$X52,4))</f>
        <v>0</v>
      </c>
    </row>
    <row r="53">
      <c r="A53" t="str">
        <v>imm-3500t</v>
      </c>
      <c r="B53" t="str">
        <v>3500T Injection Moulding Machine</v>
      </c>
      <c r="C53" t="str">
        <v>UK</v>
      </c>
      <c r="D53">
        <f>IF($X53&gt;0,IF($Y53&gt;0,MAX(0,$Q53+$X53-$Y53)*2960,$X53*2960),265000)</f>
        <v>265000</v>
      </c>
      <c r="E53">
        <f>IF($X53&gt;0,IF($Y53&gt;0,$S53*2960,0),120000)</f>
        <v>120000</v>
      </c>
      <c r="F53">
        <f>IF($X53&gt;0,IF($Y53&gt;0,$V53*2960,0),390000)</f>
        <v>390000</v>
      </c>
      <c r="G53">
        <f>IF($X53&gt;0,IF($Y53&gt;0,$R53*2960,0),48000)</f>
        <v>48000</v>
      </c>
      <c r="H53">
        <f>IF($X53&gt;0,IF($Y53&gt;0,($T53+$W53)*2960,0),50000)</f>
        <v>50000</v>
      </c>
      <c r="I53">
        <f>IF($X53&gt;0,IF($Y53&gt;0,$U53*2960,0),33125)</f>
        <v>33125</v>
      </c>
      <c r="J53">
        <v>4000</v>
      </c>
      <c r="K53">
        <v>0.74</v>
      </c>
      <c r="L53" t="str">
        <f>IF($X53&gt;0,IF($P53&lt;&gt;1,"2026-06-14",IFERROR(INDEX('JLR Machines'!$D:$D,MATCH($O53,'JLR Machines'!$A:$A,0)),"2026-06-14")),"2026-06-14")</f>
        <v>2026-06-14</v>
      </c>
      <c r="M53" t="str">
        <f>IF($X53&gt;0,IF($Y53&gt;0,"JLR machine "&amp;$O53&amp;" at "&amp;TEXT($X53,"0.00")&amp;" per hr — build-up as supplied","JLR machine "&amp;$O53&amp;" at "&amp;TEXT($X53,"0.00")&amp;" per hr — build-up not supplied"),"UK plastics benchmark (very large automotive — bumpers, IPs, tailgates; high clamp tonnage), Jun 2026")</f>
        <v>UK plastics benchmark (very large automotive — bumpers, IPs, tailgates; high clamp tonnage), Jun 2026</v>
      </c>
      <c r="N53" t="str">
        <v>Medium</v>
      </c>
      <c r="O53" t="str">
        <f>IFERROR(INDEX(Mapping!$C:$C,MATCH($A53,Mapping!$A:$A,0)),"")</f>
        <v/>
      </c>
      <c r="P53">
        <f>IF($O53="",0,COUNTIFS('JLR Machines'!$A:$A,$O53,'JLR Machines'!$C:$C,IF(Settings!$B$2="","&lt;&gt;",Settings!$B$2),'JLR Machines'!$D:$D,IF(Settings!$B$3="","&lt;&gt;",Settings!$B$3)))</f>
        <v>0</v>
      </c>
      <c r="Q53">
        <f>IF($P53&lt;&gt;1,0,SUMIFS('JLR Machines'!$G:$G,'JLR Machines'!$A:$A,$O53,'JLR Machines'!$C:$C,IF(Settings!$B$2="","&lt;&gt;",Settings!$B$2),'JLR Machines'!$D:$D,IF(Settings!$B$3="","&lt;&gt;",Settings!$B$3)))</f>
        <v>0</v>
      </c>
      <c r="R53">
        <f>IF($P53&lt;&gt;1,0,SUMIFS('JLR Machines'!$H:$H,'JLR Machines'!$A:$A,$O53,'JLR Machines'!$C:$C,IF(Settings!$B$2="","&lt;&gt;",Settings!$B$2),'JLR Machines'!$D:$D,IF(Settings!$B$3="","&lt;&gt;",Settings!$B$3)))</f>
        <v>0</v>
      </c>
      <c r="S53">
        <f>IF($P53&lt;&gt;1,0,SUMIFS('JLR Machines'!$I:$I,'JLR Machines'!$A:$A,$O53,'JLR Machines'!$C:$C,IF(Settings!$B$2="","&lt;&gt;",Settings!$B$2),'JLR Machines'!$D:$D,IF(Settings!$B$3="","&lt;&gt;",Settings!$B$3)))</f>
        <v>0</v>
      </c>
      <c r="T53">
        <f>IF($P53&lt;&gt;1,0,SUMIFS('JLR Machines'!$J:$J,'JLR Machines'!$A:$A,$O53,'JLR Machines'!$C:$C,IF(Settings!$B$2="","&lt;&gt;",Settings!$B$2),'JLR Machines'!$D:$D,IF(Settings!$B$3="","&lt;&gt;",Settings!$B$3)))</f>
        <v>0</v>
      </c>
      <c r="U53">
        <f>IF($P53&lt;&gt;1,0,SUMIFS('JLR Machines'!$K:$K,'JLR Machines'!$A:$A,$O53,'JLR Machines'!$C:$C,IF(Settings!$B$2="","&lt;&gt;",Settings!$B$2),'JLR Machines'!$D:$D,IF(Settings!$B$3="","&lt;&gt;",Settings!$B$3)))</f>
        <v>0</v>
      </c>
      <c r="V53">
        <f>IF($P53&lt;&gt;1,0,SUMIFS('JLR Machines'!$L:$L,'JLR Machines'!$A:$A,$O53,'JLR Machines'!$C:$C,IF(Settings!$B$2="","&lt;&gt;",Settings!$B$2),'JLR Machines'!$D:$D,IF(Settings!$B$3="","&lt;&gt;",Settings!$B$3)))</f>
        <v>0</v>
      </c>
      <c r="W53">
        <f>IF($P53&lt;&gt;1,0,SUMIFS('JLR Machines'!$M:$M,'JLR Machines'!$A:$A,$O53,'JLR Machines'!$C:$C,IF(Settings!$B$2="","&lt;&gt;",Settings!$B$2),'JLR Machines'!$D:$D,IF(Settings!$B$3="","&lt;&gt;",Settings!$B$3)))</f>
        <v>0</v>
      </c>
      <c r="X53">
        <f>IF($P53&lt;&gt;1,0,SUMIFS('JLR Machines'!$N:$N,'JLR Machines'!$A:$A,$O53,'JLR Machines'!$C:$C,IF(Settings!$B$2="","&lt;&gt;",Settings!$B$2),'JLR Machines'!$D:$D,IF(Settings!$B$3="","&lt;&gt;",Settings!$B$3)))</f>
        <v>0</v>
      </c>
      <c r="Y53">
        <f>$Q53+$R53+$S53+$T53+$U53+$V53+$W53</f>
        <v>0</v>
      </c>
      <c r="Z53">
        <f>IF($X53&lt;=0,0,ROUND((D53+E53+F53+G53+H53+I53)/2960-$X53,4))</f>
        <v>0</v>
      </c>
    </row>
    <row r="54">
      <c r="A54" t="str">
        <v>hpdc-500t</v>
      </c>
      <c r="B54" t="str">
        <v>HPDC 500T</v>
      </c>
      <c r="C54" t="str">
        <v>UK</v>
      </c>
      <c r="D54">
        <f>IF($X54&gt;0,IF($Y54&gt;0,MAX(0,$Q54+$X54-$Y54)*2730,$X54*2730),50000)</f>
        <v>50000</v>
      </c>
      <c r="E54">
        <f>IF($X54&gt;0,IF($Y54&gt;0,$S54*2730,0),25000)</f>
        <v>25000</v>
      </c>
      <c r="F54">
        <f>IF($X54&gt;0,IF($Y54&gt;0,$V54*2730,0),40000)</f>
        <v>40000</v>
      </c>
      <c r="G54">
        <f>IF($X54&gt;0,IF($Y54&gt;0,$R54*2730,0),12000)</f>
        <v>12000</v>
      </c>
      <c r="H54">
        <f>IF($X54&gt;0,IF($Y54&gt;0,($T54+$W54)*2730,0),10000)</f>
        <v>10000</v>
      </c>
      <c r="I54">
        <f>IF($X54&gt;0,IF($Y54&gt;0,$U54*2730,0),6250)</f>
        <v>6250</v>
      </c>
      <c r="J54">
        <v>3500</v>
      </c>
      <c r="K54">
        <v>0.78</v>
      </c>
      <c r="L54" t="str">
        <f>IF($X54&gt;0,IF($P54&lt;&gt;1,"2026-06-14",IFERROR(INDEX('JLR Machines'!$D:$D,MATCH($O54,'JLR Machines'!$A:$A,0)),"2026-06-14")),"2026-06-14")</f>
        <v>2026-06-14</v>
      </c>
      <c r="M54" t="str">
        <f>IF($X54&gt;0,IF($Y54&gt;0,"JLR machine "&amp;$O54&amp;" at "&amp;TEXT($X54,"0.00")&amp;" per hr — build-up as supplied","JLR machine "&amp;$O54&amp;" at "&amp;TEXT($X54,"0.00")&amp;" per hr — build-up not supplied"),"UK foundry benchmark, Jun 2026")</f>
        <v>UK foundry benchmark, Jun 2026</v>
      </c>
      <c r="N54" t="str">
        <v>Medium</v>
      </c>
      <c r="O54" t="str">
        <f>IFERROR(INDEX(Mapping!$C:$C,MATCH($A54,Mapping!$A:$A,0)),"")</f>
        <v/>
      </c>
      <c r="P54">
        <f>IF($O54="",0,COUNTIFS('JLR Machines'!$A:$A,$O54,'JLR Machines'!$C:$C,IF(Settings!$B$2="","&lt;&gt;",Settings!$B$2),'JLR Machines'!$D:$D,IF(Settings!$B$3="","&lt;&gt;",Settings!$B$3)))</f>
        <v>0</v>
      </c>
      <c r="Q54">
        <f>IF($P54&lt;&gt;1,0,SUMIFS('JLR Machines'!$G:$G,'JLR Machines'!$A:$A,$O54,'JLR Machines'!$C:$C,IF(Settings!$B$2="","&lt;&gt;",Settings!$B$2),'JLR Machines'!$D:$D,IF(Settings!$B$3="","&lt;&gt;",Settings!$B$3)))</f>
        <v>0</v>
      </c>
      <c r="R54">
        <f>IF($P54&lt;&gt;1,0,SUMIFS('JLR Machines'!$H:$H,'JLR Machines'!$A:$A,$O54,'JLR Machines'!$C:$C,IF(Settings!$B$2="","&lt;&gt;",Settings!$B$2),'JLR Machines'!$D:$D,IF(Settings!$B$3="","&lt;&gt;",Settings!$B$3)))</f>
        <v>0</v>
      </c>
      <c r="S54">
        <f>IF($P54&lt;&gt;1,0,SUMIFS('JLR Machines'!$I:$I,'JLR Machines'!$A:$A,$O54,'JLR Machines'!$C:$C,IF(Settings!$B$2="","&lt;&gt;",Settings!$B$2),'JLR Machines'!$D:$D,IF(Settings!$B$3="","&lt;&gt;",Settings!$B$3)))</f>
        <v>0</v>
      </c>
      <c r="T54">
        <f>IF($P54&lt;&gt;1,0,SUMIFS('JLR Machines'!$J:$J,'JLR Machines'!$A:$A,$O54,'JLR Machines'!$C:$C,IF(Settings!$B$2="","&lt;&gt;",Settings!$B$2),'JLR Machines'!$D:$D,IF(Settings!$B$3="","&lt;&gt;",Settings!$B$3)))</f>
        <v>0</v>
      </c>
      <c r="U54">
        <f>IF($P54&lt;&gt;1,0,SUMIFS('JLR Machines'!$K:$K,'JLR Machines'!$A:$A,$O54,'JLR Machines'!$C:$C,IF(Settings!$B$2="","&lt;&gt;",Settings!$B$2),'JLR Machines'!$D:$D,IF(Settings!$B$3="","&lt;&gt;",Settings!$B$3)))</f>
        <v>0</v>
      </c>
      <c r="V54">
        <f>IF($P54&lt;&gt;1,0,SUMIFS('JLR Machines'!$L:$L,'JLR Machines'!$A:$A,$O54,'JLR Machines'!$C:$C,IF(Settings!$B$2="","&lt;&gt;",Settings!$B$2),'JLR Machines'!$D:$D,IF(Settings!$B$3="","&lt;&gt;",Settings!$B$3)))</f>
        <v>0</v>
      </c>
      <c r="W54">
        <f>IF($P54&lt;&gt;1,0,SUMIFS('JLR Machines'!$M:$M,'JLR Machines'!$A:$A,$O54,'JLR Machines'!$C:$C,IF(Settings!$B$2="","&lt;&gt;",Settings!$B$2),'JLR Machines'!$D:$D,IF(Settings!$B$3="","&lt;&gt;",Settings!$B$3)))</f>
        <v>0</v>
      </c>
      <c r="X54">
        <f>IF($P54&lt;&gt;1,0,SUMIFS('JLR Machines'!$N:$N,'JLR Machines'!$A:$A,$O54,'JLR Machines'!$C:$C,IF(Settings!$B$2="","&lt;&gt;",Settings!$B$2),'JLR Machines'!$D:$D,IF(Settings!$B$3="","&lt;&gt;",Settings!$B$3)))</f>
        <v>0</v>
      </c>
      <c r="Y54">
        <f>$Q54+$R54+$S54+$T54+$U54+$V54+$W54</f>
        <v>0</v>
      </c>
      <c r="Z54">
        <f>IF($X54&lt;=0,0,ROUND((D54+E54+F54+G54+H54+I54)/2730-$X54,4))</f>
        <v>0</v>
      </c>
    </row>
    <row r="55">
      <c r="A55" t="str">
        <v>hpdc-800t</v>
      </c>
      <c r="B55" t="str">
        <v>HPDC 800T</v>
      </c>
      <c r="C55" t="str">
        <v>UK</v>
      </c>
      <c r="D55">
        <f>IF($X55&gt;0,IF($Y55&gt;0,MAX(0,$Q55+$X55-$Y55)*2730,$X55*2730),80000)</f>
        <v>80000</v>
      </c>
      <c r="E55">
        <f>IF($X55&gt;0,IF($Y55&gt;0,$S55*2730,0),38000)</f>
        <v>38000</v>
      </c>
      <c r="F55">
        <f>IF($X55&gt;0,IF($Y55&gt;0,$V55*2730,0),55000)</f>
        <v>55000</v>
      </c>
      <c r="G55">
        <f>IF($X55&gt;0,IF($Y55&gt;0,$R55*2730,0),18000)</f>
        <v>18000</v>
      </c>
      <c r="H55">
        <f>IF($X55&gt;0,IF($Y55&gt;0,($T55+$W55)*2730,0),15000)</f>
        <v>15000</v>
      </c>
      <c r="I55">
        <f>IF($X55&gt;0,IF($Y55&gt;0,$U55*2730,0),10000)</f>
        <v>10000</v>
      </c>
      <c r="J55">
        <v>3500</v>
      </c>
      <c r="K55">
        <v>0.78</v>
      </c>
      <c r="L55" t="str">
        <f>IF($X55&gt;0,IF($P55&lt;&gt;1,"2026-06-14",IFERROR(INDEX('JLR Machines'!$D:$D,MATCH($O55,'JLR Machines'!$A:$A,0)),"2026-06-14")),"2026-06-14")</f>
        <v>2026-06-14</v>
      </c>
      <c r="M55" t="str">
        <f>IF($X55&gt;0,IF($Y55&gt;0,"JLR machine "&amp;$O55&amp;" at "&amp;TEXT($X55,"0.00")&amp;" per hr — build-up as supplied","JLR machine "&amp;$O55&amp;" at "&amp;TEXT($X55,"0.00")&amp;" per hr — build-up not supplied"),"UK foundry benchmark, Jun 2026")</f>
        <v>UK foundry benchmark, Jun 2026</v>
      </c>
      <c r="N55" t="str">
        <v>Medium</v>
      </c>
      <c r="O55" t="str">
        <f>IFERROR(INDEX(Mapping!$C:$C,MATCH($A55,Mapping!$A:$A,0)),"")</f>
        <v/>
      </c>
      <c r="P55">
        <f>IF($O55="",0,COUNTIFS('JLR Machines'!$A:$A,$O55,'JLR Machines'!$C:$C,IF(Settings!$B$2="","&lt;&gt;",Settings!$B$2),'JLR Machines'!$D:$D,IF(Settings!$B$3="","&lt;&gt;",Settings!$B$3)))</f>
        <v>0</v>
      </c>
      <c r="Q55">
        <f>IF($P55&lt;&gt;1,0,SUMIFS('JLR Machines'!$G:$G,'JLR Machines'!$A:$A,$O55,'JLR Machines'!$C:$C,IF(Settings!$B$2="","&lt;&gt;",Settings!$B$2),'JLR Machines'!$D:$D,IF(Settings!$B$3="","&lt;&gt;",Settings!$B$3)))</f>
        <v>0</v>
      </c>
      <c r="R55">
        <f>IF($P55&lt;&gt;1,0,SUMIFS('JLR Machines'!$H:$H,'JLR Machines'!$A:$A,$O55,'JLR Machines'!$C:$C,IF(Settings!$B$2="","&lt;&gt;",Settings!$B$2),'JLR Machines'!$D:$D,IF(Settings!$B$3="","&lt;&gt;",Settings!$B$3)))</f>
        <v>0</v>
      </c>
      <c r="S55">
        <f>IF($P55&lt;&gt;1,0,SUMIFS('JLR Machines'!$I:$I,'JLR Machines'!$A:$A,$O55,'JLR Machines'!$C:$C,IF(Settings!$B$2="","&lt;&gt;",Settings!$B$2),'JLR Machines'!$D:$D,IF(Settings!$B$3="","&lt;&gt;",Settings!$B$3)))</f>
        <v>0</v>
      </c>
      <c r="T55">
        <f>IF($P55&lt;&gt;1,0,SUMIFS('JLR Machines'!$J:$J,'JLR Machines'!$A:$A,$O55,'JLR Machines'!$C:$C,IF(Settings!$B$2="","&lt;&gt;",Settings!$B$2),'JLR Machines'!$D:$D,IF(Settings!$B$3="","&lt;&gt;",Settings!$B$3)))</f>
        <v>0</v>
      </c>
      <c r="U55">
        <f>IF($P55&lt;&gt;1,0,SUMIFS('JLR Machines'!$K:$K,'JLR Machines'!$A:$A,$O55,'JLR Machines'!$C:$C,IF(Settings!$B$2="","&lt;&gt;",Settings!$B$2),'JLR Machines'!$D:$D,IF(Settings!$B$3="","&lt;&gt;",Settings!$B$3)))</f>
        <v>0</v>
      </c>
      <c r="V55">
        <f>IF($P55&lt;&gt;1,0,SUMIFS('JLR Machines'!$L:$L,'JLR Machines'!$A:$A,$O55,'JLR Machines'!$C:$C,IF(Settings!$B$2="","&lt;&gt;",Settings!$B$2),'JLR Machines'!$D:$D,IF(Settings!$B$3="","&lt;&gt;",Settings!$B$3)))</f>
        <v>0</v>
      </c>
      <c r="W55">
        <f>IF($P55&lt;&gt;1,0,SUMIFS('JLR Machines'!$M:$M,'JLR Machines'!$A:$A,$O55,'JLR Machines'!$C:$C,IF(Settings!$B$2="","&lt;&gt;",Settings!$B$2),'JLR Machines'!$D:$D,IF(Settings!$B$3="","&lt;&gt;",Settings!$B$3)))</f>
        <v>0</v>
      </c>
      <c r="X55">
        <f>IF($P55&lt;&gt;1,0,SUMIFS('JLR Machines'!$N:$N,'JLR Machines'!$A:$A,$O55,'JLR Machines'!$C:$C,IF(Settings!$B$2="","&lt;&gt;",Settings!$B$2),'JLR Machines'!$D:$D,IF(Settings!$B$3="","&lt;&gt;",Settings!$B$3)))</f>
        <v>0</v>
      </c>
      <c r="Y55">
        <f>$Q55+$R55+$S55+$T55+$U55+$V55+$W55</f>
        <v>0</v>
      </c>
      <c r="Z55">
        <f>IF($X55&lt;=0,0,ROUND((D55+E55+F55+G55+H55+I55)/2730-$X55,4))</f>
        <v>0</v>
      </c>
    </row>
    <row r="56">
      <c r="A56" t="str">
        <v>hpdc-1600t</v>
      </c>
      <c r="B56" t="str">
        <v>HPDC 1600T</v>
      </c>
      <c r="C56" t="str">
        <v>UK</v>
      </c>
      <c r="D56">
        <f>IF($X56&gt;0,IF($Y56&gt;0,MAX(0,$Q56+$X56-$Y56)*2730,$X56*2730),140000)</f>
        <v>140000</v>
      </c>
      <c r="E56">
        <f>IF($X56&gt;0,IF($Y56&gt;0,$S56*2730,0),65000)</f>
        <v>65000</v>
      </c>
      <c r="F56">
        <f>IF($X56&gt;0,IF($Y56&gt;0,$V56*2730,0),100000)</f>
        <v>100000</v>
      </c>
      <c r="G56">
        <f>IF($X56&gt;0,IF($Y56&gt;0,$R56*2730,0),28000)</f>
        <v>28000</v>
      </c>
      <c r="H56">
        <f>IF($X56&gt;0,IF($Y56&gt;0,($T56+$W56)*2730,0),25000)</f>
        <v>25000</v>
      </c>
      <c r="I56">
        <f>IF($X56&gt;0,IF($Y56&gt;0,$U56*2730,0),17500)</f>
        <v>17500</v>
      </c>
      <c r="J56">
        <v>3500</v>
      </c>
      <c r="K56">
        <v>0.78</v>
      </c>
      <c r="L56" t="str">
        <f>IF($X56&gt;0,IF($P56&lt;&gt;1,"2026-06-14",IFERROR(INDEX('JLR Machines'!$D:$D,MATCH($O56,'JLR Machines'!$A:$A,0)),"2026-06-14")),"2026-06-14")</f>
        <v>2026-06-14</v>
      </c>
      <c r="M56" t="str">
        <f>IF($X56&gt;0,IF($Y56&gt;0,"JLR machine "&amp;$O56&amp;" at "&amp;TEXT($X56,"0.00")&amp;" per hr — build-up as supplied","JLR machine "&amp;$O56&amp;" at "&amp;TEXT($X56,"0.00")&amp;" per hr — build-up not supplied"),"UK foundry benchmark, Jun 2026")</f>
        <v>UK foundry benchmark, Jun 2026</v>
      </c>
      <c r="N56" t="str">
        <v>Medium</v>
      </c>
      <c r="O56" t="str">
        <f>IFERROR(INDEX(Mapping!$C:$C,MATCH($A56,Mapping!$A:$A,0)),"")</f>
        <v/>
      </c>
      <c r="P56">
        <f>IF($O56="",0,COUNTIFS('JLR Machines'!$A:$A,$O56,'JLR Machines'!$C:$C,IF(Settings!$B$2="","&lt;&gt;",Settings!$B$2),'JLR Machines'!$D:$D,IF(Settings!$B$3="","&lt;&gt;",Settings!$B$3)))</f>
        <v>0</v>
      </c>
      <c r="Q56">
        <f>IF($P56&lt;&gt;1,0,SUMIFS('JLR Machines'!$G:$G,'JLR Machines'!$A:$A,$O56,'JLR Machines'!$C:$C,IF(Settings!$B$2="","&lt;&gt;",Settings!$B$2),'JLR Machines'!$D:$D,IF(Settings!$B$3="","&lt;&gt;",Settings!$B$3)))</f>
        <v>0</v>
      </c>
      <c r="R56">
        <f>IF($P56&lt;&gt;1,0,SUMIFS('JLR Machines'!$H:$H,'JLR Machines'!$A:$A,$O56,'JLR Machines'!$C:$C,IF(Settings!$B$2="","&lt;&gt;",Settings!$B$2),'JLR Machines'!$D:$D,IF(Settings!$B$3="","&lt;&gt;",Settings!$B$3)))</f>
        <v>0</v>
      </c>
      <c r="S56">
        <f>IF($P56&lt;&gt;1,0,SUMIFS('JLR Machines'!$I:$I,'JLR Machines'!$A:$A,$O56,'JLR Machines'!$C:$C,IF(Settings!$B$2="","&lt;&gt;",Settings!$B$2),'JLR Machines'!$D:$D,IF(Settings!$B$3="","&lt;&gt;",Settings!$B$3)))</f>
        <v>0</v>
      </c>
      <c r="T56">
        <f>IF($P56&lt;&gt;1,0,SUMIFS('JLR Machines'!$J:$J,'JLR Machines'!$A:$A,$O56,'JLR Machines'!$C:$C,IF(Settings!$B$2="","&lt;&gt;",Settings!$B$2),'JLR Machines'!$D:$D,IF(Settings!$B$3="","&lt;&gt;",Settings!$B$3)))</f>
        <v>0</v>
      </c>
      <c r="U56">
        <f>IF($P56&lt;&gt;1,0,SUMIFS('JLR Machines'!$K:$K,'JLR Machines'!$A:$A,$O56,'JLR Machines'!$C:$C,IF(Settings!$B$2="","&lt;&gt;",Settings!$B$2),'JLR Machines'!$D:$D,IF(Settings!$B$3="","&lt;&gt;",Settings!$B$3)))</f>
        <v>0</v>
      </c>
      <c r="V56">
        <f>IF($P56&lt;&gt;1,0,SUMIFS('JLR Machines'!$L:$L,'JLR Machines'!$A:$A,$O56,'JLR Machines'!$C:$C,IF(Settings!$B$2="","&lt;&gt;",Settings!$B$2),'JLR Machines'!$D:$D,IF(Settings!$B$3="","&lt;&gt;",Settings!$B$3)))</f>
        <v>0</v>
      </c>
      <c r="W56">
        <f>IF($P56&lt;&gt;1,0,SUMIFS('JLR Machines'!$M:$M,'JLR Machines'!$A:$A,$O56,'JLR Machines'!$C:$C,IF(Settings!$B$2="","&lt;&gt;",Settings!$B$2),'JLR Machines'!$D:$D,IF(Settings!$B$3="","&lt;&gt;",Settings!$B$3)))</f>
        <v>0</v>
      </c>
      <c r="X56">
        <f>IF($P56&lt;&gt;1,0,SUMIFS('JLR Machines'!$N:$N,'JLR Machines'!$A:$A,$O56,'JLR Machines'!$C:$C,IF(Settings!$B$2="","&lt;&gt;",Settings!$B$2),'JLR Machines'!$D:$D,IF(Settings!$B$3="","&lt;&gt;",Settings!$B$3)))</f>
        <v>0</v>
      </c>
      <c r="Y56">
        <f>$Q56+$R56+$S56+$T56+$U56+$V56+$W56</f>
        <v>0</v>
      </c>
      <c r="Z56">
        <f>IF($X56&lt;=0,0,ROUND((D56+E56+F56+G56+H56+I56)/2730-$X56,4))</f>
        <v>0</v>
      </c>
    </row>
    <row r="57">
      <c r="A57" t="str">
        <v>hpdc-giga-6100t</v>
      </c>
      <c r="B57" t="str">
        <v>Giga-Casting Press 6100T (megacasting)</v>
      </c>
      <c r="C57" t="str">
        <v>UK</v>
      </c>
      <c r="D57">
        <f>IF($X57&gt;0,IF($Y57&gt;0,MAX(0,$Q57+$X57-$Y57)*3200,$X57*3200),520000)</f>
        <v>520000</v>
      </c>
      <c r="E57">
        <f>IF($X57&gt;0,IF($Y57&gt;0,$S57*3200,0),240000)</f>
        <v>240000</v>
      </c>
      <c r="F57">
        <f>IF($X57&gt;0,IF($Y57&gt;0,$V57*3200,0),320000)</f>
        <v>320000</v>
      </c>
      <c r="G57">
        <f>IF($X57&gt;0,IF($Y57&gt;0,$R57*3200,0),120000)</f>
        <v>120000</v>
      </c>
      <c r="H57">
        <f>IF($X57&gt;0,IF($Y57&gt;0,($T57+$W57)*3200,0),90000)</f>
        <v>90000</v>
      </c>
      <c r="I57">
        <f>IF($X57&gt;0,IF($Y57&gt;0,$U57*3200,0),65000)</f>
        <v>65000</v>
      </c>
      <c r="J57">
        <v>4000</v>
      </c>
      <c r="K57">
        <v>0.8</v>
      </c>
      <c r="L57" t="str">
        <f>IF($X57&gt;0,IF($P57&lt;&gt;1,"2026-06-14",IFERROR(INDEX('JLR Machines'!$D:$D,MATCH($O57,'JLR Machines'!$A:$A,0)),"2026-06-14")),"2026-06-14")</f>
        <v>2026-06-14</v>
      </c>
      <c r="M57" t="str">
        <f>IF($X57&gt;0,IF($Y57&gt;0,"JLR machine "&amp;$O57&amp;" at "&amp;TEXT($X57,"0.00")&amp;" per hr — build-up as supplied","JLR machine "&amp;$O57&amp;" at "&amp;TEXT($X57,"0.00")&amp;" per hr — build-up not supplied"),"Giga-press benchmark. 6,100T locking force — single-piece rear/front underbody megacastings (Tesla-class, BYD). Very high capital; huge cell (vacuum, thermal control, laser trim). Jun 2026")</f>
        <v>Giga-press benchmark. 6,100T locking force — single-piece rear/front underbody megacastings (Tesla-class, BYD). Very high capital; huge cell (vacuum, thermal control, laser trim). Jun 2026</v>
      </c>
      <c r="N57" t="str">
        <v>Medium</v>
      </c>
      <c r="O57" t="str">
        <f>IFERROR(INDEX(Mapping!$C:$C,MATCH($A57,Mapping!$A:$A,0)),"")</f>
        <v/>
      </c>
      <c r="P57">
        <f>IF($O57="",0,COUNTIFS('JLR Machines'!$A:$A,$O57,'JLR Machines'!$C:$C,IF(Settings!$B$2="","&lt;&gt;",Settings!$B$2),'JLR Machines'!$D:$D,IF(Settings!$B$3="","&lt;&gt;",Settings!$B$3)))</f>
        <v>0</v>
      </c>
      <c r="Q57">
        <f>IF($P57&lt;&gt;1,0,SUMIFS('JLR Machines'!$G:$G,'JLR Machines'!$A:$A,$O57,'JLR Machines'!$C:$C,IF(Settings!$B$2="","&lt;&gt;",Settings!$B$2),'JLR Machines'!$D:$D,IF(Settings!$B$3="","&lt;&gt;",Settings!$B$3)))</f>
        <v>0</v>
      </c>
      <c r="R57">
        <f>IF($P57&lt;&gt;1,0,SUMIFS('JLR Machines'!$H:$H,'JLR Machines'!$A:$A,$O57,'JLR Machines'!$C:$C,IF(Settings!$B$2="","&lt;&gt;",Settings!$B$2),'JLR Machines'!$D:$D,IF(Settings!$B$3="","&lt;&gt;",Settings!$B$3)))</f>
        <v>0</v>
      </c>
      <c r="S57">
        <f>IF($P57&lt;&gt;1,0,SUMIFS('JLR Machines'!$I:$I,'JLR Machines'!$A:$A,$O57,'JLR Machines'!$C:$C,IF(Settings!$B$2="","&lt;&gt;",Settings!$B$2),'JLR Machines'!$D:$D,IF(Settings!$B$3="","&lt;&gt;",Settings!$B$3)))</f>
        <v>0</v>
      </c>
      <c r="T57">
        <f>IF($P57&lt;&gt;1,0,SUMIFS('JLR Machines'!$J:$J,'JLR Machines'!$A:$A,$O57,'JLR Machines'!$C:$C,IF(Settings!$B$2="","&lt;&gt;",Settings!$B$2),'JLR Machines'!$D:$D,IF(Settings!$B$3="","&lt;&gt;",Settings!$B$3)))</f>
        <v>0</v>
      </c>
      <c r="U57">
        <f>IF($P57&lt;&gt;1,0,SUMIFS('JLR Machines'!$K:$K,'JLR Machines'!$A:$A,$O57,'JLR Machines'!$C:$C,IF(Settings!$B$2="","&lt;&gt;",Settings!$B$2),'JLR Machines'!$D:$D,IF(Settings!$B$3="","&lt;&gt;",Settings!$B$3)))</f>
        <v>0</v>
      </c>
      <c r="V57">
        <f>IF($P57&lt;&gt;1,0,SUMIFS('JLR Machines'!$L:$L,'JLR Machines'!$A:$A,$O57,'JLR Machines'!$C:$C,IF(Settings!$B$2="","&lt;&gt;",Settings!$B$2),'JLR Machines'!$D:$D,IF(Settings!$B$3="","&lt;&gt;",Settings!$B$3)))</f>
        <v>0</v>
      </c>
      <c r="W57">
        <f>IF($P57&lt;&gt;1,0,SUMIFS('JLR Machines'!$M:$M,'JLR Machines'!$A:$A,$O57,'JLR Machines'!$C:$C,IF(Settings!$B$2="","&lt;&gt;",Settings!$B$2),'JLR Machines'!$D:$D,IF(Settings!$B$3="","&lt;&gt;",Settings!$B$3)))</f>
        <v>0</v>
      </c>
      <c r="X57">
        <f>IF($P57&lt;&gt;1,0,SUMIFS('JLR Machines'!$N:$N,'JLR Machines'!$A:$A,$O57,'JLR Machines'!$C:$C,IF(Settings!$B$2="","&lt;&gt;",Settings!$B$2),'JLR Machines'!$D:$D,IF(Settings!$B$3="","&lt;&gt;",Settings!$B$3)))</f>
        <v>0</v>
      </c>
      <c r="Y57">
        <f>$Q57+$R57+$S57+$T57+$U57+$V57+$W57</f>
        <v>0</v>
      </c>
      <c r="Z57">
        <f>IF($X57&lt;=0,0,ROUND((D57+E57+F57+G57+H57+I57)/3200-$X57,4))</f>
        <v>0</v>
      </c>
    </row>
    <row r="58">
      <c r="A58" t="str">
        <v>hpdc-giga-9000t</v>
      </c>
      <c r="B58" t="str">
        <v>Giga-Casting Press 9000T (Xiaomi/Tesla-class)</v>
      </c>
      <c r="C58" t="str">
        <v>UK</v>
      </c>
      <c r="D58">
        <f>IF($X58&gt;0,IF($Y58&gt;0,MAX(0,$Q58+$X58-$Y58)*3200,$X58*3200),780000)</f>
        <v>780000</v>
      </c>
      <c r="E58">
        <f>IF($X58&gt;0,IF($Y58&gt;0,$S58*3200,0),360000)</f>
        <v>360000</v>
      </c>
      <c r="F58">
        <f>IF($X58&gt;0,IF($Y58&gt;0,$V58*3200,0),480000)</f>
        <v>480000</v>
      </c>
      <c r="G58">
        <f>IF($X58&gt;0,IF($Y58&gt;0,$R58*3200,0),180000)</f>
        <v>180000</v>
      </c>
      <c r="H58">
        <f>IF($X58&gt;0,IF($Y58&gt;0,($T58+$W58)*3200,0),140000)</f>
        <v>140000</v>
      </c>
      <c r="I58">
        <f>IF($X58&gt;0,IF($Y58&gt;0,$U58*3200,0),97500)</f>
        <v>97500</v>
      </c>
      <c r="J58">
        <v>4000</v>
      </c>
      <c r="K58">
        <v>0.8</v>
      </c>
      <c r="L58" t="str">
        <f>IF($X58&gt;0,IF($P58&lt;&gt;1,"2026-06-14",IFERROR(INDEX('JLR Machines'!$D:$D,MATCH($O58,'JLR Machines'!$A:$A,0)),"2026-06-14")),"2026-06-14")</f>
        <v>2026-06-14</v>
      </c>
      <c r="M58" t="str">
        <f>IF($X58&gt;0,IF($Y58&gt;0,"JLR machine "&amp;$O58&amp;" at "&amp;TEXT($X58,"0.00")&amp;" per hr — build-up as supplied","JLR machine "&amp;$O58&amp;" at "&amp;TEXT($X58,"0.00")&amp;" per hr — build-up not supplied"),"Giga-press benchmark. 9,000T+ locking force (Xiaomi 9,100T \"die-casting cluster\", Tesla, largest OEM presses) — full one-piece underbody. Highest capital in the tool. Jun 2026")</f>
        <v>Giga-press benchmark. 9,000T+ locking force (Xiaomi 9,100T "die-casting cluster", Tesla, largest OEM presses) — full one-piece underbody. Highest capital in the tool. Jun 2026</v>
      </c>
      <c r="N58" t="str">
        <v>Medium</v>
      </c>
      <c r="O58" t="str">
        <f>IFERROR(INDEX(Mapping!$C:$C,MATCH($A58,Mapping!$A:$A,0)),"")</f>
        <v/>
      </c>
      <c r="P58">
        <f>IF($O58="",0,COUNTIFS('JLR Machines'!$A:$A,$O58,'JLR Machines'!$C:$C,IF(Settings!$B$2="","&lt;&gt;",Settings!$B$2),'JLR Machines'!$D:$D,IF(Settings!$B$3="","&lt;&gt;",Settings!$B$3)))</f>
        <v>0</v>
      </c>
      <c r="Q58">
        <f>IF($P58&lt;&gt;1,0,SUMIFS('JLR Machines'!$G:$G,'JLR Machines'!$A:$A,$O58,'JLR Machines'!$C:$C,IF(Settings!$B$2="","&lt;&gt;",Settings!$B$2),'JLR Machines'!$D:$D,IF(Settings!$B$3="","&lt;&gt;",Settings!$B$3)))</f>
        <v>0</v>
      </c>
      <c r="R58">
        <f>IF($P58&lt;&gt;1,0,SUMIFS('JLR Machines'!$H:$H,'JLR Machines'!$A:$A,$O58,'JLR Machines'!$C:$C,IF(Settings!$B$2="","&lt;&gt;",Settings!$B$2),'JLR Machines'!$D:$D,IF(Settings!$B$3="","&lt;&gt;",Settings!$B$3)))</f>
        <v>0</v>
      </c>
      <c r="S58">
        <f>IF($P58&lt;&gt;1,0,SUMIFS('JLR Machines'!$I:$I,'JLR Machines'!$A:$A,$O58,'JLR Machines'!$C:$C,IF(Settings!$B$2="","&lt;&gt;",Settings!$B$2),'JLR Machines'!$D:$D,IF(Settings!$B$3="","&lt;&gt;",Settings!$B$3)))</f>
        <v>0</v>
      </c>
      <c r="T58">
        <f>IF($P58&lt;&gt;1,0,SUMIFS('JLR Machines'!$J:$J,'JLR Machines'!$A:$A,$O58,'JLR Machines'!$C:$C,IF(Settings!$B$2="","&lt;&gt;",Settings!$B$2),'JLR Machines'!$D:$D,IF(Settings!$B$3="","&lt;&gt;",Settings!$B$3)))</f>
        <v>0</v>
      </c>
      <c r="U58">
        <f>IF($P58&lt;&gt;1,0,SUMIFS('JLR Machines'!$K:$K,'JLR Machines'!$A:$A,$O58,'JLR Machines'!$C:$C,IF(Settings!$B$2="","&lt;&gt;",Settings!$B$2),'JLR Machines'!$D:$D,IF(Settings!$B$3="","&lt;&gt;",Settings!$B$3)))</f>
        <v>0</v>
      </c>
      <c r="V58">
        <f>IF($P58&lt;&gt;1,0,SUMIFS('JLR Machines'!$L:$L,'JLR Machines'!$A:$A,$O58,'JLR Machines'!$C:$C,IF(Settings!$B$2="","&lt;&gt;",Settings!$B$2),'JLR Machines'!$D:$D,IF(Settings!$B$3="","&lt;&gt;",Settings!$B$3)))</f>
        <v>0</v>
      </c>
      <c r="W58">
        <f>IF($P58&lt;&gt;1,0,SUMIFS('JLR Machines'!$M:$M,'JLR Machines'!$A:$A,$O58,'JLR Machines'!$C:$C,IF(Settings!$B$2="","&lt;&gt;",Settings!$B$2),'JLR Machines'!$D:$D,IF(Settings!$B$3="","&lt;&gt;",Settings!$B$3)))</f>
        <v>0</v>
      </c>
      <c r="X58">
        <f>IF($P58&lt;&gt;1,0,SUMIFS('JLR Machines'!$N:$N,'JLR Machines'!$A:$A,$O58,'JLR Machines'!$C:$C,IF(Settings!$B$2="","&lt;&gt;",Settings!$B$2),'JLR Machines'!$D:$D,IF(Settings!$B$3="","&lt;&gt;",Settings!$B$3)))</f>
        <v>0</v>
      </c>
      <c r="Y58">
        <f>$Q58+$R58+$S58+$T58+$U58+$V58+$W58</f>
        <v>0</v>
      </c>
      <c r="Z58">
        <f>IF($X58&lt;=0,0,ROUND((D58+E58+F58+G58+H58+I58)/3200-$X58,4))</f>
        <v>0</v>
      </c>
    </row>
    <row r="59">
      <c r="A59" t="str">
        <v>sand-cast-line</v>
      </c>
      <c r="B59" t="str">
        <v>Sand Casting Moulding Line</v>
      </c>
      <c r="C59" t="str">
        <v>UK</v>
      </c>
      <c r="D59">
        <f>IF($X59&gt;0,IF($Y59&gt;0,MAX(0,$Q59+$X59-$Y59)*2625,$X59*2625),25000)</f>
        <v>25000</v>
      </c>
      <c r="E59">
        <f>IF($X59&gt;0,IF($Y59&gt;0,$S59*2625,0),12000)</f>
        <v>12000</v>
      </c>
      <c r="F59">
        <f>IF($X59&gt;0,IF($Y59&gt;0,$V59*2625,0),25000)</f>
        <v>25000</v>
      </c>
      <c r="G59">
        <f>IF($X59&gt;0,IF($Y59&gt;0,$R59*2625,0),10000)</f>
        <v>10000</v>
      </c>
      <c r="H59">
        <f>IF($X59&gt;0,IF($Y59&gt;0,($T59+$W59)*2625,0),8000)</f>
        <v>8000</v>
      </c>
      <c r="I59">
        <f>IF($X59&gt;0,IF($Y59&gt;0,$U59*2625,0),3125)</f>
        <v>3125</v>
      </c>
      <c r="J59">
        <v>3500</v>
      </c>
      <c r="K59">
        <v>0.75</v>
      </c>
      <c r="L59" t="str">
        <f>IF($X59&gt;0,IF($P59&lt;&gt;1,"2026-06-14",IFERROR(INDEX('JLR Machines'!$D:$D,MATCH($O59,'JLR Machines'!$A:$A,0)),"2026-06-14")),"2026-06-14")</f>
        <v>2026-06-14</v>
      </c>
      <c r="M59" t="str">
        <f>IF($X59&gt;0,IF($Y59&gt;0,"JLR machine "&amp;$O59&amp;" at "&amp;TEXT($X59,"0.00")&amp;" per hr — build-up as supplied","JLR machine "&amp;$O59&amp;" at "&amp;TEXT($X59,"0.00")&amp;" per hr — build-up not supplied"),"UK foundry benchmark, Jun 2026")</f>
        <v>UK foundry benchmark, Jun 2026</v>
      </c>
      <c r="N59" t="str">
        <v>Medium</v>
      </c>
      <c r="O59" t="str">
        <f>IFERROR(INDEX(Mapping!$C:$C,MATCH($A59,Mapping!$A:$A,0)),"")</f>
        <v/>
      </c>
      <c r="P59">
        <f>IF($O59="",0,COUNTIFS('JLR Machines'!$A:$A,$O59,'JLR Machines'!$C:$C,IF(Settings!$B$2="","&lt;&gt;",Settings!$B$2),'JLR Machines'!$D:$D,IF(Settings!$B$3="","&lt;&gt;",Settings!$B$3)))</f>
        <v>0</v>
      </c>
      <c r="Q59">
        <f>IF($P59&lt;&gt;1,0,SUMIFS('JLR Machines'!$G:$G,'JLR Machines'!$A:$A,$O59,'JLR Machines'!$C:$C,IF(Settings!$B$2="","&lt;&gt;",Settings!$B$2),'JLR Machines'!$D:$D,IF(Settings!$B$3="","&lt;&gt;",Settings!$B$3)))</f>
        <v>0</v>
      </c>
      <c r="R59">
        <f>IF($P59&lt;&gt;1,0,SUMIFS('JLR Machines'!$H:$H,'JLR Machines'!$A:$A,$O59,'JLR Machines'!$C:$C,IF(Settings!$B$2="","&lt;&gt;",Settings!$B$2),'JLR Machines'!$D:$D,IF(Settings!$B$3="","&lt;&gt;",Settings!$B$3)))</f>
        <v>0</v>
      </c>
      <c r="S59">
        <f>IF($P59&lt;&gt;1,0,SUMIFS('JLR Machines'!$I:$I,'JLR Machines'!$A:$A,$O59,'JLR Machines'!$C:$C,IF(Settings!$B$2="","&lt;&gt;",Settings!$B$2),'JLR Machines'!$D:$D,IF(Settings!$B$3="","&lt;&gt;",Settings!$B$3)))</f>
        <v>0</v>
      </c>
      <c r="T59">
        <f>IF($P59&lt;&gt;1,0,SUMIFS('JLR Machines'!$J:$J,'JLR Machines'!$A:$A,$O59,'JLR Machines'!$C:$C,IF(Settings!$B$2="","&lt;&gt;",Settings!$B$2),'JLR Machines'!$D:$D,IF(Settings!$B$3="","&lt;&gt;",Settings!$B$3)))</f>
        <v>0</v>
      </c>
      <c r="U59">
        <f>IF($P59&lt;&gt;1,0,SUMIFS('JLR Machines'!$K:$K,'JLR Machines'!$A:$A,$O59,'JLR Machines'!$C:$C,IF(Settings!$B$2="","&lt;&gt;",Settings!$B$2),'JLR Machines'!$D:$D,IF(Settings!$B$3="","&lt;&gt;",Settings!$B$3)))</f>
        <v>0</v>
      </c>
      <c r="V59">
        <f>IF($P59&lt;&gt;1,0,SUMIFS('JLR Machines'!$L:$L,'JLR Machines'!$A:$A,$O59,'JLR Machines'!$C:$C,IF(Settings!$B$2="","&lt;&gt;",Settings!$B$2),'JLR Machines'!$D:$D,IF(Settings!$B$3="","&lt;&gt;",Settings!$B$3)))</f>
        <v>0</v>
      </c>
      <c r="W59">
        <f>IF($P59&lt;&gt;1,0,SUMIFS('JLR Machines'!$M:$M,'JLR Machines'!$A:$A,$O59,'JLR Machines'!$C:$C,IF(Settings!$B$2="","&lt;&gt;",Settings!$B$2),'JLR Machines'!$D:$D,IF(Settings!$B$3="","&lt;&gt;",Settings!$B$3)))</f>
        <v>0</v>
      </c>
      <c r="X59">
        <f>IF($P59&lt;&gt;1,0,SUMIFS('JLR Machines'!$N:$N,'JLR Machines'!$A:$A,$O59,'JLR Machines'!$C:$C,IF(Settings!$B$2="","&lt;&gt;",Settings!$B$2),'JLR Machines'!$D:$D,IF(Settings!$B$3="","&lt;&gt;",Settings!$B$3)))</f>
        <v>0</v>
      </c>
      <c r="Y59">
        <f>$Q59+$R59+$S59+$T59+$U59+$V59+$W59</f>
        <v>0</v>
      </c>
      <c r="Z59">
        <f>IF($X59&lt;=0,0,ROUND((D59+E59+F59+G59+H59+I59)/2625-$X59,4))</f>
        <v>0</v>
      </c>
    </row>
    <row r="60">
      <c r="A60" t="str">
        <v>hpdc-160t</v>
      </c>
      <c r="B60" t="str">
        <v>HPDC 160T (Zinc/Small Al)</v>
      </c>
      <c r="C60" t="str">
        <v>UK</v>
      </c>
      <c r="D60">
        <f>IF($X60&gt;0,IF($Y60&gt;0,MAX(0,$Q60+$X60-$Y60)*2800,$X60*2800),18000)</f>
        <v>18000</v>
      </c>
      <c r="E60">
        <f>IF($X60&gt;0,IF($Y60&gt;0,$S60*2800,0),9000)</f>
        <v>9000</v>
      </c>
      <c r="F60">
        <f>IF($X60&gt;0,IF($Y60&gt;0,$V60*2800,0),14000)</f>
        <v>14000</v>
      </c>
      <c r="G60">
        <f>IF($X60&gt;0,IF($Y60&gt;0,$R60*2800,0),5000)</f>
        <v>5000</v>
      </c>
      <c r="H60">
        <f>IF($X60&gt;0,IF($Y60&gt;0,($T60+$W60)*2800,0),4000)</f>
        <v>4000</v>
      </c>
      <c r="I60">
        <f>IF($X60&gt;0,IF($Y60&gt;0,$U60*2800,0),2250)</f>
        <v>2250</v>
      </c>
      <c r="J60">
        <v>3500</v>
      </c>
      <c r="K60">
        <v>0.8</v>
      </c>
      <c r="L60" t="str">
        <f>IF($X60&gt;0,IF($P60&lt;&gt;1,"2026-06-14",IFERROR(INDEX('JLR Machines'!$D:$D,MATCH($O60,'JLR Machines'!$A:$A,0)),"2026-06-14")),"2026-06-14")</f>
        <v>2026-06-14</v>
      </c>
      <c r="M60" t="str">
        <f>IF($X60&gt;0,IF($Y60&gt;0,"JLR machine "&amp;$O60&amp;" at "&amp;TEXT($X60,"0.00")&amp;" per hr — build-up as supplied","JLR machine "&amp;$O60&amp;" at "&amp;TEXT($X60,"0.00")&amp;" per hr — build-up not supplied"),"Small HPDC / zinc die casting machine, UK foundry benchmark")</f>
        <v>Small HPDC / zinc die casting machine, UK foundry benchmark</v>
      </c>
      <c r="N60" t="str">
        <v>Medium</v>
      </c>
      <c r="O60" t="str">
        <f>IFERROR(INDEX(Mapping!$C:$C,MATCH($A60,Mapping!$A:$A,0)),"")</f>
        <v/>
      </c>
      <c r="P60">
        <f>IF($O60="",0,COUNTIFS('JLR Machines'!$A:$A,$O60,'JLR Machines'!$C:$C,IF(Settings!$B$2="","&lt;&gt;",Settings!$B$2),'JLR Machines'!$D:$D,IF(Settings!$B$3="","&lt;&gt;",Settings!$B$3)))</f>
        <v>0</v>
      </c>
      <c r="Q60">
        <f>IF($P60&lt;&gt;1,0,SUMIFS('JLR Machines'!$G:$G,'JLR Machines'!$A:$A,$O60,'JLR Machines'!$C:$C,IF(Settings!$B$2="","&lt;&gt;",Settings!$B$2),'JLR Machines'!$D:$D,IF(Settings!$B$3="","&lt;&gt;",Settings!$B$3)))</f>
        <v>0</v>
      </c>
      <c r="R60">
        <f>IF($P60&lt;&gt;1,0,SUMIFS('JLR Machines'!$H:$H,'JLR Machines'!$A:$A,$O60,'JLR Machines'!$C:$C,IF(Settings!$B$2="","&lt;&gt;",Settings!$B$2),'JLR Machines'!$D:$D,IF(Settings!$B$3="","&lt;&gt;",Settings!$B$3)))</f>
        <v>0</v>
      </c>
      <c r="S60">
        <f>IF($P60&lt;&gt;1,0,SUMIFS('JLR Machines'!$I:$I,'JLR Machines'!$A:$A,$O60,'JLR Machines'!$C:$C,IF(Settings!$B$2="","&lt;&gt;",Settings!$B$2),'JLR Machines'!$D:$D,IF(Settings!$B$3="","&lt;&gt;",Settings!$B$3)))</f>
        <v>0</v>
      </c>
      <c r="T60">
        <f>IF($P60&lt;&gt;1,0,SUMIFS('JLR Machines'!$J:$J,'JLR Machines'!$A:$A,$O60,'JLR Machines'!$C:$C,IF(Settings!$B$2="","&lt;&gt;",Settings!$B$2),'JLR Machines'!$D:$D,IF(Settings!$B$3="","&lt;&gt;",Settings!$B$3)))</f>
        <v>0</v>
      </c>
      <c r="U60">
        <f>IF($P60&lt;&gt;1,0,SUMIFS('JLR Machines'!$K:$K,'JLR Machines'!$A:$A,$O60,'JLR Machines'!$C:$C,IF(Settings!$B$2="","&lt;&gt;",Settings!$B$2),'JLR Machines'!$D:$D,IF(Settings!$B$3="","&lt;&gt;",Settings!$B$3)))</f>
        <v>0</v>
      </c>
      <c r="V60">
        <f>IF($P60&lt;&gt;1,0,SUMIFS('JLR Machines'!$L:$L,'JLR Machines'!$A:$A,$O60,'JLR Machines'!$C:$C,IF(Settings!$B$2="","&lt;&gt;",Settings!$B$2),'JLR Machines'!$D:$D,IF(Settings!$B$3="","&lt;&gt;",Settings!$B$3)))</f>
        <v>0</v>
      </c>
      <c r="W60">
        <f>IF($P60&lt;&gt;1,0,SUMIFS('JLR Machines'!$M:$M,'JLR Machines'!$A:$A,$O60,'JLR Machines'!$C:$C,IF(Settings!$B$2="","&lt;&gt;",Settings!$B$2),'JLR Machines'!$D:$D,IF(Settings!$B$3="","&lt;&gt;",Settings!$B$3)))</f>
        <v>0</v>
      </c>
      <c r="X60">
        <f>IF($P60&lt;&gt;1,0,SUMIFS('JLR Machines'!$N:$N,'JLR Machines'!$A:$A,$O60,'JLR Machines'!$C:$C,IF(Settings!$B$2="","&lt;&gt;",Settings!$B$2),'JLR Machines'!$D:$D,IF(Settings!$B$3="","&lt;&gt;",Settings!$B$3)))</f>
        <v>0</v>
      </c>
      <c r="Y60">
        <f>$Q60+$R60+$S60+$T60+$U60+$V60+$W60</f>
        <v>0</v>
      </c>
      <c r="Z60">
        <f>IF($X60&lt;=0,0,ROUND((D60+E60+F60+G60+H60+I60)/2800-$X60,4))</f>
        <v>0</v>
      </c>
    </row>
    <row r="61">
      <c r="A61" t="str">
        <v>forge-press-500t</v>
      </c>
      <c r="B61" t="str">
        <v>500T Mechanical Forge Press</v>
      </c>
      <c r="C61" t="str">
        <v>UK</v>
      </c>
      <c r="D61">
        <f>IF($X61&gt;0,IF($Y61&gt;0,MAX(0,$Q61+$X61-$Y61)*2730,$X61*2730),45000)</f>
        <v>45000</v>
      </c>
      <c r="E61">
        <f>IF($X61&gt;0,IF($Y61&gt;0,$S61*2730,0),22000)</f>
        <v>22000</v>
      </c>
      <c r="F61">
        <f>IF($X61&gt;0,IF($Y61&gt;0,$V61*2730,0),55000)</f>
        <v>55000</v>
      </c>
      <c r="G61">
        <f>IF($X61&gt;0,IF($Y61&gt;0,$R61*2730,0),12000)</f>
        <v>12000</v>
      </c>
      <c r="H61">
        <f>IF($X61&gt;0,IF($Y61&gt;0,($T61+$W61)*2730,0),10000)</f>
        <v>10000</v>
      </c>
      <c r="I61">
        <f>IF($X61&gt;0,IF($Y61&gt;0,$U61*2730,0),5625)</f>
        <v>5625</v>
      </c>
      <c r="J61">
        <v>3500</v>
      </c>
      <c r="K61">
        <v>0.78</v>
      </c>
      <c r="L61" t="str">
        <f>IF($X61&gt;0,IF($P61&lt;&gt;1,"2026-06-14",IFERROR(INDEX('JLR Machines'!$D:$D,MATCH($O61,'JLR Machines'!$A:$A,0)),"2026-06-14")),"2026-06-14")</f>
        <v>2026-06-14</v>
      </c>
      <c r="M61" t="str">
        <f>IF($X61&gt;0,IF($Y61&gt;0,"JLR machine "&amp;$O61&amp;" at "&amp;TEXT($X61,"0.00")&amp;" per hr — build-up as supplied","JLR machine "&amp;$O61&amp;" at "&amp;TEXT($X61,"0.00")&amp;" per hr — build-up not supplied"),"UK forge shop benchmark, Jun 2026")</f>
        <v>UK forge shop benchmark, Jun 2026</v>
      </c>
      <c r="N61" t="str">
        <v>Medium</v>
      </c>
      <c r="O61" t="str">
        <f>IFERROR(INDEX(Mapping!$C:$C,MATCH($A61,Mapping!$A:$A,0)),"")</f>
        <v/>
      </c>
      <c r="P61">
        <f>IF($O61="",0,COUNTIFS('JLR Machines'!$A:$A,$O61,'JLR Machines'!$C:$C,IF(Settings!$B$2="","&lt;&gt;",Settings!$B$2),'JLR Machines'!$D:$D,IF(Settings!$B$3="","&lt;&gt;",Settings!$B$3)))</f>
        <v>0</v>
      </c>
      <c r="Q61">
        <f>IF($P61&lt;&gt;1,0,SUMIFS('JLR Machines'!$G:$G,'JLR Machines'!$A:$A,$O61,'JLR Machines'!$C:$C,IF(Settings!$B$2="","&lt;&gt;",Settings!$B$2),'JLR Machines'!$D:$D,IF(Settings!$B$3="","&lt;&gt;",Settings!$B$3)))</f>
        <v>0</v>
      </c>
      <c r="R61">
        <f>IF($P61&lt;&gt;1,0,SUMIFS('JLR Machines'!$H:$H,'JLR Machines'!$A:$A,$O61,'JLR Machines'!$C:$C,IF(Settings!$B$2="","&lt;&gt;",Settings!$B$2),'JLR Machines'!$D:$D,IF(Settings!$B$3="","&lt;&gt;",Settings!$B$3)))</f>
        <v>0</v>
      </c>
      <c r="S61">
        <f>IF($P61&lt;&gt;1,0,SUMIFS('JLR Machines'!$I:$I,'JLR Machines'!$A:$A,$O61,'JLR Machines'!$C:$C,IF(Settings!$B$2="","&lt;&gt;",Settings!$B$2),'JLR Machines'!$D:$D,IF(Settings!$B$3="","&lt;&gt;",Settings!$B$3)))</f>
        <v>0</v>
      </c>
      <c r="T61">
        <f>IF($P61&lt;&gt;1,0,SUMIFS('JLR Machines'!$J:$J,'JLR Machines'!$A:$A,$O61,'JLR Machines'!$C:$C,IF(Settings!$B$2="","&lt;&gt;",Settings!$B$2),'JLR Machines'!$D:$D,IF(Settings!$B$3="","&lt;&gt;",Settings!$B$3)))</f>
        <v>0</v>
      </c>
      <c r="U61">
        <f>IF($P61&lt;&gt;1,0,SUMIFS('JLR Machines'!$K:$K,'JLR Machines'!$A:$A,$O61,'JLR Machines'!$C:$C,IF(Settings!$B$2="","&lt;&gt;",Settings!$B$2),'JLR Machines'!$D:$D,IF(Settings!$B$3="","&lt;&gt;",Settings!$B$3)))</f>
        <v>0</v>
      </c>
      <c r="V61">
        <f>IF($P61&lt;&gt;1,0,SUMIFS('JLR Machines'!$L:$L,'JLR Machines'!$A:$A,$O61,'JLR Machines'!$C:$C,IF(Settings!$B$2="","&lt;&gt;",Settings!$B$2),'JLR Machines'!$D:$D,IF(Settings!$B$3="","&lt;&gt;",Settings!$B$3)))</f>
        <v>0</v>
      </c>
      <c r="W61">
        <f>IF($P61&lt;&gt;1,0,SUMIFS('JLR Machines'!$M:$M,'JLR Machines'!$A:$A,$O61,'JLR Machines'!$C:$C,IF(Settings!$B$2="","&lt;&gt;",Settings!$B$2),'JLR Machines'!$D:$D,IF(Settings!$B$3="","&lt;&gt;",Settings!$B$3)))</f>
        <v>0</v>
      </c>
      <c r="X61">
        <f>IF($P61&lt;&gt;1,0,SUMIFS('JLR Machines'!$N:$N,'JLR Machines'!$A:$A,$O61,'JLR Machines'!$C:$C,IF(Settings!$B$2="","&lt;&gt;",Settings!$B$2),'JLR Machines'!$D:$D,IF(Settings!$B$3="","&lt;&gt;",Settings!$B$3)))</f>
        <v>0</v>
      </c>
      <c r="Y61">
        <f>$Q61+$R61+$S61+$T61+$U61+$V61+$W61</f>
        <v>0</v>
      </c>
      <c r="Z61">
        <f>IF($X61&lt;=0,0,ROUND((D61+E61+F61+G61+H61+I61)/2730-$X61,4))</f>
        <v>0</v>
      </c>
    </row>
    <row r="62">
      <c r="A62" t="str">
        <v>forge-press-1600t</v>
      </c>
      <c r="B62" t="str">
        <v>1600T Mechanical Forge Press</v>
      </c>
      <c r="C62" t="str">
        <v>UK</v>
      </c>
      <c r="D62">
        <f>IF($X62&gt;0,IF($Y62&gt;0,MAX(0,$Q62+$X62-$Y62)*2730,$X62*2730),90000)</f>
        <v>90000</v>
      </c>
      <c r="E62">
        <f>IF($X62&gt;0,IF($Y62&gt;0,$S62*2730,0),42000)</f>
        <v>42000</v>
      </c>
      <c r="F62">
        <f>IF($X62&gt;0,IF($Y62&gt;0,$V62*2730,0),85000)</f>
        <v>85000</v>
      </c>
      <c r="G62">
        <f>IF($X62&gt;0,IF($Y62&gt;0,$R62*2730,0),20000)</f>
        <v>20000</v>
      </c>
      <c r="H62">
        <f>IF($X62&gt;0,IF($Y62&gt;0,($T62+$W62)*2730,0),18000)</f>
        <v>18000</v>
      </c>
      <c r="I62">
        <f>IF($X62&gt;0,IF($Y62&gt;0,$U62*2730,0),11250)</f>
        <v>11250</v>
      </c>
      <c r="J62">
        <v>3500</v>
      </c>
      <c r="K62">
        <v>0.78</v>
      </c>
      <c r="L62" t="str">
        <f>IF($X62&gt;0,IF($P62&lt;&gt;1,"2026-06-14",IFERROR(INDEX('JLR Machines'!$D:$D,MATCH($O62,'JLR Machines'!$A:$A,0)),"2026-06-14")),"2026-06-14")</f>
        <v>2026-06-14</v>
      </c>
      <c r="M62" t="str">
        <f>IF($X62&gt;0,IF($Y62&gt;0,"JLR machine "&amp;$O62&amp;" at "&amp;TEXT($X62,"0.00")&amp;" per hr — build-up as supplied","JLR machine "&amp;$O62&amp;" at "&amp;TEXT($X62,"0.00")&amp;" per hr — build-up not supplied"),"UK forge shop benchmark (mid-size crank press), Jun 2026")</f>
        <v>UK forge shop benchmark (mid-size crank press), Jun 2026</v>
      </c>
      <c r="N62" t="str">
        <v>Medium</v>
      </c>
      <c r="O62" t="str">
        <f>IFERROR(INDEX(Mapping!$C:$C,MATCH($A62,Mapping!$A:$A,0)),"")</f>
        <v/>
      </c>
      <c r="P62">
        <f>IF($O62="",0,COUNTIFS('JLR Machines'!$A:$A,$O62,'JLR Machines'!$C:$C,IF(Settings!$B$2="","&lt;&gt;",Settings!$B$2),'JLR Machines'!$D:$D,IF(Settings!$B$3="","&lt;&gt;",Settings!$B$3)))</f>
        <v>0</v>
      </c>
      <c r="Q62">
        <f>IF($P62&lt;&gt;1,0,SUMIFS('JLR Machines'!$G:$G,'JLR Machines'!$A:$A,$O62,'JLR Machines'!$C:$C,IF(Settings!$B$2="","&lt;&gt;",Settings!$B$2),'JLR Machines'!$D:$D,IF(Settings!$B$3="","&lt;&gt;",Settings!$B$3)))</f>
        <v>0</v>
      </c>
      <c r="R62">
        <f>IF($P62&lt;&gt;1,0,SUMIFS('JLR Machines'!$H:$H,'JLR Machines'!$A:$A,$O62,'JLR Machines'!$C:$C,IF(Settings!$B$2="","&lt;&gt;",Settings!$B$2),'JLR Machines'!$D:$D,IF(Settings!$B$3="","&lt;&gt;",Settings!$B$3)))</f>
        <v>0</v>
      </c>
      <c r="S62">
        <f>IF($P62&lt;&gt;1,0,SUMIFS('JLR Machines'!$I:$I,'JLR Machines'!$A:$A,$O62,'JLR Machines'!$C:$C,IF(Settings!$B$2="","&lt;&gt;",Settings!$B$2),'JLR Machines'!$D:$D,IF(Settings!$B$3="","&lt;&gt;",Settings!$B$3)))</f>
        <v>0</v>
      </c>
      <c r="T62">
        <f>IF($P62&lt;&gt;1,0,SUMIFS('JLR Machines'!$J:$J,'JLR Machines'!$A:$A,$O62,'JLR Machines'!$C:$C,IF(Settings!$B$2="","&lt;&gt;",Settings!$B$2),'JLR Machines'!$D:$D,IF(Settings!$B$3="","&lt;&gt;",Settings!$B$3)))</f>
        <v>0</v>
      </c>
      <c r="U62">
        <f>IF($P62&lt;&gt;1,0,SUMIFS('JLR Machines'!$K:$K,'JLR Machines'!$A:$A,$O62,'JLR Machines'!$C:$C,IF(Settings!$B$2="","&lt;&gt;",Settings!$B$2),'JLR Machines'!$D:$D,IF(Settings!$B$3="","&lt;&gt;",Settings!$B$3)))</f>
        <v>0</v>
      </c>
      <c r="V62">
        <f>IF($P62&lt;&gt;1,0,SUMIFS('JLR Machines'!$L:$L,'JLR Machines'!$A:$A,$O62,'JLR Machines'!$C:$C,IF(Settings!$B$2="","&lt;&gt;",Settings!$B$2),'JLR Machines'!$D:$D,IF(Settings!$B$3="","&lt;&gt;",Settings!$B$3)))</f>
        <v>0</v>
      </c>
      <c r="W62">
        <f>IF($P62&lt;&gt;1,0,SUMIFS('JLR Machines'!$M:$M,'JLR Machines'!$A:$A,$O62,'JLR Machines'!$C:$C,IF(Settings!$B$2="","&lt;&gt;",Settings!$B$2),'JLR Machines'!$D:$D,IF(Settings!$B$3="","&lt;&gt;",Settings!$B$3)))</f>
        <v>0</v>
      </c>
      <c r="X62">
        <f>IF($P62&lt;&gt;1,0,SUMIFS('JLR Machines'!$N:$N,'JLR Machines'!$A:$A,$O62,'JLR Machines'!$C:$C,IF(Settings!$B$2="","&lt;&gt;",Settings!$B$2),'JLR Machines'!$D:$D,IF(Settings!$B$3="","&lt;&gt;",Settings!$B$3)))</f>
        <v>0</v>
      </c>
      <c r="Y62">
        <f>$Q62+$R62+$S62+$T62+$U62+$V62+$W62</f>
        <v>0</v>
      </c>
      <c r="Z62">
        <f>IF($X62&lt;=0,0,ROUND((D62+E62+F62+G62+H62+I62)/2730-$X62,4))</f>
        <v>0</v>
      </c>
    </row>
    <row r="63">
      <c r="A63" t="str">
        <v>forge-press-2500t</v>
      </c>
      <c r="B63" t="str">
        <v>2500T Mechanical Forge Press</v>
      </c>
      <c r="C63" t="str">
        <v>UK</v>
      </c>
      <c r="D63">
        <f>IF($X63&gt;0,IF($Y63&gt;0,MAX(0,$Q63+$X63-$Y63)*2730,$X63*2730),130000)</f>
        <v>130000</v>
      </c>
      <c r="E63">
        <f>IF($X63&gt;0,IF($Y63&gt;0,$S63*2730,0),60000)</f>
        <v>60000</v>
      </c>
      <c r="F63">
        <f>IF($X63&gt;0,IF($Y63&gt;0,$V63*2730,0),120000)</f>
        <v>120000</v>
      </c>
      <c r="G63">
        <f>IF($X63&gt;0,IF($Y63&gt;0,$R63*2730,0),28000)</f>
        <v>28000</v>
      </c>
      <c r="H63">
        <f>IF($X63&gt;0,IF($Y63&gt;0,($T63+$W63)*2730,0),26000)</f>
        <v>26000</v>
      </c>
      <c r="I63">
        <f>IF($X63&gt;0,IF($Y63&gt;0,$U63*2730,0),16250)</f>
        <v>16250</v>
      </c>
      <c r="J63">
        <v>3500</v>
      </c>
      <c r="K63">
        <v>0.78</v>
      </c>
      <c r="L63" t="str">
        <f>IF($X63&gt;0,IF($P63&lt;&gt;1,"2026-06-14",IFERROR(INDEX('JLR Machines'!$D:$D,MATCH($O63,'JLR Machines'!$A:$A,0)),"2026-06-14")),"2026-06-14")</f>
        <v>2026-06-14</v>
      </c>
      <c r="M63" t="str">
        <f>IF($X63&gt;0,IF($Y63&gt;0,"JLR machine "&amp;$O63&amp;" at "&amp;TEXT($X63,"0.00")&amp;" per hr — build-up as supplied","JLR machine "&amp;$O63&amp;" at "&amp;TEXT($X63,"0.00")&amp;" per hr — build-up not supplied"),"UK forge shop benchmark (automotive crank/con-rod press), Jun 2026")</f>
        <v>UK forge shop benchmark (automotive crank/con-rod press), Jun 2026</v>
      </c>
      <c r="N63" t="str">
        <v>Medium</v>
      </c>
      <c r="O63" t="str">
        <f>IFERROR(INDEX(Mapping!$C:$C,MATCH($A63,Mapping!$A:$A,0)),"")</f>
        <v/>
      </c>
      <c r="P63">
        <f>IF($O63="",0,COUNTIFS('JLR Machines'!$A:$A,$O63,'JLR Machines'!$C:$C,IF(Settings!$B$2="","&lt;&gt;",Settings!$B$2),'JLR Machines'!$D:$D,IF(Settings!$B$3="","&lt;&gt;",Settings!$B$3)))</f>
        <v>0</v>
      </c>
      <c r="Q63">
        <f>IF($P63&lt;&gt;1,0,SUMIFS('JLR Machines'!$G:$G,'JLR Machines'!$A:$A,$O63,'JLR Machines'!$C:$C,IF(Settings!$B$2="","&lt;&gt;",Settings!$B$2),'JLR Machines'!$D:$D,IF(Settings!$B$3="","&lt;&gt;",Settings!$B$3)))</f>
        <v>0</v>
      </c>
      <c r="R63">
        <f>IF($P63&lt;&gt;1,0,SUMIFS('JLR Machines'!$H:$H,'JLR Machines'!$A:$A,$O63,'JLR Machines'!$C:$C,IF(Settings!$B$2="","&lt;&gt;",Settings!$B$2),'JLR Machines'!$D:$D,IF(Settings!$B$3="","&lt;&gt;",Settings!$B$3)))</f>
        <v>0</v>
      </c>
      <c r="S63">
        <f>IF($P63&lt;&gt;1,0,SUMIFS('JLR Machines'!$I:$I,'JLR Machines'!$A:$A,$O63,'JLR Machines'!$C:$C,IF(Settings!$B$2="","&lt;&gt;",Settings!$B$2),'JLR Machines'!$D:$D,IF(Settings!$B$3="","&lt;&gt;",Settings!$B$3)))</f>
        <v>0</v>
      </c>
      <c r="T63">
        <f>IF($P63&lt;&gt;1,0,SUMIFS('JLR Machines'!$J:$J,'JLR Machines'!$A:$A,$O63,'JLR Machines'!$C:$C,IF(Settings!$B$2="","&lt;&gt;",Settings!$B$2),'JLR Machines'!$D:$D,IF(Settings!$B$3="","&lt;&gt;",Settings!$B$3)))</f>
        <v>0</v>
      </c>
      <c r="U63">
        <f>IF($P63&lt;&gt;1,0,SUMIFS('JLR Machines'!$K:$K,'JLR Machines'!$A:$A,$O63,'JLR Machines'!$C:$C,IF(Settings!$B$2="","&lt;&gt;",Settings!$B$2),'JLR Machines'!$D:$D,IF(Settings!$B$3="","&lt;&gt;",Settings!$B$3)))</f>
        <v>0</v>
      </c>
      <c r="V63">
        <f>IF($P63&lt;&gt;1,0,SUMIFS('JLR Machines'!$L:$L,'JLR Machines'!$A:$A,$O63,'JLR Machines'!$C:$C,IF(Settings!$B$2="","&lt;&gt;",Settings!$B$2),'JLR Machines'!$D:$D,IF(Settings!$B$3="","&lt;&gt;",Settings!$B$3)))</f>
        <v>0</v>
      </c>
      <c r="W63">
        <f>IF($P63&lt;&gt;1,0,SUMIFS('JLR Machines'!$M:$M,'JLR Machines'!$A:$A,$O63,'JLR Machines'!$C:$C,IF(Settings!$B$2="","&lt;&gt;",Settings!$B$2),'JLR Machines'!$D:$D,IF(Settings!$B$3="","&lt;&gt;",Settings!$B$3)))</f>
        <v>0</v>
      </c>
      <c r="X63">
        <f>IF($P63&lt;&gt;1,0,SUMIFS('JLR Machines'!$N:$N,'JLR Machines'!$A:$A,$O63,'JLR Machines'!$C:$C,IF(Settings!$B$2="","&lt;&gt;",Settings!$B$2),'JLR Machines'!$D:$D,IF(Settings!$B$3="","&lt;&gt;",Settings!$B$3)))</f>
        <v>0</v>
      </c>
      <c r="Y63">
        <f>$Q63+$R63+$S63+$T63+$U63+$V63+$W63</f>
        <v>0</v>
      </c>
      <c r="Z63">
        <f>IF($X63&lt;=0,0,ROUND((D63+E63+F63+G63+H63+I63)/2730-$X63,4))</f>
        <v>0</v>
      </c>
    </row>
    <row r="64">
      <c r="A64" t="str">
        <v>forge-press-4000t</v>
      </c>
      <c r="B64" t="str">
        <v>4000T Hydraulic Forge Press</v>
      </c>
      <c r="C64" t="str">
        <v>UK</v>
      </c>
      <c r="D64">
        <f>IF($X64&gt;0,IF($Y64&gt;0,MAX(0,$Q64+$X64-$Y64)*2730,$X64*2730),200000)</f>
        <v>200000</v>
      </c>
      <c r="E64">
        <f>IF($X64&gt;0,IF($Y64&gt;0,$S64*2730,0),90000)</f>
        <v>90000</v>
      </c>
      <c r="F64">
        <f>IF($X64&gt;0,IF($Y64&gt;0,$V64*2730,0),175000)</f>
        <v>175000</v>
      </c>
      <c r="G64">
        <f>IF($X64&gt;0,IF($Y64&gt;0,$R64*2730,0),40000)</f>
        <v>40000</v>
      </c>
      <c r="H64">
        <f>IF($X64&gt;0,IF($Y64&gt;0,($T64+$W64)*2730,0),40000)</f>
        <v>40000</v>
      </c>
      <c r="I64">
        <f>IF($X64&gt;0,IF($Y64&gt;0,$U64*2730,0),25000)</f>
        <v>25000</v>
      </c>
      <c r="J64">
        <v>3500</v>
      </c>
      <c r="K64">
        <v>0.78</v>
      </c>
      <c r="L64" t="str">
        <f>IF($X64&gt;0,IF($P64&lt;&gt;1,"2026-06-14",IFERROR(INDEX('JLR Machines'!$D:$D,MATCH($O64,'JLR Machines'!$A:$A,0)),"2026-06-14")),"2026-06-14")</f>
        <v>2026-06-14</v>
      </c>
      <c r="M64" t="str">
        <f>IF($X64&gt;0,IF($Y64&gt;0,"JLR machine "&amp;$O64&amp;" at "&amp;TEXT($X64,"0.00")&amp;" per hr — build-up as supplied","JLR machine "&amp;$O64&amp;" at "&amp;TEXT($X64,"0.00")&amp;" per hr — build-up not supplied"),"UK forge shop benchmark (large hydraulic press), Jun 2026")</f>
        <v>UK forge shop benchmark (large hydraulic press), Jun 2026</v>
      </c>
      <c r="N64" t="str">
        <v>Medium</v>
      </c>
      <c r="O64" t="str">
        <f>IFERROR(INDEX(Mapping!$C:$C,MATCH($A64,Mapping!$A:$A,0)),"")</f>
        <v/>
      </c>
      <c r="P64">
        <f>IF($O64="",0,COUNTIFS('JLR Machines'!$A:$A,$O64,'JLR Machines'!$C:$C,IF(Settings!$B$2="","&lt;&gt;",Settings!$B$2),'JLR Machines'!$D:$D,IF(Settings!$B$3="","&lt;&gt;",Settings!$B$3)))</f>
        <v>0</v>
      </c>
      <c r="Q64">
        <f>IF($P64&lt;&gt;1,0,SUMIFS('JLR Machines'!$G:$G,'JLR Machines'!$A:$A,$O64,'JLR Machines'!$C:$C,IF(Settings!$B$2="","&lt;&gt;",Settings!$B$2),'JLR Machines'!$D:$D,IF(Settings!$B$3="","&lt;&gt;",Settings!$B$3)))</f>
        <v>0</v>
      </c>
      <c r="R64">
        <f>IF($P64&lt;&gt;1,0,SUMIFS('JLR Machines'!$H:$H,'JLR Machines'!$A:$A,$O64,'JLR Machines'!$C:$C,IF(Settings!$B$2="","&lt;&gt;",Settings!$B$2),'JLR Machines'!$D:$D,IF(Settings!$B$3="","&lt;&gt;",Settings!$B$3)))</f>
        <v>0</v>
      </c>
      <c r="S64">
        <f>IF($P64&lt;&gt;1,0,SUMIFS('JLR Machines'!$I:$I,'JLR Machines'!$A:$A,$O64,'JLR Machines'!$C:$C,IF(Settings!$B$2="","&lt;&gt;",Settings!$B$2),'JLR Machines'!$D:$D,IF(Settings!$B$3="","&lt;&gt;",Settings!$B$3)))</f>
        <v>0</v>
      </c>
      <c r="T64">
        <f>IF($P64&lt;&gt;1,0,SUMIFS('JLR Machines'!$J:$J,'JLR Machines'!$A:$A,$O64,'JLR Machines'!$C:$C,IF(Settings!$B$2="","&lt;&gt;",Settings!$B$2),'JLR Machines'!$D:$D,IF(Settings!$B$3="","&lt;&gt;",Settings!$B$3)))</f>
        <v>0</v>
      </c>
      <c r="U64">
        <f>IF($P64&lt;&gt;1,0,SUMIFS('JLR Machines'!$K:$K,'JLR Machines'!$A:$A,$O64,'JLR Machines'!$C:$C,IF(Settings!$B$2="","&lt;&gt;",Settings!$B$2),'JLR Machines'!$D:$D,IF(Settings!$B$3="","&lt;&gt;",Settings!$B$3)))</f>
        <v>0</v>
      </c>
      <c r="V64">
        <f>IF($P64&lt;&gt;1,0,SUMIFS('JLR Machines'!$L:$L,'JLR Machines'!$A:$A,$O64,'JLR Machines'!$C:$C,IF(Settings!$B$2="","&lt;&gt;",Settings!$B$2),'JLR Machines'!$D:$D,IF(Settings!$B$3="","&lt;&gt;",Settings!$B$3)))</f>
        <v>0</v>
      </c>
      <c r="W64">
        <f>IF($P64&lt;&gt;1,0,SUMIFS('JLR Machines'!$M:$M,'JLR Machines'!$A:$A,$O64,'JLR Machines'!$C:$C,IF(Settings!$B$2="","&lt;&gt;",Settings!$B$2),'JLR Machines'!$D:$D,IF(Settings!$B$3="","&lt;&gt;",Settings!$B$3)))</f>
        <v>0</v>
      </c>
      <c r="X64">
        <f>IF($P64&lt;&gt;1,0,SUMIFS('JLR Machines'!$N:$N,'JLR Machines'!$A:$A,$O64,'JLR Machines'!$C:$C,IF(Settings!$B$2="","&lt;&gt;",Settings!$B$2),'JLR Machines'!$D:$D,IF(Settings!$B$3="","&lt;&gt;",Settings!$B$3)))</f>
        <v>0</v>
      </c>
      <c r="Y64">
        <f>$Q64+$R64+$S64+$T64+$U64+$V64+$W64</f>
        <v>0</v>
      </c>
      <c r="Z64">
        <f>IF($X64&lt;=0,0,ROUND((D64+E64+F64+G64+H64+I64)/2730-$X64,4))</f>
        <v>0</v>
      </c>
    </row>
    <row r="65">
      <c r="A65" t="str">
        <v>forge-press-8000t</v>
      </c>
      <c r="B65" t="str">
        <v>8000T Hydraulic Forge Press</v>
      </c>
      <c r="C65" t="str">
        <v>UK</v>
      </c>
      <c r="D65">
        <f>IF($X65&gt;0,IF($Y65&gt;0,MAX(0,$Q65+$X65-$Y65)*2625,$X65*2625),380000)</f>
        <v>380000</v>
      </c>
      <c r="E65">
        <f>IF($X65&gt;0,IF($Y65&gt;0,$S65*2625,0),170000)</f>
        <v>170000</v>
      </c>
      <c r="F65">
        <f>IF($X65&gt;0,IF($Y65&gt;0,$V65*2625,0),320000)</f>
        <v>320000</v>
      </c>
      <c r="G65">
        <f>IF($X65&gt;0,IF($Y65&gt;0,$R65*2625,0),70000)</f>
        <v>70000</v>
      </c>
      <c r="H65">
        <f>IF($X65&gt;0,IF($Y65&gt;0,($T65+$W65)*2625,0),75000)</f>
        <v>75000</v>
      </c>
      <c r="I65">
        <f>IF($X65&gt;0,IF($Y65&gt;0,$U65*2625,0),47500)</f>
        <v>47500</v>
      </c>
      <c r="J65">
        <v>3500</v>
      </c>
      <c r="K65">
        <v>0.75</v>
      </c>
      <c r="L65" t="str">
        <f>IF($X65&gt;0,IF($P65&lt;&gt;1,"2026-06-14",IFERROR(INDEX('JLR Machines'!$D:$D,MATCH($O65,'JLR Machines'!$A:$A,0)),"2026-06-14")),"2026-06-14")</f>
        <v>2026-06-14</v>
      </c>
      <c r="M65" t="str">
        <f>IF($X65&gt;0,IF($Y65&gt;0,"JLR machine "&amp;$O65&amp;" at "&amp;TEXT($X65,"0.00")&amp;" per hr — build-up as supplied","JLR machine "&amp;$O65&amp;" at "&amp;TEXT($X65,"0.00")&amp;" per hr — build-up not supplied"),"UK forge shop benchmark (heavy structural/aero press), Jun 2026")</f>
        <v>UK forge shop benchmark (heavy structural/aero press), Jun 2026</v>
      </c>
      <c r="N65" t="str">
        <v>Medium</v>
      </c>
      <c r="O65" t="str">
        <f>IFERROR(INDEX(Mapping!$C:$C,MATCH($A65,Mapping!$A:$A,0)),"")</f>
        <v/>
      </c>
      <c r="P65">
        <f>IF($O65="",0,COUNTIFS('JLR Machines'!$A:$A,$O65,'JLR Machines'!$C:$C,IF(Settings!$B$2="","&lt;&gt;",Settings!$B$2),'JLR Machines'!$D:$D,IF(Settings!$B$3="","&lt;&gt;",Settings!$B$3)))</f>
        <v>0</v>
      </c>
      <c r="Q65">
        <f>IF($P65&lt;&gt;1,0,SUMIFS('JLR Machines'!$G:$G,'JLR Machines'!$A:$A,$O65,'JLR Machines'!$C:$C,IF(Settings!$B$2="","&lt;&gt;",Settings!$B$2),'JLR Machines'!$D:$D,IF(Settings!$B$3="","&lt;&gt;",Settings!$B$3)))</f>
        <v>0</v>
      </c>
      <c r="R65">
        <f>IF($P65&lt;&gt;1,0,SUMIFS('JLR Machines'!$H:$H,'JLR Machines'!$A:$A,$O65,'JLR Machines'!$C:$C,IF(Settings!$B$2="","&lt;&gt;",Settings!$B$2),'JLR Machines'!$D:$D,IF(Settings!$B$3="","&lt;&gt;",Settings!$B$3)))</f>
        <v>0</v>
      </c>
      <c r="S65">
        <f>IF($P65&lt;&gt;1,0,SUMIFS('JLR Machines'!$I:$I,'JLR Machines'!$A:$A,$O65,'JLR Machines'!$C:$C,IF(Settings!$B$2="","&lt;&gt;",Settings!$B$2),'JLR Machines'!$D:$D,IF(Settings!$B$3="","&lt;&gt;",Settings!$B$3)))</f>
        <v>0</v>
      </c>
      <c r="T65">
        <f>IF($P65&lt;&gt;1,0,SUMIFS('JLR Machines'!$J:$J,'JLR Machines'!$A:$A,$O65,'JLR Machines'!$C:$C,IF(Settings!$B$2="","&lt;&gt;",Settings!$B$2),'JLR Machines'!$D:$D,IF(Settings!$B$3="","&lt;&gt;",Settings!$B$3)))</f>
        <v>0</v>
      </c>
      <c r="U65">
        <f>IF($P65&lt;&gt;1,0,SUMIFS('JLR Machines'!$K:$K,'JLR Machines'!$A:$A,$O65,'JLR Machines'!$C:$C,IF(Settings!$B$2="","&lt;&gt;",Settings!$B$2),'JLR Machines'!$D:$D,IF(Settings!$B$3="","&lt;&gt;",Settings!$B$3)))</f>
        <v>0</v>
      </c>
      <c r="V65">
        <f>IF($P65&lt;&gt;1,0,SUMIFS('JLR Machines'!$L:$L,'JLR Machines'!$A:$A,$O65,'JLR Machines'!$C:$C,IF(Settings!$B$2="","&lt;&gt;",Settings!$B$2),'JLR Machines'!$D:$D,IF(Settings!$B$3="","&lt;&gt;",Settings!$B$3)))</f>
        <v>0</v>
      </c>
      <c r="W65">
        <f>IF($P65&lt;&gt;1,0,SUMIFS('JLR Machines'!$M:$M,'JLR Machines'!$A:$A,$O65,'JLR Machines'!$C:$C,IF(Settings!$B$2="","&lt;&gt;",Settings!$B$2),'JLR Machines'!$D:$D,IF(Settings!$B$3="","&lt;&gt;",Settings!$B$3)))</f>
        <v>0</v>
      </c>
      <c r="X65">
        <f>IF($P65&lt;&gt;1,0,SUMIFS('JLR Machines'!$N:$N,'JLR Machines'!$A:$A,$O65,'JLR Machines'!$C:$C,IF(Settings!$B$2="","&lt;&gt;",Settings!$B$2),'JLR Machines'!$D:$D,IF(Settings!$B$3="","&lt;&gt;",Settings!$B$3)))</f>
        <v>0</v>
      </c>
      <c r="Y65">
        <f>$Q65+$R65+$S65+$T65+$U65+$V65+$W65</f>
        <v>0</v>
      </c>
      <c r="Z65">
        <f>IF($X65&lt;=0,0,ROUND((D65+E65+F65+G65+H65+I65)/2625-$X65,4))</f>
        <v>0</v>
      </c>
    </row>
    <row r="66">
      <c r="A66" t="str">
        <v>forge-screw-1000t</v>
      </c>
      <c r="B66" t="str">
        <v>1000T Screw Press</v>
      </c>
      <c r="C66" t="str">
        <v>UK</v>
      </c>
      <c r="D66">
        <f>IF($X66&gt;0,IF($Y66&gt;0,MAX(0,$Q66+$X66-$Y66)*2730,$X66*2730),70000)</f>
        <v>70000</v>
      </c>
      <c r="E66">
        <f>IF($X66&gt;0,IF($Y66&gt;0,$S66*2730,0),32000)</f>
        <v>32000</v>
      </c>
      <c r="F66">
        <f>IF($X66&gt;0,IF($Y66&gt;0,$V66*2730,0),60000)</f>
        <v>60000</v>
      </c>
      <c r="G66">
        <f>IF($X66&gt;0,IF($Y66&gt;0,$R66*2730,0),16000)</f>
        <v>16000</v>
      </c>
      <c r="H66">
        <f>IF($X66&gt;0,IF($Y66&gt;0,($T66+$W66)*2730,0),14000)</f>
        <v>14000</v>
      </c>
      <c r="I66">
        <f>IF($X66&gt;0,IF($Y66&gt;0,$U66*2730,0),8750)</f>
        <v>8750</v>
      </c>
      <c r="J66">
        <v>3500</v>
      </c>
      <c r="K66">
        <v>0.78</v>
      </c>
      <c r="L66" t="str">
        <f>IF($X66&gt;0,IF($P66&lt;&gt;1,"2026-06-14",IFERROR(INDEX('JLR Machines'!$D:$D,MATCH($O66,'JLR Machines'!$A:$A,0)),"2026-06-14")),"2026-06-14")</f>
        <v>2026-06-14</v>
      </c>
      <c r="M66" t="str">
        <f>IF($X66&gt;0,IF($Y66&gt;0,"JLR machine "&amp;$O66&amp;" at "&amp;TEXT($X66,"0.00")&amp;" per hr — build-up as supplied","JLR machine "&amp;$O66&amp;" at "&amp;TEXT($X66,"0.00")&amp;" per hr — build-up not supplied"),"UK forge shop benchmark (screw press — precision/near-net), Jun 2026")</f>
        <v>UK forge shop benchmark (screw press — precision/near-net), Jun 2026</v>
      </c>
      <c r="N66" t="str">
        <v>Medium</v>
      </c>
      <c r="O66" t="str">
        <f>IFERROR(INDEX(Mapping!$C:$C,MATCH($A66,Mapping!$A:$A,0)),"")</f>
        <v/>
      </c>
      <c r="P66">
        <f>IF($O66="",0,COUNTIFS('JLR Machines'!$A:$A,$O66,'JLR Machines'!$C:$C,IF(Settings!$B$2="","&lt;&gt;",Settings!$B$2),'JLR Machines'!$D:$D,IF(Settings!$B$3="","&lt;&gt;",Settings!$B$3)))</f>
        <v>0</v>
      </c>
      <c r="Q66">
        <f>IF($P66&lt;&gt;1,0,SUMIFS('JLR Machines'!$G:$G,'JLR Machines'!$A:$A,$O66,'JLR Machines'!$C:$C,IF(Settings!$B$2="","&lt;&gt;",Settings!$B$2),'JLR Machines'!$D:$D,IF(Settings!$B$3="","&lt;&gt;",Settings!$B$3)))</f>
        <v>0</v>
      </c>
      <c r="R66">
        <f>IF($P66&lt;&gt;1,0,SUMIFS('JLR Machines'!$H:$H,'JLR Machines'!$A:$A,$O66,'JLR Machines'!$C:$C,IF(Settings!$B$2="","&lt;&gt;",Settings!$B$2),'JLR Machines'!$D:$D,IF(Settings!$B$3="","&lt;&gt;",Settings!$B$3)))</f>
        <v>0</v>
      </c>
      <c r="S66">
        <f>IF($P66&lt;&gt;1,0,SUMIFS('JLR Machines'!$I:$I,'JLR Machines'!$A:$A,$O66,'JLR Machines'!$C:$C,IF(Settings!$B$2="","&lt;&gt;",Settings!$B$2),'JLR Machines'!$D:$D,IF(Settings!$B$3="","&lt;&gt;",Settings!$B$3)))</f>
        <v>0</v>
      </c>
      <c r="T66">
        <f>IF($P66&lt;&gt;1,0,SUMIFS('JLR Machines'!$J:$J,'JLR Machines'!$A:$A,$O66,'JLR Machines'!$C:$C,IF(Settings!$B$2="","&lt;&gt;",Settings!$B$2),'JLR Machines'!$D:$D,IF(Settings!$B$3="","&lt;&gt;",Settings!$B$3)))</f>
        <v>0</v>
      </c>
      <c r="U66">
        <f>IF($P66&lt;&gt;1,0,SUMIFS('JLR Machines'!$K:$K,'JLR Machines'!$A:$A,$O66,'JLR Machines'!$C:$C,IF(Settings!$B$2="","&lt;&gt;",Settings!$B$2),'JLR Machines'!$D:$D,IF(Settings!$B$3="","&lt;&gt;",Settings!$B$3)))</f>
        <v>0</v>
      </c>
      <c r="V66">
        <f>IF($P66&lt;&gt;1,0,SUMIFS('JLR Machines'!$L:$L,'JLR Machines'!$A:$A,$O66,'JLR Machines'!$C:$C,IF(Settings!$B$2="","&lt;&gt;",Settings!$B$2),'JLR Machines'!$D:$D,IF(Settings!$B$3="","&lt;&gt;",Settings!$B$3)))</f>
        <v>0</v>
      </c>
      <c r="W66">
        <f>IF($P66&lt;&gt;1,0,SUMIFS('JLR Machines'!$M:$M,'JLR Machines'!$A:$A,$O66,'JLR Machines'!$C:$C,IF(Settings!$B$2="","&lt;&gt;",Settings!$B$2),'JLR Machines'!$D:$D,IF(Settings!$B$3="","&lt;&gt;",Settings!$B$3)))</f>
        <v>0</v>
      </c>
      <c r="X66">
        <f>IF($P66&lt;&gt;1,0,SUMIFS('JLR Machines'!$N:$N,'JLR Machines'!$A:$A,$O66,'JLR Machines'!$C:$C,IF(Settings!$B$2="","&lt;&gt;",Settings!$B$2),'JLR Machines'!$D:$D,IF(Settings!$B$3="","&lt;&gt;",Settings!$B$3)))</f>
        <v>0</v>
      </c>
      <c r="Y66">
        <f>$Q66+$R66+$S66+$T66+$U66+$V66+$W66</f>
        <v>0</v>
      </c>
      <c r="Z66">
        <f>IF($X66&lt;=0,0,ROUND((D66+E66+F66+G66+H66+I66)/2730-$X66,4))</f>
        <v>0</v>
      </c>
    </row>
    <row r="67">
      <c r="A67" t="str">
        <v>forge-upsetter-1000t</v>
      </c>
      <c r="B67" t="str">
        <v>1000T Horizontal Upsetter</v>
      </c>
      <c r="C67" t="str">
        <v>UK</v>
      </c>
      <c r="D67">
        <f>IF($X67&gt;0,IF($Y67&gt;0,MAX(0,$Q67+$X67-$Y67)*2730,$X67*2730),60000)</f>
        <v>60000</v>
      </c>
      <c r="E67">
        <f>IF($X67&gt;0,IF($Y67&gt;0,$S67*2730,0),28000)</f>
        <v>28000</v>
      </c>
      <c r="F67">
        <f>IF($X67&gt;0,IF($Y67&gt;0,$V67*2730,0),40000)</f>
        <v>40000</v>
      </c>
      <c r="G67">
        <f>IF($X67&gt;0,IF($Y67&gt;0,$R67*2730,0),14000)</f>
        <v>14000</v>
      </c>
      <c r="H67">
        <f>IF($X67&gt;0,IF($Y67&gt;0,($T67+$W67)*2730,0),12000)</f>
        <v>12000</v>
      </c>
      <c r="I67">
        <f>IF($X67&gt;0,IF($Y67&gt;0,$U67*2730,0),7500)</f>
        <v>7500</v>
      </c>
      <c r="J67">
        <v>3500</v>
      </c>
      <c r="K67">
        <v>0.78</v>
      </c>
      <c r="L67" t="str">
        <f>IF($X67&gt;0,IF($P67&lt;&gt;1,"2026-06-14",IFERROR(INDEX('JLR Machines'!$D:$D,MATCH($O67,'JLR Machines'!$A:$A,0)),"2026-06-14")),"2026-06-14")</f>
        <v>2026-06-14</v>
      </c>
      <c r="M67" t="str">
        <f>IF($X67&gt;0,IF($Y67&gt;0,"JLR machine "&amp;$O67&amp;" at "&amp;TEXT($X67,"0.00")&amp;" per hr — build-up as supplied","JLR machine "&amp;$O67&amp;" at "&amp;TEXT($X67,"0.00")&amp;" per hr — build-up not supplied"),"UK forge shop benchmark (upset forging — gears, valves, flanges), Jun 2026")</f>
        <v>UK forge shop benchmark (upset forging — gears, valves, flanges), Jun 2026</v>
      </c>
      <c r="N67" t="str">
        <v>Medium</v>
      </c>
      <c r="O67" t="str">
        <f>IFERROR(INDEX(Mapping!$C:$C,MATCH($A67,Mapping!$A:$A,0)),"")</f>
        <v/>
      </c>
      <c r="P67">
        <f>IF($O67="",0,COUNTIFS('JLR Machines'!$A:$A,$O67,'JLR Machines'!$C:$C,IF(Settings!$B$2="","&lt;&gt;",Settings!$B$2),'JLR Machines'!$D:$D,IF(Settings!$B$3="","&lt;&gt;",Settings!$B$3)))</f>
        <v>0</v>
      </c>
      <c r="Q67">
        <f>IF($P67&lt;&gt;1,0,SUMIFS('JLR Machines'!$G:$G,'JLR Machines'!$A:$A,$O67,'JLR Machines'!$C:$C,IF(Settings!$B$2="","&lt;&gt;",Settings!$B$2),'JLR Machines'!$D:$D,IF(Settings!$B$3="","&lt;&gt;",Settings!$B$3)))</f>
        <v>0</v>
      </c>
      <c r="R67">
        <f>IF($P67&lt;&gt;1,0,SUMIFS('JLR Machines'!$H:$H,'JLR Machines'!$A:$A,$O67,'JLR Machines'!$C:$C,IF(Settings!$B$2="","&lt;&gt;",Settings!$B$2),'JLR Machines'!$D:$D,IF(Settings!$B$3="","&lt;&gt;",Settings!$B$3)))</f>
        <v>0</v>
      </c>
      <c r="S67">
        <f>IF($P67&lt;&gt;1,0,SUMIFS('JLR Machines'!$I:$I,'JLR Machines'!$A:$A,$O67,'JLR Machines'!$C:$C,IF(Settings!$B$2="","&lt;&gt;",Settings!$B$2),'JLR Machines'!$D:$D,IF(Settings!$B$3="","&lt;&gt;",Settings!$B$3)))</f>
        <v>0</v>
      </c>
      <c r="T67">
        <f>IF($P67&lt;&gt;1,0,SUMIFS('JLR Machines'!$J:$J,'JLR Machines'!$A:$A,$O67,'JLR Machines'!$C:$C,IF(Settings!$B$2="","&lt;&gt;",Settings!$B$2),'JLR Machines'!$D:$D,IF(Settings!$B$3="","&lt;&gt;",Settings!$B$3)))</f>
        <v>0</v>
      </c>
      <c r="U67">
        <f>IF($P67&lt;&gt;1,0,SUMIFS('JLR Machines'!$K:$K,'JLR Machines'!$A:$A,$O67,'JLR Machines'!$C:$C,IF(Settings!$B$2="","&lt;&gt;",Settings!$B$2),'JLR Machines'!$D:$D,IF(Settings!$B$3="","&lt;&gt;",Settings!$B$3)))</f>
        <v>0</v>
      </c>
      <c r="V67">
        <f>IF($P67&lt;&gt;1,0,SUMIFS('JLR Machines'!$L:$L,'JLR Machines'!$A:$A,$O67,'JLR Machines'!$C:$C,IF(Settings!$B$2="","&lt;&gt;",Settings!$B$2),'JLR Machines'!$D:$D,IF(Settings!$B$3="","&lt;&gt;",Settings!$B$3)))</f>
        <v>0</v>
      </c>
      <c r="W67">
        <f>IF($P67&lt;&gt;1,0,SUMIFS('JLR Machines'!$M:$M,'JLR Machines'!$A:$A,$O67,'JLR Machines'!$C:$C,IF(Settings!$B$2="","&lt;&gt;",Settings!$B$2),'JLR Machines'!$D:$D,IF(Settings!$B$3="","&lt;&gt;",Settings!$B$3)))</f>
        <v>0</v>
      </c>
      <c r="X67">
        <f>IF($P67&lt;&gt;1,0,SUMIFS('JLR Machines'!$N:$N,'JLR Machines'!$A:$A,$O67,'JLR Machines'!$C:$C,IF(Settings!$B$2="","&lt;&gt;",Settings!$B$2),'JLR Machines'!$D:$D,IF(Settings!$B$3="","&lt;&gt;",Settings!$B$3)))</f>
        <v>0</v>
      </c>
      <c r="Y67">
        <f>$Q67+$R67+$S67+$T67+$U67+$V67+$W67</f>
        <v>0</v>
      </c>
      <c r="Z67">
        <f>IF($X67&lt;=0,0,ROUND((D67+E67+F67+G67+H67+I67)/2730-$X67,4))</f>
        <v>0</v>
      </c>
    </row>
    <row r="68">
      <c r="A68" t="str">
        <v>forge-hammer-2t</v>
      </c>
      <c r="B68" t="str">
        <v>2T Pneumatic Forge Hammer</v>
      </c>
      <c r="C68" t="str">
        <v>UK</v>
      </c>
      <c r="D68">
        <f>IF($X68&gt;0,IF($Y68&gt;0,MAX(0,$Q68+$X68-$Y68)*2730,$X68*2730),20000)</f>
        <v>20000</v>
      </c>
      <c r="E68">
        <f>IF($X68&gt;0,IF($Y68&gt;0,$S68*2730,0),10000)</f>
        <v>10000</v>
      </c>
      <c r="F68">
        <f>IF($X68&gt;0,IF($Y68&gt;0,$V68*2730,0),28000)</f>
        <v>28000</v>
      </c>
      <c r="G68">
        <f>IF($X68&gt;0,IF($Y68&gt;0,$R68*2730,0),10000)</f>
        <v>10000</v>
      </c>
      <c r="H68">
        <f>IF($X68&gt;0,IF($Y68&gt;0,($T68+$W68)*2730,0),6000)</f>
        <v>6000</v>
      </c>
      <c r="I68">
        <f>IF($X68&gt;0,IF($Y68&gt;0,$U68*2730,0),2500)</f>
        <v>2500</v>
      </c>
      <c r="J68">
        <v>3500</v>
      </c>
      <c r="K68">
        <v>0.78</v>
      </c>
      <c r="L68" t="str">
        <f>IF($X68&gt;0,IF($P68&lt;&gt;1,"2026-06-14",IFERROR(INDEX('JLR Machines'!$D:$D,MATCH($O68,'JLR Machines'!$A:$A,0)),"2026-06-14")),"2026-06-14")</f>
        <v>2026-06-14</v>
      </c>
      <c r="M68" t="str">
        <f>IF($X68&gt;0,IF($Y68&gt;0,"JLR machine "&amp;$O68&amp;" at "&amp;TEXT($X68,"0.00")&amp;" per hr — build-up as supplied","JLR machine "&amp;$O68&amp;" at "&amp;TEXT($X68,"0.00")&amp;" per hr — build-up not supplied"),"UK forge shop benchmark (small drop hammer), Jun 2026")</f>
        <v>UK forge shop benchmark (small drop hammer), Jun 2026</v>
      </c>
      <c r="N68" t="str">
        <v>Medium</v>
      </c>
      <c r="O68" t="str">
        <f>IFERROR(INDEX(Mapping!$C:$C,MATCH($A68,Mapping!$A:$A,0)),"")</f>
        <v/>
      </c>
      <c r="P68">
        <f>IF($O68="",0,COUNTIFS('JLR Machines'!$A:$A,$O68,'JLR Machines'!$C:$C,IF(Settings!$B$2="","&lt;&gt;",Settings!$B$2),'JLR Machines'!$D:$D,IF(Settings!$B$3="","&lt;&gt;",Settings!$B$3)))</f>
        <v>0</v>
      </c>
      <c r="Q68">
        <f>IF($P68&lt;&gt;1,0,SUMIFS('JLR Machines'!$G:$G,'JLR Machines'!$A:$A,$O68,'JLR Machines'!$C:$C,IF(Settings!$B$2="","&lt;&gt;",Settings!$B$2),'JLR Machines'!$D:$D,IF(Settings!$B$3="","&lt;&gt;",Settings!$B$3)))</f>
        <v>0</v>
      </c>
      <c r="R68">
        <f>IF($P68&lt;&gt;1,0,SUMIFS('JLR Machines'!$H:$H,'JLR Machines'!$A:$A,$O68,'JLR Machines'!$C:$C,IF(Settings!$B$2="","&lt;&gt;",Settings!$B$2),'JLR Machines'!$D:$D,IF(Settings!$B$3="","&lt;&gt;",Settings!$B$3)))</f>
        <v>0</v>
      </c>
      <c r="S68">
        <f>IF($P68&lt;&gt;1,0,SUMIFS('JLR Machines'!$I:$I,'JLR Machines'!$A:$A,$O68,'JLR Machines'!$C:$C,IF(Settings!$B$2="","&lt;&gt;",Settings!$B$2),'JLR Machines'!$D:$D,IF(Settings!$B$3="","&lt;&gt;",Settings!$B$3)))</f>
        <v>0</v>
      </c>
      <c r="T68">
        <f>IF($P68&lt;&gt;1,0,SUMIFS('JLR Machines'!$J:$J,'JLR Machines'!$A:$A,$O68,'JLR Machines'!$C:$C,IF(Settings!$B$2="","&lt;&gt;",Settings!$B$2),'JLR Machines'!$D:$D,IF(Settings!$B$3="","&lt;&gt;",Settings!$B$3)))</f>
        <v>0</v>
      </c>
      <c r="U68">
        <f>IF($P68&lt;&gt;1,0,SUMIFS('JLR Machines'!$K:$K,'JLR Machines'!$A:$A,$O68,'JLR Machines'!$C:$C,IF(Settings!$B$2="","&lt;&gt;",Settings!$B$2),'JLR Machines'!$D:$D,IF(Settings!$B$3="","&lt;&gt;",Settings!$B$3)))</f>
        <v>0</v>
      </c>
      <c r="V68">
        <f>IF($P68&lt;&gt;1,0,SUMIFS('JLR Machines'!$L:$L,'JLR Machines'!$A:$A,$O68,'JLR Machines'!$C:$C,IF(Settings!$B$2="","&lt;&gt;",Settings!$B$2),'JLR Machines'!$D:$D,IF(Settings!$B$3="","&lt;&gt;",Settings!$B$3)))</f>
        <v>0</v>
      </c>
      <c r="W68">
        <f>IF($P68&lt;&gt;1,0,SUMIFS('JLR Machines'!$M:$M,'JLR Machines'!$A:$A,$O68,'JLR Machines'!$C:$C,IF(Settings!$B$2="","&lt;&gt;",Settings!$B$2),'JLR Machines'!$D:$D,IF(Settings!$B$3="","&lt;&gt;",Settings!$B$3)))</f>
        <v>0</v>
      </c>
      <c r="X68">
        <f>IF($P68&lt;&gt;1,0,SUMIFS('JLR Machines'!$N:$N,'JLR Machines'!$A:$A,$O68,'JLR Machines'!$C:$C,IF(Settings!$B$2="","&lt;&gt;",Settings!$B$2),'JLR Machines'!$D:$D,IF(Settings!$B$3="","&lt;&gt;",Settings!$B$3)))</f>
        <v>0</v>
      </c>
      <c r="Y68">
        <f>$Q68+$R68+$S68+$T68+$U68+$V68+$W68</f>
        <v>0</v>
      </c>
      <c r="Z68">
        <f>IF($X68&lt;=0,0,ROUND((D68+E68+F68+G68+H68+I68)/2730-$X68,4))</f>
        <v>0</v>
      </c>
    </row>
    <row r="69">
      <c r="A69" t="str">
        <v>forge-hammer-5t</v>
      </c>
      <c r="B69" t="str">
        <v>5T Pneumatic Forge Hammer</v>
      </c>
      <c r="C69" t="str">
        <v>UK</v>
      </c>
      <c r="D69">
        <f>IF($X69&gt;0,IF($Y69&gt;0,MAX(0,$Q69+$X69-$Y69)*2730,$X69*2730),35000)</f>
        <v>35000</v>
      </c>
      <c r="E69">
        <f>IF($X69&gt;0,IF($Y69&gt;0,$S69*2730,0),18000)</f>
        <v>18000</v>
      </c>
      <c r="F69">
        <f>IF($X69&gt;0,IF($Y69&gt;0,$V69*2730,0),45000)</f>
        <v>45000</v>
      </c>
      <c r="G69">
        <f>IF($X69&gt;0,IF($Y69&gt;0,$R69*2730,0),15000)</f>
        <v>15000</v>
      </c>
      <c r="H69">
        <f>IF($X69&gt;0,IF($Y69&gt;0,($T69+$W69)*2730,0),9000)</f>
        <v>9000</v>
      </c>
      <c r="I69">
        <f>IF($X69&gt;0,IF($Y69&gt;0,$U69*2730,0),4375)</f>
        <v>4375</v>
      </c>
      <c r="J69">
        <v>3500</v>
      </c>
      <c r="K69">
        <v>0.78</v>
      </c>
      <c r="L69" t="str">
        <f>IF($X69&gt;0,IF($P69&lt;&gt;1,"2026-06-14",IFERROR(INDEX('JLR Machines'!$D:$D,MATCH($O69,'JLR Machines'!$A:$A,0)),"2026-06-14")),"2026-06-14")</f>
        <v>2026-06-14</v>
      </c>
      <c r="M69" t="str">
        <f>IF($X69&gt;0,IF($Y69&gt;0,"JLR machine "&amp;$O69&amp;" at "&amp;TEXT($X69,"0.00")&amp;" per hr — build-up as supplied","JLR machine "&amp;$O69&amp;" at "&amp;TEXT($X69,"0.00")&amp;" per hr — build-up not supplied"),"UK forge shop benchmark, Jun 2026")</f>
        <v>UK forge shop benchmark, Jun 2026</v>
      </c>
      <c r="N69" t="str">
        <v>Medium</v>
      </c>
      <c r="O69" t="str">
        <f>IFERROR(INDEX(Mapping!$C:$C,MATCH($A69,Mapping!$A:$A,0)),"")</f>
        <v/>
      </c>
      <c r="P69">
        <f>IF($O69="",0,COUNTIFS('JLR Machines'!$A:$A,$O69,'JLR Machines'!$C:$C,IF(Settings!$B$2="","&lt;&gt;",Settings!$B$2),'JLR Machines'!$D:$D,IF(Settings!$B$3="","&lt;&gt;",Settings!$B$3)))</f>
        <v>0</v>
      </c>
      <c r="Q69">
        <f>IF($P69&lt;&gt;1,0,SUMIFS('JLR Machines'!$G:$G,'JLR Machines'!$A:$A,$O69,'JLR Machines'!$C:$C,IF(Settings!$B$2="","&lt;&gt;",Settings!$B$2),'JLR Machines'!$D:$D,IF(Settings!$B$3="","&lt;&gt;",Settings!$B$3)))</f>
        <v>0</v>
      </c>
      <c r="R69">
        <f>IF($P69&lt;&gt;1,0,SUMIFS('JLR Machines'!$H:$H,'JLR Machines'!$A:$A,$O69,'JLR Machines'!$C:$C,IF(Settings!$B$2="","&lt;&gt;",Settings!$B$2),'JLR Machines'!$D:$D,IF(Settings!$B$3="","&lt;&gt;",Settings!$B$3)))</f>
        <v>0</v>
      </c>
      <c r="S69">
        <f>IF($P69&lt;&gt;1,0,SUMIFS('JLR Machines'!$I:$I,'JLR Machines'!$A:$A,$O69,'JLR Machines'!$C:$C,IF(Settings!$B$2="","&lt;&gt;",Settings!$B$2),'JLR Machines'!$D:$D,IF(Settings!$B$3="","&lt;&gt;",Settings!$B$3)))</f>
        <v>0</v>
      </c>
      <c r="T69">
        <f>IF($P69&lt;&gt;1,0,SUMIFS('JLR Machines'!$J:$J,'JLR Machines'!$A:$A,$O69,'JLR Machines'!$C:$C,IF(Settings!$B$2="","&lt;&gt;",Settings!$B$2),'JLR Machines'!$D:$D,IF(Settings!$B$3="","&lt;&gt;",Settings!$B$3)))</f>
        <v>0</v>
      </c>
      <c r="U69">
        <f>IF($P69&lt;&gt;1,0,SUMIFS('JLR Machines'!$K:$K,'JLR Machines'!$A:$A,$O69,'JLR Machines'!$C:$C,IF(Settings!$B$2="","&lt;&gt;",Settings!$B$2),'JLR Machines'!$D:$D,IF(Settings!$B$3="","&lt;&gt;",Settings!$B$3)))</f>
        <v>0</v>
      </c>
      <c r="V69">
        <f>IF($P69&lt;&gt;1,0,SUMIFS('JLR Machines'!$L:$L,'JLR Machines'!$A:$A,$O69,'JLR Machines'!$C:$C,IF(Settings!$B$2="","&lt;&gt;",Settings!$B$2),'JLR Machines'!$D:$D,IF(Settings!$B$3="","&lt;&gt;",Settings!$B$3)))</f>
        <v>0</v>
      </c>
      <c r="W69">
        <f>IF($P69&lt;&gt;1,0,SUMIFS('JLR Machines'!$M:$M,'JLR Machines'!$A:$A,$O69,'JLR Machines'!$C:$C,IF(Settings!$B$2="","&lt;&gt;",Settings!$B$2),'JLR Machines'!$D:$D,IF(Settings!$B$3="","&lt;&gt;",Settings!$B$3)))</f>
        <v>0</v>
      </c>
      <c r="X69">
        <f>IF($P69&lt;&gt;1,0,SUMIFS('JLR Machines'!$N:$N,'JLR Machines'!$A:$A,$O69,'JLR Machines'!$C:$C,IF(Settings!$B$2="","&lt;&gt;",Settings!$B$2),'JLR Machines'!$D:$D,IF(Settings!$B$3="","&lt;&gt;",Settings!$B$3)))</f>
        <v>0</v>
      </c>
      <c r="Y69">
        <f>$Q69+$R69+$S69+$T69+$U69+$V69+$W69</f>
        <v>0</v>
      </c>
      <c r="Z69">
        <f>IF($X69&lt;=0,0,ROUND((D69+E69+F69+G69+H69+I69)/2730-$X69,4))</f>
        <v>0</v>
      </c>
    </row>
    <row r="70">
      <c r="A70" t="str">
        <v>forge-hammer-10t</v>
      </c>
      <c r="B70" t="str">
        <v>10T Counterblow Forge Hammer</v>
      </c>
      <c r="C70" t="str">
        <v>UK</v>
      </c>
      <c r="D70">
        <f>IF($X70&gt;0,IF($Y70&gt;0,MAX(0,$Q70+$X70-$Y70)*2730,$X70*2730),60000)</f>
        <v>60000</v>
      </c>
      <c r="E70">
        <f>IF($X70&gt;0,IF($Y70&gt;0,$S70*2730,0),30000)</f>
        <v>30000</v>
      </c>
      <c r="F70">
        <f>IF($X70&gt;0,IF($Y70&gt;0,$V70*2730,0),70000)</f>
        <v>70000</v>
      </c>
      <c r="G70">
        <f>IF($X70&gt;0,IF($Y70&gt;0,$R70*2730,0),22000)</f>
        <v>22000</v>
      </c>
      <c r="H70">
        <f>IF($X70&gt;0,IF($Y70&gt;0,($T70+$W70)*2730,0),15000)</f>
        <v>15000</v>
      </c>
      <c r="I70">
        <f>IF($X70&gt;0,IF($Y70&gt;0,$U70*2730,0),7500)</f>
        <v>7500</v>
      </c>
      <c r="J70">
        <v>3500</v>
      </c>
      <c r="K70">
        <v>0.78</v>
      </c>
      <c r="L70" t="str">
        <f>IF($X70&gt;0,IF($P70&lt;&gt;1,"2026-06-14",IFERROR(INDEX('JLR Machines'!$D:$D,MATCH($O70,'JLR Machines'!$A:$A,0)),"2026-06-14")),"2026-06-14")</f>
        <v>2026-06-14</v>
      </c>
      <c r="M70" t="str">
        <f>IF($X70&gt;0,IF($Y70&gt;0,"JLR machine "&amp;$O70&amp;" at "&amp;TEXT($X70,"0.00")&amp;" per hr — build-up as supplied","JLR machine "&amp;$O70&amp;" at "&amp;TEXT($X70,"0.00")&amp;" per hr — build-up not supplied"),"UK forge shop benchmark (heavy counterblow hammer), Jun 2026")</f>
        <v>UK forge shop benchmark (heavy counterblow hammer), Jun 2026</v>
      </c>
      <c r="N70" t="str">
        <v>Medium</v>
      </c>
      <c r="O70" t="str">
        <f>IFERROR(INDEX(Mapping!$C:$C,MATCH($A70,Mapping!$A:$A,0)),"")</f>
        <v/>
      </c>
      <c r="P70">
        <f>IF($O70="",0,COUNTIFS('JLR Machines'!$A:$A,$O70,'JLR Machines'!$C:$C,IF(Settings!$B$2="","&lt;&gt;",Settings!$B$2),'JLR Machines'!$D:$D,IF(Settings!$B$3="","&lt;&gt;",Settings!$B$3)))</f>
        <v>0</v>
      </c>
      <c r="Q70">
        <f>IF($P70&lt;&gt;1,0,SUMIFS('JLR Machines'!$G:$G,'JLR Machines'!$A:$A,$O70,'JLR Machines'!$C:$C,IF(Settings!$B$2="","&lt;&gt;",Settings!$B$2),'JLR Machines'!$D:$D,IF(Settings!$B$3="","&lt;&gt;",Settings!$B$3)))</f>
        <v>0</v>
      </c>
      <c r="R70">
        <f>IF($P70&lt;&gt;1,0,SUMIFS('JLR Machines'!$H:$H,'JLR Machines'!$A:$A,$O70,'JLR Machines'!$C:$C,IF(Settings!$B$2="","&lt;&gt;",Settings!$B$2),'JLR Machines'!$D:$D,IF(Settings!$B$3="","&lt;&gt;",Settings!$B$3)))</f>
        <v>0</v>
      </c>
      <c r="S70">
        <f>IF($P70&lt;&gt;1,0,SUMIFS('JLR Machines'!$I:$I,'JLR Machines'!$A:$A,$O70,'JLR Machines'!$C:$C,IF(Settings!$B$2="","&lt;&gt;",Settings!$B$2),'JLR Machines'!$D:$D,IF(Settings!$B$3="","&lt;&gt;",Settings!$B$3)))</f>
        <v>0</v>
      </c>
      <c r="T70">
        <f>IF($P70&lt;&gt;1,0,SUMIFS('JLR Machines'!$J:$J,'JLR Machines'!$A:$A,$O70,'JLR Machines'!$C:$C,IF(Settings!$B$2="","&lt;&gt;",Settings!$B$2),'JLR Machines'!$D:$D,IF(Settings!$B$3="","&lt;&gt;",Settings!$B$3)))</f>
        <v>0</v>
      </c>
      <c r="U70">
        <f>IF($P70&lt;&gt;1,0,SUMIFS('JLR Machines'!$K:$K,'JLR Machines'!$A:$A,$O70,'JLR Machines'!$C:$C,IF(Settings!$B$2="","&lt;&gt;",Settings!$B$2),'JLR Machines'!$D:$D,IF(Settings!$B$3="","&lt;&gt;",Settings!$B$3)))</f>
        <v>0</v>
      </c>
      <c r="V70">
        <f>IF($P70&lt;&gt;1,0,SUMIFS('JLR Machines'!$L:$L,'JLR Machines'!$A:$A,$O70,'JLR Machines'!$C:$C,IF(Settings!$B$2="","&lt;&gt;",Settings!$B$2),'JLR Machines'!$D:$D,IF(Settings!$B$3="","&lt;&gt;",Settings!$B$3)))</f>
        <v>0</v>
      </c>
      <c r="W70">
        <f>IF($P70&lt;&gt;1,0,SUMIFS('JLR Machines'!$M:$M,'JLR Machines'!$A:$A,$O70,'JLR Machines'!$C:$C,IF(Settings!$B$2="","&lt;&gt;",Settings!$B$2),'JLR Machines'!$D:$D,IF(Settings!$B$3="","&lt;&gt;",Settings!$B$3)))</f>
        <v>0</v>
      </c>
      <c r="X70">
        <f>IF($P70&lt;&gt;1,0,SUMIFS('JLR Machines'!$N:$N,'JLR Machines'!$A:$A,$O70,'JLR Machines'!$C:$C,IF(Settings!$B$2="","&lt;&gt;",Settings!$B$2),'JLR Machines'!$D:$D,IF(Settings!$B$3="","&lt;&gt;",Settings!$B$3)))</f>
        <v>0</v>
      </c>
      <c r="Y70">
        <f>$Q70+$R70+$S70+$T70+$U70+$V70+$W70</f>
        <v>0</v>
      </c>
      <c r="Z70">
        <f>IF($X70&lt;=0,0,ROUND((D70+E70+F70+G70+H70+I70)/2730-$X70,4))</f>
        <v>0</v>
      </c>
    </row>
    <row r="71">
      <c r="A71" t="str">
        <v>forge-ring-mill</v>
      </c>
      <c r="B71" t="str">
        <v>CNC Seamless Ring Rolling Mill</v>
      </c>
      <c r="C71" t="str">
        <v>UK</v>
      </c>
      <c r="D71">
        <f>IF($X71&gt;0,IF($Y71&gt;0,MAX(0,$Q71+$X71-$Y71)*2730,$X71*2730),120000)</f>
        <v>120000</v>
      </c>
      <c r="E71">
        <f>IF($X71&gt;0,IF($Y71&gt;0,$S71*2730,0),55000)</f>
        <v>55000</v>
      </c>
      <c r="F71">
        <f>IF($X71&gt;0,IF($Y71&gt;0,$V71*2730,0),90000)</f>
        <v>90000</v>
      </c>
      <c r="G71">
        <f>IF($X71&gt;0,IF($Y71&gt;0,$R71*2730,0),30000)</f>
        <v>30000</v>
      </c>
      <c r="H71">
        <f>IF($X71&gt;0,IF($Y71&gt;0,($T71+$W71)*2730,0),25000)</f>
        <v>25000</v>
      </c>
      <c r="I71">
        <f>IF($X71&gt;0,IF($Y71&gt;0,$U71*2730,0),15000)</f>
        <v>15000</v>
      </c>
      <c r="J71">
        <v>3500</v>
      </c>
      <c r="K71">
        <v>0.78</v>
      </c>
      <c r="L71" t="str">
        <f>IF($X71&gt;0,IF($P71&lt;&gt;1,"2026-06-14",IFERROR(INDEX('JLR Machines'!$D:$D,MATCH($O71,'JLR Machines'!$A:$A,0)),"2026-06-14")),"2026-06-14")</f>
        <v>2026-06-14</v>
      </c>
      <c r="M71" t="str">
        <f>IF($X71&gt;0,IF($Y71&gt;0,"JLR machine "&amp;$O71&amp;" at "&amp;TEXT($X71,"0.00")&amp;" per hr — build-up as supplied","JLR machine "&amp;$O71&amp;" at "&amp;TEXT($X71,"0.00")&amp;" per hr — build-up not supplied"),"UK forge shop benchmark (radial-axial ring mill), Jun 2026")</f>
        <v>UK forge shop benchmark (radial-axial ring mill), Jun 2026</v>
      </c>
      <c r="N71" t="str">
        <v>Medium</v>
      </c>
      <c r="O71" t="str">
        <f>IFERROR(INDEX(Mapping!$C:$C,MATCH($A71,Mapping!$A:$A,0)),"")</f>
        <v/>
      </c>
      <c r="P71">
        <f>IF($O71="",0,COUNTIFS('JLR Machines'!$A:$A,$O71,'JLR Machines'!$C:$C,IF(Settings!$B$2="","&lt;&gt;",Settings!$B$2),'JLR Machines'!$D:$D,IF(Settings!$B$3="","&lt;&gt;",Settings!$B$3)))</f>
        <v>0</v>
      </c>
      <c r="Q71">
        <f>IF($P71&lt;&gt;1,0,SUMIFS('JLR Machines'!$G:$G,'JLR Machines'!$A:$A,$O71,'JLR Machines'!$C:$C,IF(Settings!$B$2="","&lt;&gt;",Settings!$B$2),'JLR Machines'!$D:$D,IF(Settings!$B$3="","&lt;&gt;",Settings!$B$3)))</f>
        <v>0</v>
      </c>
      <c r="R71">
        <f>IF($P71&lt;&gt;1,0,SUMIFS('JLR Machines'!$H:$H,'JLR Machines'!$A:$A,$O71,'JLR Machines'!$C:$C,IF(Settings!$B$2="","&lt;&gt;",Settings!$B$2),'JLR Machines'!$D:$D,IF(Settings!$B$3="","&lt;&gt;",Settings!$B$3)))</f>
        <v>0</v>
      </c>
      <c r="S71">
        <f>IF($P71&lt;&gt;1,0,SUMIFS('JLR Machines'!$I:$I,'JLR Machines'!$A:$A,$O71,'JLR Machines'!$C:$C,IF(Settings!$B$2="","&lt;&gt;",Settings!$B$2),'JLR Machines'!$D:$D,IF(Settings!$B$3="","&lt;&gt;",Settings!$B$3)))</f>
        <v>0</v>
      </c>
      <c r="T71">
        <f>IF($P71&lt;&gt;1,0,SUMIFS('JLR Machines'!$J:$J,'JLR Machines'!$A:$A,$O71,'JLR Machines'!$C:$C,IF(Settings!$B$2="","&lt;&gt;",Settings!$B$2),'JLR Machines'!$D:$D,IF(Settings!$B$3="","&lt;&gt;",Settings!$B$3)))</f>
        <v>0</v>
      </c>
      <c r="U71">
        <f>IF($P71&lt;&gt;1,0,SUMIFS('JLR Machines'!$K:$K,'JLR Machines'!$A:$A,$O71,'JLR Machines'!$C:$C,IF(Settings!$B$2="","&lt;&gt;",Settings!$B$2),'JLR Machines'!$D:$D,IF(Settings!$B$3="","&lt;&gt;",Settings!$B$3)))</f>
        <v>0</v>
      </c>
      <c r="V71">
        <f>IF($P71&lt;&gt;1,0,SUMIFS('JLR Machines'!$L:$L,'JLR Machines'!$A:$A,$O71,'JLR Machines'!$C:$C,IF(Settings!$B$2="","&lt;&gt;",Settings!$B$2),'JLR Machines'!$D:$D,IF(Settings!$B$3="","&lt;&gt;",Settings!$B$3)))</f>
        <v>0</v>
      </c>
      <c r="W71">
        <f>IF($P71&lt;&gt;1,0,SUMIFS('JLR Machines'!$M:$M,'JLR Machines'!$A:$A,$O71,'JLR Machines'!$C:$C,IF(Settings!$B$2="","&lt;&gt;",Settings!$B$2),'JLR Machines'!$D:$D,IF(Settings!$B$3="","&lt;&gt;",Settings!$B$3)))</f>
        <v>0</v>
      </c>
      <c r="X71">
        <f>IF($P71&lt;&gt;1,0,SUMIFS('JLR Machines'!$N:$N,'JLR Machines'!$A:$A,$O71,'JLR Machines'!$C:$C,IF(Settings!$B$2="","&lt;&gt;",Settings!$B$2),'JLR Machines'!$D:$D,IF(Settings!$B$3="","&lt;&gt;",Settings!$B$3)))</f>
        <v>0</v>
      </c>
      <c r="Y71">
        <f>$Q71+$R71+$S71+$T71+$U71+$V71+$W71</f>
        <v>0</v>
      </c>
      <c r="Z71">
        <f>IF($X71&lt;=0,0,ROUND((D71+E71+F71+G71+H71+I71)/2730-$X71,4))</f>
        <v>0</v>
      </c>
    </row>
    <row r="72">
      <c r="A72" t="str">
        <v>paint-line-std</v>
      </c>
      <c r="B72" t="str">
        <v>Standard Paint Line (E-coat + Topcoat)</v>
      </c>
      <c r="C72" t="str">
        <v>UK</v>
      </c>
      <c r="D72">
        <f>IF($X72&gt;0,IF($Y72&gt;0,MAX(0,$Q72+$X72-$Y72)*3280,$X72*3280),120000)</f>
        <v>120000</v>
      </c>
      <c r="E72">
        <f>IF($X72&gt;0,IF($Y72&gt;0,$S72*3280,0),50000)</f>
        <v>50000</v>
      </c>
      <c r="F72">
        <f>IF($X72&gt;0,IF($Y72&gt;0,$V72*3280,0),80000)</f>
        <v>80000</v>
      </c>
      <c r="G72">
        <f>IF($X72&gt;0,IF($Y72&gt;0,$R72*3280,0),40000)</f>
        <v>40000</v>
      </c>
      <c r="H72">
        <f>IF($X72&gt;0,IF($Y72&gt;0,($T72+$W72)*3280,0),30000)</f>
        <v>30000</v>
      </c>
      <c r="I72">
        <f>IF($X72&gt;0,IF($Y72&gt;0,$U72*3280,0),15000)</f>
        <v>15000</v>
      </c>
      <c r="J72">
        <v>4000</v>
      </c>
      <c r="K72">
        <v>0.82</v>
      </c>
      <c r="L72" t="str">
        <f>IF($X72&gt;0,IF($P72&lt;&gt;1,"2026-06-14",IFERROR(INDEX('JLR Machines'!$D:$D,MATCH($O72,'JLR Machines'!$A:$A,0)),"2026-06-14")),"2026-06-14")</f>
        <v>2026-06-14</v>
      </c>
      <c r="M72" t="str">
        <f>IF($X72&gt;0,IF($Y72&gt;0,"JLR machine "&amp;$O72&amp;" at "&amp;TEXT($X72,"0.00")&amp;" per hr — build-up as supplied","JLR machine "&amp;$O72&amp;" at "&amp;TEXT($X72,"0.00")&amp;" per hr — build-up not supplied"),"UK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surface-treatment-rate.ts).")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t="str">
        <v>Medium</v>
      </c>
      <c r="O72" t="str">
        <f>IFERROR(INDEX(Mapping!$C:$C,MATCH($A72,Mapping!$A:$A,0)),"")</f>
        <v/>
      </c>
      <c r="P72">
        <f>IF($O72="",0,COUNTIFS('JLR Machines'!$A:$A,$O72,'JLR Machines'!$C:$C,IF(Settings!$B$2="","&lt;&gt;",Settings!$B$2),'JLR Machines'!$D:$D,IF(Settings!$B$3="","&lt;&gt;",Settings!$B$3)))</f>
        <v>0</v>
      </c>
      <c r="Q72">
        <f>IF($P72&lt;&gt;1,0,SUMIFS('JLR Machines'!$G:$G,'JLR Machines'!$A:$A,$O72,'JLR Machines'!$C:$C,IF(Settings!$B$2="","&lt;&gt;",Settings!$B$2),'JLR Machines'!$D:$D,IF(Settings!$B$3="","&lt;&gt;",Settings!$B$3)))</f>
        <v>0</v>
      </c>
      <c r="R72">
        <f>IF($P72&lt;&gt;1,0,SUMIFS('JLR Machines'!$H:$H,'JLR Machines'!$A:$A,$O72,'JLR Machines'!$C:$C,IF(Settings!$B$2="","&lt;&gt;",Settings!$B$2),'JLR Machines'!$D:$D,IF(Settings!$B$3="","&lt;&gt;",Settings!$B$3)))</f>
        <v>0</v>
      </c>
      <c r="S72">
        <f>IF($P72&lt;&gt;1,0,SUMIFS('JLR Machines'!$I:$I,'JLR Machines'!$A:$A,$O72,'JLR Machines'!$C:$C,IF(Settings!$B$2="","&lt;&gt;",Settings!$B$2),'JLR Machines'!$D:$D,IF(Settings!$B$3="","&lt;&gt;",Settings!$B$3)))</f>
        <v>0</v>
      </c>
      <c r="T72">
        <f>IF($P72&lt;&gt;1,0,SUMIFS('JLR Machines'!$J:$J,'JLR Machines'!$A:$A,$O72,'JLR Machines'!$C:$C,IF(Settings!$B$2="","&lt;&gt;",Settings!$B$2),'JLR Machines'!$D:$D,IF(Settings!$B$3="","&lt;&gt;",Settings!$B$3)))</f>
        <v>0</v>
      </c>
      <c r="U72">
        <f>IF($P72&lt;&gt;1,0,SUMIFS('JLR Machines'!$K:$K,'JLR Machines'!$A:$A,$O72,'JLR Machines'!$C:$C,IF(Settings!$B$2="","&lt;&gt;",Settings!$B$2),'JLR Machines'!$D:$D,IF(Settings!$B$3="","&lt;&gt;",Settings!$B$3)))</f>
        <v>0</v>
      </c>
      <c r="V72">
        <f>IF($P72&lt;&gt;1,0,SUMIFS('JLR Machines'!$L:$L,'JLR Machines'!$A:$A,$O72,'JLR Machines'!$C:$C,IF(Settings!$B$2="","&lt;&gt;",Settings!$B$2),'JLR Machines'!$D:$D,IF(Settings!$B$3="","&lt;&gt;",Settings!$B$3)))</f>
        <v>0</v>
      </c>
      <c r="W72">
        <f>IF($P72&lt;&gt;1,0,SUMIFS('JLR Machines'!$M:$M,'JLR Machines'!$A:$A,$O72,'JLR Machines'!$C:$C,IF(Settings!$B$2="","&lt;&gt;",Settings!$B$2),'JLR Machines'!$D:$D,IF(Settings!$B$3="","&lt;&gt;",Settings!$B$3)))</f>
        <v>0</v>
      </c>
      <c r="X72">
        <f>IF($P72&lt;&gt;1,0,SUMIFS('JLR Machines'!$N:$N,'JLR Machines'!$A:$A,$O72,'JLR Machines'!$C:$C,IF(Settings!$B$2="","&lt;&gt;",Settings!$B$2),'JLR Machines'!$D:$D,IF(Settings!$B$3="","&lt;&gt;",Settings!$B$3)))</f>
        <v>0</v>
      </c>
      <c r="Y72">
        <f>$Q72+$R72+$S72+$T72+$U72+$V72+$W72</f>
        <v>0</v>
      </c>
      <c r="Z72">
        <f>IF($X72&lt;=0,0,ROUND((D72+E72+F72+G72+H72+I72)/3280-$X72,4))</f>
        <v>0</v>
      </c>
    </row>
    <row r="73">
      <c r="A73" t="str">
        <v>plating-line-barrel</v>
      </c>
      <c r="B73" t="str">
        <v>Barrel Plating Line (zinc, high volume)</v>
      </c>
      <c r="C73" t="str">
        <v>UK</v>
      </c>
      <c r="D73">
        <f>IF($X73&gt;0,IF($Y73&gt;0,MAX(0,$Q73+$X73-$Y73)*3200,$X73*3200),45000)</f>
        <v>45000</v>
      </c>
      <c r="E73">
        <f>IF($X73&gt;0,IF($Y73&gt;0,$S73*3200,0),22000)</f>
        <v>22000</v>
      </c>
      <c r="F73">
        <f>IF($X73&gt;0,IF($Y73&gt;0,$V73*3200,0),35000)</f>
        <v>35000</v>
      </c>
      <c r="G73">
        <f>IF($X73&gt;0,IF($Y73&gt;0,$R73*3200,0),18000)</f>
        <v>18000</v>
      </c>
      <c r="H73">
        <f>IF($X73&gt;0,IF($Y73&gt;0,($T73+$W73)*3200,0),20000)</f>
        <v>20000</v>
      </c>
      <c r="I73">
        <f>IF($X73&gt;0,IF($Y73&gt;0,$U73*3200,0),8000)</f>
        <v>8000</v>
      </c>
      <c r="J73">
        <v>4000</v>
      </c>
      <c r="K73">
        <v>0.8</v>
      </c>
      <c r="L73" t="str">
        <f>IF($X73&gt;0,IF($P73&lt;&gt;1,"2026-06-14",IFERROR(INDEX('JLR Machines'!$D:$D,MATCH($O73,'JLR Machines'!$A:$A,0)),"2026-06-14")),"2026-06-14")</f>
        <v>2026-06-14</v>
      </c>
      <c r="M73" t="str">
        <f>IF($X73&gt;0,IF($Y73&gt;0,"JLR machine "&amp;$O73&amp;" at "&amp;TEXT($X73,"0.00")&amp;" per hr — build-up as supplied","JLR machine "&amp;$O73&amp;" at "&amp;TEXT($X73,"0.00")&amp;" per hr — build-up not supplied"),"REPRESENTATIVE — UK barrel zinc line class: tanks, rectifiers, barrels, effluent plant and discharge consent. Rectifier-dominated electrical load, no ovens. Target ~£46/hr. Replace with plant data.")</f>
        <v>REPRESENTATIVE — UK barrel zinc line class: tanks, rectifiers, barrels, effluent plant and discharge consent. Rectifier-dominated electrical load, no ovens. Target ~£46/hr. Replace with plant data.</v>
      </c>
      <c r="N73" t="str">
        <v>Medium</v>
      </c>
      <c r="O73" t="str">
        <f>IFERROR(INDEX(Mapping!$C:$C,MATCH($A73,Mapping!$A:$A,0)),"")</f>
        <v/>
      </c>
      <c r="P73">
        <f>IF($O73="",0,COUNTIFS('JLR Machines'!$A:$A,$O73,'JLR Machines'!$C:$C,IF(Settings!$B$2="","&lt;&gt;",Settings!$B$2),'JLR Machines'!$D:$D,IF(Settings!$B$3="","&lt;&gt;",Settings!$B$3)))</f>
        <v>0</v>
      </c>
      <c r="Q73">
        <f>IF($P73&lt;&gt;1,0,SUMIFS('JLR Machines'!$G:$G,'JLR Machines'!$A:$A,$O73,'JLR Machines'!$C:$C,IF(Settings!$B$2="","&lt;&gt;",Settings!$B$2),'JLR Machines'!$D:$D,IF(Settings!$B$3="","&lt;&gt;",Settings!$B$3)))</f>
        <v>0</v>
      </c>
      <c r="R73">
        <f>IF($P73&lt;&gt;1,0,SUMIFS('JLR Machines'!$H:$H,'JLR Machines'!$A:$A,$O73,'JLR Machines'!$C:$C,IF(Settings!$B$2="","&lt;&gt;",Settings!$B$2),'JLR Machines'!$D:$D,IF(Settings!$B$3="","&lt;&gt;",Settings!$B$3)))</f>
        <v>0</v>
      </c>
      <c r="S73">
        <f>IF($P73&lt;&gt;1,0,SUMIFS('JLR Machines'!$I:$I,'JLR Machines'!$A:$A,$O73,'JLR Machines'!$C:$C,IF(Settings!$B$2="","&lt;&gt;",Settings!$B$2),'JLR Machines'!$D:$D,IF(Settings!$B$3="","&lt;&gt;",Settings!$B$3)))</f>
        <v>0</v>
      </c>
      <c r="T73">
        <f>IF($P73&lt;&gt;1,0,SUMIFS('JLR Machines'!$J:$J,'JLR Machines'!$A:$A,$O73,'JLR Machines'!$C:$C,IF(Settings!$B$2="","&lt;&gt;",Settings!$B$2),'JLR Machines'!$D:$D,IF(Settings!$B$3="","&lt;&gt;",Settings!$B$3)))</f>
        <v>0</v>
      </c>
      <c r="U73">
        <f>IF($P73&lt;&gt;1,0,SUMIFS('JLR Machines'!$K:$K,'JLR Machines'!$A:$A,$O73,'JLR Machines'!$C:$C,IF(Settings!$B$2="","&lt;&gt;",Settings!$B$2),'JLR Machines'!$D:$D,IF(Settings!$B$3="","&lt;&gt;",Settings!$B$3)))</f>
        <v>0</v>
      </c>
      <c r="V73">
        <f>IF($P73&lt;&gt;1,0,SUMIFS('JLR Machines'!$L:$L,'JLR Machines'!$A:$A,$O73,'JLR Machines'!$C:$C,IF(Settings!$B$2="","&lt;&gt;",Settings!$B$2),'JLR Machines'!$D:$D,IF(Settings!$B$3="","&lt;&gt;",Settings!$B$3)))</f>
        <v>0</v>
      </c>
      <c r="W73">
        <f>IF($P73&lt;&gt;1,0,SUMIFS('JLR Machines'!$M:$M,'JLR Machines'!$A:$A,$O73,'JLR Machines'!$C:$C,IF(Settings!$B$2="","&lt;&gt;",Settings!$B$2),'JLR Machines'!$D:$D,IF(Settings!$B$3="","&lt;&gt;",Settings!$B$3)))</f>
        <v>0</v>
      </c>
      <c r="X73">
        <f>IF($P73&lt;&gt;1,0,SUMIFS('JLR Machines'!$N:$N,'JLR Machines'!$A:$A,$O73,'JLR Machines'!$C:$C,IF(Settings!$B$2="","&lt;&gt;",Settings!$B$2),'JLR Machines'!$D:$D,IF(Settings!$B$3="","&lt;&gt;",Settings!$B$3)))</f>
        <v>0</v>
      </c>
      <c r="Y73">
        <f>$Q73+$R73+$S73+$T73+$U73+$V73+$W73</f>
        <v>0</v>
      </c>
      <c r="Z73">
        <f>IF($X73&lt;=0,0,ROUND((D73+E73+F73+G73+H73+I73)/3200-$X73,4))</f>
        <v>0</v>
      </c>
    </row>
    <row r="74">
      <c r="A74" t="str">
        <v>plating-line-rack</v>
      </c>
      <c r="B74" t="str">
        <v>Rack Plating / Anodising Line</v>
      </c>
      <c r="C74" t="str">
        <v>UK</v>
      </c>
      <c r="D74">
        <f>IF($X74&gt;0,IF($Y74&gt;0,MAX(0,$Q74+$X74-$Y74)*3120,$X74*3120),70000)</f>
        <v>70000</v>
      </c>
      <c r="E74">
        <f>IF($X74&gt;0,IF($Y74&gt;0,$S74*3120,0),30000)</f>
        <v>30000</v>
      </c>
      <c r="F74">
        <f>IF($X74&gt;0,IF($Y74&gt;0,$V74*3120,0),45000)</f>
        <v>45000</v>
      </c>
      <c r="G74">
        <f>IF($X74&gt;0,IF($Y74&gt;0,$R74*3120,0),25000)</f>
        <v>25000</v>
      </c>
      <c r="H74">
        <f>IF($X74&gt;0,IF($Y74&gt;0,($T74+$W74)*3120,0),28000)</f>
        <v>28000</v>
      </c>
      <c r="I74">
        <f>IF($X74&gt;0,IF($Y74&gt;0,$U74*3120,0),12000)</f>
        <v>12000</v>
      </c>
      <c r="J74">
        <v>4000</v>
      </c>
      <c r="K74">
        <v>0.78</v>
      </c>
      <c r="L74" t="str">
        <f>IF($X74&gt;0,IF($P74&lt;&gt;1,"2026-06-14",IFERROR(INDEX('JLR Machines'!$D:$D,MATCH($O74,'JLR Machines'!$A:$A,0)),"2026-06-14")),"2026-06-14")</f>
        <v>2026-06-14</v>
      </c>
      <c r="M74" t="str">
        <f>IF($X74&gt;0,IF($Y74&gt;0,"JLR machine "&amp;$O74&amp;" at "&amp;TEXT($X74,"0.00")&amp;" per hr — build-up as supplied","JLR machine "&amp;$O74&amp;" at "&amp;TEXT($X74,"0.00")&amp;" per hr — build-up not supplied"),"REPRESENTATIVE — UK rack plating and sulphuric anodising class. Higher capital and lower throughput than barrel: parts are jigged individually. Target ~£67/hr. Replace with plant data.")</f>
        <v>REPRESENTATIVE — UK rack plating and sulphuric anodising class. Higher capital and lower throughput than barrel: parts are jigged individually. Target ~£67/hr. Replace with plant data.</v>
      </c>
      <c r="N74" t="str">
        <v>Medium</v>
      </c>
      <c r="O74" t="str">
        <f>IFERROR(INDEX(Mapping!$C:$C,MATCH($A74,Mapping!$A:$A,0)),"")</f>
        <v/>
      </c>
      <c r="P74">
        <f>IF($O74="",0,COUNTIFS('JLR Machines'!$A:$A,$O74,'JLR Machines'!$C:$C,IF(Settings!$B$2="","&lt;&gt;",Settings!$B$2),'JLR Machines'!$D:$D,IF(Settings!$B$3="","&lt;&gt;",Settings!$B$3)))</f>
        <v>0</v>
      </c>
      <c r="Q74">
        <f>IF($P74&lt;&gt;1,0,SUMIFS('JLR Machines'!$G:$G,'JLR Machines'!$A:$A,$O74,'JLR Machines'!$C:$C,IF(Settings!$B$2="","&lt;&gt;",Settings!$B$2),'JLR Machines'!$D:$D,IF(Settings!$B$3="","&lt;&gt;",Settings!$B$3)))</f>
        <v>0</v>
      </c>
      <c r="R74">
        <f>IF($P74&lt;&gt;1,0,SUMIFS('JLR Machines'!$H:$H,'JLR Machines'!$A:$A,$O74,'JLR Machines'!$C:$C,IF(Settings!$B$2="","&lt;&gt;",Settings!$B$2),'JLR Machines'!$D:$D,IF(Settings!$B$3="","&lt;&gt;",Settings!$B$3)))</f>
        <v>0</v>
      </c>
      <c r="S74">
        <f>IF($P74&lt;&gt;1,0,SUMIFS('JLR Machines'!$I:$I,'JLR Machines'!$A:$A,$O74,'JLR Machines'!$C:$C,IF(Settings!$B$2="","&lt;&gt;",Settings!$B$2),'JLR Machines'!$D:$D,IF(Settings!$B$3="","&lt;&gt;",Settings!$B$3)))</f>
        <v>0</v>
      </c>
      <c r="T74">
        <f>IF($P74&lt;&gt;1,0,SUMIFS('JLR Machines'!$J:$J,'JLR Machines'!$A:$A,$O74,'JLR Machines'!$C:$C,IF(Settings!$B$2="","&lt;&gt;",Settings!$B$2),'JLR Machines'!$D:$D,IF(Settings!$B$3="","&lt;&gt;",Settings!$B$3)))</f>
        <v>0</v>
      </c>
      <c r="U74">
        <f>IF($P74&lt;&gt;1,0,SUMIFS('JLR Machines'!$K:$K,'JLR Machines'!$A:$A,$O74,'JLR Machines'!$C:$C,IF(Settings!$B$2="","&lt;&gt;",Settings!$B$2),'JLR Machines'!$D:$D,IF(Settings!$B$3="","&lt;&gt;",Settings!$B$3)))</f>
        <v>0</v>
      </c>
      <c r="V74">
        <f>IF($P74&lt;&gt;1,0,SUMIFS('JLR Machines'!$L:$L,'JLR Machines'!$A:$A,$O74,'JLR Machines'!$C:$C,IF(Settings!$B$2="","&lt;&gt;",Settings!$B$2),'JLR Machines'!$D:$D,IF(Settings!$B$3="","&lt;&gt;",Settings!$B$3)))</f>
        <v>0</v>
      </c>
      <c r="W74">
        <f>IF($P74&lt;&gt;1,0,SUMIFS('JLR Machines'!$M:$M,'JLR Machines'!$A:$A,$O74,'JLR Machines'!$C:$C,IF(Settings!$B$2="","&lt;&gt;",Settings!$B$2),'JLR Machines'!$D:$D,IF(Settings!$B$3="","&lt;&gt;",Settings!$B$3)))</f>
        <v>0</v>
      </c>
      <c r="X74">
        <f>IF($P74&lt;&gt;1,0,SUMIFS('JLR Machines'!$N:$N,'JLR Machines'!$A:$A,$O74,'JLR Machines'!$C:$C,IF(Settings!$B$2="","&lt;&gt;",Settings!$B$2),'JLR Machines'!$D:$D,IF(Settings!$B$3="","&lt;&gt;",Settings!$B$3)))</f>
        <v>0</v>
      </c>
      <c r="Y74">
        <f>$Q74+$R74+$S74+$T74+$U74+$V74+$W74</f>
        <v>0</v>
      </c>
      <c r="Z74">
        <f>IF($X74&lt;=0,0,ROUND((D74+E74+F74+G74+H74+I74)/3120-$X74,4))</f>
        <v>0</v>
      </c>
    </row>
    <row r="75">
      <c r="A75" t="str">
        <v>blast-machine</v>
      </c>
      <c r="B75" t="str">
        <v>Shot Blast Machine (tumble / hanger)</v>
      </c>
      <c r="C75" t="str">
        <v>UK</v>
      </c>
      <c r="D75">
        <f>IF($X75&gt;0,IF($Y75&gt;0,MAX(0,$Q75+$X75-$Y75)*3200,$X75*3200),26000)</f>
        <v>26000</v>
      </c>
      <c r="E75">
        <f>IF($X75&gt;0,IF($Y75&gt;0,$S75*3200,0),18000)</f>
        <v>18000</v>
      </c>
      <c r="F75">
        <f>IF($X75&gt;0,IF($Y75&gt;0,$V75*3200,0),14000)</f>
        <v>14000</v>
      </c>
      <c r="G75">
        <f>IF($X75&gt;0,IF($Y75&gt;0,$R75*3200,0),9000)</f>
        <v>9000</v>
      </c>
      <c r="H75">
        <f>IF($X75&gt;0,IF($Y75&gt;0,($T75+$W75)*3200,0),11000)</f>
        <v>11000</v>
      </c>
      <c r="I75">
        <f>IF($X75&gt;0,IF($Y75&gt;0,$U75*3200,0),4500)</f>
        <v>4500</v>
      </c>
      <c r="J75">
        <v>4000</v>
      </c>
      <c r="K75">
        <v>0.8</v>
      </c>
      <c r="L75" t="str">
        <f>IF($X75&gt;0,IF($P75&lt;&gt;1,"2026-06-14",IFERROR(INDEX('JLR Machines'!$D:$D,MATCH($O75,'JLR Machines'!$A:$A,0)),"2026-06-14")),"2026-06-14")</f>
        <v>2026-06-14</v>
      </c>
      <c r="M75" t="str">
        <f>IF($X75&gt;0,IF($Y75&gt;0,"JLR machine "&amp;$O75&amp;" at "&amp;TEXT($X75,"0.00")&amp;" per hr — build-up as supplied","JLR machine "&amp;$O75&amp;" at "&amp;TEXT($X75,"0.00")&amp;" per hr — build-up not supplied"),"REPRESENTATIVE — UK descaling/cleaning cell class: blast wheels, shot recovery and separation, dust extraction. Maintenance is high relative to capital because blades, liners and the separator are consumable wear parts. Replace with plant data.")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t="str">
        <v>Medium</v>
      </c>
      <c r="O75" t="str">
        <f>IFERROR(INDEX(Mapping!$C:$C,MATCH($A75,Mapping!$A:$A,0)),"")</f>
        <v/>
      </c>
      <c r="P75">
        <f>IF($O75="",0,COUNTIFS('JLR Machines'!$A:$A,$O75,'JLR Machines'!$C:$C,IF(Settings!$B$2="","&lt;&gt;",Settings!$B$2),'JLR Machines'!$D:$D,IF(Settings!$B$3="","&lt;&gt;",Settings!$B$3)))</f>
        <v>0</v>
      </c>
      <c r="Q75">
        <f>IF($P75&lt;&gt;1,0,SUMIFS('JLR Machines'!$G:$G,'JLR Machines'!$A:$A,$O75,'JLR Machines'!$C:$C,IF(Settings!$B$2="","&lt;&gt;",Settings!$B$2),'JLR Machines'!$D:$D,IF(Settings!$B$3="","&lt;&gt;",Settings!$B$3)))</f>
        <v>0</v>
      </c>
      <c r="R75">
        <f>IF($P75&lt;&gt;1,0,SUMIFS('JLR Machines'!$H:$H,'JLR Machines'!$A:$A,$O75,'JLR Machines'!$C:$C,IF(Settings!$B$2="","&lt;&gt;",Settings!$B$2),'JLR Machines'!$D:$D,IF(Settings!$B$3="","&lt;&gt;",Settings!$B$3)))</f>
        <v>0</v>
      </c>
      <c r="S75">
        <f>IF($P75&lt;&gt;1,0,SUMIFS('JLR Machines'!$I:$I,'JLR Machines'!$A:$A,$O75,'JLR Machines'!$C:$C,IF(Settings!$B$2="","&lt;&gt;",Settings!$B$2),'JLR Machines'!$D:$D,IF(Settings!$B$3="","&lt;&gt;",Settings!$B$3)))</f>
        <v>0</v>
      </c>
      <c r="T75">
        <f>IF($P75&lt;&gt;1,0,SUMIFS('JLR Machines'!$J:$J,'JLR Machines'!$A:$A,$O75,'JLR Machines'!$C:$C,IF(Settings!$B$2="","&lt;&gt;",Settings!$B$2),'JLR Machines'!$D:$D,IF(Settings!$B$3="","&lt;&gt;",Settings!$B$3)))</f>
        <v>0</v>
      </c>
      <c r="U75">
        <f>IF($P75&lt;&gt;1,0,SUMIFS('JLR Machines'!$K:$K,'JLR Machines'!$A:$A,$O75,'JLR Machines'!$C:$C,IF(Settings!$B$2="","&lt;&gt;",Settings!$B$2),'JLR Machines'!$D:$D,IF(Settings!$B$3="","&lt;&gt;",Settings!$B$3)))</f>
        <v>0</v>
      </c>
      <c r="V75">
        <f>IF($P75&lt;&gt;1,0,SUMIFS('JLR Machines'!$L:$L,'JLR Machines'!$A:$A,$O75,'JLR Machines'!$C:$C,IF(Settings!$B$2="","&lt;&gt;",Settings!$B$2),'JLR Machines'!$D:$D,IF(Settings!$B$3="","&lt;&gt;",Settings!$B$3)))</f>
        <v>0</v>
      </c>
      <c r="W75">
        <f>IF($P75&lt;&gt;1,0,SUMIFS('JLR Machines'!$M:$M,'JLR Machines'!$A:$A,$O75,'JLR Machines'!$C:$C,IF(Settings!$B$2="","&lt;&gt;",Settings!$B$2),'JLR Machines'!$D:$D,IF(Settings!$B$3="","&lt;&gt;",Settings!$B$3)))</f>
        <v>0</v>
      </c>
      <c r="X75">
        <f>IF($P75&lt;&gt;1,0,SUMIFS('JLR Machines'!$N:$N,'JLR Machines'!$A:$A,$O75,'JLR Machines'!$C:$C,IF(Settings!$B$2="","&lt;&gt;",Settings!$B$2),'JLR Machines'!$D:$D,IF(Settings!$B$3="","&lt;&gt;",Settings!$B$3)))</f>
        <v>0</v>
      </c>
      <c r="Y75">
        <f>$Q75+$R75+$S75+$T75+$U75+$V75+$W75</f>
        <v>0</v>
      </c>
      <c r="Z75">
        <f>IF($X75&lt;=0,0,ROUND((D75+E75+F75+G75+H75+I75)/3200-$X75,4))</f>
        <v>0</v>
      </c>
    </row>
    <row r="76">
      <c r="A76" t="str">
        <v>mass-finish-bowl</v>
      </c>
      <c r="B76" t="str">
        <v>Vibratory / Mass Finishing Bowl</v>
      </c>
      <c r="C76" t="str">
        <v>UK</v>
      </c>
      <c r="D76">
        <f>IF($X76&gt;0,IF($Y76&gt;0,MAX(0,$Q76+$X76-$Y76)*3000,$X76*3000),14000)</f>
        <v>14000</v>
      </c>
      <c r="E76">
        <f>IF($X76&gt;0,IF($Y76&gt;0,$S76*3000,0),9000)</f>
        <v>9000</v>
      </c>
      <c r="F76">
        <f>IF($X76&gt;0,IF($Y76&gt;0,$V76*3000,0),7000)</f>
        <v>7000</v>
      </c>
      <c r="G76">
        <f>IF($X76&gt;0,IF($Y76&gt;0,$R76*3000,0),7000)</f>
        <v>7000</v>
      </c>
      <c r="H76">
        <f>IF($X76&gt;0,IF($Y76&gt;0,($T76+$W76)*3000,0),8000)</f>
        <v>8000</v>
      </c>
      <c r="I76">
        <f>IF($X76&gt;0,IF($Y76&gt;0,$U76*3000,0),2400)</f>
        <v>2400</v>
      </c>
      <c r="J76">
        <v>4000</v>
      </c>
      <c r="K76">
        <v>0.75</v>
      </c>
      <c r="L76" t="str">
        <f>IF($X76&gt;0,IF($P76&lt;&gt;1,"2026-06-14",IFERROR(INDEX('JLR Machines'!$D:$D,MATCH($O76,'JLR Machines'!$A:$A,0)),"2026-06-14")),"2026-06-14")</f>
        <v>2026-06-14</v>
      </c>
      <c r="M76" t="str">
        <f>IF($X76&gt;0,IF($Y76&gt;0,"JLR machine "&amp;$O76&amp;" at "&amp;TEXT($X76,"0.00")&amp;" per hr — build-up as supplied","JLR machine "&amp;$O76&amp;" at "&amp;TEXT($X76,"0.00")&amp;" per hr — build-up not supplied"),"REPRESENTATIVE — UK deburr/polish cell class: bowl, media separation, compound dosing, water treatment. Low capital, long cycles; media and compound are the real variable cost and are charged as stage chemistry. Replace with plant data.")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t="str">
        <v>Medium</v>
      </c>
      <c r="O76" t="str">
        <f>IFERROR(INDEX(Mapping!$C:$C,MATCH($A76,Mapping!$A:$A,0)),"")</f>
        <v/>
      </c>
      <c r="P76">
        <f>IF($O76="",0,COUNTIFS('JLR Machines'!$A:$A,$O76,'JLR Machines'!$C:$C,IF(Settings!$B$2="","&lt;&gt;",Settings!$B$2),'JLR Machines'!$D:$D,IF(Settings!$B$3="","&lt;&gt;",Settings!$B$3)))</f>
        <v>0</v>
      </c>
      <c r="Q76">
        <f>IF($P76&lt;&gt;1,0,SUMIFS('JLR Machines'!$G:$G,'JLR Machines'!$A:$A,$O76,'JLR Machines'!$C:$C,IF(Settings!$B$2="","&lt;&gt;",Settings!$B$2),'JLR Machines'!$D:$D,IF(Settings!$B$3="","&lt;&gt;",Settings!$B$3)))</f>
        <v>0</v>
      </c>
      <c r="R76">
        <f>IF($P76&lt;&gt;1,0,SUMIFS('JLR Machines'!$H:$H,'JLR Machines'!$A:$A,$O76,'JLR Machines'!$C:$C,IF(Settings!$B$2="","&lt;&gt;",Settings!$B$2),'JLR Machines'!$D:$D,IF(Settings!$B$3="","&lt;&gt;",Settings!$B$3)))</f>
        <v>0</v>
      </c>
      <c r="S76">
        <f>IF($P76&lt;&gt;1,0,SUMIFS('JLR Machines'!$I:$I,'JLR Machines'!$A:$A,$O76,'JLR Machines'!$C:$C,IF(Settings!$B$2="","&lt;&gt;",Settings!$B$2),'JLR Machines'!$D:$D,IF(Settings!$B$3="","&lt;&gt;",Settings!$B$3)))</f>
        <v>0</v>
      </c>
      <c r="T76">
        <f>IF($P76&lt;&gt;1,0,SUMIFS('JLR Machines'!$J:$J,'JLR Machines'!$A:$A,$O76,'JLR Machines'!$C:$C,IF(Settings!$B$2="","&lt;&gt;",Settings!$B$2),'JLR Machines'!$D:$D,IF(Settings!$B$3="","&lt;&gt;",Settings!$B$3)))</f>
        <v>0</v>
      </c>
      <c r="U76">
        <f>IF($P76&lt;&gt;1,0,SUMIFS('JLR Machines'!$K:$K,'JLR Machines'!$A:$A,$O76,'JLR Machines'!$C:$C,IF(Settings!$B$2="","&lt;&gt;",Settings!$B$2),'JLR Machines'!$D:$D,IF(Settings!$B$3="","&lt;&gt;",Settings!$B$3)))</f>
        <v>0</v>
      </c>
      <c r="V76">
        <f>IF($P76&lt;&gt;1,0,SUMIFS('JLR Machines'!$L:$L,'JLR Machines'!$A:$A,$O76,'JLR Machines'!$C:$C,IF(Settings!$B$2="","&lt;&gt;",Settings!$B$2),'JLR Machines'!$D:$D,IF(Settings!$B$3="","&lt;&gt;",Settings!$B$3)))</f>
        <v>0</v>
      </c>
      <c r="W76">
        <f>IF($P76&lt;&gt;1,0,SUMIFS('JLR Machines'!$M:$M,'JLR Machines'!$A:$A,$O76,'JLR Machines'!$C:$C,IF(Settings!$B$2="","&lt;&gt;",Settings!$B$2),'JLR Machines'!$D:$D,IF(Settings!$B$3="","&lt;&gt;",Settings!$B$3)))</f>
        <v>0</v>
      </c>
      <c r="X76">
        <f>IF($P76&lt;&gt;1,0,SUMIFS('JLR Machines'!$N:$N,'JLR Machines'!$A:$A,$O76,'JLR Machines'!$C:$C,IF(Settings!$B$2="","&lt;&gt;",Settings!$B$2),'JLR Machines'!$D:$D,IF(Settings!$B$3="","&lt;&gt;",Settings!$B$3)))</f>
        <v>0</v>
      </c>
      <c r="Y76">
        <f>$Q76+$R76+$S76+$T76+$U76+$V76+$W76</f>
        <v>0</v>
      </c>
      <c r="Z76">
        <f>IF($X76&lt;=0,0,ROUND((D76+E76+F76+G76+H76+I76)/3000-$X76,4))</f>
        <v>0</v>
      </c>
    </row>
    <row r="77">
      <c r="A77" t="str">
        <v>galvanising-kettle</v>
      </c>
      <c r="B77" t="str">
        <v>Hot Dip Galvanising Kettle (batch, EN ISO 1461)</v>
      </c>
      <c r="C77" t="str">
        <v>UK</v>
      </c>
      <c r="D77">
        <f>IF($X77&gt;0,IF($Y77&gt;0,MAX(0,$Q77+$X77-$Y77)*4000,$X77*4000),200000)</f>
        <v>200000</v>
      </c>
      <c r="E77">
        <f>IF($X77&gt;0,IF($Y77&gt;0,$S77*4000,0),105000)</f>
        <v>105000</v>
      </c>
      <c r="F77">
        <f>IF($X77&gt;0,IF($Y77&gt;0,$V77*4000,0),240000)</f>
        <v>240000</v>
      </c>
      <c r="G77">
        <f>IF($X77&gt;0,IF($Y77&gt;0,$R77*4000,0),60000)</f>
        <v>60000</v>
      </c>
      <c r="H77">
        <f>IF($X77&gt;0,IF($Y77&gt;0,($T77+$W77)*4000,0),55000)</f>
        <v>55000</v>
      </c>
      <c r="I77">
        <f>IF($X77&gt;0,IF($Y77&gt;0,$U77*4000,0),34000)</f>
        <v>34000</v>
      </c>
      <c r="J77">
        <v>5000</v>
      </c>
      <c r="K77">
        <v>0.8</v>
      </c>
      <c r="L77" t="str">
        <f>IF($X77&gt;0,IF($P77&lt;&gt;1,"2026-06-14",IFERROR(INDEX('JLR Machines'!$D:$D,MATCH($O77,'JLR Machines'!$A:$A,0)),"2026-06-14")),"2026-06-14")</f>
        <v>2026-06-14</v>
      </c>
      <c r="M77" t="str">
        <f>IF($X77&gt;0,IF($Y77&gt;0,"JLR machine "&amp;$O77&amp;" at "&amp;TEXT($X77,"0.00")&amp;" per hr — build-up as supplied","JLR machine "&amp;$O77&amp;" at "&amp;TEXT($X77,"0.00")&amp;" per hr — build-up not supplied"),"REPRESENTATIVE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time.")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t="str">
        <v>Medium</v>
      </c>
      <c r="O77" t="str">
        <f>IFERROR(INDEX(Mapping!$C:$C,MATCH($A77,Mapping!$A:$A,0)),"")</f>
        <v/>
      </c>
      <c r="P77">
        <f>IF($O77="",0,COUNTIFS('JLR Machines'!$A:$A,$O77,'JLR Machines'!$C:$C,IF(Settings!$B$2="","&lt;&gt;",Settings!$B$2),'JLR Machines'!$D:$D,IF(Settings!$B$3="","&lt;&gt;",Settings!$B$3)))</f>
        <v>0</v>
      </c>
      <c r="Q77">
        <f>IF($P77&lt;&gt;1,0,SUMIFS('JLR Machines'!$G:$G,'JLR Machines'!$A:$A,$O77,'JLR Machines'!$C:$C,IF(Settings!$B$2="","&lt;&gt;",Settings!$B$2),'JLR Machines'!$D:$D,IF(Settings!$B$3="","&lt;&gt;",Settings!$B$3)))</f>
        <v>0</v>
      </c>
      <c r="R77">
        <f>IF($P77&lt;&gt;1,0,SUMIFS('JLR Machines'!$H:$H,'JLR Machines'!$A:$A,$O77,'JLR Machines'!$C:$C,IF(Settings!$B$2="","&lt;&gt;",Settings!$B$2),'JLR Machines'!$D:$D,IF(Settings!$B$3="","&lt;&gt;",Settings!$B$3)))</f>
        <v>0</v>
      </c>
      <c r="S77">
        <f>IF($P77&lt;&gt;1,0,SUMIFS('JLR Machines'!$I:$I,'JLR Machines'!$A:$A,$O77,'JLR Machines'!$C:$C,IF(Settings!$B$2="","&lt;&gt;",Settings!$B$2),'JLR Machines'!$D:$D,IF(Settings!$B$3="","&lt;&gt;",Settings!$B$3)))</f>
        <v>0</v>
      </c>
      <c r="T77">
        <f>IF($P77&lt;&gt;1,0,SUMIFS('JLR Machines'!$J:$J,'JLR Machines'!$A:$A,$O77,'JLR Machines'!$C:$C,IF(Settings!$B$2="","&lt;&gt;",Settings!$B$2),'JLR Machines'!$D:$D,IF(Settings!$B$3="","&lt;&gt;",Settings!$B$3)))</f>
        <v>0</v>
      </c>
      <c r="U77">
        <f>IF($P77&lt;&gt;1,0,SUMIFS('JLR Machines'!$K:$K,'JLR Machines'!$A:$A,$O77,'JLR Machines'!$C:$C,IF(Settings!$B$2="","&lt;&gt;",Settings!$B$2),'JLR Machines'!$D:$D,IF(Settings!$B$3="","&lt;&gt;",Settings!$B$3)))</f>
        <v>0</v>
      </c>
      <c r="V77">
        <f>IF($P77&lt;&gt;1,0,SUMIFS('JLR Machines'!$L:$L,'JLR Machines'!$A:$A,$O77,'JLR Machines'!$C:$C,IF(Settings!$B$2="","&lt;&gt;",Settings!$B$2),'JLR Machines'!$D:$D,IF(Settings!$B$3="","&lt;&gt;",Settings!$B$3)))</f>
        <v>0</v>
      </c>
      <c r="W77">
        <f>IF($P77&lt;&gt;1,0,SUMIFS('JLR Machines'!$M:$M,'JLR Machines'!$A:$A,$O77,'JLR Machines'!$C:$C,IF(Settings!$B$2="","&lt;&gt;",Settings!$B$2),'JLR Machines'!$D:$D,IF(Settings!$B$3="","&lt;&gt;",Settings!$B$3)))</f>
        <v>0</v>
      </c>
      <c r="X77">
        <f>IF($P77&lt;&gt;1,0,SUMIFS('JLR Machines'!$N:$N,'JLR Machines'!$A:$A,$O77,'JLR Machines'!$C:$C,IF(Settings!$B$2="","&lt;&gt;",Settings!$B$2),'JLR Machines'!$D:$D,IF(Settings!$B$3="","&lt;&gt;",Settings!$B$3)))</f>
        <v>0</v>
      </c>
      <c r="Y77">
        <f>$Q77+$R77+$S77+$T77+$U77+$V77+$W77</f>
        <v>0</v>
      </c>
      <c r="Z77">
        <f>IF($X77&lt;=0,0,ROUND((D77+E77+F77+G77+H77+I77)/4000-$X77,4))</f>
        <v>0</v>
      </c>
    </row>
    <row r="78">
      <c r="A78" t="str">
        <v>impregnation-plant</v>
      </c>
      <c r="B78" t="str">
        <v>Vacuum Resin Impregnation Plant (casting porosity)</v>
      </c>
      <c r="C78" t="str">
        <v>UK</v>
      </c>
      <c r="D78">
        <f>IF($X78&gt;0,IF($Y78&gt;0,MAX(0,$Q78+$X78-$Y78)*3120,$X78*3120),30000)</f>
        <v>30000</v>
      </c>
      <c r="E78">
        <f>IF($X78&gt;0,IF($Y78&gt;0,$S78*3120,0),15000)</f>
        <v>15000</v>
      </c>
      <c r="F78">
        <f>IF($X78&gt;0,IF($Y78&gt;0,$V78*3120,0),11000)</f>
        <v>11000</v>
      </c>
      <c r="G78">
        <f>IF($X78&gt;0,IF($Y78&gt;0,$R78*3120,0),8000)</f>
        <v>8000</v>
      </c>
      <c r="H78">
        <f>IF($X78&gt;0,IF($Y78&gt;0,($T78+$W78)*3120,0),10000)</f>
        <v>10000</v>
      </c>
      <c r="I78">
        <f>IF($X78&gt;0,IF($Y78&gt;0,$U78*3120,0),5200)</f>
        <v>5200</v>
      </c>
      <c r="J78">
        <v>4000</v>
      </c>
      <c r="K78">
        <v>0.78</v>
      </c>
      <c r="L78" t="str">
        <f>IF($X78&gt;0,IF($P78&lt;&gt;1,"2026-06-14",IFERROR(INDEX('JLR Machines'!$D:$D,MATCH($O78,'JLR Machines'!$A:$A,0)),"2026-06-14")),"2026-06-14")</f>
        <v>2026-06-14</v>
      </c>
      <c r="M78" t="str">
        <f>IF($X78&gt;0,IF($Y78&gt;0,"JLR machine "&amp;$O78&amp;" at "&amp;TEXT($X78,"0.00")&amp;" per hr — build-up as supplied","JLR machine "&amp;$O78&amp;" at "&amp;TEXT($X78,"0.00")&amp;" per hr — build-up not supplied"),"REPRESENTATIVE — UK casting impregnation cell class: vacuum vessel, resin recovery, wash and cure stations. Casting-specific; its value is the pressure-test reject it prevents rather than anything it adds to the part. Replace with plant data.")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t="str">
        <v>Medium</v>
      </c>
      <c r="O78" t="str">
        <f>IFERROR(INDEX(Mapping!$C:$C,MATCH($A78,Mapping!$A:$A,0)),"")</f>
        <v/>
      </c>
      <c r="P78">
        <f>IF($O78="",0,COUNTIFS('JLR Machines'!$A:$A,$O78,'JLR Machines'!$C:$C,IF(Settings!$B$2="","&lt;&gt;",Settings!$B$2),'JLR Machines'!$D:$D,IF(Settings!$B$3="","&lt;&gt;",Settings!$B$3)))</f>
        <v>0</v>
      </c>
      <c r="Q78">
        <f>IF($P78&lt;&gt;1,0,SUMIFS('JLR Machines'!$G:$G,'JLR Machines'!$A:$A,$O78,'JLR Machines'!$C:$C,IF(Settings!$B$2="","&lt;&gt;",Settings!$B$2),'JLR Machines'!$D:$D,IF(Settings!$B$3="","&lt;&gt;",Settings!$B$3)))</f>
        <v>0</v>
      </c>
      <c r="R78">
        <f>IF($P78&lt;&gt;1,0,SUMIFS('JLR Machines'!$H:$H,'JLR Machines'!$A:$A,$O78,'JLR Machines'!$C:$C,IF(Settings!$B$2="","&lt;&gt;",Settings!$B$2),'JLR Machines'!$D:$D,IF(Settings!$B$3="","&lt;&gt;",Settings!$B$3)))</f>
        <v>0</v>
      </c>
      <c r="S78">
        <f>IF($P78&lt;&gt;1,0,SUMIFS('JLR Machines'!$I:$I,'JLR Machines'!$A:$A,$O78,'JLR Machines'!$C:$C,IF(Settings!$B$2="","&lt;&gt;",Settings!$B$2),'JLR Machines'!$D:$D,IF(Settings!$B$3="","&lt;&gt;",Settings!$B$3)))</f>
        <v>0</v>
      </c>
      <c r="T78">
        <f>IF($P78&lt;&gt;1,0,SUMIFS('JLR Machines'!$J:$J,'JLR Machines'!$A:$A,$O78,'JLR Machines'!$C:$C,IF(Settings!$B$2="","&lt;&gt;",Settings!$B$2),'JLR Machines'!$D:$D,IF(Settings!$B$3="","&lt;&gt;",Settings!$B$3)))</f>
        <v>0</v>
      </c>
      <c r="U78">
        <f>IF($P78&lt;&gt;1,0,SUMIFS('JLR Machines'!$K:$K,'JLR Machines'!$A:$A,$O78,'JLR Machines'!$C:$C,IF(Settings!$B$2="","&lt;&gt;",Settings!$B$2),'JLR Machines'!$D:$D,IF(Settings!$B$3="","&lt;&gt;",Settings!$B$3)))</f>
        <v>0</v>
      </c>
      <c r="V78">
        <f>IF($P78&lt;&gt;1,0,SUMIFS('JLR Machines'!$L:$L,'JLR Machines'!$A:$A,$O78,'JLR Machines'!$C:$C,IF(Settings!$B$2="","&lt;&gt;",Settings!$B$2),'JLR Machines'!$D:$D,IF(Settings!$B$3="","&lt;&gt;",Settings!$B$3)))</f>
        <v>0</v>
      </c>
      <c r="W78">
        <f>IF($P78&lt;&gt;1,0,SUMIFS('JLR Machines'!$M:$M,'JLR Machines'!$A:$A,$O78,'JLR Machines'!$C:$C,IF(Settings!$B$2="","&lt;&gt;",Settings!$B$2),'JLR Machines'!$D:$D,IF(Settings!$B$3="","&lt;&gt;",Settings!$B$3)))</f>
        <v>0</v>
      </c>
      <c r="X78">
        <f>IF($P78&lt;&gt;1,0,SUMIFS('JLR Machines'!$N:$N,'JLR Machines'!$A:$A,$O78,'JLR Machines'!$C:$C,IF(Settings!$B$2="","&lt;&gt;",Settings!$B$2),'JLR Machines'!$D:$D,IF(Settings!$B$3="","&lt;&gt;",Settings!$B$3)))</f>
        <v>0</v>
      </c>
      <c r="Y78">
        <f>$Q78+$R78+$S78+$T78+$U78+$V78+$W78</f>
        <v>0</v>
      </c>
      <c r="Z78">
        <f>IF($X78&lt;=0,0,ROUND((D78+E78+F78+G78+H78+I78)/3120-$X78,4))</f>
        <v>0</v>
      </c>
    </row>
    <row r="79">
      <c r="A79" t="str">
        <v>robot-weld-station</v>
      </c>
      <c r="B79" t="str">
        <v>Robot Welding Station</v>
      </c>
      <c r="C79" t="str">
        <v>UK</v>
      </c>
      <c r="D79">
        <f>IF($X79&gt;0,IF($Y79&gt;0,MAX(0,$Q79+$X79-$Y79)*3280,$X79*3280),35000)</f>
        <v>35000</v>
      </c>
      <c r="E79">
        <f>IF($X79&gt;0,IF($Y79&gt;0,$S79*3280,0),14000)</f>
        <v>14000</v>
      </c>
      <c r="F79">
        <f>IF($X79&gt;0,IF($Y79&gt;0,$V79*3280,0),6000)</f>
        <v>6000</v>
      </c>
      <c r="G79">
        <f>IF($X79&gt;0,IF($Y79&gt;0,$R79*3280,0),8000)</f>
        <v>8000</v>
      </c>
      <c r="H79">
        <f>IF($X79&gt;0,IF($Y79&gt;0,($T79+$W79)*3280,0),7000)</f>
        <v>7000</v>
      </c>
      <c r="I79">
        <f>IF($X79&gt;0,IF($Y79&gt;0,$U79*3280,0),4375)</f>
        <v>4375</v>
      </c>
      <c r="J79">
        <v>4000</v>
      </c>
      <c r="K79">
        <v>0.82</v>
      </c>
      <c r="L79" t="str">
        <f>IF($X79&gt;0,IF($P79&lt;&gt;1,"2026-06-14",IFERROR(INDEX('JLR Machines'!$D:$D,MATCH($O79,'JLR Machines'!$A:$A,0)),"2026-06-14")),"2026-06-14")</f>
        <v>2026-06-14</v>
      </c>
      <c r="M79" t="str">
        <f>IF($X79&gt;0,IF($Y79&gt;0,"JLR machine "&amp;$O79&amp;" at "&amp;TEXT($X79,"0.00")&amp;" per hr — build-up as supplied","JLR machine "&amp;$O79&amp;" at "&amp;TEXT($X79,"0.00")&amp;" per hr — build-up not supplied"),"UK body shop benchmark, Jun 2026")</f>
        <v>UK body shop benchmark, Jun 2026</v>
      </c>
      <c r="N79" t="str">
        <v>Medium</v>
      </c>
      <c r="O79" t="str">
        <f>IFERROR(INDEX(Mapping!$C:$C,MATCH($A79,Mapping!$A:$A,0)),"")</f>
        <v/>
      </c>
      <c r="P79">
        <f>IF($O79="",0,COUNTIFS('JLR Machines'!$A:$A,$O79,'JLR Machines'!$C:$C,IF(Settings!$B$2="","&lt;&gt;",Settings!$B$2),'JLR Machines'!$D:$D,IF(Settings!$B$3="","&lt;&gt;",Settings!$B$3)))</f>
        <v>0</v>
      </c>
      <c r="Q79">
        <f>IF($P79&lt;&gt;1,0,SUMIFS('JLR Machines'!$G:$G,'JLR Machines'!$A:$A,$O79,'JLR Machines'!$C:$C,IF(Settings!$B$2="","&lt;&gt;",Settings!$B$2),'JLR Machines'!$D:$D,IF(Settings!$B$3="","&lt;&gt;",Settings!$B$3)))</f>
        <v>0</v>
      </c>
      <c r="R79">
        <f>IF($P79&lt;&gt;1,0,SUMIFS('JLR Machines'!$H:$H,'JLR Machines'!$A:$A,$O79,'JLR Machines'!$C:$C,IF(Settings!$B$2="","&lt;&gt;",Settings!$B$2),'JLR Machines'!$D:$D,IF(Settings!$B$3="","&lt;&gt;",Settings!$B$3)))</f>
        <v>0</v>
      </c>
      <c r="S79">
        <f>IF($P79&lt;&gt;1,0,SUMIFS('JLR Machines'!$I:$I,'JLR Machines'!$A:$A,$O79,'JLR Machines'!$C:$C,IF(Settings!$B$2="","&lt;&gt;",Settings!$B$2),'JLR Machines'!$D:$D,IF(Settings!$B$3="","&lt;&gt;",Settings!$B$3)))</f>
        <v>0</v>
      </c>
      <c r="T79">
        <f>IF($P79&lt;&gt;1,0,SUMIFS('JLR Machines'!$J:$J,'JLR Machines'!$A:$A,$O79,'JLR Machines'!$C:$C,IF(Settings!$B$2="","&lt;&gt;",Settings!$B$2),'JLR Machines'!$D:$D,IF(Settings!$B$3="","&lt;&gt;",Settings!$B$3)))</f>
        <v>0</v>
      </c>
      <c r="U79">
        <f>IF($P79&lt;&gt;1,0,SUMIFS('JLR Machines'!$K:$K,'JLR Machines'!$A:$A,$O79,'JLR Machines'!$C:$C,IF(Settings!$B$2="","&lt;&gt;",Settings!$B$2),'JLR Machines'!$D:$D,IF(Settings!$B$3="","&lt;&gt;",Settings!$B$3)))</f>
        <v>0</v>
      </c>
      <c r="V79">
        <f>IF($P79&lt;&gt;1,0,SUMIFS('JLR Machines'!$L:$L,'JLR Machines'!$A:$A,$O79,'JLR Machines'!$C:$C,IF(Settings!$B$2="","&lt;&gt;",Settings!$B$2),'JLR Machines'!$D:$D,IF(Settings!$B$3="","&lt;&gt;",Settings!$B$3)))</f>
        <v>0</v>
      </c>
      <c r="W79">
        <f>IF($P79&lt;&gt;1,0,SUMIFS('JLR Machines'!$M:$M,'JLR Machines'!$A:$A,$O79,'JLR Machines'!$C:$C,IF(Settings!$B$2="","&lt;&gt;",Settings!$B$2),'JLR Machines'!$D:$D,IF(Settings!$B$3="","&lt;&gt;",Settings!$B$3)))</f>
        <v>0</v>
      </c>
      <c r="X79">
        <f>IF($P79&lt;&gt;1,0,SUMIFS('JLR Machines'!$N:$N,'JLR Machines'!$A:$A,$O79,'JLR Machines'!$C:$C,IF(Settings!$B$2="","&lt;&gt;",Settings!$B$2),'JLR Machines'!$D:$D,IF(Settings!$B$3="","&lt;&gt;",Settings!$B$3)))</f>
        <v>0</v>
      </c>
      <c r="Y79">
        <f>$Q79+$R79+$S79+$T79+$U79+$V79+$W79</f>
        <v>0</v>
      </c>
      <c r="Z79">
        <f>IF($X79&lt;=0,0,ROUND((D79+E79+F79+G79+H79+I79)/3280-$X79,4))</f>
        <v>0</v>
      </c>
    </row>
    <row r="80">
      <c r="A80" t="str">
        <v>smt-line</v>
      </c>
      <c r="B80" t="str">
        <v>SMT Pick &amp; Place + Reflow Line</v>
      </c>
      <c r="C80" t="str">
        <v>UK</v>
      </c>
      <c r="D80">
        <f>IF($X80&gt;0,IF($Y80&gt;0,MAX(0,$Q80+$X80-$Y80)*3280,$X80*3280),80000)</f>
        <v>80000</v>
      </c>
      <c r="E80">
        <f>IF($X80&gt;0,IF($Y80&gt;0,$S80*3280,0),30000)</f>
        <v>30000</v>
      </c>
      <c r="F80">
        <f>IF($X80&gt;0,IF($Y80&gt;0,$V80*3280,0),15000)</f>
        <v>15000</v>
      </c>
      <c r="G80">
        <f>IF($X80&gt;0,IF($Y80&gt;0,$R80*3280,0),20000)</f>
        <v>20000</v>
      </c>
      <c r="H80">
        <f>IF($X80&gt;0,IF($Y80&gt;0,($T80+$W80)*3280,0),20000)</f>
        <v>20000</v>
      </c>
      <c r="I80">
        <f>IF($X80&gt;0,IF($Y80&gt;0,$U80*3280,0),10000)</f>
        <v>10000</v>
      </c>
      <c r="J80">
        <v>4000</v>
      </c>
      <c r="K80">
        <v>0.82</v>
      </c>
      <c r="L80" t="str">
        <f>IF($X80&gt;0,IF($P80&lt;&gt;1,"2026-06-14",IFERROR(INDEX('JLR Machines'!$D:$D,MATCH($O80,'JLR Machines'!$A:$A,0)),"2026-06-14")),"2026-06-14")</f>
        <v>2026-06-14</v>
      </c>
      <c r="M80" t="str">
        <f>IF($X80&gt;0,IF($Y80&gt;0,"JLR machine "&amp;$O80&amp;" at "&amp;TEXT($X80,"0.00")&amp;" per hr — build-up as supplied","JLR machine "&amp;$O80&amp;" at "&amp;TEXT($X80,"0.00")&amp;" per hr — build-up not supplied"),"UK EMS benchmark, Jun 2026")</f>
        <v>UK EMS benchmark, Jun 2026</v>
      </c>
      <c r="N80" t="str">
        <v>Medium</v>
      </c>
      <c r="O80" t="str">
        <f>IFERROR(INDEX(Mapping!$C:$C,MATCH($A80,Mapping!$A:$A,0)),"")</f>
        <v/>
      </c>
      <c r="P80">
        <f>IF($O80="",0,COUNTIFS('JLR Machines'!$A:$A,$O80,'JLR Machines'!$C:$C,IF(Settings!$B$2="","&lt;&gt;",Settings!$B$2),'JLR Machines'!$D:$D,IF(Settings!$B$3="","&lt;&gt;",Settings!$B$3)))</f>
        <v>0</v>
      </c>
      <c r="Q80">
        <f>IF($P80&lt;&gt;1,0,SUMIFS('JLR Machines'!$G:$G,'JLR Machines'!$A:$A,$O80,'JLR Machines'!$C:$C,IF(Settings!$B$2="","&lt;&gt;",Settings!$B$2),'JLR Machines'!$D:$D,IF(Settings!$B$3="","&lt;&gt;",Settings!$B$3)))</f>
        <v>0</v>
      </c>
      <c r="R80">
        <f>IF($P80&lt;&gt;1,0,SUMIFS('JLR Machines'!$H:$H,'JLR Machines'!$A:$A,$O80,'JLR Machines'!$C:$C,IF(Settings!$B$2="","&lt;&gt;",Settings!$B$2),'JLR Machines'!$D:$D,IF(Settings!$B$3="","&lt;&gt;",Settings!$B$3)))</f>
        <v>0</v>
      </c>
      <c r="S80">
        <f>IF($P80&lt;&gt;1,0,SUMIFS('JLR Machines'!$I:$I,'JLR Machines'!$A:$A,$O80,'JLR Machines'!$C:$C,IF(Settings!$B$2="","&lt;&gt;",Settings!$B$2),'JLR Machines'!$D:$D,IF(Settings!$B$3="","&lt;&gt;",Settings!$B$3)))</f>
        <v>0</v>
      </c>
      <c r="T80">
        <f>IF($P80&lt;&gt;1,0,SUMIFS('JLR Machines'!$J:$J,'JLR Machines'!$A:$A,$O80,'JLR Machines'!$C:$C,IF(Settings!$B$2="","&lt;&gt;",Settings!$B$2),'JLR Machines'!$D:$D,IF(Settings!$B$3="","&lt;&gt;",Settings!$B$3)))</f>
        <v>0</v>
      </c>
      <c r="U80">
        <f>IF($P80&lt;&gt;1,0,SUMIFS('JLR Machines'!$K:$K,'JLR Machines'!$A:$A,$O80,'JLR Machines'!$C:$C,IF(Settings!$B$2="","&lt;&gt;",Settings!$B$2),'JLR Machines'!$D:$D,IF(Settings!$B$3="","&lt;&gt;",Settings!$B$3)))</f>
        <v>0</v>
      </c>
      <c r="V80">
        <f>IF($P80&lt;&gt;1,0,SUMIFS('JLR Machines'!$L:$L,'JLR Machines'!$A:$A,$O80,'JLR Machines'!$C:$C,IF(Settings!$B$2="","&lt;&gt;",Settings!$B$2),'JLR Machines'!$D:$D,IF(Settings!$B$3="","&lt;&gt;",Settings!$B$3)))</f>
        <v>0</v>
      </c>
      <c r="W80">
        <f>IF($P80&lt;&gt;1,0,SUMIFS('JLR Machines'!$M:$M,'JLR Machines'!$A:$A,$O80,'JLR Machines'!$C:$C,IF(Settings!$B$2="","&lt;&gt;",Settings!$B$2),'JLR Machines'!$D:$D,IF(Settings!$B$3="","&lt;&gt;",Settings!$B$3)))</f>
        <v>0</v>
      </c>
      <c r="X80">
        <f>IF($P80&lt;&gt;1,0,SUMIFS('JLR Machines'!$N:$N,'JLR Machines'!$A:$A,$O80,'JLR Machines'!$C:$C,IF(Settings!$B$2="","&lt;&gt;",Settings!$B$2),'JLR Machines'!$D:$D,IF(Settings!$B$3="","&lt;&gt;",Settings!$B$3)))</f>
        <v>0</v>
      </c>
      <c r="Y80">
        <f>$Q80+$R80+$S80+$T80+$U80+$V80+$W80</f>
        <v>0</v>
      </c>
      <c r="Z80">
        <f>IF($X80&lt;=0,0,ROUND((D80+E80+F80+G80+H80+I80)/3280-$X80,4))</f>
        <v>0</v>
      </c>
    </row>
    <row r="81">
      <c r="A81" t="str">
        <v>smt-high-speed-line</v>
      </c>
      <c r="B81" t="str">
        <v>High-Speed SMT Line (Fuji/Juki/ASM)</v>
      </c>
      <c r="C81" t="str">
        <v>UK</v>
      </c>
      <c r="D81">
        <f>IF($X81&gt;0,IF($Y81&gt;0,MAX(0,$Q81+$X81-$Y81)*3280,$X81*3280),180000)</f>
        <v>180000</v>
      </c>
      <c r="E81">
        <f>IF($X81&gt;0,IF($Y81&gt;0,$S81*3280,0),80000)</f>
        <v>80000</v>
      </c>
      <c r="F81">
        <f>IF($X81&gt;0,IF($Y81&gt;0,$V81*3280,0),55000)</f>
        <v>55000</v>
      </c>
      <c r="G81">
        <f>IF($X81&gt;0,IF($Y81&gt;0,$R81*3280,0),30000)</f>
        <v>30000</v>
      </c>
      <c r="H81">
        <f>IF($X81&gt;0,IF($Y81&gt;0,($T81+$W81)*3280,0),100000)</f>
        <v>100000</v>
      </c>
      <c r="I81">
        <f>IF($X81&gt;0,IF($Y81&gt;0,$U81*3280,0),47000)</f>
        <v>47000</v>
      </c>
      <c r="J81">
        <v>4000</v>
      </c>
      <c r="K81">
        <v>0.82</v>
      </c>
      <c r="L81" t="str">
        <f>IF($X81&gt;0,IF($P81&lt;&gt;1,"2026-06-14",IFERROR(INDEX('JLR Machines'!$D:$D,MATCH($O81,'JLR Machines'!$A:$A,0)),"2026-06-14")),"2026-06-14")</f>
        <v>2026-06-14</v>
      </c>
      <c r="M81" t="str">
        <f>IF($X81&gt;0,IF($Y81&gt;0,"JLR machine "&amp;$O81&amp;" at "&amp;TEXT($X81,"0.00")&amp;" per hr — build-up as supplied","JLR machine "&amp;$O81&amp;" at "&amp;TEXT($X81,"0.00")&amp;" per hr — build-up not supplied"),"High-speed SMT line 80000+ CPH. Automotive EMS benchmark. Target £150/hr. Jun 2026")</f>
        <v>High-speed SMT line 80000+ CPH. Automotive EMS benchmark. Target £150/hr. Jun 2026</v>
      </c>
      <c r="N81" t="str">
        <v>Medium</v>
      </c>
      <c r="O81" t="str">
        <f>IFERROR(INDEX(Mapping!$C:$C,MATCH($A81,Mapping!$A:$A,0)),"")</f>
        <v/>
      </c>
      <c r="P81">
        <f>IF($O81="",0,COUNTIFS('JLR Machines'!$A:$A,$O81,'JLR Machines'!$C:$C,IF(Settings!$B$2="","&lt;&gt;",Settings!$B$2),'JLR Machines'!$D:$D,IF(Settings!$B$3="","&lt;&gt;",Settings!$B$3)))</f>
        <v>0</v>
      </c>
      <c r="Q81">
        <f>IF($P81&lt;&gt;1,0,SUMIFS('JLR Machines'!$G:$G,'JLR Machines'!$A:$A,$O81,'JLR Machines'!$C:$C,IF(Settings!$B$2="","&lt;&gt;",Settings!$B$2),'JLR Machines'!$D:$D,IF(Settings!$B$3="","&lt;&gt;",Settings!$B$3)))</f>
        <v>0</v>
      </c>
      <c r="R81">
        <f>IF($P81&lt;&gt;1,0,SUMIFS('JLR Machines'!$H:$H,'JLR Machines'!$A:$A,$O81,'JLR Machines'!$C:$C,IF(Settings!$B$2="","&lt;&gt;",Settings!$B$2),'JLR Machines'!$D:$D,IF(Settings!$B$3="","&lt;&gt;",Settings!$B$3)))</f>
        <v>0</v>
      </c>
      <c r="S81">
        <f>IF($P81&lt;&gt;1,0,SUMIFS('JLR Machines'!$I:$I,'JLR Machines'!$A:$A,$O81,'JLR Machines'!$C:$C,IF(Settings!$B$2="","&lt;&gt;",Settings!$B$2),'JLR Machines'!$D:$D,IF(Settings!$B$3="","&lt;&gt;",Settings!$B$3)))</f>
        <v>0</v>
      </c>
      <c r="T81">
        <f>IF($P81&lt;&gt;1,0,SUMIFS('JLR Machines'!$J:$J,'JLR Machines'!$A:$A,$O81,'JLR Machines'!$C:$C,IF(Settings!$B$2="","&lt;&gt;",Settings!$B$2),'JLR Machines'!$D:$D,IF(Settings!$B$3="","&lt;&gt;",Settings!$B$3)))</f>
        <v>0</v>
      </c>
      <c r="U81">
        <f>IF($P81&lt;&gt;1,0,SUMIFS('JLR Machines'!$K:$K,'JLR Machines'!$A:$A,$O81,'JLR Machines'!$C:$C,IF(Settings!$B$2="","&lt;&gt;",Settings!$B$2),'JLR Machines'!$D:$D,IF(Settings!$B$3="","&lt;&gt;",Settings!$B$3)))</f>
        <v>0</v>
      </c>
      <c r="V81">
        <f>IF($P81&lt;&gt;1,0,SUMIFS('JLR Machines'!$L:$L,'JLR Machines'!$A:$A,$O81,'JLR Machines'!$C:$C,IF(Settings!$B$2="","&lt;&gt;",Settings!$B$2),'JLR Machines'!$D:$D,IF(Settings!$B$3="","&lt;&gt;",Settings!$B$3)))</f>
        <v>0</v>
      </c>
      <c r="W81">
        <f>IF($P81&lt;&gt;1,0,SUMIFS('JLR Machines'!$M:$M,'JLR Machines'!$A:$A,$O81,'JLR Machines'!$C:$C,IF(Settings!$B$2="","&lt;&gt;",Settings!$B$2),'JLR Machines'!$D:$D,IF(Settings!$B$3="","&lt;&gt;",Settings!$B$3)))</f>
        <v>0</v>
      </c>
      <c r="X81">
        <f>IF($P81&lt;&gt;1,0,SUMIFS('JLR Machines'!$N:$N,'JLR Machines'!$A:$A,$O81,'JLR Machines'!$C:$C,IF(Settings!$B$2="","&lt;&gt;",Settings!$B$2),'JLR Machines'!$D:$D,IF(Settings!$B$3="","&lt;&gt;",Settings!$B$3)))</f>
        <v>0</v>
      </c>
      <c r="Y81">
        <f>$Q81+$R81+$S81+$T81+$U81+$V81+$W81</f>
        <v>0</v>
      </c>
      <c r="Z81">
        <f>IF($X81&lt;=0,0,ROUND((D81+E81+F81+G81+H81+I81)/3280-$X81,4))</f>
        <v>0</v>
      </c>
    </row>
    <row r="82">
      <c r="A82" t="str">
        <v>laser-drill-75um</v>
      </c>
      <c r="B82" t="str">
        <v>Laser Drill — 75 µm Microvia (CO₂/UV)</v>
      </c>
      <c r="C82" t="str">
        <v>UK</v>
      </c>
      <c r="D82">
        <f>IF($X82&gt;0,IF($Y82&gt;0,MAX(0,$Q82+$X82-$Y82)*3280,$X82*3280),150000)</f>
        <v>150000</v>
      </c>
      <c r="E82">
        <f>IF($X82&gt;0,IF($Y82&gt;0,$S82*3280,0),60000)</f>
        <v>60000</v>
      </c>
      <c r="F82">
        <f>IF($X82&gt;0,IF($Y82&gt;0,$V82*3280,0),40000)</f>
        <v>40000</v>
      </c>
      <c r="G82">
        <f>IF($X82&gt;0,IF($Y82&gt;0,$R82*3280,0),25000)</f>
        <v>25000</v>
      </c>
      <c r="H82">
        <f>IF($X82&gt;0,IF($Y82&gt;0,($T82+$W82)*3280,0),80000)</f>
        <v>80000</v>
      </c>
      <c r="I82">
        <f>IF($X82&gt;0,IF($Y82&gt;0,$U82*3280,0),38600)</f>
        <v>38600</v>
      </c>
      <c r="J82">
        <v>4000</v>
      </c>
      <c r="K82">
        <v>0.82</v>
      </c>
      <c r="L82" t="str">
        <f>IF($X82&gt;0,IF($P82&lt;&gt;1,"2026-06-14",IFERROR(INDEX('JLR Machines'!$D:$D,MATCH($O82,'JLR Machines'!$A:$A,0)),"2026-06-14")),"2026-06-14")</f>
        <v>2026-06-14</v>
      </c>
      <c r="M82" t="str">
        <f>IF($X82&gt;0,IF($Y82&gt;0,"JLR machine "&amp;$O82&amp;" at "&amp;TEXT($X82,"0.00")&amp;" per hr — build-up as supplied","JLR machine "&amp;$O82&amp;" at "&amp;TEXT($X82,"0.00")&amp;" per hr — build-up not supplied"),"CO₂/UV laser drill for HDI microvias (≥75 µm). UK PCB fab benchmark. Target £120/hr. Jun 2026")</f>
        <v>CO₂/UV laser drill for HDI microvias (≥75 µm). UK PCB fab benchmark. Target £120/hr. Jun 2026</v>
      </c>
      <c r="N82" t="str">
        <v>Medium</v>
      </c>
      <c r="O82" t="str">
        <f>IFERROR(INDEX(Mapping!$C:$C,MATCH($A82,Mapping!$A:$A,0)),"")</f>
        <v/>
      </c>
      <c r="P82">
        <f>IF($O82="",0,COUNTIFS('JLR Machines'!$A:$A,$O82,'JLR Machines'!$C:$C,IF(Settings!$B$2="","&lt;&gt;",Settings!$B$2),'JLR Machines'!$D:$D,IF(Settings!$B$3="","&lt;&gt;",Settings!$B$3)))</f>
        <v>0</v>
      </c>
      <c r="Q82">
        <f>IF($P82&lt;&gt;1,0,SUMIFS('JLR Machines'!$G:$G,'JLR Machines'!$A:$A,$O82,'JLR Machines'!$C:$C,IF(Settings!$B$2="","&lt;&gt;",Settings!$B$2),'JLR Machines'!$D:$D,IF(Settings!$B$3="","&lt;&gt;",Settings!$B$3)))</f>
        <v>0</v>
      </c>
      <c r="R82">
        <f>IF($P82&lt;&gt;1,0,SUMIFS('JLR Machines'!$H:$H,'JLR Machines'!$A:$A,$O82,'JLR Machines'!$C:$C,IF(Settings!$B$2="","&lt;&gt;",Settings!$B$2),'JLR Machines'!$D:$D,IF(Settings!$B$3="","&lt;&gt;",Settings!$B$3)))</f>
        <v>0</v>
      </c>
      <c r="S82">
        <f>IF($P82&lt;&gt;1,0,SUMIFS('JLR Machines'!$I:$I,'JLR Machines'!$A:$A,$O82,'JLR Machines'!$C:$C,IF(Settings!$B$2="","&lt;&gt;",Settings!$B$2),'JLR Machines'!$D:$D,IF(Settings!$B$3="","&lt;&gt;",Settings!$B$3)))</f>
        <v>0</v>
      </c>
      <c r="T82">
        <f>IF($P82&lt;&gt;1,0,SUMIFS('JLR Machines'!$J:$J,'JLR Machines'!$A:$A,$O82,'JLR Machines'!$C:$C,IF(Settings!$B$2="","&lt;&gt;",Settings!$B$2),'JLR Machines'!$D:$D,IF(Settings!$B$3="","&lt;&gt;",Settings!$B$3)))</f>
        <v>0</v>
      </c>
      <c r="U82">
        <f>IF($P82&lt;&gt;1,0,SUMIFS('JLR Machines'!$K:$K,'JLR Machines'!$A:$A,$O82,'JLR Machines'!$C:$C,IF(Settings!$B$2="","&lt;&gt;",Settings!$B$2),'JLR Machines'!$D:$D,IF(Settings!$B$3="","&lt;&gt;",Settings!$B$3)))</f>
        <v>0</v>
      </c>
      <c r="V82">
        <f>IF($P82&lt;&gt;1,0,SUMIFS('JLR Machines'!$L:$L,'JLR Machines'!$A:$A,$O82,'JLR Machines'!$C:$C,IF(Settings!$B$2="","&lt;&gt;",Settings!$B$2),'JLR Machines'!$D:$D,IF(Settings!$B$3="","&lt;&gt;",Settings!$B$3)))</f>
        <v>0</v>
      </c>
      <c r="W82">
        <f>IF($P82&lt;&gt;1,0,SUMIFS('JLR Machines'!$M:$M,'JLR Machines'!$A:$A,$O82,'JLR Machines'!$C:$C,IF(Settings!$B$2="","&lt;&gt;",Settings!$B$2),'JLR Machines'!$D:$D,IF(Settings!$B$3="","&lt;&gt;",Settings!$B$3)))</f>
        <v>0</v>
      </c>
      <c r="X82">
        <f>IF($P82&lt;&gt;1,0,SUMIFS('JLR Machines'!$N:$N,'JLR Machines'!$A:$A,$O82,'JLR Machines'!$C:$C,IF(Settings!$B$2="","&lt;&gt;",Settings!$B$2),'JLR Machines'!$D:$D,IF(Settings!$B$3="","&lt;&gt;",Settings!$B$3)))</f>
        <v>0</v>
      </c>
      <c r="Y82">
        <f>$Q82+$R82+$S82+$T82+$U82+$V82+$W82</f>
        <v>0</v>
      </c>
      <c r="Z82">
        <f>IF($X82&lt;=0,0,ROUND((D82+E82+F82+G82+H82+I82)/3280-$X82,4))</f>
        <v>0</v>
      </c>
    </row>
    <row r="83">
      <c r="A83" t="str">
        <v>xray-bga-inspection</v>
      </c>
      <c r="B83" t="str">
        <v>X-Ray BGA Inspection Cell (2D/3D AXI)</v>
      </c>
      <c r="C83" t="str">
        <v>UK</v>
      </c>
      <c r="D83">
        <f>IF($X83&gt;0,IF($Y83&gt;0,MAX(0,$Q83+$X83-$Y83)*3280,$X83*3280),120000)</f>
        <v>120000</v>
      </c>
      <c r="E83">
        <f>IF($X83&gt;0,IF($Y83&gt;0,$S83*3280,0),45000)</f>
        <v>45000</v>
      </c>
      <c r="F83">
        <f>IF($X83&gt;0,IF($Y83&gt;0,$V83*3280,0),25000)</f>
        <v>25000</v>
      </c>
      <c r="G83">
        <f>IF($X83&gt;0,IF($Y83&gt;0,$R83*3280,0),20000)</f>
        <v>20000</v>
      </c>
      <c r="H83">
        <f>IF($X83&gt;0,IF($Y83&gt;0,($T83+$W83)*3280,0),65000)</f>
        <v>65000</v>
      </c>
      <c r="I83">
        <f>IF($X83&gt;0,IF($Y83&gt;0,$U83*3280,0),20200)</f>
        <v>20200</v>
      </c>
      <c r="J83">
        <v>4000</v>
      </c>
      <c r="K83">
        <v>0.82</v>
      </c>
      <c r="L83" t="str">
        <f>IF($X83&gt;0,IF($P83&lt;&gt;1,"2026-06-14",IFERROR(INDEX('JLR Machines'!$D:$D,MATCH($O83,'JLR Machines'!$A:$A,0)),"2026-06-14")),"2026-06-14")</f>
        <v>2026-06-14</v>
      </c>
      <c r="M83" t="str">
        <f>IF($X83&gt;0,IF($Y83&gt;0,"JLR machine "&amp;$O83&amp;" at "&amp;TEXT($X83,"0.00")&amp;" per hr — build-up as supplied","JLR machine "&amp;$O83&amp;" at "&amp;TEXT($X83,"0.00")&amp;" per hr — build-up not supplied"),"2D/3D automated X-ray inspection for BGA solder joints. EMS automotive benchmark. Target £90/hr. Jun 2026")</f>
        <v>2D/3D automated X-ray inspection for BGA solder joints. EMS automotive benchmark. Target £90/hr. Jun 2026</v>
      </c>
      <c r="N83" t="str">
        <v>Medium</v>
      </c>
      <c r="O83" t="str">
        <f>IFERROR(INDEX(Mapping!$C:$C,MATCH($A83,Mapping!$A:$A,0)),"")</f>
        <v/>
      </c>
      <c r="P83">
        <f>IF($O83="",0,COUNTIFS('JLR Machines'!$A:$A,$O83,'JLR Machines'!$C:$C,IF(Settings!$B$2="","&lt;&gt;",Settings!$B$2),'JLR Machines'!$D:$D,IF(Settings!$B$3="","&lt;&gt;",Settings!$B$3)))</f>
        <v>0</v>
      </c>
      <c r="Q83">
        <f>IF($P83&lt;&gt;1,0,SUMIFS('JLR Machines'!$G:$G,'JLR Machines'!$A:$A,$O83,'JLR Machines'!$C:$C,IF(Settings!$B$2="","&lt;&gt;",Settings!$B$2),'JLR Machines'!$D:$D,IF(Settings!$B$3="","&lt;&gt;",Settings!$B$3)))</f>
        <v>0</v>
      </c>
      <c r="R83">
        <f>IF($P83&lt;&gt;1,0,SUMIFS('JLR Machines'!$H:$H,'JLR Machines'!$A:$A,$O83,'JLR Machines'!$C:$C,IF(Settings!$B$2="","&lt;&gt;",Settings!$B$2),'JLR Machines'!$D:$D,IF(Settings!$B$3="","&lt;&gt;",Settings!$B$3)))</f>
        <v>0</v>
      </c>
      <c r="S83">
        <f>IF($P83&lt;&gt;1,0,SUMIFS('JLR Machines'!$I:$I,'JLR Machines'!$A:$A,$O83,'JLR Machines'!$C:$C,IF(Settings!$B$2="","&lt;&gt;",Settings!$B$2),'JLR Machines'!$D:$D,IF(Settings!$B$3="","&lt;&gt;",Settings!$B$3)))</f>
        <v>0</v>
      </c>
      <c r="T83">
        <f>IF($P83&lt;&gt;1,0,SUMIFS('JLR Machines'!$J:$J,'JLR Machines'!$A:$A,$O83,'JLR Machines'!$C:$C,IF(Settings!$B$2="","&lt;&gt;",Settings!$B$2),'JLR Machines'!$D:$D,IF(Settings!$B$3="","&lt;&gt;",Settings!$B$3)))</f>
        <v>0</v>
      </c>
      <c r="U83">
        <f>IF($P83&lt;&gt;1,0,SUMIFS('JLR Machines'!$K:$K,'JLR Machines'!$A:$A,$O83,'JLR Machines'!$C:$C,IF(Settings!$B$2="","&lt;&gt;",Settings!$B$2),'JLR Machines'!$D:$D,IF(Settings!$B$3="","&lt;&gt;",Settings!$B$3)))</f>
        <v>0</v>
      </c>
      <c r="V83">
        <f>IF($P83&lt;&gt;1,0,SUMIFS('JLR Machines'!$L:$L,'JLR Machines'!$A:$A,$O83,'JLR Machines'!$C:$C,IF(Settings!$B$2="","&lt;&gt;",Settings!$B$2),'JLR Machines'!$D:$D,IF(Settings!$B$3="","&lt;&gt;",Settings!$B$3)))</f>
        <v>0</v>
      </c>
      <c r="W83">
        <f>IF($P83&lt;&gt;1,0,SUMIFS('JLR Machines'!$M:$M,'JLR Machines'!$A:$A,$O83,'JLR Machines'!$C:$C,IF(Settings!$B$2="","&lt;&gt;",Settings!$B$2),'JLR Machines'!$D:$D,IF(Settings!$B$3="","&lt;&gt;",Settings!$B$3)))</f>
        <v>0</v>
      </c>
      <c r="X83">
        <f>IF($P83&lt;&gt;1,0,SUMIFS('JLR Machines'!$N:$N,'JLR Machines'!$A:$A,$O83,'JLR Machines'!$C:$C,IF(Settings!$B$2="","&lt;&gt;",Settings!$B$2),'JLR Machines'!$D:$D,IF(Settings!$B$3="","&lt;&gt;",Settings!$B$3)))</f>
        <v>0</v>
      </c>
      <c r="Y83">
        <f>$Q83+$R83+$S83+$T83+$U83+$V83+$W83</f>
        <v>0</v>
      </c>
      <c r="Z83">
        <f>IF($X83&lt;=0,0,ROUND((D83+E83+F83+G83+H83+I83)/3280-$X83,4))</f>
        <v>0</v>
      </c>
    </row>
    <row r="84">
      <c r="A84" t="str">
        <v>ict-automotive</v>
      </c>
      <c r="B84" t="str">
        <v>ICT Bed-of-Nails Test System (Automotive)</v>
      </c>
      <c r="C84" t="str">
        <v>UK</v>
      </c>
      <c r="D84">
        <f>IF($X84&gt;0,IF($Y84&gt;0,MAX(0,$Q84+$X84-$Y84)*3280,$X84*3280),130000)</f>
        <v>130000</v>
      </c>
      <c r="E84">
        <f>IF($X84&gt;0,IF($Y84&gt;0,$S84*3280,0),55000)</f>
        <v>55000</v>
      </c>
      <c r="F84">
        <f>IF($X84&gt;0,IF($Y84&gt;0,$V84*3280,0),30000)</f>
        <v>30000</v>
      </c>
      <c r="G84">
        <f>IF($X84&gt;0,IF($Y84&gt;0,$R84*3280,0),25000)</f>
        <v>25000</v>
      </c>
      <c r="H84">
        <f>IF($X84&gt;0,IF($Y84&gt;0,($T84+$W84)*3280,0),85000)</f>
        <v>85000</v>
      </c>
      <c r="I84">
        <f>IF($X84&gt;0,IF($Y84&gt;0,$U84*3280,0),36600)</f>
        <v>36600</v>
      </c>
      <c r="J84">
        <v>4000</v>
      </c>
      <c r="K84">
        <v>0.82</v>
      </c>
      <c r="L84" t="str">
        <f>IF($X84&gt;0,IF($P84&lt;&gt;1,"2026-06-14",IFERROR(INDEX('JLR Machines'!$D:$D,MATCH($O84,'JLR Machines'!$A:$A,0)),"2026-06-14")),"2026-06-14")</f>
        <v>2026-06-14</v>
      </c>
      <c r="M84" t="str">
        <f>IF($X84&gt;0,IF($Y84&gt;0,"JLR machine "&amp;$O84&amp;" at "&amp;TEXT($X84,"0.00")&amp;" per hr — build-up as supplied","JLR machine "&amp;$O84&amp;" at "&amp;TEXT($X84,"0.00")&amp;" per hr — build-up not supplied"),"In-circuit test fixture for IATF 16949 automotive boards. Target £110/hr. Jun 2026")</f>
        <v>In-circuit test fixture for IATF 16949 automotive boards. Target £110/hr. Jun 2026</v>
      </c>
      <c r="N84" t="str">
        <v>Medium</v>
      </c>
      <c r="O84" t="str">
        <f>IFERROR(INDEX(Mapping!$C:$C,MATCH($A84,Mapping!$A:$A,0)),"")</f>
        <v/>
      </c>
      <c r="P84">
        <f>IF($O84="",0,COUNTIFS('JLR Machines'!$A:$A,$O84,'JLR Machines'!$C:$C,IF(Settings!$B$2="","&lt;&gt;",Settings!$B$2),'JLR Machines'!$D:$D,IF(Settings!$B$3="","&lt;&gt;",Settings!$B$3)))</f>
        <v>0</v>
      </c>
      <c r="Q84">
        <f>IF($P84&lt;&gt;1,0,SUMIFS('JLR Machines'!$G:$G,'JLR Machines'!$A:$A,$O84,'JLR Machines'!$C:$C,IF(Settings!$B$2="","&lt;&gt;",Settings!$B$2),'JLR Machines'!$D:$D,IF(Settings!$B$3="","&lt;&gt;",Settings!$B$3)))</f>
        <v>0</v>
      </c>
      <c r="R84">
        <f>IF($P84&lt;&gt;1,0,SUMIFS('JLR Machines'!$H:$H,'JLR Machines'!$A:$A,$O84,'JLR Machines'!$C:$C,IF(Settings!$B$2="","&lt;&gt;",Settings!$B$2),'JLR Machines'!$D:$D,IF(Settings!$B$3="","&lt;&gt;",Settings!$B$3)))</f>
        <v>0</v>
      </c>
      <c r="S84">
        <f>IF($P84&lt;&gt;1,0,SUMIFS('JLR Machines'!$I:$I,'JLR Machines'!$A:$A,$O84,'JLR Machines'!$C:$C,IF(Settings!$B$2="","&lt;&gt;",Settings!$B$2),'JLR Machines'!$D:$D,IF(Settings!$B$3="","&lt;&gt;",Settings!$B$3)))</f>
        <v>0</v>
      </c>
      <c r="T84">
        <f>IF($P84&lt;&gt;1,0,SUMIFS('JLR Machines'!$J:$J,'JLR Machines'!$A:$A,$O84,'JLR Machines'!$C:$C,IF(Settings!$B$2="","&lt;&gt;",Settings!$B$2),'JLR Machines'!$D:$D,IF(Settings!$B$3="","&lt;&gt;",Settings!$B$3)))</f>
        <v>0</v>
      </c>
      <c r="U84">
        <f>IF($P84&lt;&gt;1,0,SUMIFS('JLR Machines'!$K:$K,'JLR Machines'!$A:$A,$O84,'JLR Machines'!$C:$C,IF(Settings!$B$2="","&lt;&gt;",Settings!$B$2),'JLR Machines'!$D:$D,IF(Settings!$B$3="","&lt;&gt;",Settings!$B$3)))</f>
        <v>0</v>
      </c>
      <c r="V84">
        <f>IF($P84&lt;&gt;1,0,SUMIFS('JLR Machines'!$L:$L,'JLR Machines'!$A:$A,$O84,'JLR Machines'!$C:$C,IF(Settings!$B$2="","&lt;&gt;",Settings!$B$2),'JLR Machines'!$D:$D,IF(Settings!$B$3="","&lt;&gt;",Settings!$B$3)))</f>
        <v>0</v>
      </c>
      <c r="W84">
        <f>IF($P84&lt;&gt;1,0,SUMIFS('JLR Machines'!$M:$M,'JLR Machines'!$A:$A,$O84,'JLR Machines'!$C:$C,IF(Settings!$B$2="","&lt;&gt;",Settings!$B$2),'JLR Machines'!$D:$D,IF(Settings!$B$3="","&lt;&gt;",Settings!$B$3)))</f>
        <v>0</v>
      </c>
      <c r="X84">
        <f>IF($P84&lt;&gt;1,0,SUMIFS('JLR Machines'!$N:$N,'JLR Machines'!$A:$A,$O84,'JLR Machines'!$C:$C,IF(Settings!$B$2="","&lt;&gt;",Settings!$B$2),'JLR Machines'!$D:$D,IF(Settings!$B$3="","&lt;&gt;",Settings!$B$3)))</f>
        <v>0</v>
      </c>
      <c r="Y84">
        <f>$Q84+$R84+$S84+$T84+$U84+$V84+$W84</f>
        <v>0</v>
      </c>
      <c r="Z84">
        <f>IF($X84&lt;=0,0,ROUND((D84+E84+F84+G84+H84+I84)/3280-$X84,4))</f>
        <v>0</v>
      </c>
    </row>
    <row r="85">
      <c r="A85" t="str">
        <v>blow-ebm-100l</v>
      </c>
      <c r="B85" t="str">
        <v>EBM Blow Moulder (up to 5L)</v>
      </c>
      <c r="C85" t="str">
        <v>UK</v>
      </c>
      <c r="D85">
        <f>IF($X85&gt;0,IF($Y85&gt;0,MAX(0,$Q85+$X85-$Y85)*3200,$X85*3200),25000)</f>
        <v>25000</v>
      </c>
      <c r="E85">
        <f>IF($X85&gt;0,IF($Y85&gt;0,$S85*3200,0),12000)</f>
        <v>12000</v>
      </c>
      <c r="F85">
        <f>IF($X85&gt;0,IF($Y85&gt;0,$V85*3200,0),18000)</f>
        <v>18000</v>
      </c>
      <c r="G85">
        <f>IF($X85&gt;0,IF($Y85&gt;0,$R85*3200,0),6000)</f>
        <v>6000</v>
      </c>
      <c r="H85">
        <f>IF($X85&gt;0,IF($Y85&gt;0,($T85+$W85)*3200,0),5000)</f>
        <v>5000</v>
      </c>
      <c r="I85">
        <f>IF($X85&gt;0,IF($Y85&gt;0,$U85*3200,0),3125)</f>
        <v>3125</v>
      </c>
      <c r="J85">
        <v>4000</v>
      </c>
      <c r="K85">
        <v>0.8</v>
      </c>
      <c r="L85" t="str">
        <f>IF($X85&gt;0,IF($P85&lt;&gt;1,"2026-06-14",IFERROR(INDEX('JLR Machines'!$D:$D,MATCH($O85,'JLR Machines'!$A:$A,0)),"2026-06-14")),"2026-06-14")</f>
        <v>2026-06-14</v>
      </c>
      <c r="M85" t="str">
        <f>IF($X85&gt;0,IF($Y85&gt;0,"JLR machine "&amp;$O85&amp;" at "&amp;TEXT($X85,"0.00")&amp;" per hr — build-up as supplied","JLR machine "&amp;$O85&amp;" at "&amp;TEXT($X85,"0.00")&amp;" per hr — build-up not supplied"),"UK plastics benchmark. EBM for bottles/containers up to 5L. Jun 2026")</f>
        <v>UK plastics benchmark. EBM for bottles/containers up to 5L. Jun 2026</v>
      </c>
      <c r="N85" t="str">
        <v>Medium</v>
      </c>
      <c r="O85" t="str">
        <f>IFERROR(INDEX(Mapping!$C:$C,MATCH($A85,Mapping!$A:$A,0)),"")</f>
        <v/>
      </c>
      <c r="P85">
        <f>IF($O85="",0,COUNTIFS('JLR Machines'!$A:$A,$O85,'JLR Machines'!$C:$C,IF(Settings!$B$2="","&lt;&gt;",Settings!$B$2),'JLR Machines'!$D:$D,IF(Settings!$B$3="","&lt;&gt;",Settings!$B$3)))</f>
        <v>0</v>
      </c>
      <c r="Q85">
        <f>IF($P85&lt;&gt;1,0,SUMIFS('JLR Machines'!$G:$G,'JLR Machines'!$A:$A,$O85,'JLR Machines'!$C:$C,IF(Settings!$B$2="","&lt;&gt;",Settings!$B$2),'JLR Machines'!$D:$D,IF(Settings!$B$3="","&lt;&gt;",Settings!$B$3)))</f>
        <v>0</v>
      </c>
      <c r="R85">
        <f>IF($P85&lt;&gt;1,0,SUMIFS('JLR Machines'!$H:$H,'JLR Machines'!$A:$A,$O85,'JLR Machines'!$C:$C,IF(Settings!$B$2="","&lt;&gt;",Settings!$B$2),'JLR Machines'!$D:$D,IF(Settings!$B$3="","&lt;&gt;",Settings!$B$3)))</f>
        <v>0</v>
      </c>
      <c r="S85">
        <f>IF($P85&lt;&gt;1,0,SUMIFS('JLR Machines'!$I:$I,'JLR Machines'!$A:$A,$O85,'JLR Machines'!$C:$C,IF(Settings!$B$2="","&lt;&gt;",Settings!$B$2),'JLR Machines'!$D:$D,IF(Settings!$B$3="","&lt;&gt;",Settings!$B$3)))</f>
        <v>0</v>
      </c>
      <c r="T85">
        <f>IF($P85&lt;&gt;1,0,SUMIFS('JLR Machines'!$J:$J,'JLR Machines'!$A:$A,$O85,'JLR Machines'!$C:$C,IF(Settings!$B$2="","&lt;&gt;",Settings!$B$2),'JLR Machines'!$D:$D,IF(Settings!$B$3="","&lt;&gt;",Settings!$B$3)))</f>
        <v>0</v>
      </c>
      <c r="U85">
        <f>IF($P85&lt;&gt;1,0,SUMIFS('JLR Machines'!$K:$K,'JLR Machines'!$A:$A,$O85,'JLR Machines'!$C:$C,IF(Settings!$B$2="","&lt;&gt;",Settings!$B$2),'JLR Machines'!$D:$D,IF(Settings!$B$3="","&lt;&gt;",Settings!$B$3)))</f>
        <v>0</v>
      </c>
      <c r="V85">
        <f>IF($P85&lt;&gt;1,0,SUMIFS('JLR Machines'!$L:$L,'JLR Machines'!$A:$A,$O85,'JLR Machines'!$C:$C,IF(Settings!$B$2="","&lt;&gt;",Settings!$B$2),'JLR Machines'!$D:$D,IF(Settings!$B$3="","&lt;&gt;",Settings!$B$3)))</f>
        <v>0</v>
      </c>
      <c r="W85">
        <f>IF($P85&lt;&gt;1,0,SUMIFS('JLR Machines'!$M:$M,'JLR Machines'!$A:$A,$O85,'JLR Machines'!$C:$C,IF(Settings!$B$2="","&lt;&gt;",Settings!$B$2),'JLR Machines'!$D:$D,IF(Settings!$B$3="","&lt;&gt;",Settings!$B$3)))</f>
        <v>0</v>
      </c>
      <c r="X85">
        <f>IF($P85&lt;&gt;1,0,SUMIFS('JLR Machines'!$N:$N,'JLR Machines'!$A:$A,$O85,'JLR Machines'!$C:$C,IF(Settings!$B$2="","&lt;&gt;",Settings!$B$2),'JLR Machines'!$D:$D,IF(Settings!$B$3="","&lt;&gt;",Settings!$B$3)))</f>
        <v>0</v>
      </c>
      <c r="Y85">
        <f>$Q85+$R85+$S85+$T85+$U85+$V85+$W85</f>
        <v>0</v>
      </c>
      <c r="Z85">
        <f>IF($X85&lt;=0,0,ROUND((D85+E85+F85+G85+H85+I85)/3200-$X85,4))</f>
        <v>0</v>
      </c>
    </row>
    <row r="86">
      <c r="A86" t="str">
        <v>blow-ebm-500l</v>
      </c>
      <c r="B86" t="str">
        <v>EBM Blow Moulder (5–100L tanks/drums)</v>
      </c>
      <c r="C86" t="str">
        <v>UK</v>
      </c>
      <c r="D86">
        <f>IF($X86&gt;0,IF($Y86&gt;0,MAX(0,$Q86+$X86-$Y86)*3200,$X86*3200),45000)</f>
        <v>45000</v>
      </c>
      <c r="E86">
        <f>IF($X86&gt;0,IF($Y86&gt;0,$S86*3200,0),20000)</f>
        <v>20000</v>
      </c>
      <c r="F86">
        <f>IF($X86&gt;0,IF($Y86&gt;0,$V86*3200,0),30000)</f>
        <v>30000</v>
      </c>
      <c r="G86">
        <f>IF($X86&gt;0,IF($Y86&gt;0,$R86*3200,0),12000)</f>
        <v>12000</v>
      </c>
      <c r="H86">
        <f>IF($X86&gt;0,IF($Y86&gt;0,($T86+$W86)*3200,0),9000)</f>
        <v>9000</v>
      </c>
      <c r="I86">
        <f>IF($X86&gt;0,IF($Y86&gt;0,$U86*3200,0),5625)</f>
        <v>5625</v>
      </c>
      <c r="J86">
        <v>4000</v>
      </c>
      <c r="K86">
        <v>0.8</v>
      </c>
      <c r="L86" t="str">
        <f>IF($X86&gt;0,IF($P86&lt;&gt;1,"2026-06-14",IFERROR(INDEX('JLR Machines'!$D:$D,MATCH($O86,'JLR Machines'!$A:$A,0)),"2026-06-14")),"2026-06-14")</f>
        <v>2026-06-14</v>
      </c>
      <c r="M86" t="str">
        <f>IF($X86&gt;0,IF($Y86&gt;0,"JLR machine "&amp;$O86&amp;" at "&amp;TEXT($X86,"0.00")&amp;" per hr — build-up as supplied","JLR machine "&amp;$O86&amp;" at "&amp;TEXT($X86,"0.00")&amp;" per hr — build-up not supplied"),"UK plastics benchmark. EBM for large industrial containers, automotive fuel tanks. Jun 2026")</f>
        <v>UK plastics benchmark. EBM for large industrial containers, automotive fuel tanks. Jun 2026</v>
      </c>
      <c r="N86" t="str">
        <v>Medium</v>
      </c>
      <c r="O86" t="str">
        <f>IFERROR(INDEX(Mapping!$C:$C,MATCH($A86,Mapping!$A:$A,0)),"")</f>
        <v/>
      </c>
      <c r="P86">
        <f>IF($O86="",0,COUNTIFS('JLR Machines'!$A:$A,$O86,'JLR Machines'!$C:$C,IF(Settings!$B$2="","&lt;&gt;",Settings!$B$2),'JLR Machines'!$D:$D,IF(Settings!$B$3="","&lt;&gt;",Settings!$B$3)))</f>
        <v>0</v>
      </c>
      <c r="Q86">
        <f>IF($P86&lt;&gt;1,0,SUMIFS('JLR Machines'!$G:$G,'JLR Machines'!$A:$A,$O86,'JLR Machines'!$C:$C,IF(Settings!$B$2="","&lt;&gt;",Settings!$B$2),'JLR Machines'!$D:$D,IF(Settings!$B$3="","&lt;&gt;",Settings!$B$3)))</f>
        <v>0</v>
      </c>
      <c r="R86">
        <f>IF($P86&lt;&gt;1,0,SUMIFS('JLR Machines'!$H:$H,'JLR Machines'!$A:$A,$O86,'JLR Machines'!$C:$C,IF(Settings!$B$2="","&lt;&gt;",Settings!$B$2),'JLR Machines'!$D:$D,IF(Settings!$B$3="","&lt;&gt;",Settings!$B$3)))</f>
        <v>0</v>
      </c>
      <c r="S86">
        <f>IF($P86&lt;&gt;1,0,SUMIFS('JLR Machines'!$I:$I,'JLR Machines'!$A:$A,$O86,'JLR Machines'!$C:$C,IF(Settings!$B$2="","&lt;&gt;",Settings!$B$2),'JLR Machines'!$D:$D,IF(Settings!$B$3="","&lt;&gt;",Settings!$B$3)))</f>
        <v>0</v>
      </c>
      <c r="T86">
        <f>IF($P86&lt;&gt;1,0,SUMIFS('JLR Machines'!$J:$J,'JLR Machines'!$A:$A,$O86,'JLR Machines'!$C:$C,IF(Settings!$B$2="","&lt;&gt;",Settings!$B$2),'JLR Machines'!$D:$D,IF(Settings!$B$3="","&lt;&gt;",Settings!$B$3)))</f>
        <v>0</v>
      </c>
      <c r="U86">
        <f>IF($P86&lt;&gt;1,0,SUMIFS('JLR Machines'!$K:$K,'JLR Machines'!$A:$A,$O86,'JLR Machines'!$C:$C,IF(Settings!$B$2="","&lt;&gt;",Settings!$B$2),'JLR Machines'!$D:$D,IF(Settings!$B$3="","&lt;&gt;",Settings!$B$3)))</f>
        <v>0</v>
      </c>
      <c r="V86">
        <f>IF($P86&lt;&gt;1,0,SUMIFS('JLR Machines'!$L:$L,'JLR Machines'!$A:$A,$O86,'JLR Machines'!$C:$C,IF(Settings!$B$2="","&lt;&gt;",Settings!$B$2),'JLR Machines'!$D:$D,IF(Settings!$B$3="","&lt;&gt;",Settings!$B$3)))</f>
        <v>0</v>
      </c>
      <c r="W86">
        <f>IF($P86&lt;&gt;1,0,SUMIFS('JLR Machines'!$M:$M,'JLR Machines'!$A:$A,$O86,'JLR Machines'!$C:$C,IF(Settings!$B$2="","&lt;&gt;",Settings!$B$2),'JLR Machines'!$D:$D,IF(Settings!$B$3="","&lt;&gt;",Settings!$B$3)))</f>
        <v>0</v>
      </c>
      <c r="X86">
        <f>IF($P86&lt;&gt;1,0,SUMIFS('JLR Machines'!$N:$N,'JLR Machines'!$A:$A,$O86,'JLR Machines'!$C:$C,IF(Settings!$B$2="","&lt;&gt;",Settings!$B$2),'JLR Machines'!$D:$D,IF(Settings!$B$3="","&lt;&gt;",Settings!$B$3)))</f>
        <v>0</v>
      </c>
      <c r="Y86">
        <f>$Q86+$R86+$S86+$T86+$U86+$V86+$W86</f>
        <v>0</v>
      </c>
      <c r="Z86">
        <f>IF($X86&lt;=0,0,ROUND((D86+E86+F86+G86+H86+I86)/3200-$X86,4))</f>
        <v>0</v>
      </c>
    </row>
    <row r="87">
      <c r="A87" t="str">
        <v>blow-ebm-2head</v>
      </c>
      <c r="B87" t="str">
        <v>EBM 2-Head (Bottles 1–5L)</v>
      </c>
      <c r="C87" t="str">
        <v>UK</v>
      </c>
      <c r="D87">
        <f>IF($X87&gt;0,IF($Y87&gt;0,MAX(0,$Q87+$X87-$Y87)*3280,$X87*3280),30000)</f>
        <v>30000</v>
      </c>
      <c r="E87">
        <f>IF($X87&gt;0,IF($Y87&gt;0,$S87*3280,0),14000)</f>
        <v>14000</v>
      </c>
      <c r="F87">
        <f>IF($X87&gt;0,IF($Y87&gt;0,$V87*3280,0),22000)</f>
        <v>22000</v>
      </c>
      <c r="G87">
        <f>IF($X87&gt;0,IF($Y87&gt;0,$R87*3280,0),7000)</f>
        <v>7000</v>
      </c>
      <c r="H87">
        <f>IF($X87&gt;0,IF($Y87&gt;0,($T87+$W87)*3280,0),6000)</f>
        <v>6000</v>
      </c>
      <c r="I87">
        <f>IF($X87&gt;0,IF($Y87&gt;0,$U87*3280,0),3750)</f>
        <v>3750</v>
      </c>
      <c r="J87">
        <v>4000</v>
      </c>
      <c r="K87">
        <v>0.82</v>
      </c>
      <c r="L87" t="str">
        <f>IF($X87&gt;0,IF($P87&lt;&gt;1,"2026-06-14",IFERROR(INDEX('JLR Machines'!$D:$D,MATCH($O87,'JLR Machines'!$A:$A,0)),"2026-06-14")),"2026-06-14")</f>
        <v>2026-06-14</v>
      </c>
      <c r="M87" t="str">
        <f>IF($X87&gt;0,IF($Y87&gt;0,"JLR machine "&amp;$O87&amp;" at "&amp;TEXT($X87,"0.00")&amp;" per hr — build-up as supplied","JLR machine "&amp;$O87&amp;" at "&amp;TEXT($X87,"0.00")&amp;" per hr — build-up not supplied"),"UK plastics benchmark Jun 2026. Continuous 2-head EBM for HDPE/LDPE/PP bottles and containers 1–5L. High output, straightforward tooling, typical dairy/detergent packaging.")</f>
        <v>UK plastics benchmark Jun 2026. Continuous 2-head EBM for HDPE/LDPE/PP bottles and containers 1–5L. High output, straightforward tooling, typical dairy/detergent packaging.</v>
      </c>
      <c r="N87" t="str">
        <v>Medium</v>
      </c>
      <c r="O87" t="str">
        <f>IFERROR(INDEX(Mapping!$C:$C,MATCH($A87,Mapping!$A:$A,0)),"")</f>
        <v/>
      </c>
      <c r="P87">
        <f>IF($O87="",0,COUNTIFS('JLR Machines'!$A:$A,$O87,'JLR Machines'!$C:$C,IF(Settings!$B$2="","&lt;&gt;",Settings!$B$2),'JLR Machines'!$D:$D,IF(Settings!$B$3="","&lt;&gt;",Settings!$B$3)))</f>
        <v>0</v>
      </c>
      <c r="Q87">
        <f>IF($P87&lt;&gt;1,0,SUMIFS('JLR Machines'!$G:$G,'JLR Machines'!$A:$A,$O87,'JLR Machines'!$C:$C,IF(Settings!$B$2="","&lt;&gt;",Settings!$B$2),'JLR Machines'!$D:$D,IF(Settings!$B$3="","&lt;&gt;",Settings!$B$3)))</f>
        <v>0</v>
      </c>
      <c r="R87">
        <f>IF($P87&lt;&gt;1,0,SUMIFS('JLR Machines'!$H:$H,'JLR Machines'!$A:$A,$O87,'JLR Machines'!$C:$C,IF(Settings!$B$2="","&lt;&gt;",Settings!$B$2),'JLR Machines'!$D:$D,IF(Settings!$B$3="","&lt;&gt;",Settings!$B$3)))</f>
        <v>0</v>
      </c>
      <c r="S87">
        <f>IF($P87&lt;&gt;1,0,SUMIFS('JLR Machines'!$I:$I,'JLR Machines'!$A:$A,$O87,'JLR Machines'!$C:$C,IF(Settings!$B$2="","&lt;&gt;",Settings!$B$2),'JLR Machines'!$D:$D,IF(Settings!$B$3="","&lt;&gt;",Settings!$B$3)))</f>
        <v>0</v>
      </c>
      <c r="T87">
        <f>IF($P87&lt;&gt;1,0,SUMIFS('JLR Machines'!$J:$J,'JLR Machines'!$A:$A,$O87,'JLR Machines'!$C:$C,IF(Settings!$B$2="","&lt;&gt;",Settings!$B$2),'JLR Machines'!$D:$D,IF(Settings!$B$3="","&lt;&gt;",Settings!$B$3)))</f>
        <v>0</v>
      </c>
      <c r="U87">
        <f>IF($P87&lt;&gt;1,0,SUMIFS('JLR Machines'!$K:$K,'JLR Machines'!$A:$A,$O87,'JLR Machines'!$C:$C,IF(Settings!$B$2="","&lt;&gt;",Settings!$B$2),'JLR Machines'!$D:$D,IF(Settings!$B$3="","&lt;&gt;",Settings!$B$3)))</f>
        <v>0</v>
      </c>
      <c r="V87">
        <f>IF($P87&lt;&gt;1,0,SUMIFS('JLR Machines'!$L:$L,'JLR Machines'!$A:$A,$O87,'JLR Machines'!$C:$C,IF(Settings!$B$2="","&lt;&gt;",Settings!$B$2),'JLR Machines'!$D:$D,IF(Settings!$B$3="","&lt;&gt;",Settings!$B$3)))</f>
        <v>0</v>
      </c>
      <c r="W87">
        <f>IF($P87&lt;&gt;1,0,SUMIFS('JLR Machines'!$M:$M,'JLR Machines'!$A:$A,$O87,'JLR Machines'!$C:$C,IF(Settings!$B$2="","&lt;&gt;",Settings!$B$2),'JLR Machines'!$D:$D,IF(Settings!$B$3="","&lt;&gt;",Settings!$B$3)))</f>
        <v>0</v>
      </c>
      <c r="X87">
        <f>IF($P87&lt;&gt;1,0,SUMIFS('JLR Machines'!$N:$N,'JLR Machines'!$A:$A,$O87,'JLR Machines'!$C:$C,IF(Settings!$B$2="","&lt;&gt;",Settings!$B$2),'JLR Machines'!$D:$D,IF(Settings!$B$3="","&lt;&gt;",Settings!$B$3)))</f>
        <v>0</v>
      </c>
      <c r="Y87">
        <f>$Q87+$R87+$S87+$T87+$U87+$V87+$W87</f>
        <v>0</v>
      </c>
      <c r="Z87">
        <f>IF($X87&lt;=0,0,ROUND((D87+E87+F87+G87+H87+I87)/3280-$X87,4))</f>
        <v>0</v>
      </c>
    </row>
    <row r="88">
      <c r="A88" t="str">
        <v>blow-ebm-coex3</v>
      </c>
      <c r="B88" t="str">
        <v>3-Layer Co-Ex EBM</v>
      </c>
      <c r="C88" t="str">
        <v>UK</v>
      </c>
      <c r="D88">
        <f>IF($X88&gt;0,IF($Y88&gt;0,MAX(0,$Q88+$X88-$Y88)*3120,$X88*3120),60000)</f>
        <v>60000</v>
      </c>
      <c r="E88">
        <f>IF($X88&gt;0,IF($Y88&gt;0,$S88*3120,0),25000)</f>
        <v>25000</v>
      </c>
      <c r="F88">
        <f>IF($X88&gt;0,IF($Y88&gt;0,$V88*3120,0),35000)</f>
        <v>35000</v>
      </c>
      <c r="G88">
        <f>IF($X88&gt;0,IF($Y88&gt;0,$R88*3120,0),12000)</f>
        <v>12000</v>
      </c>
      <c r="H88">
        <f>IF($X88&gt;0,IF($Y88&gt;0,($T88+$W88)*3120,0),12000)</f>
        <v>12000</v>
      </c>
      <c r="I88">
        <f>IF($X88&gt;0,IF($Y88&gt;0,$U88*3120,0),7500)</f>
        <v>7500</v>
      </c>
      <c r="J88">
        <v>4000</v>
      </c>
      <c r="K88">
        <v>0.78</v>
      </c>
      <c r="L88" t="str">
        <f>IF($X88&gt;0,IF($P88&lt;&gt;1,"2026-06-14",IFERROR(INDEX('JLR Machines'!$D:$D,MATCH($O88,'JLR Machines'!$A:$A,0)),"2026-06-14")),"2026-06-14")</f>
        <v>2026-06-14</v>
      </c>
      <c r="M88" t="str">
        <f>IF($X88&gt;0,IF($Y88&gt;0,"JLR machine "&amp;$O88&amp;" at "&amp;TEXT($X88,"0.00")&amp;" per hr — build-up as supplied","JLR machine "&amp;$O88&amp;" at "&amp;TEXT($X88,"0.00")&amp;" per hr — build-up not supplied"),"UK plastics benchmark Jun 2026. 3-layer co-extrusion EBM — HDPE/regrind/HDPE or HDPE/barrier/HDPE for fuel tanks and barrier packaging. Higher capital and manning than mono-layer.")</f>
        <v>UK plastics benchmark Jun 2026. 3-layer co-extrusion EBM — HDPE/regrind/HDPE or HDPE/barrier/HDPE for fuel tanks and barrier packaging. Higher capital and manning than mono-layer.</v>
      </c>
      <c r="N88" t="str">
        <v>Medium</v>
      </c>
      <c r="O88" t="str">
        <f>IFERROR(INDEX(Mapping!$C:$C,MATCH($A88,Mapping!$A:$A,0)),"")</f>
        <v/>
      </c>
      <c r="P88">
        <f>IF($O88="",0,COUNTIFS('JLR Machines'!$A:$A,$O88,'JLR Machines'!$C:$C,IF(Settings!$B$2="","&lt;&gt;",Settings!$B$2),'JLR Machines'!$D:$D,IF(Settings!$B$3="","&lt;&gt;",Settings!$B$3)))</f>
        <v>0</v>
      </c>
      <c r="Q88">
        <f>IF($P88&lt;&gt;1,0,SUMIFS('JLR Machines'!$G:$G,'JLR Machines'!$A:$A,$O88,'JLR Machines'!$C:$C,IF(Settings!$B$2="","&lt;&gt;",Settings!$B$2),'JLR Machines'!$D:$D,IF(Settings!$B$3="","&lt;&gt;",Settings!$B$3)))</f>
        <v>0</v>
      </c>
      <c r="R88">
        <f>IF($P88&lt;&gt;1,0,SUMIFS('JLR Machines'!$H:$H,'JLR Machines'!$A:$A,$O88,'JLR Machines'!$C:$C,IF(Settings!$B$2="","&lt;&gt;",Settings!$B$2),'JLR Machines'!$D:$D,IF(Settings!$B$3="","&lt;&gt;",Settings!$B$3)))</f>
        <v>0</v>
      </c>
      <c r="S88">
        <f>IF($P88&lt;&gt;1,0,SUMIFS('JLR Machines'!$I:$I,'JLR Machines'!$A:$A,$O88,'JLR Machines'!$C:$C,IF(Settings!$B$2="","&lt;&gt;",Settings!$B$2),'JLR Machines'!$D:$D,IF(Settings!$B$3="","&lt;&gt;",Settings!$B$3)))</f>
        <v>0</v>
      </c>
      <c r="T88">
        <f>IF($P88&lt;&gt;1,0,SUMIFS('JLR Machines'!$J:$J,'JLR Machines'!$A:$A,$O88,'JLR Machines'!$C:$C,IF(Settings!$B$2="","&lt;&gt;",Settings!$B$2),'JLR Machines'!$D:$D,IF(Settings!$B$3="","&lt;&gt;",Settings!$B$3)))</f>
        <v>0</v>
      </c>
      <c r="U88">
        <f>IF($P88&lt;&gt;1,0,SUMIFS('JLR Machines'!$K:$K,'JLR Machines'!$A:$A,$O88,'JLR Machines'!$C:$C,IF(Settings!$B$2="","&lt;&gt;",Settings!$B$2),'JLR Machines'!$D:$D,IF(Settings!$B$3="","&lt;&gt;",Settings!$B$3)))</f>
        <v>0</v>
      </c>
      <c r="V88">
        <f>IF($P88&lt;&gt;1,0,SUMIFS('JLR Machines'!$L:$L,'JLR Machines'!$A:$A,$O88,'JLR Machines'!$C:$C,IF(Settings!$B$2="","&lt;&gt;",Settings!$B$2),'JLR Machines'!$D:$D,IF(Settings!$B$3="","&lt;&gt;",Settings!$B$3)))</f>
        <v>0</v>
      </c>
      <c r="W88">
        <f>IF($P88&lt;&gt;1,0,SUMIFS('JLR Machines'!$M:$M,'JLR Machines'!$A:$A,$O88,'JLR Machines'!$C:$C,IF(Settings!$B$2="","&lt;&gt;",Settings!$B$2),'JLR Machines'!$D:$D,IF(Settings!$B$3="","&lt;&gt;",Settings!$B$3)))</f>
        <v>0</v>
      </c>
      <c r="X88">
        <f>IF($P88&lt;&gt;1,0,SUMIFS('JLR Machines'!$N:$N,'JLR Machines'!$A:$A,$O88,'JLR Machines'!$C:$C,IF(Settings!$B$2="","&lt;&gt;",Settings!$B$2),'JLR Machines'!$D:$D,IF(Settings!$B$3="","&lt;&gt;",Settings!$B$3)))</f>
        <v>0</v>
      </c>
      <c r="Y88">
        <f>$Q88+$R88+$S88+$T88+$U88+$V88+$W88</f>
        <v>0</v>
      </c>
      <c r="Z88">
        <f>IF($X88&lt;=0,0,ROUND((D88+E88+F88+G88+H88+I88)/3120-$X88,4))</f>
        <v>0</v>
      </c>
    </row>
    <row r="89">
      <c r="A89" t="str">
        <v>blow-ebm-coex5</v>
      </c>
      <c r="B89" t="str">
        <v>5-Layer Co-Ex EBM (High-Barrier)</v>
      </c>
      <c r="C89" t="str">
        <v>UK</v>
      </c>
      <c r="D89">
        <f>IF($X89&gt;0,IF($Y89&gt;0,MAX(0,$Q89+$X89-$Y89)*3000,$X89*3000),100000)</f>
        <v>100000</v>
      </c>
      <c r="E89">
        <f>IF($X89&gt;0,IF($Y89&gt;0,$S89*3000,0),40000)</f>
        <v>40000</v>
      </c>
      <c r="F89">
        <f>IF($X89&gt;0,IF($Y89&gt;0,$V89*3000,0),50000)</f>
        <v>50000</v>
      </c>
      <c r="G89">
        <f>IF($X89&gt;0,IF($Y89&gt;0,$R89*3000,0),18000)</f>
        <v>18000</v>
      </c>
      <c r="H89">
        <f>IF($X89&gt;0,IF($Y89&gt;0,($T89+$W89)*3000,0),20000)</f>
        <v>20000</v>
      </c>
      <c r="I89">
        <f>IF($X89&gt;0,IF($Y89&gt;0,$U89*3000,0),12500)</f>
        <v>12500</v>
      </c>
      <c r="J89">
        <v>4000</v>
      </c>
      <c r="K89">
        <v>0.75</v>
      </c>
      <c r="L89" t="str">
        <f>IF($X89&gt;0,IF($P89&lt;&gt;1,"2026-06-14",IFERROR(INDEX('JLR Machines'!$D:$D,MATCH($O89,'JLR Machines'!$A:$A,0)),"2026-06-14")),"2026-06-14")</f>
        <v>2026-06-14</v>
      </c>
      <c r="M89" t="str">
        <f>IF($X89&gt;0,IF($Y89&gt;0,"JLR machine "&amp;$O89&amp;" at "&amp;TEXT($X89,"0.00")&amp;" per hr — build-up as supplied","JLR machine "&amp;$O89&amp;" at "&amp;TEXT($X89,"0.00")&amp;" per hr — build-up not supplied"),"UK plastics benchmark Jun 2026. 5-layer co-ex EBM — HDPE/tie/EVOH/tie/HDPE for automotive fuel systems, food packaging requiring high oxygen/fuel barrier. Complex, high capital.")</f>
        <v>UK plastics benchmark Jun 2026. 5-layer co-ex EBM — HDPE/tie/EVOH/tie/HDPE for automotive fuel systems, food packaging requiring high oxygen/fuel barrier. Complex, high capital.</v>
      </c>
      <c r="N89" t="str">
        <v>Medium</v>
      </c>
      <c r="O89" t="str">
        <f>IFERROR(INDEX(Mapping!$C:$C,MATCH($A89,Mapping!$A:$A,0)),"")</f>
        <v/>
      </c>
      <c r="P89">
        <f>IF($O89="",0,COUNTIFS('JLR Machines'!$A:$A,$O89,'JLR Machines'!$C:$C,IF(Settings!$B$2="","&lt;&gt;",Settings!$B$2),'JLR Machines'!$D:$D,IF(Settings!$B$3="","&lt;&gt;",Settings!$B$3)))</f>
        <v>0</v>
      </c>
      <c r="Q89">
        <f>IF($P89&lt;&gt;1,0,SUMIFS('JLR Machines'!$G:$G,'JLR Machines'!$A:$A,$O89,'JLR Machines'!$C:$C,IF(Settings!$B$2="","&lt;&gt;",Settings!$B$2),'JLR Machines'!$D:$D,IF(Settings!$B$3="","&lt;&gt;",Settings!$B$3)))</f>
        <v>0</v>
      </c>
      <c r="R89">
        <f>IF($P89&lt;&gt;1,0,SUMIFS('JLR Machines'!$H:$H,'JLR Machines'!$A:$A,$O89,'JLR Machines'!$C:$C,IF(Settings!$B$2="","&lt;&gt;",Settings!$B$2),'JLR Machines'!$D:$D,IF(Settings!$B$3="","&lt;&gt;",Settings!$B$3)))</f>
        <v>0</v>
      </c>
      <c r="S89">
        <f>IF($P89&lt;&gt;1,0,SUMIFS('JLR Machines'!$I:$I,'JLR Machines'!$A:$A,$O89,'JLR Machines'!$C:$C,IF(Settings!$B$2="","&lt;&gt;",Settings!$B$2),'JLR Machines'!$D:$D,IF(Settings!$B$3="","&lt;&gt;",Settings!$B$3)))</f>
        <v>0</v>
      </c>
      <c r="T89">
        <f>IF($P89&lt;&gt;1,0,SUMIFS('JLR Machines'!$J:$J,'JLR Machines'!$A:$A,$O89,'JLR Machines'!$C:$C,IF(Settings!$B$2="","&lt;&gt;",Settings!$B$2),'JLR Machines'!$D:$D,IF(Settings!$B$3="","&lt;&gt;",Settings!$B$3)))</f>
        <v>0</v>
      </c>
      <c r="U89">
        <f>IF($P89&lt;&gt;1,0,SUMIFS('JLR Machines'!$K:$K,'JLR Machines'!$A:$A,$O89,'JLR Machines'!$C:$C,IF(Settings!$B$2="","&lt;&gt;",Settings!$B$2),'JLR Machines'!$D:$D,IF(Settings!$B$3="","&lt;&gt;",Settings!$B$3)))</f>
        <v>0</v>
      </c>
      <c r="V89">
        <f>IF($P89&lt;&gt;1,0,SUMIFS('JLR Machines'!$L:$L,'JLR Machines'!$A:$A,$O89,'JLR Machines'!$C:$C,IF(Settings!$B$2="","&lt;&gt;",Settings!$B$2),'JLR Machines'!$D:$D,IF(Settings!$B$3="","&lt;&gt;",Settings!$B$3)))</f>
        <v>0</v>
      </c>
      <c r="W89">
        <f>IF($P89&lt;&gt;1,0,SUMIFS('JLR Machines'!$M:$M,'JLR Machines'!$A:$A,$O89,'JLR Machines'!$C:$C,IF(Settings!$B$2="","&lt;&gt;",Settings!$B$2),'JLR Machines'!$D:$D,IF(Settings!$B$3="","&lt;&gt;",Settings!$B$3)))</f>
        <v>0</v>
      </c>
      <c r="X89">
        <f>IF($P89&lt;&gt;1,0,SUMIFS('JLR Machines'!$N:$N,'JLR Machines'!$A:$A,$O89,'JLR Machines'!$C:$C,IF(Settings!$B$2="","&lt;&gt;",Settings!$B$2),'JLR Machines'!$D:$D,IF(Settings!$B$3="","&lt;&gt;",Settings!$B$3)))</f>
        <v>0</v>
      </c>
      <c r="Y89">
        <f>$Q89+$R89+$S89+$T89+$U89+$V89+$W89</f>
        <v>0</v>
      </c>
      <c r="Z89">
        <f>IF($X89&lt;=0,0,ROUND((D89+E89+F89+G89+H89+I89)/3000-$X89,4))</f>
        <v>0</v>
      </c>
    </row>
    <row r="90">
      <c r="A90" t="str">
        <v>blow-ebm-large</v>
      </c>
      <c r="B90" t="str">
        <v>Large EBM Accumulator Head (20–200L)</v>
      </c>
      <c r="C90" t="str">
        <v>UK</v>
      </c>
      <c r="D90">
        <f>IF($X90&gt;0,IF($Y90&gt;0,MAX(0,$Q90+$X90-$Y90)*3080,$X90*3080),70000)</f>
        <v>70000</v>
      </c>
      <c r="E90">
        <f>IF($X90&gt;0,IF($Y90&gt;0,$S90*3080,0),32000)</f>
        <v>32000</v>
      </c>
      <c r="F90">
        <f>IF($X90&gt;0,IF($Y90&gt;0,$V90*3080,0),45000)</f>
        <v>45000</v>
      </c>
      <c r="G90">
        <f>IF($X90&gt;0,IF($Y90&gt;0,$R90*3080,0),20000)</f>
        <v>20000</v>
      </c>
      <c r="H90">
        <f>IF($X90&gt;0,IF($Y90&gt;0,($T90+$W90)*3080,0),14000)</f>
        <v>14000</v>
      </c>
      <c r="I90">
        <f>IF($X90&gt;0,IF($Y90&gt;0,$U90*3080,0),8750)</f>
        <v>8750</v>
      </c>
      <c r="J90">
        <v>4000</v>
      </c>
      <c r="K90">
        <v>0.77</v>
      </c>
      <c r="L90" t="str">
        <f>IF($X90&gt;0,IF($P90&lt;&gt;1,"2026-06-14",IFERROR(INDEX('JLR Machines'!$D:$D,MATCH($O90,'JLR Machines'!$A:$A,0)),"2026-06-14")),"2026-06-14")</f>
        <v>2026-06-14</v>
      </c>
      <c r="M90" t="str">
        <f>IF($X90&gt;0,IF($Y90&gt;0,"JLR machine "&amp;$O90&amp;" at "&amp;TEXT($X90,"0.00")&amp;" per hr — build-up as supplied","JLR machine "&amp;$O90&amp;" at "&amp;TEXT($X90,"0.00")&amp;" per hr — build-up not supplied"),"UK plastics benchmark Jun 2026. Large accumulator-head EBM for drums (20–200L), IBCs, automotive fuel tanks. Long cycle, single cavity, high tonnage clamp.")</f>
        <v>UK plastics benchmark Jun 2026. Large accumulator-head EBM for drums (20–200L), IBCs, automotive fuel tanks. Long cycle, single cavity, high tonnage clamp.</v>
      </c>
      <c r="N90" t="str">
        <v>Medium</v>
      </c>
      <c r="O90" t="str">
        <f>IFERROR(INDEX(Mapping!$C:$C,MATCH($A90,Mapping!$A:$A,0)),"")</f>
        <v/>
      </c>
      <c r="P90">
        <f>IF($O90="",0,COUNTIFS('JLR Machines'!$A:$A,$O90,'JLR Machines'!$C:$C,IF(Settings!$B$2="","&lt;&gt;",Settings!$B$2),'JLR Machines'!$D:$D,IF(Settings!$B$3="","&lt;&gt;",Settings!$B$3)))</f>
        <v>0</v>
      </c>
      <c r="Q90">
        <f>IF($P90&lt;&gt;1,0,SUMIFS('JLR Machines'!$G:$G,'JLR Machines'!$A:$A,$O90,'JLR Machines'!$C:$C,IF(Settings!$B$2="","&lt;&gt;",Settings!$B$2),'JLR Machines'!$D:$D,IF(Settings!$B$3="","&lt;&gt;",Settings!$B$3)))</f>
        <v>0</v>
      </c>
      <c r="R90">
        <f>IF($P90&lt;&gt;1,0,SUMIFS('JLR Machines'!$H:$H,'JLR Machines'!$A:$A,$O90,'JLR Machines'!$C:$C,IF(Settings!$B$2="","&lt;&gt;",Settings!$B$2),'JLR Machines'!$D:$D,IF(Settings!$B$3="","&lt;&gt;",Settings!$B$3)))</f>
        <v>0</v>
      </c>
      <c r="S90">
        <f>IF($P90&lt;&gt;1,0,SUMIFS('JLR Machines'!$I:$I,'JLR Machines'!$A:$A,$O90,'JLR Machines'!$C:$C,IF(Settings!$B$2="","&lt;&gt;",Settings!$B$2),'JLR Machines'!$D:$D,IF(Settings!$B$3="","&lt;&gt;",Settings!$B$3)))</f>
        <v>0</v>
      </c>
      <c r="T90">
        <f>IF($P90&lt;&gt;1,0,SUMIFS('JLR Machines'!$J:$J,'JLR Machines'!$A:$A,$O90,'JLR Machines'!$C:$C,IF(Settings!$B$2="","&lt;&gt;",Settings!$B$2),'JLR Machines'!$D:$D,IF(Settings!$B$3="","&lt;&gt;",Settings!$B$3)))</f>
        <v>0</v>
      </c>
      <c r="U90">
        <f>IF($P90&lt;&gt;1,0,SUMIFS('JLR Machines'!$K:$K,'JLR Machines'!$A:$A,$O90,'JLR Machines'!$C:$C,IF(Settings!$B$2="","&lt;&gt;",Settings!$B$2),'JLR Machines'!$D:$D,IF(Settings!$B$3="","&lt;&gt;",Settings!$B$3)))</f>
        <v>0</v>
      </c>
      <c r="V90">
        <f>IF($P90&lt;&gt;1,0,SUMIFS('JLR Machines'!$L:$L,'JLR Machines'!$A:$A,$O90,'JLR Machines'!$C:$C,IF(Settings!$B$2="","&lt;&gt;",Settings!$B$2),'JLR Machines'!$D:$D,IF(Settings!$B$3="","&lt;&gt;",Settings!$B$3)))</f>
        <v>0</v>
      </c>
      <c r="W90">
        <f>IF($P90&lt;&gt;1,0,SUMIFS('JLR Machines'!$M:$M,'JLR Machines'!$A:$A,$O90,'JLR Machines'!$C:$C,IF(Settings!$B$2="","&lt;&gt;",Settings!$B$2),'JLR Machines'!$D:$D,IF(Settings!$B$3="","&lt;&gt;",Settings!$B$3)))</f>
        <v>0</v>
      </c>
      <c r="X90">
        <f>IF($P90&lt;&gt;1,0,SUMIFS('JLR Machines'!$N:$N,'JLR Machines'!$A:$A,$O90,'JLR Machines'!$C:$C,IF(Settings!$B$2="","&lt;&gt;",Settings!$B$2),'JLR Machines'!$D:$D,IF(Settings!$B$3="","&lt;&gt;",Settings!$B$3)))</f>
        <v>0</v>
      </c>
      <c r="Y90">
        <f>$Q90+$R90+$S90+$T90+$U90+$V90+$W90</f>
        <v>0</v>
      </c>
      <c r="Z90">
        <f>IF($X90&lt;=0,0,ROUND((D90+E90+F90+G90+H90+I90)/3080-$X90,4))</f>
        <v>0</v>
      </c>
    </row>
    <row r="91">
      <c r="A91" t="str">
        <v>blow-ibm-rotary</v>
      </c>
      <c r="B91" t="str">
        <v>IBM Rotary Machine (Pharma/Cosmetics)</v>
      </c>
      <c r="C91" t="str">
        <v>UK</v>
      </c>
      <c r="D91">
        <f>IF($X91&gt;0,IF($Y91&gt;0,MAX(0,$Q91+$X91-$Y91)*4400,$X91*4400),80000)</f>
        <v>80000</v>
      </c>
      <c r="E91">
        <f>IF($X91&gt;0,IF($Y91&gt;0,$S91*4400,0),28000)</f>
        <v>28000</v>
      </c>
      <c r="F91">
        <f>IF($X91&gt;0,IF($Y91&gt;0,$V91*4400,0),25000)</f>
        <v>25000</v>
      </c>
      <c r="G91">
        <f>IF($X91&gt;0,IF($Y91&gt;0,$R91*4400,0),15000)</f>
        <v>15000</v>
      </c>
      <c r="H91">
        <f>IF($X91&gt;0,IF($Y91&gt;0,($T91+$W91)*4400,0),16000)</f>
        <v>16000</v>
      </c>
      <c r="I91">
        <f>IF($X91&gt;0,IF($Y91&gt;0,$U91*4400,0),10000)</f>
        <v>10000</v>
      </c>
      <c r="J91">
        <v>5000</v>
      </c>
      <c r="K91">
        <v>0.88</v>
      </c>
      <c r="L91" t="str">
        <f>IF($X91&gt;0,IF($P91&lt;&gt;1,"2026-06-14",IFERROR(INDEX('JLR Machines'!$D:$D,MATCH($O91,'JLR Machines'!$A:$A,0)),"2026-06-14")),"2026-06-14")</f>
        <v>2026-06-14</v>
      </c>
      <c r="M91" t="str">
        <f>IF($X91&gt;0,IF($Y91&gt;0,"JLR machine "&amp;$O91&amp;" at "&amp;TEXT($X91,"0.00")&amp;" per hr — build-up as supplied","JLR machine "&amp;$O91&amp;" at "&amp;TEXT($X91,"0.00")&amp;" per hr — build-up not supplied"),"UK plastics benchmark Jun 2026. Injection blow moulding rotary — 3/4-station indexing. No flash, dimensional accuracy ±0.05mm. Pharma vials, cosmetics jars, eye-drop bottles. PP/PE/PET.")</f>
        <v>UK plastics benchmark Jun 2026. Injection blow moulding rotary — 3/4-station indexing. No flash, dimensional accuracy ±0.05mm. Pharma vials, cosmetics jars, eye-drop bottles. PP/PE/PET.</v>
      </c>
      <c r="N91" t="str">
        <v>Medium</v>
      </c>
      <c r="O91" t="str">
        <f>IFERROR(INDEX(Mapping!$C:$C,MATCH($A91,Mapping!$A:$A,0)),"")</f>
        <v/>
      </c>
      <c r="P91">
        <f>IF($O91="",0,COUNTIFS('JLR Machines'!$A:$A,$O91,'JLR Machines'!$C:$C,IF(Settings!$B$2="","&lt;&gt;",Settings!$B$2),'JLR Machines'!$D:$D,IF(Settings!$B$3="","&lt;&gt;",Settings!$B$3)))</f>
        <v>0</v>
      </c>
      <c r="Q91">
        <f>IF($P91&lt;&gt;1,0,SUMIFS('JLR Machines'!$G:$G,'JLR Machines'!$A:$A,$O91,'JLR Machines'!$C:$C,IF(Settings!$B$2="","&lt;&gt;",Settings!$B$2),'JLR Machines'!$D:$D,IF(Settings!$B$3="","&lt;&gt;",Settings!$B$3)))</f>
        <v>0</v>
      </c>
      <c r="R91">
        <f>IF($P91&lt;&gt;1,0,SUMIFS('JLR Machines'!$H:$H,'JLR Machines'!$A:$A,$O91,'JLR Machines'!$C:$C,IF(Settings!$B$2="","&lt;&gt;",Settings!$B$2),'JLR Machines'!$D:$D,IF(Settings!$B$3="","&lt;&gt;",Settings!$B$3)))</f>
        <v>0</v>
      </c>
      <c r="S91">
        <f>IF($P91&lt;&gt;1,0,SUMIFS('JLR Machines'!$I:$I,'JLR Machines'!$A:$A,$O91,'JLR Machines'!$C:$C,IF(Settings!$B$2="","&lt;&gt;",Settings!$B$2),'JLR Machines'!$D:$D,IF(Settings!$B$3="","&lt;&gt;",Settings!$B$3)))</f>
        <v>0</v>
      </c>
      <c r="T91">
        <f>IF($P91&lt;&gt;1,0,SUMIFS('JLR Machines'!$J:$J,'JLR Machines'!$A:$A,$O91,'JLR Machines'!$C:$C,IF(Settings!$B$2="","&lt;&gt;",Settings!$B$2),'JLR Machines'!$D:$D,IF(Settings!$B$3="","&lt;&gt;",Settings!$B$3)))</f>
        <v>0</v>
      </c>
      <c r="U91">
        <f>IF($P91&lt;&gt;1,0,SUMIFS('JLR Machines'!$K:$K,'JLR Machines'!$A:$A,$O91,'JLR Machines'!$C:$C,IF(Settings!$B$2="","&lt;&gt;",Settings!$B$2),'JLR Machines'!$D:$D,IF(Settings!$B$3="","&lt;&gt;",Settings!$B$3)))</f>
        <v>0</v>
      </c>
      <c r="V91">
        <f>IF($P91&lt;&gt;1,0,SUMIFS('JLR Machines'!$L:$L,'JLR Machines'!$A:$A,$O91,'JLR Machines'!$C:$C,IF(Settings!$B$2="","&lt;&gt;",Settings!$B$2),'JLR Machines'!$D:$D,IF(Settings!$B$3="","&lt;&gt;",Settings!$B$3)))</f>
        <v>0</v>
      </c>
      <c r="W91">
        <f>IF($P91&lt;&gt;1,0,SUMIFS('JLR Machines'!$M:$M,'JLR Machines'!$A:$A,$O91,'JLR Machines'!$C:$C,IF(Settings!$B$2="","&lt;&gt;",Settings!$B$2),'JLR Machines'!$D:$D,IF(Settings!$B$3="","&lt;&gt;",Settings!$B$3)))</f>
        <v>0</v>
      </c>
      <c r="X91">
        <f>IF($P91&lt;&gt;1,0,SUMIFS('JLR Machines'!$N:$N,'JLR Machines'!$A:$A,$O91,'JLR Machines'!$C:$C,IF(Settings!$B$2="","&lt;&gt;",Settings!$B$2),'JLR Machines'!$D:$D,IF(Settings!$B$3="","&lt;&gt;",Settings!$B$3)))</f>
        <v>0</v>
      </c>
      <c r="Y91">
        <f>$Q91+$R91+$S91+$T91+$U91+$V91+$W91</f>
        <v>0</v>
      </c>
      <c r="Z91">
        <f>IF($X91&lt;=0,0,ROUND((D91+E91+F91+G91+H91+I91)/4400-$X91,4))</f>
        <v>0</v>
      </c>
    </row>
    <row r="92">
      <c r="A92" t="str">
        <v>blow-ibm-linear</v>
      </c>
      <c r="B92" t="str">
        <v>IBM Linear Machine (Medium Volume)</v>
      </c>
      <c r="C92" t="str">
        <v>UK</v>
      </c>
      <c r="D92">
        <f>IF($X92&gt;0,IF($Y92&gt;0,MAX(0,$Q92+$X92-$Y92)*3825,$X92*3825),55000)</f>
        <v>55000</v>
      </c>
      <c r="E92">
        <f>IF($X92&gt;0,IF($Y92&gt;0,$S92*3825,0),20000)</f>
        <v>20000</v>
      </c>
      <c r="F92">
        <f>IF($X92&gt;0,IF($Y92&gt;0,$V92*3825,0),20000)</f>
        <v>20000</v>
      </c>
      <c r="G92">
        <f>IF($X92&gt;0,IF($Y92&gt;0,$R92*3825,0),12000)</f>
        <v>12000</v>
      </c>
      <c r="H92">
        <f>IF($X92&gt;0,IF($Y92&gt;0,($T92+$W92)*3825,0),11000)</f>
        <v>11000</v>
      </c>
      <c r="I92">
        <f>IF($X92&gt;0,IF($Y92&gt;0,$U92*3825,0),6875)</f>
        <v>6875</v>
      </c>
      <c r="J92">
        <v>4500</v>
      </c>
      <c r="K92">
        <v>0.85</v>
      </c>
      <c r="L92" t="str">
        <f>IF($X92&gt;0,IF($P92&lt;&gt;1,"2026-06-14",IFERROR(INDEX('JLR Machines'!$D:$D,MATCH($O92,'JLR Machines'!$A:$A,0)),"2026-06-14")),"2026-06-14")</f>
        <v>2026-06-14</v>
      </c>
      <c r="M92" t="str">
        <f>IF($X92&gt;0,IF($Y92&gt;0,"JLR machine "&amp;$O92&amp;" at "&amp;TEXT($X92,"0.00")&amp;" per hr — build-up as supplied","JLR machine "&amp;$O92&amp;" at "&amp;TEXT($X92,"0.00")&amp;" per hr — build-up not supplied"),"UK plastics benchmark Jun 2026. Injection blow moulding linear indexing. Wide-mouth jars, pharmaceutical bottles, narrow-neck containers. No flash. PP/PE.")</f>
        <v>UK plastics benchmark Jun 2026. Injection blow moulding linear indexing. Wide-mouth jars, pharmaceutical bottles, narrow-neck containers. No flash. PP/PE.</v>
      </c>
      <c r="N92" t="str">
        <v>Medium</v>
      </c>
      <c r="O92" t="str">
        <f>IFERROR(INDEX(Mapping!$C:$C,MATCH($A92,Mapping!$A:$A,0)),"")</f>
        <v/>
      </c>
      <c r="P92">
        <f>IF($O92="",0,COUNTIFS('JLR Machines'!$A:$A,$O92,'JLR Machines'!$C:$C,IF(Settings!$B$2="","&lt;&gt;",Settings!$B$2),'JLR Machines'!$D:$D,IF(Settings!$B$3="","&lt;&gt;",Settings!$B$3)))</f>
        <v>0</v>
      </c>
      <c r="Q92">
        <f>IF($P92&lt;&gt;1,0,SUMIFS('JLR Machines'!$G:$G,'JLR Machines'!$A:$A,$O92,'JLR Machines'!$C:$C,IF(Settings!$B$2="","&lt;&gt;",Settings!$B$2),'JLR Machines'!$D:$D,IF(Settings!$B$3="","&lt;&gt;",Settings!$B$3)))</f>
        <v>0</v>
      </c>
      <c r="R92">
        <f>IF($P92&lt;&gt;1,0,SUMIFS('JLR Machines'!$H:$H,'JLR Machines'!$A:$A,$O92,'JLR Machines'!$C:$C,IF(Settings!$B$2="","&lt;&gt;",Settings!$B$2),'JLR Machines'!$D:$D,IF(Settings!$B$3="","&lt;&gt;",Settings!$B$3)))</f>
        <v>0</v>
      </c>
      <c r="S92">
        <f>IF($P92&lt;&gt;1,0,SUMIFS('JLR Machines'!$I:$I,'JLR Machines'!$A:$A,$O92,'JLR Machines'!$C:$C,IF(Settings!$B$2="","&lt;&gt;",Settings!$B$2),'JLR Machines'!$D:$D,IF(Settings!$B$3="","&lt;&gt;",Settings!$B$3)))</f>
        <v>0</v>
      </c>
      <c r="T92">
        <f>IF($P92&lt;&gt;1,0,SUMIFS('JLR Machines'!$J:$J,'JLR Machines'!$A:$A,$O92,'JLR Machines'!$C:$C,IF(Settings!$B$2="","&lt;&gt;",Settings!$B$2),'JLR Machines'!$D:$D,IF(Settings!$B$3="","&lt;&gt;",Settings!$B$3)))</f>
        <v>0</v>
      </c>
      <c r="U92">
        <f>IF($P92&lt;&gt;1,0,SUMIFS('JLR Machines'!$K:$K,'JLR Machines'!$A:$A,$O92,'JLR Machines'!$C:$C,IF(Settings!$B$2="","&lt;&gt;",Settings!$B$2),'JLR Machines'!$D:$D,IF(Settings!$B$3="","&lt;&gt;",Settings!$B$3)))</f>
        <v>0</v>
      </c>
      <c r="V92">
        <f>IF($P92&lt;&gt;1,0,SUMIFS('JLR Machines'!$L:$L,'JLR Machines'!$A:$A,$O92,'JLR Machines'!$C:$C,IF(Settings!$B$2="","&lt;&gt;",Settings!$B$2),'JLR Machines'!$D:$D,IF(Settings!$B$3="","&lt;&gt;",Settings!$B$3)))</f>
        <v>0</v>
      </c>
      <c r="W92">
        <f>IF($P92&lt;&gt;1,0,SUMIFS('JLR Machines'!$M:$M,'JLR Machines'!$A:$A,$O92,'JLR Machines'!$C:$C,IF(Settings!$B$2="","&lt;&gt;",Settings!$B$2),'JLR Machines'!$D:$D,IF(Settings!$B$3="","&lt;&gt;",Settings!$B$3)))</f>
        <v>0</v>
      </c>
      <c r="X92">
        <f>IF($P92&lt;&gt;1,0,SUMIFS('JLR Machines'!$N:$N,'JLR Machines'!$A:$A,$O92,'JLR Machines'!$C:$C,IF(Settings!$B$2="","&lt;&gt;",Settings!$B$2),'JLR Machines'!$D:$D,IF(Settings!$B$3="","&lt;&gt;",Settings!$B$3)))</f>
        <v>0</v>
      </c>
      <c r="Y92">
        <f>$Q92+$R92+$S92+$T92+$U92+$V92+$W92</f>
        <v>0</v>
      </c>
      <c r="Z92">
        <f>IF($X92&lt;=0,0,ROUND((D92+E92+F92+G92+H92+I92)/3825-$X92,4))</f>
        <v>0</v>
      </c>
    </row>
    <row r="93">
      <c r="A93" t="str">
        <v>blow-sbm-1stage</v>
      </c>
      <c r="B93" t="str">
        <v>SBM Single-Stage (Preform + Blow)</v>
      </c>
      <c r="C93" t="str">
        <v>UK</v>
      </c>
      <c r="D93">
        <f>IF($X93&gt;0,IF($Y93&gt;0,MAX(0,$Q93+$X93-$Y93)*3600,$X93*3600),65000)</f>
        <v>65000</v>
      </c>
      <c r="E93">
        <f>IF($X93&gt;0,IF($Y93&gt;0,$S93*3600,0),24000)</f>
        <v>24000</v>
      </c>
      <c r="F93">
        <f>IF($X93&gt;0,IF($Y93&gt;0,$V93*3600,0),35000)</f>
        <v>35000</v>
      </c>
      <c r="G93">
        <f>IF($X93&gt;0,IF($Y93&gt;0,$R93*3600,0),14000)</f>
        <v>14000</v>
      </c>
      <c r="H93">
        <f>IF($X93&gt;0,IF($Y93&gt;0,($T93+$W93)*3600,0),13000)</f>
        <v>13000</v>
      </c>
      <c r="I93">
        <f>IF($X93&gt;0,IF($Y93&gt;0,$U93*3600,0),8125)</f>
        <v>8125</v>
      </c>
      <c r="J93">
        <v>4500</v>
      </c>
      <c r="K93">
        <v>0.8</v>
      </c>
      <c r="L93" t="str">
        <f>IF($X93&gt;0,IF($P93&lt;&gt;1,"2026-06-14",IFERROR(INDEX('JLR Machines'!$D:$D,MATCH($O93,'JLR Machines'!$A:$A,0)),"2026-06-14")),"2026-06-14")</f>
        <v>2026-06-14</v>
      </c>
      <c r="M93" t="str">
        <f>IF($X93&gt;0,IF($Y93&gt;0,"JLR machine "&amp;$O93&amp;" at "&amp;TEXT($X93,"0.00")&amp;" per hr — build-up as supplied","JLR machine "&amp;$O93&amp;" at "&amp;TEXT($X93,"0.00")&amp;" per hr — build-up not supplied"),"UK plastics benchmark Jun 2026. Single-stage stretch blow moulding — preform injection and stretch-blow in one machine. PET/PP wide-mouth jars, cosmetics, condiment bottles. Excellent clarity.")</f>
        <v>UK plastics benchmark Jun 2026. Single-stage stretch blow moulding — preform injection and stretch-blow in one machine. PET/PP wide-mouth jars, cosmetics, condiment bottles. Excellent clarity.</v>
      </c>
      <c r="N93" t="str">
        <v>Medium</v>
      </c>
      <c r="O93" t="str">
        <f>IFERROR(INDEX(Mapping!$C:$C,MATCH($A93,Mapping!$A:$A,0)),"")</f>
        <v/>
      </c>
      <c r="P93">
        <f>IF($O93="",0,COUNTIFS('JLR Machines'!$A:$A,$O93,'JLR Machines'!$C:$C,IF(Settings!$B$2="","&lt;&gt;",Settings!$B$2),'JLR Machines'!$D:$D,IF(Settings!$B$3="","&lt;&gt;",Settings!$B$3)))</f>
        <v>0</v>
      </c>
      <c r="Q93">
        <f>IF($P93&lt;&gt;1,0,SUMIFS('JLR Machines'!$G:$G,'JLR Machines'!$A:$A,$O93,'JLR Machines'!$C:$C,IF(Settings!$B$2="","&lt;&gt;",Settings!$B$2),'JLR Machines'!$D:$D,IF(Settings!$B$3="","&lt;&gt;",Settings!$B$3)))</f>
        <v>0</v>
      </c>
      <c r="R93">
        <f>IF($P93&lt;&gt;1,0,SUMIFS('JLR Machines'!$H:$H,'JLR Machines'!$A:$A,$O93,'JLR Machines'!$C:$C,IF(Settings!$B$2="","&lt;&gt;",Settings!$B$2),'JLR Machines'!$D:$D,IF(Settings!$B$3="","&lt;&gt;",Settings!$B$3)))</f>
        <v>0</v>
      </c>
      <c r="S93">
        <f>IF($P93&lt;&gt;1,0,SUMIFS('JLR Machines'!$I:$I,'JLR Machines'!$A:$A,$O93,'JLR Machines'!$C:$C,IF(Settings!$B$2="","&lt;&gt;",Settings!$B$2),'JLR Machines'!$D:$D,IF(Settings!$B$3="","&lt;&gt;",Settings!$B$3)))</f>
        <v>0</v>
      </c>
      <c r="T93">
        <f>IF($P93&lt;&gt;1,0,SUMIFS('JLR Machines'!$J:$J,'JLR Machines'!$A:$A,$O93,'JLR Machines'!$C:$C,IF(Settings!$B$2="","&lt;&gt;",Settings!$B$2),'JLR Machines'!$D:$D,IF(Settings!$B$3="","&lt;&gt;",Settings!$B$3)))</f>
        <v>0</v>
      </c>
      <c r="U93">
        <f>IF($P93&lt;&gt;1,0,SUMIFS('JLR Machines'!$K:$K,'JLR Machines'!$A:$A,$O93,'JLR Machines'!$C:$C,IF(Settings!$B$2="","&lt;&gt;",Settings!$B$2),'JLR Machines'!$D:$D,IF(Settings!$B$3="","&lt;&gt;",Settings!$B$3)))</f>
        <v>0</v>
      </c>
      <c r="V93">
        <f>IF($P93&lt;&gt;1,0,SUMIFS('JLR Machines'!$L:$L,'JLR Machines'!$A:$A,$O93,'JLR Machines'!$C:$C,IF(Settings!$B$2="","&lt;&gt;",Settings!$B$2),'JLR Machines'!$D:$D,IF(Settings!$B$3="","&lt;&gt;",Settings!$B$3)))</f>
        <v>0</v>
      </c>
      <c r="W93">
        <f>IF($P93&lt;&gt;1,0,SUMIFS('JLR Machines'!$M:$M,'JLR Machines'!$A:$A,$O93,'JLR Machines'!$C:$C,IF(Settings!$B$2="","&lt;&gt;",Settings!$B$2),'JLR Machines'!$D:$D,IF(Settings!$B$3="","&lt;&gt;",Settings!$B$3)))</f>
        <v>0</v>
      </c>
      <c r="X93">
        <f>IF($P93&lt;&gt;1,0,SUMIFS('JLR Machines'!$N:$N,'JLR Machines'!$A:$A,$O93,'JLR Machines'!$C:$C,IF(Settings!$B$2="","&lt;&gt;",Settings!$B$2),'JLR Machines'!$D:$D,IF(Settings!$B$3="","&lt;&gt;",Settings!$B$3)))</f>
        <v>0</v>
      </c>
      <c r="Y93">
        <f>$Q93+$R93+$S93+$T93+$U93+$V93+$W93</f>
        <v>0</v>
      </c>
      <c r="Z93">
        <f>IF($X93&lt;=0,0,ROUND((D93+E93+F93+G93+H93+I93)/3600-$X93,4))</f>
        <v>0</v>
      </c>
    </row>
    <row r="94">
      <c r="A94" t="str">
        <v>blow-sbm-2stage</v>
      </c>
      <c r="B94" t="str">
        <v>SBM Two-Stage Reheat (High-Speed PET)</v>
      </c>
      <c r="C94" t="str">
        <v>UK</v>
      </c>
      <c r="D94">
        <f>IF($X94&gt;0,IF($Y94&gt;0,MAX(0,$Q94+$X94-$Y94)*5400,$X94*5400),90000)</f>
        <v>90000</v>
      </c>
      <c r="E94">
        <f>IF($X94&gt;0,IF($Y94&gt;0,$S94*5400,0),35000)</f>
        <v>35000</v>
      </c>
      <c r="F94">
        <f>IF($X94&gt;0,IF($Y94&gt;0,$V94*5400,0),40000)</f>
        <v>40000</v>
      </c>
      <c r="G94">
        <f>IF($X94&gt;0,IF($Y94&gt;0,$R94*5400,0),16000)</f>
        <v>16000</v>
      </c>
      <c r="H94">
        <f>IF($X94&gt;0,IF($Y94&gt;0,($T94+$W94)*5400,0),18000)</f>
        <v>18000</v>
      </c>
      <c r="I94">
        <f>IF($X94&gt;0,IF($Y94&gt;0,$U94*5400,0),11250)</f>
        <v>11250</v>
      </c>
      <c r="J94">
        <v>6000</v>
      </c>
      <c r="K94">
        <v>0.9</v>
      </c>
      <c r="L94" t="str">
        <f>IF($X94&gt;0,IF($P94&lt;&gt;1,"2026-06-14",IFERROR(INDEX('JLR Machines'!$D:$D,MATCH($O94,'JLR Machines'!$A:$A,0)),"2026-06-14")),"2026-06-14")</f>
        <v>2026-06-14</v>
      </c>
      <c r="M94" t="str">
        <f>IF($X94&gt;0,IF($Y94&gt;0,"JLR machine "&amp;$O94&amp;" at "&amp;TEXT($X94,"0.00")&amp;" per hr — build-up as supplied","JLR machine "&amp;$O94&amp;" at "&amp;TEXT($X94,"0.00")&amp;" per hr — build-up not supplied"),"UK plastics benchmark Jun 2026. Two-stage reheat SBM — preforms made separately, reheated and blown at 20,000–80,000 bph. Dominant for PET water/CSD/juice bottles. Very low per-part cost at volume.")</f>
        <v>UK plastics benchmark Jun 2026. Two-stage reheat SBM — preforms made separately, reheated and blown at 20,000–80,000 bph. Dominant for PET water/CSD/juice bottles. Very low per-part cost at volume.</v>
      </c>
      <c r="N94" t="str">
        <v>Medium</v>
      </c>
      <c r="O94" t="str">
        <f>IFERROR(INDEX(Mapping!$C:$C,MATCH($A94,Mapping!$A:$A,0)),"")</f>
        <v/>
      </c>
      <c r="P94">
        <f>IF($O94="",0,COUNTIFS('JLR Machines'!$A:$A,$O94,'JLR Machines'!$C:$C,IF(Settings!$B$2="","&lt;&gt;",Settings!$B$2),'JLR Machines'!$D:$D,IF(Settings!$B$3="","&lt;&gt;",Settings!$B$3)))</f>
        <v>0</v>
      </c>
      <c r="Q94">
        <f>IF($P94&lt;&gt;1,0,SUMIFS('JLR Machines'!$G:$G,'JLR Machines'!$A:$A,$O94,'JLR Machines'!$C:$C,IF(Settings!$B$2="","&lt;&gt;",Settings!$B$2),'JLR Machines'!$D:$D,IF(Settings!$B$3="","&lt;&gt;",Settings!$B$3)))</f>
        <v>0</v>
      </c>
      <c r="R94">
        <f>IF($P94&lt;&gt;1,0,SUMIFS('JLR Machines'!$H:$H,'JLR Machines'!$A:$A,$O94,'JLR Machines'!$C:$C,IF(Settings!$B$2="","&lt;&gt;",Settings!$B$2),'JLR Machines'!$D:$D,IF(Settings!$B$3="","&lt;&gt;",Settings!$B$3)))</f>
        <v>0</v>
      </c>
      <c r="S94">
        <f>IF($P94&lt;&gt;1,0,SUMIFS('JLR Machines'!$I:$I,'JLR Machines'!$A:$A,$O94,'JLR Machines'!$C:$C,IF(Settings!$B$2="","&lt;&gt;",Settings!$B$2),'JLR Machines'!$D:$D,IF(Settings!$B$3="","&lt;&gt;",Settings!$B$3)))</f>
        <v>0</v>
      </c>
      <c r="T94">
        <f>IF($P94&lt;&gt;1,0,SUMIFS('JLR Machines'!$J:$J,'JLR Machines'!$A:$A,$O94,'JLR Machines'!$C:$C,IF(Settings!$B$2="","&lt;&gt;",Settings!$B$2),'JLR Machines'!$D:$D,IF(Settings!$B$3="","&lt;&gt;",Settings!$B$3)))</f>
        <v>0</v>
      </c>
      <c r="U94">
        <f>IF($P94&lt;&gt;1,0,SUMIFS('JLR Machines'!$K:$K,'JLR Machines'!$A:$A,$O94,'JLR Machines'!$C:$C,IF(Settings!$B$2="","&lt;&gt;",Settings!$B$2),'JLR Machines'!$D:$D,IF(Settings!$B$3="","&lt;&gt;",Settings!$B$3)))</f>
        <v>0</v>
      </c>
      <c r="V94">
        <f>IF($P94&lt;&gt;1,0,SUMIFS('JLR Machines'!$L:$L,'JLR Machines'!$A:$A,$O94,'JLR Machines'!$C:$C,IF(Settings!$B$2="","&lt;&gt;",Settings!$B$2),'JLR Machines'!$D:$D,IF(Settings!$B$3="","&lt;&gt;",Settings!$B$3)))</f>
        <v>0</v>
      </c>
      <c r="W94">
        <f>IF($P94&lt;&gt;1,0,SUMIFS('JLR Machines'!$M:$M,'JLR Machines'!$A:$A,$O94,'JLR Machines'!$C:$C,IF(Settings!$B$2="","&lt;&gt;",Settings!$B$2),'JLR Machines'!$D:$D,IF(Settings!$B$3="","&lt;&gt;",Settings!$B$3)))</f>
        <v>0</v>
      </c>
      <c r="X94">
        <f>IF($P94&lt;&gt;1,0,SUMIFS('JLR Machines'!$N:$N,'JLR Machines'!$A:$A,$O94,'JLR Machines'!$C:$C,IF(Settings!$B$2="","&lt;&gt;",Settings!$B$2),'JLR Machines'!$D:$D,IF(Settings!$B$3="","&lt;&gt;",Settings!$B$3)))</f>
        <v>0</v>
      </c>
      <c r="Y94">
        <f>$Q94+$R94+$S94+$T94+$U94+$V94+$W94</f>
        <v>0</v>
      </c>
      <c r="Z94">
        <f>IF($X94&lt;=0,0,ROUND((D94+E94+F94+G94+H94+I94)/5400-$X94,4))</f>
        <v>0</v>
      </c>
    </row>
    <row r="95">
      <c r="A95" t="str">
        <v>blow-deflash-trimmer</v>
      </c>
      <c r="B95" t="str">
        <v>Deflash Trim Robot / Station</v>
      </c>
      <c r="C95" t="str">
        <v>UK</v>
      </c>
      <c r="D95">
        <f>IF($X95&gt;0,IF($Y95&gt;0,MAX(0,$Q95+$X95-$Y95)*3400,$X95*3400),15000)</f>
        <v>15000</v>
      </c>
      <c r="E95">
        <f>IF($X95&gt;0,IF($Y95&gt;0,$S95*3400,0),6000)</f>
        <v>6000</v>
      </c>
      <c r="F95">
        <f>IF($X95&gt;0,IF($Y95&gt;0,$V95*3400,0),8000)</f>
        <v>8000</v>
      </c>
      <c r="G95">
        <f>IF($X95&gt;0,IF($Y95&gt;0,$R95*3400,0),6000)</f>
        <v>6000</v>
      </c>
      <c r="H95">
        <f>IF($X95&gt;0,IF($Y95&gt;0,($T95+$W95)*3400,0),3000)</f>
        <v>3000</v>
      </c>
      <c r="I95">
        <f>IF($X95&gt;0,IF($Y95&gt;0,$U95*3400,0),1875)</f>
        <v>1875</v>
      </c>
      <c r="J95">
        <v>4000</v>
      </c>
      <c r="K95">
        <v>0.85</v>
      </c>
      <c r="L95" t="str">
        <f>IF($X95&gt;0,IF($P95&lt;&gt;1,"2026-06-14",IFERROR(INDEX('JLR Machines'!$D:$D,MATCH($O95,'JLR Machines'!$A:$A,0)),"2026-06-14")),"2026-06-14")</f>
        <v>2026-06-14</v>
      </c>
      <c r="M95" t="str">
        <f>IF($X95&gt;0,IF($Y95&gt;0,"JLR machine "&amp;$O95&amp;" at "&amp;TEXT($X95,"0.00")&amp;" per hr — build-up as supplied","JLR machine "&amp;$O95&amp;" at "&amp;TEXT($X95,"0.00")&amp;" per hr — build-up not supplied"),"UK plastics benchmark Jun 2026. Automated deflash trim station / robot for EBM parts. Removes pinch-off flash from bottles, tanks, automotive parts. 6–15s per part cycle.")</f>
        <v>UK plastics benchmark Jun 2026. Automated deflash trim station / robot for EBM parts. Removes pinch-off flash from bottles, tanks, automotive parts. 6–15s per part cycle.</v>
      </c>
      <c r="N95" t="str">
        <v>Medium</v>
      </c>
      <c r="O95" t="str">
        <f>IFERROR(INDEX(Mapping!$C:$C,MATCH($A95,Mapping!$A:$A,0)),"")</f>
        <v/>
      </c>
      <c r="P95">
        <f>IF($O95="",0,COUNTIFS('JLR Machines'!$A:$A,$O95,'JLR Machines'!$C:$C,IF(Settings!$B$2="","&lt;&gt;",Settings!$B$2),'JLR Machines'!$D:$D,IF(Settings!$B$3="","&lt;&gt;",Settings!$B$3)))</f>
        <v>0</v>
      </c>
      <c r="Q95">
        <f>IF($P95&lt;&gt;1,0,SUMIFS('JLR Machines'!$G:$G,'JLR Machines'!$A:$A,$O95,'JLR Machines'!$C:$C,IF(Settings!$B$2="","&lt;&gt;",Settings!$B$2),'JLR Machines'!$D:$D,IF(Settings!$B$3="","&lt;&gt;",Settings!$B$3)))</f>
        <v>0</v>
      </c>
      <c r="R95">
        <f>IF($P95&lt;&gt;1,0,SUMIFS('JLR Machines'!$H:$H,'JLR Machines'!$A:$A,$O95,'JLR Machines'!$C:$C,IF(Settings!$B$2="","&lt;&gt;",Settings!$B$2),'JLR Machines'!$D:$D,IF(Settings!$B$3="","&lt;&gt;",Settings!$B$3)))</f>
        <v>0</v>
      </c>
      <c r="S95">
        <f>IF($P95&lt;&gt;1,0,SUMIFS('JLR Machines'!$I:$I,'JLR Machines'!$A:$A,$O95,'JLR Machines'!$C:$C,IF(Settings!$B$2="","&lt;&gt;",Settings!$B$2),'JLR Machines'!$D:$D,IF(Settings!$B$3="","&lt;&gt;",Settings!$B$3)))</f>
        <v>0</v>
      </c>
      <c r="T95">
        <f>IF($P95&lt;&gt;1,0,SUMIFS('JLR Machines'!$J:$J,'JLR Machines'!$A:$A,$O95,'JLR Machines'!$C:$C,IF(Settings!$B$2="","&lt;&gt;",Settings!$B$2),'JLR Machines'!$D:$D,IF(Settings!$B$3="","&lt;&gt;",Settings!$B$3)))</f>
        <v>0</v>
      </c>
      <c r="U95">
        <f>IF($P95&lt;&gt;1,0,SUMIFS('JLR Machines'!$K:$K,'JLR Machines'!$A:$A,$O95,'JLR Machines'!$C:$C,IF(Settings!$B$2="","&lt;&gt;",Settings!$B$2),'JLR Machines'!$D:$D,IF(Settings!$B$3="","&lt;&gt;",Settings!$B$3)))</f>
        <v>0</v>
      </c>
      <c r="V95">
        <f>IF($P95&lt;&gt;1,0,SUMIFS('JLR Machines'!$L:$L,'JLR Machines'!$A:$A,$O95,'JLR Machines'!$C:$C,IF(Settings!$B$2="","&lt;&gt;",Settings!$B$2),'JLR Machines'!$D:$D,IF(Settings!$B$3="","&lt;&gt;",Settings!$B$3)))</f>
        <v>0</v>
      </c>
      <c r="W95">
        <f>IF($P95&lt;&gt;1,0,SUMIFS('JLR Machines'!$M:$M,'JLR Machines'!$A:$A,$O95,'JLR Machines'!$C:$C,IF(Settings!$B$2="","&lt;&gt;",Settings!$B$2),'JLR Machines'!$D:$D,IF(Settings!$B$3="","&lt;&gt;",Settings!$B$3)))</f>
        <v>0</v>
      </c>
      <c r="X95">
        <f>IF($P95&lt;&gt;1,0,SUMIFS('JLR Machines'!$N:$N,'JLR Machines'!$A:$A,$O95,'JLR Machines'!$C:$C,IF(Settings!$B$2="","&lt;&gt;",Settings!$B$2),'JLR Machines'!$D:$D,IF(Settings!$B$3="","&lt;&gt;",Settings!$B$3)))</f>
        <v>0</v>
      </c>
      <c r="Y95">
        <f>$Q95+$R95+$S95+$T95+$U95+$V95+$W95</f>
        <v>0</v>
      </c>
      <c r="Z95">
        <f>IF($X95&lt;=0,0,ROUND((D95+E95+F95+G95+H95+I95)/3400-$X95,4))</f>
        <v>0</v>
      </c>
    </row>
    <row r="96">
      <c r="A96" t="str">
        <v>extruder-75mm</v>
      </c>
      <c r="B96" t="str">
        <v>Single Screw Extruder 75mm</v>
      </c>
      <c r="C96" t="str">
        <v>UK</v>
      </c>
      <c r="D96">
        <f>IF($X96&gt;0,IF($Y96&gt;0,MAX(0,$Q96+$X96-$Y96)*4100,$X96*4100),20000)</f>
        <v>20000</v>
      </c>
      <c r="E96">
        <f>IF($X96&gt;0,IF($Y96&gt;0,$S96*4100,0),8000)</f>
        <v>8000</v>
      </c>
      <c r="F96">
        <f>IF($X96&gt;0,IF($Y96&gt;0,$V96*4100,0),35000)</f>
        <v>35000</v>
      </c>
      <c r="G96">
        <f>IF($X96&gt;0,IF($Y96&gt;0,$R96*4100,0),5000)</f>
        <v>5000</v>
      </c>
      <c r="H96">
        <f>IF($X96&gt;0,IF($Y96&gt;0,($T96+$W96)*4100,0),4000)</f>
        <v>4000</v>
      </c>
      <c r="I96">
        <f>IF($X96&gt;0,IF($Y96&gt;0,$U96*4100,0),2500)</f>
        <v>2500</v>
      </c>
      <c r="J96">
        <v>5000</v>
      </c>
      <c r="K96">
        <v>0.82</v>
      </c>
      <c r="L96" t="str">
        <f>IF($X96&gt;0,IF($P96&lt;&gt;1,"2026-06-14",IFERROR(INDEX('JLR Machines'!$D:$D,MATCH($O96,'JLR Machines'!$A:$A,0)),"2026-06-14")),"2026-06-14")</f>
        <v>2026-06-14</v>
      </c>
      <c r="M96" t="str">
        <f>IF($X96&gt;0,IF($Y96&gt;0,"JLR machine "&amp;$O96&amp;" at "&amp;TEXT($X96,"0.00")&amp;" per hr — build-up as supplied","JLR machine "&amp;$O96&amp;" at "&amp;TEXT($X96,"0.00")&amp;" per hr — build-up not supplied"),"UK plastics benchmark. 75mm SSE for profile/pipe/sheet. ~200–400 kg/hr. Jun 2026")</f>
        <v>UK plastics benchmark. 75mm SSE for profile/pipe/sheet. ~200–400 kg/hr. Jun 2026</v>
      </c>
      <c r="N96" t="str">
        <v>Medium</v>
      </c>
      <c r="O96" t="str">
        <f>IFERROR(INDEX(Mapping!$C:$C,MATCH($A96,Mapping!$A:$A,0)),"")</f>
        <v/>
      </c>
      <c r="P96">
        <f>IF($O96="",0,COUNTIFS('JLR Machines'!$A:$A,$O96,'JLR Machines'!$C:$C,IF(Settings!$B$2="","&lt;&gt;",Settings!$B$2),'JLR Machines'!$D:$D,IF(Settings!$B$3="","&lt;&gt;",Settings!$B$3)))</f>
        <v>0</v>
      </c>
      <c r="Q96">
        <f>IF($P96&lt;&gt;1,0,SUMIFS('JLR Machines'!$G:$G,'JLR Machines'!$A:$A,$O96,'JLR Machines'!$C:$C,IF(Settings!$B$2="","&lt;&gt;",Settings!$B$2),'JLR Machines'!$D:$D,IF(Settings!$B$3="","&lt;&gt;",Settings!$B$3)))</f>
        <v>0</v>
      </c>
      <c r="R96">
        <f>IF($P96&lt;&gt;1,0,SUMIFS('JLR Machines'!$H:$H,'JLR Machines'!$A:$A,$O96,'JLR Machines'!$C:$C,IF(Settings!$B$2="","&lt;&gt;",Settings!$B$2),'JLR Machines'!$D:$D,IF(Settings!$B$3="","&lt;&gt;",Settings!$B$3)))</f>
        <v>0</v>
      </c>
      <c r="S96">
        <f>IF($P96&lt;&gt;1,0,SUMIFS('JLR Machines'!$I:$I,'JLR Machines'!$A:$A,$O96,'JLR Machines'!$C:$C,IF(Settings!$B$2="","&lt;&gt;",Settings!$B$2),'JLR Machines'!$D:$D,IF(Settings!$B$3="","&lt;&gt;",Settings!$B$3)))</f>
        <v>0</v>
      </c>
      <c r="T96">
        <f>IF($P96&lt;&gt;1,0,SUMIFS('JLR Machines'!$J:$J,'JLR Machines'!$A:$A,$O96,'JLR Machines'!$C:$C,IF(Settings!$B$2="","&lt;&gt;",Settings!$B$2),'JLR Machines'!$D:$D,IF(Settings!$B$3="","&lt;&gt;",Settings!$B$3)))</f>
        <v>0</v>
      </c>
      <c r="U96">
        <f>IF($P96&lt;&gt;1,0,SUMIFS('JLR Machines'!$K:$K,'JLR Machines'!$A:$A,$O96,'JLR Machines'!$C:$C,IF(Settings!$B$2="","&lt;&gt;",Settings!$B$2),'JLR Machines'!$D:$D,IF(Settings!$B$3="","&lt;&gt;",Settings!$B$3)))</f>
        <v>0</v>
      </c>
      <c r="V96">
        <f>IF($P96&lt;&gt;1,0,SUMIFS('JLR Machines'!$L:$L,'JLR Machines'!$A:$A,$O96,'JLR Machines'!$C:$C,IF(Settings!$B$2="","&lt;&gt;",Settings!$B$2),'JLR Machines'!$D:$D,IF(Settings!$B$3="","&lt;&gt;",Settings!$B$3)))</f>
        <v>0</v>
      </c>
      <c r="W96">
        <f>IF($P96&lt;&gt;1,0,SUMIFS('JLR Machines'!$M:$M,'JLR Machines'!$A:$A,$O96,'JLR Machines'!$C:$C,IF(Settings!$B$2="","&lt;&gt;",Settings!$B$2),'JLR Machines'!$D:$D,IF(Settings!$B$3="","&lt;&gt;",Settings!$B$3)))</f>
        <v>0</v>
      </c>
      <c r="X96">
        <f>IF($P96&lt;&gt;1,0,SUMIFS('JLR Machines'!$N:$N,'JLR Machines'!$A:$A,$O96,'JLR Machines'!$C:$C,IF(Settings!$B$2="","&lt;&gt;",Settings!$B$2),'JLR Machines'!$D:$D,IF(Settings!$B$3="","&lt;&gt;",Settings!$B$3)))</f>
        <v>0</v>
      </c>
      <c r="Y96">
        <f>$Q96+$R96+$S96+$T96+$U96+$V96+$W96</f>
        <v>0</v>
      </c>
      <c r="Z96">
        <f>IF($X96&lt;=0,0,ROUND((D96+E96+F96+G96+H96+I96)/4100-$X96,4))</f>
        <v>0</v>
      </c>
    </row>
    <row r="97">
      <c r="A97" t="str">
        <v>extruder-150mm</v>
      </c>
      <c r="B97" t="str">
        <v>Twin Screw Compounding/Extrusion Line 150mm</v>
      </c>
      <c r="C97" t="str">
        <v>UK</v>
      </c>
      <c r="D97">
        <f>IF($X97&gt;0,IF($Y97&gt;0,MAX(0,$Q97+$X97-$Y97)*4000,$X97*4000),80000)</f>
        <v>80000</v>
      </c>
      <c r="E97">
        <f>IF($X97&gt;0,IF($Y97&gt;0,$S97*4000,0),30000)</f>
        <v>30000</v>
      </c>
      <c r="F97">
        <f>IF($X97&gt;0,IF($Y97&gt;0,$V97*4000,0),70000)</f>
        <v>70000</v>
      </c>
      <c r="G97">
        <f>IF($X97&gt;0,IF($Y97&gt;0,$R97*4000,0),15000)</f>
        <v>15000</v>
      </c>
      <c r="H97">
        <f>IF($X97&gt;0,IF($Y97&gt;0,($T97+$W97)*4000,0),15000)</f>
        <v>15000</v>
      </c>
      <c r="I97">
        <f>IF($X97&gt;0,IF($Y97&gt;0,$U97*4000,0),10000)</f>
        <v>10000</v>
      </c>
      <c r="J97">
        <v>5000</v>
      </c>
      <c r="K97">
        <v>0.8</v>
      </c>
      <c r="L97" t="str">
        <f>IF($X97&gt;0,IF($P97&lt;&gt;1,"2026-06-14",IFERROR(INDEX('JLR Machines'!$D:$D,MATCH($O97,'JLR Machines'!$A:$A,0)),"2026-06-14")),"2026-06-14")</f>
        <v>2026-06-14</v>
      </c>
      <c r="M97" t="str">
        <f>IF($X97&gt;0,IF($Y97&gt;0,"JLR machine "&amp;$O97&amp;" at "&amp;TEXT($X97,"0.00")&amp;" per hr — build-up as supplied","JLR machine "&amp;$O97&amp;" at "&amp;TEXT($X97,"0.00")&amp;" per hr — build-up not supplied"),"UK plastics benchmark. 150mm TSE compounding/extrusion line. ~800–1500 kg/hr. Jun 2026")</f>
        <v>UK plastics benchmark. 150mm TSE compounding/extrusion line. ~800–1500 kg/hr. Jun 2026</v>
      </c>
      <c r="N97" t="str">
        <v>Medium</v>
      </c>
      <c r="O97" t="str">
        <f>IFERROR(INDEX(Mapping!$C:$C,MATCH($A97,Mapping!$A:$A,0)),"")</f>
        <v/>
      </c>
      <c r="P97">
        <f>IF($O97="",0,COUNTIFS('JLR Machines'!$A:$A,$O97,'JLR Machines'!$C:$C,IF(Settings!$B$2="","&lt;&gt;",Settings!$B$2),'JLR Machines'!$D:$D,IF(Settings!$B$3="","&lt;&gt;",Settings!$B$3)))</f>
        <v>0</v>
      </c>
      <c r="Q97">
        <f>IF($P97&lt;&gt;1,0,SUMIFS('JLR Machines'!$G:$G,'JLR Machines'!$A:$A,$O97,'JLR Machines'!$C:$C,IF(Settings!$B$2="","&lt;&gt;",Settings!$B$2),'JLR Machines'!$D:$D,IF(Settings!$B$3="","&lt;&gt;",Settings!$B$3)))</f>
        <v>0</v>
      </c>
      <c r="R97">
        <f>IF($P97&lt;&gt;1,0,SUMIFS('JLR Machines'!$H:$H,'JLR Machines'!$A:$A,$O97,'JLR Machines'!$C:$C,IF(Settings!$B$2="","&lt;&gt;",Settings!$B$2),'JLR Machines'!$D:$D,IF(Settings!$B$3="","&lt;&gt;",Settings!$B$3)))</f>
        <v>0</v>
      </c>
      <c r="S97">
        <f>IF($P97&lt;&gt;1,0,SUMIFS('JLR Machines'!$I:$I,'JLR Machines'!$A:$A,$O97,'JLR Machines'!$C:$C,IF(Settings!$B$2="","&lt;&gt;",Settings!$B$2),'JLR Machines'!$D:$D,IF(Settings!$B$3="","&lt;&gt;",Settings!$B$3)))</f>
        <v>0</v>
      </c>
      <c r="T97">
        <f>IF($P97&lt;&gt;1,0,SUMIFS('JLR Machines'!$J:$J,'JLR Machines'!$A:$A,$O97,'JLR Machines'!$C:$C,IF(Settings!$B$2="","&lt;&gt;",Settings!$B$2),'JLR Machines'!$D:$D,IF(Settings!$B$3="","&lt;&gt;",Settings!$B$3)))</f>
        <v>0</v>
      </c>
      <c r="U97">
        <f>IF($P97&lt;&gt;1,0,SUMIFS('JLR Machines'!$K:$K,'JLR Machines'!$A:$A,$O97,'JLR Machines'!$C:$C,IF(Settings!$B$2="","&lt;&gt;",Settings!$B$2),'JLR Machines'!$D:$D,IF(Settings!$B$3="","&lt;&gt;",Settings!$B$3)))</f>
        <v>0</v>
      </c>
      <c r="V97">
        <f>IF($P97&lt;&gt;1,0,SUMIFS('JLR Machines'!$L:$L,'JLR Machines'!$A:$A,$O97,'JLR Machines'!$C:$C,IF(Settings!$B$2="","&lt;&gt;",Settings!$B$2),'JLR Machines'!$D:$D,IF(Settings!$B$3="","&lt;&gt;",Settings!$B$3)))</f>
        <v>0</v>
      </c>
      <c r="W97">
        <f>IF($P97&lt;&gt;1,0,SUMIFS('JLR Machines'!$M:$M,'JLR Machines'!$A:$A,$O97,'JLR Machines'!$C:$C,IF(Settings!$B$2="","&lt;&gt;",Settings!$B$2),'JLR Machines'!$D:$D,IF(Settings!$B$3="","&lt;&gt;",Settings!$B$3)))</f>
        <v>0</v>
      </c>
      <c r="X97">
        <f>IF($P97&lt;&gt;1,0,SUMIFS('JLR Machines'!$N:$N,'JLR Machines'!$A:$A,$O97,'JLR Machines'!$C:$C,IF(Settings!$B$2="","&lt;&gt;",Settings!$B$2),'JLR Machines'!$D:$D,IF(Settings!$B$3="","&lt;&gt;",Settings!$B$3)))</f>
        <v>0</v>
      </c>
      <c r="Y97">
        <f>$Q97+$R97+$S97+$T97+$U97+$V97+$W97</f>
        <v>0</v>
      </c>
      <c r="Z97">
        <f>IF($X97&lt;=0,0,ROUND((D97+E97+F97+G97+H97+I97)/4000-$X97,4))</f>
        <v>0</v>
      </c>
    </row>
    <row r="98">
      <c r="A98" t="str">
        <v>extruder-pipe-line</v>
      </c>
      <c r="B98" t="str">
        <v>Pipe Extrusion Line 90mm (SSE + vacuum tank + haul-off + saw)</v>
      </c>
      <c r="C98" t="str">
        <v>UK</v>
      </c>
      <c r="D98">
        <f>IF($X98&gt;0,IF($Y98&gt;0,MAX(0,$Q98+$X98-$Y98)*5100,$X98*5100),45000)</f>
        <v>45000</v>
      </c>
      <c r="E98">
        <f>IF($X98&gt;0,IF($Y98&gt;0,$S98*5100,0),15000)</f>
        <v>15000</v>
      </c>
      <c r="F98">
        <f>IF($X98&gt;0,IF($Y98&gt;0,$V98*5100,0),55000)</f>
        <v>55000</v>
      </c>
      <c r="G98">
        <f>IF($X98&gt;0,IF($Y98&gt;0,$R98*5100,0),12000)</f>
        <v>12000</v>
      </c>
      <c r="H98">
        <f>IF($X98&gt;0,IF($Y98&gt;0,($T98+$W98)*5100,0),9000)</f>
        <v>9000</v>
      </c>
      <c r="I98">
        <f>IF($X98&gt;0,IF($Y98&gt;0,$U98*5100,0),6000)</f>
        <v>6000</v>
      </c>
      <c r="J98">
        <v>6000</v>
      </c>
      <c r="K98">
        <v>0.85</v>
      </c>
      <c r="L98" t="str">
        <f>IF($X98&gt;0,IF($P98&lt;&gt;1,"2026-06-14",IFERROR(INDEX('JLR Machines'!$D:$D,MATCH($O98,'JLR Machines'!$A:$A,0)),"2026-06-14")),"2026-06-14")</f>
        <v>2026-06-14</v>
      </c>
      <c r="M98" t="str">
        <f>IF($X98&gt;0,IF($Y98&gt;0,"JLR machine "&amp;$O98&amp;" at "&amp;TEXT($X98,"0.00")&amp;" per hr — build-up as supplied","JLR machine "&amp;$O98&amp;" at "&amp;TEXT($X98,"0.00")&amp;" per hr — build-up not supplied"),"UK plastics benchmark 2026-07. 90mm SSE pipe line — die, vacuum-sizing tank, spray cooling, caterpillar haul-off, planetary saw. PE/PVC pressure &amp; drainage pipe.")</f>
        <v>UK plastics benchmark 2026-07. 90mm SSE pipe line — die, vacuum-sizing tank, spray cooling, caterpillar haul-off, planetary saw. PE/PVC pressure &amp; drainage pipe.</v>
      </c>
      <c r="N98" t="str">
        <v>Medium</v>
      </c>
      <c r="O98" t="str">
        <f>IFERROR(INDEX(Mapping!$C:$C,MATCH($A98,Mapping!$A:$A,0)),"")</f>
        <v/>
      </c>
      <c r="P98">
        <f>IF($O98="",0,COUNTIFS('JLR Machines'!$A:$A,$O98,'JLR Machines'!$C:$C,IF(Settings!$B$2="","&lt;&gt;",Settings!$B$2),'JLR Machines'!$D:$D,IF(Settings!$B$3="","&lt;&gt;",Settings!$B$3)))</f>
        <v>0</v>
      </c>
      <c r="Q98">
        <f>IF($P98&lt;&gt;1,0,SUMIFS('JLR Machines'!$G:$G,'JLR Machines'!$A:$A,$O98,'JLR Machines'!$C:$C,IF(Settings!$B$2="","&lt;&gt;",Settings!$B$2),'JLR Machines'!$D:$D,IF(Settings!$B$3="","&lt;&gt;",Settings!$B$3)))</f>
        <v>0</v>
      </c>
      <c r="R98">
        <f>IF($P98&lt;&gt;1,0,SUMIFS('JLR Machines'!$H:$H,'JLR Machines'!$A:$A,$O98,'JLR Machines'!$C:$C,IF(Settings!$B$2="","&lt;&gt;",Settings!$B$2),'JLR Machines'!$D:$D,IF(Settings!$B$3="","&lt;&gt;",Settings!$B$3)))</f>
        <v>0</v>
      </c>
      <c r="S98">
        <f>IF($P98&lt;&gt;1,0,SUMIFS('JLR Machines'!$I:$I,'JLR Machines'!$A:$A,$O98,'JLR Machines'!$C:$C,IF(Settings!$B$2="","&lt;&gt;",Settings!$B$2),'JLR Machines'!$D:$D,IF(Settings!$B$3="","&lt;&gt;",Settings!$B$3)))</f>
        <v>0</v>
      </c>
      <c r="T98">
        <f>IF($P98&lt;&gt;1,0,SUMIFS('JLR Machines'!$J:$J,'JLR Machines'!$A:$A,$O98,'JLR Machines'!$C:$C,IF(Settings!$B$2="","&lt;&gt;",Settings!$B$2),'JLR Machines'!$D:$D,IF(Settings!$B$3="","&lt;&gt;",Settings!$B$3)))</f>
        <v>0</v>
      </c>
      <c r="U98">
        <f>IF($P98&lt;&gt;1,0,SUMIFS('JLR Machines'!$K:$K,'JLR Machines'!$A:$A,$O98,'JLR Machines'!$C:$C,IF(Settings!$B$2="","&lt;&gt;",Settings!$B$2),'JLR Machines'!$D:$D,IF(Settings!$B$3="","&lt;&gt;",Settings!$B$3)))</f>
        <v>0</v>
      </c>
      <c r="V98">
        <f>IF($P98&lt;&gt;1,0,SUMIFS('JLR Machines'!$L:$L,'JLR Machines'!$A:$A,$O98,'JLR Machines'!$C:$C,IF(Settings!$B$2="","&lt;&gt;",Settings!$B$2),'JLR Machines'!$D:$D,IF(Settings!$B$3="","&lt;&gt;",Settings!$B$3)))</f>
        <v>0</v>
      </c>
      <c r="W98">
        <f>IF($P98&lt;&gt;1,0,SUMIFS('JLR Machines'!$M:$M,'JLR Machines'!$A:$A,$O98,'JLR Machines'!$C:$C,IF(Settings!$B$2="","&lt;&gt;",Settings!$B$2),'JLR Machines'!$D:$D,IF(Settings!$B$3="","&lt;&gt;",Settings!$B$3)))</f>
        <v>0</v>
      </c>
      <c r="X98">
        <f>IF($P98&lt;&gt;1,0,SUMIFS('JLR Machines'!$N:$N,'JLR Machines'!$A:$A,$O98,'JLR Machines'!$C:$C,IF(Settings!$B$2="","&lt;&gt;",Settings!$B$2),'JLR Machines'!$D:$D,IF(Settings!$B$3="","&lt;&gt;",Settings!$B$3)))</f>
        <v>0</v>
      </c>
      <c r="Y98">
        <f>$Q98+$R98+$S98+$T98+$U98+$V98+$W98</f>
        <v>0</v>
      </c>
      <c r="Z98">
        <f>IF($X98&lt;=0,0,ROUND((D98+E98+F98+G98+H98+I98)/5100-$X98,4))</f>
        <v>0</v>
      </c>
    </row>
    <row r="99">
      <c r="A99" t="str">
        <v>extruder-profile-line</v>
      </c>
      <c r="B99" t="str">
        <v>Profile Extrusion Line 75mm (SSE + calibration table + haul-off)</v>
      </c>
      <c r="C99" t="str">
        <v>UK</v>
      </c>
      <c r="D99">
        <f>IF($X99&gt;0,IF($Y99&gt;0,MAX(0,$Q99+$X99-$Y99)*4400,$X99*4400),30000)</f>
        <v>30000</v>
      </c>
      <c r="E99">
        <f>IF($X99&gt;0,IF($Y99&gt;0,$S99*4400,0),12000)</f>
        <v>12000</v>
      </c>
      <c r="F99">
        <f>IF($X99&gt;0,IF($Y99&gt;0,$V99*4400,0),40000)</f>
        <v>40000</v>
      </c>
      <c r="G99">
        <f>IF($X99&gt;0,IF($Y99&gt;0,$R99*4400,0),8000)</f>
        <v>8000</v>
      </c>
      <c r="H99">
        <f>IF($X99&gt;0,IF($Y99&gt;0,($T99+$W99)*4400,0),7000)</f>
        <v>7000</v>
      </c>
      <c r="I99">
        <f>IF($X99&gt;0,IF($Y99&gt;0,$U99*4400,0),4000)</f>
        <v>4000</v>
      </c>
      <c r="J99">
        <v>5500</v>
      </c>
      <c r="K99">
        <v>0.8</v>
      </c>
      <c r="L99" t="str">
        <f>IF($X99&gt;0,IF($P99&lt;&gt;1,"2026-06-14",IFERROR(INDEX('JLR Machines'!$D:$D,MATCH($O99,'JLR Machines'!$A:$A,0)),"2026-06-14")),"2026-06-14")</f>
        <v>2026-06-14</v>
      </c>
      <c r="M99" t="str">
        <f>IF($X99&gt;0,IF($Y99&gt;0,"JLR machine "&amp;$O99&amp;" at "&amp;TEXT($X99,"0.00")&amp;" per hr — build-up as supplied","JLR machine "&amp;$O99&amp;" at "&amp;TEXT($X99,"0.00")&amp;" per hr — build-up not supplied"),"UK plastics benchmark 2026-07. 75mm SSE profile line — dry/vacuum calibration table, cooling, haul-off, cut-off. Window/trim/seal profiles.")</f>
        <v>UK plastics benchmark 2026-07. 75mm SSE profile line — dry/vacuum calibration table, cooling, haul-off, cut-off. Window/trim/seal profiles.</v>
      </c>
      <c r="N99" t="str">
        <v>Medium</v>
      </c>
      <c r="O99" t="str">
        <f>IFERROR(INDEX(Mapping!$C:$C,MATCH($A99,Mapping!$A:$A,0)),"")</f>
        <v/>
      </c>
      <c r="P99">
        <f>IF($O99="",0,COUNTIFS('JLR Machines'!$A:$A,$O99,'JLR Machines'!$C:$C,IF(Settings!$B$2="","&lt;&gt;",Settings!$B$2),'JLR Machines'!$D:$D,IF(Settings!$B$3="","&lt;&gt;",Settings!$B$3)))</f>
        <v>0</v>
      </c>
      <c r="Q99">
        <f>IF($P99&lt;&gt;1,0,SUMIFS('JLR Machines'!$G:$G,'JLR Machines'!$A:$A,$O99,'JLR Machines'!$C:$C,IF(Settings!$B$2="","&lt;&gt;",Settings!$B$2),'JLR Machines'!$D:$D,IF(Settings!$B$3="","&lt;&gt;",Settings!$B$3)))</f>
        <v>0</v>
      </c>
      <c r="R99">
        <f>IF($P99&lt;&gt;1,0,SUMIFS('JLR Machines'!$H:$H,'JLR Machines'!$A:$A,$O99,'JLR Machines'!$C:$C,IF(Settings!$B$2="","&lt;&gt;",Settings!$B$2),'JLR Machines'!$D:$D,IF(Settings!$B$3="","&lt;&gt;",Settings!$B$3)))</f>
        <v>0</v>
      </c>
      <c r="S99">
        <f>IF($P99&lt;&gt;1,0,SUMIFS('JLR Machines'!$I:$I,'JLR Machines'!$A:$A,$O99,'JLR Machines'!$C:$C,IF(Settings!$B$2="","&lt;&gt;",Settings!$B$2),'JLR Machines'!$D:$D,IF(Settings!$B$3="","&lt;&gt;",Settings!$B$3)))</f>
        <v>0</v>
      </c>
      <c r="T99">
        <f>IF($P99&lt;&gt;1,0,SUMIFS('JLR Machines'!$J:$J,'JLR Machines'!$A:$A,$O99,'JLR Machines'!$C:$C,IF(Settings!$B$2="","&lt;&gt;",Settings!$B$2),'JLR Machines'!$D:$D,IF(Settings!$B$3="","&lt;&gt;",Settings!$B$3)))</f>
        <v>0</v>
      </c>
      <c r="U99">
        <f>IF($P99&lt;&gt;1,0,SUMIFS('JLR Machines'!$K:$K,'JLR Machines'!$A:$A,$O99,'JLR Machines'!$C:$C,IF(Settings!$B$2="","&lt;&gt;",Settings!$B$2),'JLR Machines'!$D:$D,IF(Settings!$B$3="","&lt;&gt;",Settings!$B$3)))</f>
        <v>0</v>
      </c>
      <c r="V99">
        <f>IF($P99&lt;&gt;1,0,SUMIFS('JLR Machines'!$L:$L,'JLR Machines'!$A:$A,$O99,'JLR Machines'!$C:$C,IF(Settings!$B$2="","&lt;&gt;",Settings!$B$2),'JLR Machines'!$D:$D,IF(Settings!$B$3="","&lt;&gt;",Settings!$B$3)))</f>
        <v>0</v>
      </c>
      <c r="W99">
        <f>IF($P99&lt;&gt;1,0,SUMIFS('JLR Machines'!$M:$M,'JLR Machines'!$A:$A,$O99,'JLR Machines'!$C:$C,IF(Settings!$B$2="","&lt;&gt;",Settings!$B$2),'JLR Machines'!$D:$D,IF(Settings!$B$3="","&lt;&gt;",Settings!$B$3)))</f>
        <v>0</v>
      </c>
      <c r="X99">
        <f>IF($P99&lt;&gt;1,0,SUMIFS('JLR Machines'!$N:$N,'JLR Machines'!$A:$A,$O99,'JLR Machines'!$C:$C,IF(Settings!$B$2="","&lt;&gt;",Settings!$B$2),'JLR Machines'!$D:$D,IF(Settings!$B$3="","&lt;&gt;",Settings!$B$3)))</f>
        <v>0</v>
      </c>
      <c r="Y99">
        <f>$Q99+$R99+$S99+$T99+$U99+$V99+$W99</f>
        <v>0</v>
      </c>
      <c r="Z99">
        <f>IF($X99&lt;=0,0,ROUND((D99+E99+F99+G99+H99+I99)/4400-$X99,4))</f>
        <v>0</v>
      </c>
    </row>
    <row r="100">
      <c r="A100" t="str">
        <v>extruder-sheet-line</v>
      </c>
      <c r="B100" t="str">
        <v>Sheet Extrusion Line (die + 3-roll stack + winder)</v>
      </c>
      <c r="C100" t="str">
        <v>UK</v>
      </c>
      <c r="D100">
        <f>IF($X100&gt;0,IF($Y100&gt;0,MAX(0,$Q100+$X100-$Y100)*4920,$X100*4920),90000)</f>
        <v>90000</v>
      </c>
      <c r="E100">
        <f>IF($X100&gt;0,IF($Y100&gt;0,$S100*4920,0),32000)</f>
        <v>32000</v>
      </c>
      <c r="F100">
        <f>IF($X100&gt;0,IF($Y100&gt;0,$V100*4920,0),85000)</f>
        <v>85000</v>
      </c>
      <c r="G100">
        <f>IF($X100&gt;0,IF($Y100&gt;0,$R100*4920,0),20000)</f>
        <v>20000</v>
      </c>
      <c r="H100">
        <f>IF($X100&gt;0,IF($Y100&gt;0,($T100+$W100)*4920,0),16000)</f>
        <v>16000</v>
      </c>
      <c r="I100">
        <f>IF($X100&gt;0,IF($Y100&gt;0,$U100*4920,0),11000)</f>
        <v>11000</v>
      </c>
      <c r="J100">
        <v>6000</v>
      </c>
      <c r="K100">
        <v>0.82</v>
      </c>
      <c r="L100" t="str">
        <f>IF($X100&gt;0,IF($P100&lt;&gt;1,"2026-06-14",IFERROR(INDEX('JLR Machines'!$D:$D,MATCH($O100,'JLR Machines'!$A:$A,0)),"2026-06-14")),"2026-06-14")</f>
        <v>2026-06-14</v>
      </c>
      <c r="M100" t="str">
        <f>IF($X100&gt;0,IF($Y100&gt;0,"JLR machine "&amp;$O100&amp;" at "&amp;TEXT($X100,"0.00")&amp;" per hr — build-up as supplied","JLR machine "&amp;$O100&amp;" at "&amp;TEXT($X100,"0.00")&amp;" per hr — build-up not supplied"),"UK plastics benchmark 2026-07. Sheet line — coat-hanger die, polished 3-roll calender stack, edge-trim, thickness gauging, winder/guillotine. PS/PP/PET/ABS sheet.")</f>
        <v>UK plastics benchmark 2026-07. Sheet line — coat-hanger die, polished 3-roll calender stack, edge-trim, thickness gauging, winder/guillotine. PS/PP/PET/ABS sheet.</v>
      </c>
      <c r="N100" t="str">
        <v>Medium</v>
      </c>
      <c r="O100" t="str">
        <f>IFERROR(INDEX(Mapping!$C:$C,MATCH($A100,Mapping!$A:$A,0)),"")</f>
        <v/>
      </c>
      <c r="P100">
        <f>IF($O100="",0,COUNTIFS('JLR Machines'!$A:$A,$O100,'JLR Machines'!$C:$C,IF(Settings!$B$2="","&lt;&gt;",Settings!$B$2),'JLR Machines'!$D:$D,IF(Settings!$B$3="","&lt;&gt;",Settings!$B$3)))</f>
        <v>0</v>
      </c>
      <c r="Q100">
        <f>IF($P100&lt;&gt;1,0,SUMIFS('JLR Machines'!$G:$G,'JLR Machines'!$A:$A,$O100,'JLR Machines'!$C:$C,IF(Settings!$B$2="","&lt;&gt;",Settings!$B$2),'JLR Machines'!$D:$D,IF(Settings!$B$3="","&lt;&gt;",Settings!$B$3)))</f>
        <v>0</v>
      </c>
      <c r="R100">
        <f>IF($P100&lt;&gt;1,0,SUMIFS('JLR Machines'!$H:$H,'JLR Machines'!$A:$A,$O100,'JLR Machines'!$C:$C,IF(Settings!$B$2="","&lt;&gt;",Settings!$B$2),'JLR Machines'!$D:$D,IF(Settings!$B$3="","&lt;&gt;",Settings!$B$3)))</f>
        <v>0</v>
      </c>
      <c r="S100">
        <f>IF($P100&lt;&gt;1,0,SUMIFS('JLR Machines'!$I:$I,'JLR Machines'!$A:$A,$O100,'JLR Machines'!$C:$C,IF(Settings!$B$2="","&lt;&gt;",Settings!$B$2),'JLR Machines'!$D:$D,IF(Settings!$B$3="","&lt;&gt;",Settings!$B$3)))</f>
        <v>0</v>
      </c>
      <c r="T100">
        <f>IF($P100&lt;&gt;1,0,SUMIFS('JLR Machines'!$J:$J,'JLR Machines'!$A:$A,$O100,'JLR Machines'!$C:$C,IF(Settings!$B$2="","&lt;&gt;",Settings!$B$2),'JLR Machines'!$D:$D,IF(Settings!$B$3="","&lt;&gt;",Settings!$B$3)))</f>
        <v>0</v>
      </c>
      <c r="U100">
        <f>IF($P100&lt;&gt;1,0,SUMIFS('JLR Machines'!$K:$K,'JLR Machines'!$A:$A,$O100,'JLR Machines'!$C:$C,IF(Settings!$B$2="","&lt;&gt;",Settings!$B$2),'JLR Machines'!$D:$D,IF(Settings!$B$3="","&lt;&gt;",Settings!$B$3)))</f>
        <v>0</v>
      </c>
      <c r="V100">
        <f>IF($P100&lt;&gt;1,0,SUMIFS('JLR Machines'!$L:$L,'JLR Machines'!$A:$A,$O100,'JLR Machines'!$C:$C,IF(Settings!$B$2="","&lt;&gt;",Settings!$B$2),'JLR Machines'!$D:$D,IF(Settings!$B$3="","&lt;&gt;",Settings!$B$3)))</f>
        <v>0</v>
      </c>
      <c r="W100">
        <f>IF($P100&lt;&gt;1,0,SUMIFS('JLR Machines'!$M:$M,'JLR Machines'!$A:$A,$O100,'JLR Machines'!$C:$C,IF(Settings!$B$2="","&lt;&gt;",Settings!$B$2),'JLR Machines'!$D:$D,IF(Settings!$B$3="","&lt;&gt;",Settings!$B$3)))</f>
        <v>0</v>
      </c>
      <c r="X100">
        <f>IF($P100&lt;&gt;1,0,SUMIFS('JLR Machines'!$N:$N,'JLR Machines'!$A:$A,$O100,'JLR Machines'!$C:$C,IF(Settings!$B$2="","&lt;&gt;",Settings!$B$2),'JLR Machines'!$D:$D,IF(Settings!$B$3="","&lt;&gt;",Settings!$B$3)))</f>
        <v>0</v>
      </c>
      <c r="Y100">
        <f>$Q100+$R100+$S100+$T100+$U100+$V100+$W100</f>
        <v>0</v>
      </c>
      <c r="Z100">
        <f>IF($X100&lt;=0,0,ROUND((D100+E100+F100+G100+H100+I100)/4920-$X100,4))</f>
        <v>0</v>
      </c>
    </row>
    <row r="101">
      <c r="A101" t="str">
        <v>extruder-cable-line</v>
      </c>
      <c r="B101" t="str">
        <v>Cable/Wire Line (crosshead + CV/cooling + capstan)</v>
      </c>
      <c r="C101" t="str">
        <v>UK</v>
      </c>
      <c r="D101">
        <f>IF($X101&gt;0,IF($Y101&gt;0,MAX(0,$Q101+$X101-$Y101)*5525,$X101*5525),40000)</f>
        <v>40000</v>
      </c>
      <c r="E101">
        <f>IF($X101&gt;0,IF($Y101&gt;0,$S101*5525,0),14000)</f>
        <v>14000</v>
      </c>
      <c r="F101">
        <f>IF($X101&gt;0,IF($Y101&gt;0,$V101*5525,0),45000)</f>
        <v>45000</v>
      </c>
      <c r="G101">
        <f>IF($X101&gt;0,IF($Y101&gt;0,$R101*5525,0),10000)</f>
        <v>10000</v>
      </c>
      <c r="H101">
        <f>IF($X101&gt;0,IF($Y101&gt;0,($T101+$W101)*5525,0),8000)</f>
        <v>8000</v>
      </c>
      <c r="I101">
        <f>IF($X101&gt;0,IF($Y101&gt;0,$U101*5525,0),5000)</f>
        <v>5000</v>
      </c>
      <c r="J101">
        <v>6500</v>
      </c>
      <c r="K101">
        <v>0.85</v>
      </c>
      <c r="L101" t="str">
        <f>IF($X101&gt;0,IF($P101&lt;&gt;1,"2026-06-14",IFERROR(INDEX('JLR Machines'!$D:$D,MATCH($O101,'JLR Machines'!$A:$A,0)),"2026-06-14")),"2026-06-14")</f>
        <v>2026-06-14</v>
      </c>
      <c r="M101" t="str">
        <f>IF($X101&gt;0,IF($Y101&gt;0,"JLR machine "&amp;$O101&amp;" at "&amp;TEXT($X101,"0.00")&amp;" per hr — build-up as supplied","JLR machine "&amp;$O101&amp;" at "&amp;TEXT($X101,"0.00")&amp;" per hr — build-up not supplied"),"UK cable benchmark 2026-07. Crosshead wire/cable coating line — pay-off, crosshead die, cooling trough or CV, spark test, capstan, take-up. PVC/XLPE insulation &amp; sheathing.")</f>
        <v>UK cable benchmark 2026-07. Crosshead wire/cable coating line — pay-off, crosshead die, cooling trough or CV, spark test, capstan, take-up. PVC/XLPE insulation &amp; sheathing.</v>
      </c>
      <c r="N101" t="str">
        <v>Medium</v>
      </c>
      <c r="O101" t="str">
        <f>IFERROR(INDEX(Mapping!$C:$C,MATCH($A101,Mapping!$A:$A,0)),"")</f>
        <v/>
      </c>
      <c r="P101">
        <f>IF($O101="",0,COUNTIFS('JLR Machines'!$A:$A,$O101,'JLR Machines'!$C:$C,IF(Settings!$B$2="","&lt;&gt;",Settings!$B$2),'JLR Machines'!$D:$D,IF(Settings!$B$3="","&lt;&gt;",Settings!$B$3)))</f>
        <v>0</v>
      </c>
      <c r="Q101">
        <f>IF($P101&lt;&gt;1,0,SUMIFS('JLR Machines'!$G:$G,'JLR Machines'!$A:$A,$O101,'JLR Machines'!$C:$C,IF(Settings!$B$2="","&lt;&gt;",Settings!$B$2),'JLR Machines'!$D:$D,IF(Settings!$B$3="","&lt;&gt;",Settings!$B$3)))</f>
        <v>0</v>
      </c>
      <c r="R101">
        <f>IF($P101&lt;&gt;1,0,SUMIFS('JLR Machines'!$H:$H,'JLR Machines'!$A:$A,$O101,'JLR Machines'!$C:$C,IF(Settings!$B$2="","&lt;&gt;",Settings!$B$2),'JLR Machines'!$D:$D,IF(Settings!$B$3="","&lt;&gt;",Settings!$B$3)))</f>
        <v>0</v>
      </c>
      <c r="S101">
        <f>IF($P101&lt;&gt;1,0,SUMIFS('JLR Machines'!$I:$I,'JLR Machines'!$A:$A,$O101,'JLR Machines'!$C:$C,IF(Settings!$B$2="","&lt;&gt;",Settings!$B$2),'JLR Machines'!$D:$D,IF(Settings!$B$3="","&lt;&gt;",Settings!$B$3)))</f>
        <v>0</v>
      </c>
      <c r="T101">
        <f>IF($P101&lt;&gt;1,0,SUMIFS('JLR Machines'!$J:$J,'JLR Machines'!$A:$A,$O101,'JLR Machines'!$C:$C,IF(Settings!$B$2="","&lt;&gt;",Settings!$B$2),'JLR Machines'!$D:$D,IF(Settings!$B$3="","&lt;&gt;",Settings!$B$3)))</f>
        <v>0</v>
      </c>
      <c r="U101">
        <f>IF($P101&lt;&gt;1,0,SUMIFS('JLR Machines'!$K:$K,'JLR Machines'!$A:$A,$O101,'JLR Machines'!$C:$C,IF(Settings!$B$2="","&lt;&gt;",Settings!$B$2),'JLR Machines'!$D:$D,IF(Settings!$B$3="","&lt;&gt;",Settings!$B$3)))</f>
        <v>0</v>
      </c>
      <c r="V101">
        <f>IF($P101&lt;&gt;1,0,SUMIFS('JLR Machines'!$L:$L,'JLR Machines'!$A:$A,$O101,'JLR Machines'!$C:$C,IF(Settings!$B$2="","&lt;&gt;",Settings!$B$2),'JLR Machines'!$D:$D,IF(Settings!$B$3="","&lt;&gt;",Settings!$B$3)))</f>
        <v>0</v>
      </c>
      <c r="W101">
        <f>IF($P101&lt;&gt;1,0,SUMIFS('JLR Machines'!$M:$M,'JLR Machines'!$A:$A,$O101,'JLR Machines'!$C:$C,IF(Settings!$B$2="","&lt;&gt;",Settings!$B$2),'JLR Machines'!$D:$D,IF(Settings!$B$3="","&lt;&gt;",Settings!$B$3)))</f>
        <v>0</v>
      </c>
      <c r="X101">
        <f>IF($P101&lt;&gt;1,0,SUMIFS('JLR Machines'!$N:$N,'JLR Machines'!$A:$A,$O101,'JLR Machines'!$C:$C,IF(Settings!$B$2="","&lt;&gt;",Settings!$B$2),'JLR Machines'!$D:$D,IF(Settings!$B$3="","&lt;&gt;",Settings!$B$3)))</f>
        <v>0</v>
      </c>
      <c r="Y101">
        <f>$Q101+$R101+$S101+$T101+$U101+$V101+$W101</f>
        <v>0</v>
      </c>
      <c r="Z101">
        <f>IF($X101&lt;=0,0,ROUND((D101+E101+F101+G101+H101+I101)/5525-$X101,4))</f>
        <v>0</v>
      </c>
    </row>
    <row r="102">
      <c r="A102" t="str">
        <v>extruder-coex-3</v>
      </c>
      <c r="B102" t="str">
        <v>3-Layer Co-Extrusion Line (3 extruders + feed block/manifold die)</v>
      </c>
      <c r="C102" t="str">
        <v>UK</v>
      </c>
      <c r="D102">
        <f>IF($X102&gt;0,IF($Y102&gt;0,MAX(0,$Q102+$X102-$Y102)*4800,$X102*4800),120000)</f>
        <v>120000</v>
      </c>
      <c r="E102">
        <f>IF($X102&gt;0,IF($Y102&gt;0,$S102*4800,0),40000)</f>
        <v>40000</v>
      </c>
      <c r="F102">
        <f>IF($X102&gt;0,IF($Y102&gt;0,$V102*4800,0),95000)</f>
        <v>95000</v>
      </c>
      <c r="G102">
        <f>IF($X102&gt;0,IF($Y102&gt;0,$R102*4800,0),22000)</f>
        <v>22000</v>
      </c>
      <c r="H102">
        <f>IF($X102&gt;0,IF($Y102&gt;0,($T102+$W102)*4800,0),20000)</f>
        <v>20000</v>
      </c>
      <c r="I102">
        <f>IF($X102&gt;0,IF($Y102&gt;0,$U102*4800,0),14000)</f>
        <v>14000</v>
      </c>
      <c r="J102">
        <v>6000</v>
      </c>
      <c r="K102">
        <v>0.8</v>
      </c>
      <c r="L102" t="str">
        <f>IF($X102&gt;0,IF($P102&lt;&gt;1,"2026-06-14",IFERROR(INDEX('JLR Machines'!$D:$D,MATCH($O102,'JLR Machines'!$A:$A,0)),"2026-06-14")),"2026-06-14")</f>
        <v>2026-06-14</v>
      </c>
      <c r="M102" t="str">
        <f>IF($X102&gt;0,IF($Y102&gt;0,"JLR machine "&amp;$O102&amp;" at "&amp;TEXT($X102,"0.00")&amp;" per hr — build-up as supplied","JLR machine "&amp;$O102&amp;" at "&amp;TEXT($X102,"0.00")&amp;" per hr — build-up not supplied"),"UK plastics benchmark 2026-07. 3-extruder co-extrusion line — feed-block/multi-manifold die for skin/tie/barrier layers. Barrier pipe, weatherseals, packaging sheet.")</f>
        <v>UK plastics benchmark 2026-07. 3-extruder co-extrusion line — feed-block/multi-manifold die for skin/tie/barrier layers. Barrier pipe, weatherseals, packaging sheet.</v>
      </c>
      <c r="N102" t="str">
        <v>Medium</v>
      </c>
      <c r="O102" t="str">
        <f>IFERROR(INDEX(Mapping!$C:$C,MATCH($A102,Mapping!$A:$A,0)),"")</f>
        <v/>
      </c>
      <c r="P102">
        <f>IF($O102="",0,COUNTIFS('JLR Machines'!$A:$A,$O102,'JLR Machines'!$C:$C,IF(Settings!$B$2="","&lt;&gt;",Settings!$B$2),'JLR Machines'!$D:$D,IF(Settings!$B$3="","&lt;&gt;",Settings!$B$3)))</f>
        <v>0</v>
      </c>
      <c r="Q102">
        <f>IF($P102&lt;&gt;1,0,SUMIFS('JLR Machines'!$G:$G,'JLR Machines'!$A:$A,$O102,'JLR Machines'!$C:$C,IF(Settings!$B$2="","&lt;&gt;",Settings!$B$2),'JLR Machines'!$D:$D,IF(Settings!$B$3="","&lt;&gt;",Settings!$B$3)))</f>
        <v>0</v>
      </c>
      <c r="R102">
        <f>IF($P102&lt;&gt;1,0,SUMIFS('JLR Machines'!$H:$H,'JLR Machines'!$A:$A,$O102,'JLR Machines'!$C:$C,IF(Settings!$B$2="","&lt;&gt;",Settings!$B$2),'JLR Machines'!$D:$D,IF(Settings!$B$3="","&lt;&gt;",Settings!$B$3)))</f>
        <v>0</v>
      </c>
      <c r="S102">
        <f>IF($P102&lt;&gt;1,0,SUMIFS('JLR Machines'!$I:$I,'JLR Machines'!$A:$A,$O102,'JLR Machines'!$C:$C,IF(Settings!$B$2="","&lt;&gt;",Settings!$B$2),'JLR Machines'!$D:$D,IF(Settings!$B$3="","&lt;&gt;",Settings!$B$3)))</f>
        <v>0</v>
      </c>
      <c r="T102">
        <f>IF($P102&lt;&gt;1,0,SUMIFS('JLR Machines'!$J:$J,'JLR Machines'!$A:$A,$O102,'JLR Machines'!$C:$C,IF(Settings!$B$2="","&lt;&gt;",Settings!$B$2),'JLR Machines'!$D:$D,IF(Settings!$B$3="","&lt;&gt;",Settings!$B$3)))</f>
        <v>0</v>
      </c>
      <c r="U102">
        <f>IF($P102&lt;&gt;1,0,SUMIFS('JLR Machines'!$K:$K,'JLR Machines'!$A:$A,$O102,'JLR Machines'!$C:$C,IF(Settings!$B$2="","&lt;&gt;",Settings!$B$2),'JLR Machines'!$D:$D,IF(Settings!$B$3="","&lt;&gt;",Settings!$B$3)))</f>
        <v>0</v>
      </c>
      <c r="V102">
        <f>IF($P102&lt;&gt;1,0,SUMIFS('JLR Machines'!$L:$L,'JLR Machines'!$A:$A,$O102,'JLR Machines'!$C:$C,IF(Settings!$B$2="","&lt;&gt;",Settings!$B$2),'JLR Machines'!$D:$D,IF(Settings!$B$3="","&lt;&gt;",Settings!$B$3)))</f>
        <v>0</v>
      </c>
      <c r="W102">
        <f>IF($P102&lt;&gt;1,0,SUMIFS('JLR Machines'!$M:$M,'JLR Machines'!$A:$A,$O102,'JLR Machines'!$C:$C,IF(Settings!$B$2="","&lt;&gt;",Settings!$B$2),'JLR Machines'!$D:$D,IF(Settings!$B$3="","&lt;&gt;",Settings!$B$3)))</f>
        <v>0</v>
      </c>
      <c r="X102">
        <f>IF($P102&lt;&gt;1,0,SUMIFS('JLR Machines'!$N:$N,'JLR Machines'!$A:$A,$O102,'JLR Machines'!$C:$C,IF(Settings!$B$2="","&lt;&gt;",Settings!$B$2),'JLR Machines'!$D:$D,IF(Settings!$B$3="","&lt;&gt;",Settings!$B$3)))</f>
        <v>0</v>
      </c>
      <c r="Y102">
        <f>$Q102+$R102+$S102+$T102+$U102+$V102+$W102</f>
        <v>0</v>
      </c>
      <c r="Z102">
        <f>IF($X102&lt;=0,0,ROUND((D102+E102+F102+G102+H102+I102)/4800-$X102,4))</f>
        <v>0</v>
      </c>
    </row>
    <row r="103">
      <c r="A103" t="str">
        <v>extruder-micro-tube</v>
      </c>
      <c r="B103" t="str">
        <v>Medical Micro-Tubing Line (precision + laser gauge + cleanroom-ready)</v>
      </c>
      <c r="C103" t="str">
        <v>UK</v>
      </c>
      <c r="D103">
        <f>IF($X103&gt;0,IF($Y103&gt;0,MAX(0,$Q103+$X103-$Y103)*3750,$X103*3750),60000)</f>
        <v>60000</v>
      </c>
      <c r="E103">
        <f>IF($X103&gt;0,IF($Y103&gt;0,$S103*3750,0),18000)</f>
        <v>18000</v>
      </c>
      <c r="F103">
        <f>IF($X103&gt;0,IF($Y103&gt;0,$V103*3750,0),30000)</f>
        <v>30000</v>
      </c>
      <c r="G103">
        <f>IF($X103&gt;0,IF($Y103&gt;0,$R103*3750,0),8000)</f>
        <v>8000</v>
      </c>
      <c r="H103">
        <f>IF($X103&gt;0,IF($Y103&gt;0,($T103+$W103)*3750,0),12000)</f>
        <v>12000</v>
      </c>
      <c r="I103">
        <f>IF($X103&gt;0,IF($Y103&gt;0,$U103*3750,0),7000)</f>
        <v>7000</v>
      </c>
      <c r="J103">
        <v>5000</v>
      </c>
      <c r="K103">
        <v>0.75</v>
      </c>
      <c r="L103" t="str">
        <f>IF($X103&gt;0,IF($P103&lt;&gt;1,"2026-06-14",IFERROR(INDEX('JLR Machines'!$D:$D,MATCH($O103,'JLR Machines'!$A:$A,0)),"2026-06-14")),"2026-06-14")</f>
        <v>2026-06-14</v>
      </c>
      <c r="M103" t="str">
        <f>IF($X103&gt;0,IF($Y103&gt;0,"JLR machine "&amp;$O103&amp;" at "&amp;TEXT($X103,"0.00")&amp;" per hr — build-up as supplied","JLR machine "&amp;$O103&amp;" at "&amp;TEXT($X103,"0.00")&amp;" per hr — build-up not supplied"),"UK medical-extrusion benchmark 2026-07. Precision micro-tubing/multi-lumen line — vacuum sizing, laser OD/ID gauging, precision haul-off, cut-to-length. Catheter/medical tube.")</f>
        <v>UK medical-extrusion benchmark 2026-07. Precision micro-tubing/multi-lumen line — vacuum sizing, laser OD/ID gauging, precision haul-off, cut-to-length. Catheter/medical tube.</v>
      </c>
      <c r="N103" t="str">
        <v>Medium</v>
      </c>
      <c r="O103" t="str">
        <f>IFERROR(INDEX(Mapping!$C:$C,MATCH($A103,Mapping!$A:$A,0)),"")</f>
        <v/>
      </c>
      <c r="P103">
        <f>IF($O103="",0,COUNTIFS('JLR Machines'!$A:$A,$O103,'JLR Machines'!$C:$C,IF(Settings!$B$2="","&lt;&gt;",Settings!$B$2),'JLR Machines'!$D:$D,IF(Settings!$B$3="","&lt;&gt;",Settings!$B$3)))</f>
        <v>0</v>
      </c>
      <c r="Q103">
        <f>IF($P103&lt;&gt;1,0,SUMIFS('JLR Machines'!$G:$G,'JLR Machines'!$A:$A,$O103,'JLR Machines'!$C:$C,IF(Settings!$B$2="","&lt;&gt;",Settings!$B$2),'JLR Machines'!$D:$D,IF(Settings!$B$3="","&lt;&gt;",Settings!$B$3)))</f>
        <v>0</v>
      </c>
      <c r="R103">
        <f>IF($P103&lt;&gt;1,0,SUMIFS('JLR Machines'!$H:$H,'JLR Machines'!$A:$A,$O103,'JLR Machines'!$C:$C,IF(Settings!$B$2="","&lt;&gt;",Settings!$B$2),'JLR Machines'!$D:$D,IF(Settings!$B$3="","&lt;&gt;",Settings!$B$3)))</f>
        <v>0</v>
      </c>
      <c r="S103">
        <f>IF($P103&lt;&gt;1,0,SUMIFS('JLR Machines'!$I:$I,'JLR Machines'!$A:$A,$O103,'JLR Machines'!$C:$C,IF(Settings!$B$2="","&lt;&gt;",Settings!$B$2),'JLR Machines'!$D:$D,IF(Settings!$B$3="","&lt;&gt;",Settings!$B$3)))</f>
        <v>0</v>
      </c>
      <c r="T103">
        <f>IF($P103&lt;&gt;1,0,SUMIFS('JLR Machines'!$J:$J,'JLR Machines'!$A:$A,$O103,'JLR Machines'!$C:$C,IF(Settings!$B$2="","&lt;&gt;",Settings!$B$2),'JLR Machines'!$D:$D,IF(Settings!$B$3="","&lt;&gt;",Settings!$B$3)))</f>
        <v>0</v>
      </c>
      <c r="U103">
        <f>IF($P103&lt;&gt;1,0,SUMIFS('JLR Machines'!$K:$K,'JLR Machines'!$A:$A,$O103,'JLR Machines'!$C:$C,IF(Settings!$B$2="","&lt;&gt;",Settings!$B$2),'JLR Machines'!$D:$D,IF(Settings!$B$3="","&lt;&gt;",Settings!$B$3)))</f>
        <v>0</v>
      </c>
      <c r="V103">
        <f>IF($P103&lt;&gt;1,0,SUMIFS('JLR Machines'!$L:$L,'JLR Machines'!$A:$A,$O103,'JLR Machines'!$C:$C,IF(Settings!$B$2="","&lt;&gt;",Settings!$B$2),'JLR Machines'!$D:$D,IF(Settings!$B$3="","&lt;&gt;",Settings!$B$3)))</f>
        <v>0</v>
      </c>
      <c r="W103">
        <f>IF($P103&lt;&gt;1,0,SUMIFS('JLR Machines'!$M:$M,'JLR Machines'!$A:$A,$O103,'JLR Machines'!$C:$C,IF(Settings!$B$2="","&lt;&gt;",Settings!$B$2),'JLR Machines'!$D:$D,IF(Settings!$B$3="","&lt;&gt;",Settings!$B$3)))</f>
        <v>0</v>
      </c>
      <c r="X103">
        <f>IF($P103&lt;&gt;1,0,SUMIFS('JLR Machines'!$N:$N,'JLR Machines'!$A:$A,$O103,'JLR Machines'!$C:$C,IF(Settings!$B$2="","&lt;&gt;",Settings!$B$2),'JLR Machines'!$D:$D,IF(Settings!$B$3="","&lt;&gt;",Settings!$B$3)))</f>
        <v>0</v>
      </c>
      <c r="Y103">
        <f>$Q103+$R103+$S103+$T103+$U103+$V103+$W103</f>
        <v>0</v>
      </c>
      <c r="Z103">
        <f>IF($X103&lt;=0,0,ROUND((D103+E103+F103+G103+H103+I103)/3750-$X103,4))</f>
        <v>0</v>
      </c>
    </row>
    <row r="104">
      <c r="A104" t="str">
        <v>extrusion-finish-qa</v>
      </c>
      <c r="B104" t="str">
        <v>Cut-off, Coil &amp; Inspection Station</v>
      </c>
      <c r="C104" t="str">
        <v>UK</v>
      </c>
      <c r="D104">
        <f>IF($X104&gt;0,IF($Y104&gt;0,MAX(0,$Q104+$X104-$Y104)*3200,$X104*3200),4000)</f>
        <v>4000</v>
      </c>
      <c r="E104">
        <f>IF($X104&gt;0,IF($Y104&gt;0,$S104*3200,0),2000)</f>
        <v>2000</v>
      </c>
      <c r="F104">
        <f>IF($X104&gt;0,IF($Y104&gt;0,$V104*3200,0),3000)</f>
        <v>3000</v>
      </c>
      <c r="G104">
        <f>IF($X104&gt;0,IF($Y104&gt;0,$R104*3200,0),2000)</f>
        <v>2000</v>
      </c>
      <c r="H104">
        <f>IF($X104&gt;0,IF($Y104&gt;0,($T104+$W104)*3200,0),2000)</f>
        <v>2000</v>
      </c>
      <c r="I104">
        <f>IF($X104&gt;0,IF($Y104&gt;0,$U104*3200,0),500)</f>
        <v>500</v>
      </c>
      <c r="J104">
        <v>4000</v>
      </c>
      <c r="K104">
        <v>0.8</v>
      </c>
      <c r="L104" t="str">
        <f>IF($X104&gt;0,IF($P104&lt;&gt;1,"2026-06-14",IFERROR(INDEX('JLR Machines'!$D:$D,MATCH($O104,'JLR Machines'!$A:$A,0)),"2026-06-14")),"2026-06-14")</f>
        <v>2026-06-14</v>
      </c>
      <c r="M104" t="str">
        <f>IF($X104&gt;0,IF($Y104&gt;0,"JLR machine "&amp;$O104&amp;" at "&amp;TEXT($X104,"0.00")&amp;" per hr — build-up as supplied","JLR machine "&amp;$O104&amp;" at "&amp;TEXT($X104,"0.00")&amp;" per hr — build-up not supplied"),"UK benchmark 2026-07. Downstream cut/coil + dimensional inspection station for extruded product (mostly labour).")</f>
        <v>UK benchmark 2026-07. Downstream cut/coil + dimensional inspection station for extruded product (mostly labour).</v>
      </c>
      <c r="N104" t="str">
        <v>Medium</v>
      </c>
      <c r="O104" t="str">
        <f>IFERROR(INDEX(Mapping!$C:$C,MATCH($A104,Mapping!$A:$A,0)),"")</f>
        <v/>
      </c>
      <c r="P104">
        <f>IF($O104="",0,COUNTIFS('JLR Machines'!$A:$A,$O104,'JLR Machines'!$C:$C,IF(Settings!$B$2="","&lt;&gt;",Settings!$B$2),'JLR Machines'!$D:$D,IF(Settings!$B$3="","&lt;&gt;",Settings!$B$3)))</f>
        <v>0</v>
      </c>
      <c r="Q104">
        <f>IF($P104&lt;&gt;1,0,SUMIFS('JLR Machines'!$G:$G,'JLR Machines'!$A:$A,$O104,'JLR Machines'!$C:$C,IF(Settings!$B$2="","&lt;&gt;",Settings!$B$2),'JLR Machines'!$D:$D,IF(Settings!$B$3="","&lt;&gt;",Settings!$B$3)))</f>
        <v>0</v>
      </c>
      <c r="R104">
        <f>IF($P104&lt;&gt;1,0,SUMIFS('JLR Machines'!$H:$H,'JLR Machines'!$A:$A,$O104,'JLR Machines'!$C:$C,IF(Settings!$B$2="","&lt;&gt;",Settings!$B$2),'JLR Machines'!$D:$D,IF(Settings!$B$3="","&lt;&gt;",Settings!$B$3)))</f>
        <v>0</v>
      </c>
      <c r="S104">
        <f>IF($P104&lt;&gt;1,0,SUMIFS('JLR Machines'!$I:$I,'JLR Machines'!$A:$A,$O104,'JLR Machines'!$C:$C,IF(Settings!$B$2="","&lt;&gt;",Settings!$B$2),'JLR Machines'!$D:$D,IF(Settings!$B$3="","&lt;&gt;",Settings!$B$3)))</f>
        <v>0</v>
      </c>
      <c r="T104">
        <f>IF($P104&lt;&gt;1,0,SUMIFS('JLR Machines'!$J:$J,'JLR Machines'!$A:$A,$O104,'JLR Machines'!$C:$C,IF(Settings!$B$2="","&lt;&gt;",Settings!$B$2),'JLR Machines'!$D:$D,IF(Settings!$B$3="","&lt;&gt;",Settings!$B$3)))</f>
        <v>0</v>
      </c>
      <c r="U104">
        <f>IF($P104&lt;&gt;1,0,SUMIFS('JLR Machines'!$K:$K,'JLR Machines'!$A:$A,$O104,'JLR Machines'!$C:$C,IF(Settings!$B$2="","&lt;&gt;",Settings!$B$2),'JLR Machines'!$D:$D,IF(Settings!$B$3="","&lt;&gt;",Settings!$B$3)))</f>
        <v>0</v>
      </c>
      <c r="V104">
        <f>IF($P104&lt;&gt;1,0,SUMIFS('JLR Machines'!$L:$L,'JLR Machines'!$A:$A,$O104,'JLR Machines'!$C:$C,IF(Settings!$B$2="","&lt;&gt;",Settings!$B$2),'JLR Machines'!$D:$D,IF(Settings!$B$3="","&lt;&gt;",Settings!$B$3)))</f>
        <v>0</v>
      </c>
      <c r="W104">
        <f>IF($P104&lt;&gt;1,0,SUMIFS('JLR Machines'!$M:$M,'JLR Machines'!$A:$A,$O104,'JLR Machines'!$C:$C,IF(Settings!$B$2="","&lt;&gt;",Settings!$B$2),'JLR Machines'!$D:$D,IF(Settings!$B$3="","&lt;&gt;",Settings!$B$3)))</f>
        <v>0</v>
      </c>
      <c r="X104">
        <f>IF($P104&lt;&gt;1,0,SUMIFS('JLR Machines'!$N:$N,'JLR Machines'!$A:$A,$O104,'JLR Machines'!$C:$C,IF(Settings!$B$2="","&lt;&gt;",Settings!$B$2),'JLR Machines'!$D:$D,IF(Settings!$B$3="","&lt;&gt;",Settings!$B$3)))</f>
        <v>0</v>
      </c>
      <c r="Y104">
        <f>$Q104+$R104+$S104+$T104+$U104+$V104+$W104</f>
        <v>0</v>
      </c>
      <c r="Z104">
        <f>IF($X104&lt;=0,0,ROUND((D104+E104+F104+G104+H104+I104)/3200-$X104,4))</f>
        <v>0</v>
      </c>
    </row>
    <row r="105">
      <c r="A105" t="str">
        <v>extrusion-leak-test</v>
      </c>
      <c r="B105" t="str">
        <v>Pipe/Tube Pressure &amp; Leak Test Rig</v>
      </c>
      <c r="C105" t="str">
        <v>UK</v>
      </c>
      <c r="D105">
        <f>IF($X105&gt;0,IF($Y105&gt;0,MAX(0,$Q105+$X105-$Y105)*2800,$X105*2800),6000)</f>
        <v>6000</v>
      </c>
      <c r="E105">
        <f>IF($X105&gt;0,IF($Y105&gt;0,$S105*2800,0),2500)</f>
        <v>2500</v>
      </c>
      <c r="F105">
        <f>IF($X105&gt;0,IF($Y105&gt;0,$V105*2800,0),2000)</f>
        <v>2000</v>
      </c>
      <c r="G105">
        <f>IF($X105&gt;0,IF($Y105&gt;0,$R105*2800,0),2000)</f>
        <v>2000</v>
      </c>
      <c r="H105">
        <f>IF($X105&gt;0,IF($Y105&gt;0,($T105+$W105)*2800,0),2500)</f>
        <v>2500</v>
      </c>
      <c r="I105">
        <f>IF($X105&gt;0,IF($Y105&gt;0,$U105*2800,0),800)</f>
        <v>800</v>
      </c>
      <c r="J105">
        <v>4000</v>
      </c>
      <c r="K105">
        <v>0.7</v>
      </c>
      <c r="L105" t="str">
        <f>IF($X105&gt;0,IF($P105&lt;&gt;1,"2026-06-14",IFERROR(INDEX('JLR Machines'!$D:$D,MATCH($O105,'JLR Machines'!$A:$A,0)),"2026-06-14")),"2026-06-14")</f>
        <v>2026-06-14</v>
      </c>
      <c r="M105" t="str">
        <f>IF($X105&gt;0,IF($Y105&gt;0,"JLR machine "&amp;$O105&amp;" at "&amp;TEXT($X105,"0.00")&amp;" per hr — build-up as supplied","JLR machine "&amp;$O105&amp;" at "&amp;TEXT($X105,"0.00")&amp;" per hr — build-up not supplied"),"UK benchmark 2026-07. Hydrostatic/air pressure &amp; leak test rig for pipe, hose and tubing.")</f>
        <v>UK benchmark 2026-07. Hydrostatic/air pressure &amp; leak test rig for pipe, hose and tubing.</v>
      </c>
      <c r="N105" t="str">
        <v>Medium</v>
      </c>
      <c r="O105" t="str">
        <f>IFERROR(INDEX(Mapping!$C:$C,MATCH($A105,Mapping!$A:$A,0)),"")</f>
        <v/>
      </c>
      <c r="P105">
        <f>IF($O105="",0,COUNTIFS('JLR Machines'!$A:$A,$O105,'JLR Machines'!$C:$C,IF(Settings!$B$2="","&lt;&gt;",Settings!$B$2),'JLR Machines'!$D:$D,IF(Settings!$B$3="","&lt;&gt;",Settings!$B$3)))</f>
        <v>0</v>
      </c>
      <c r="Q105">
        <f>IF($P105&lt;&gt;1,0,SUMIFS('JLR Machines'!$G:$G,'JLR Machines'!$A:$A,$O105,'JLR Machines'!$C:$C,IF(Settings!$B$2="","&lt;&gt;",Settings!$B$2),'JLR Machines'!$D:$D,IF(Settings!$B$3="","&lt;&gt;",Settings!$B$3)))</f>
        <v>0</v>
      </c>
      <c r="R105">
        <f>IF($P105&lt;&gt;1,0,SUMIFS('JLR Machines'!$H:$H,'JLR Machines'!$A:$A,$O105,'JLR Machines'!$C:$C,IF(Settings!$B$2="","&lt;&gt;",Settings!$B$2),'JLR Machines'!$D:$D,IF(Settings!$B$3="","&lt;&gt;",Settings!$B$3)))</f>
        <v>0</v>
      </c>
      <c r="S105">
        <f>IF($P105&lt;&gt;1,0,SUMIFS('JLR Machines'!$I:$I,'JLR Machines'!$A:$A,$O105,'JLR Machines'!$C:$C,IF(Settings!$B$2="","&lt;&gt;",Settings!$B$2),'JLR Machines'!$D:$D,IF(Settings!$B$3="","&lt;&gt;",Settings!$B$3)))</f>
        <v>0</v>
      </c>
      <c r="T105">
        <f>IF($P105&lt;&gt;1,0,SUMIFS('JLR Machines'!$J:$J,'JLR Machines'!$A:$A,$O105,'JLR Machines'!$C:$C,IF(Settings!$B$2="","&lt;&gt;",Settings!$B$2),'JLR Machines'!$D:$D,IF(Settings!$B$3="","&lt;&gt;",Settings!$B$3)))</f>
        <v>0</v>
      </c>
      <c r="U105">
        <f>IF($P105&lt;&gt;1,0,SUMIFS('JLR Machines'!$K:$K,'JLR Machines'!$A:$A,$O105,'JLR Machines'!$C:$C,IF(Settings!$B$2="","&lt;&gt;",Settings!$B$2),'JLR Machines'!$D:$D,IF(Settings!$B$3="","&lt;&gt;",Settings!$B$3)))</f>
        <v>0</v>
      </c>
      <c r="V105">
        <f>IF($P105&lt;&gt;1,0,SUMIFS('JLR Machines'!$L:$L,'JLR Machines'!$A:$A,$O105,'JLR Machines'!$C:$C,IF(Settings!$B$2="","&lt;&gt;",Settings!$B$2),'JLR Machines'!$D:$D,IF(Settings!$B$3="","&lt;&gt;",Settings!$B$3)))</f>
        <v>0</v>
      </c>
      <c r="W105">
        <f>IF($P105&lt;&gt;1,0,SUMIFS('JLR Machines'!$M:$M,'JLR Machines'!$A:$A,$O105,'JLR Machines'!$C:$C,IF(Settings!$B$2="","&lt;&gt;",Settings!$B$2),'JLR Machines'!$D:$D,IF(Settings!$B$3="","&lt;&gt;",Settings!$B$3)))</f>
        <v>0</v>
      </c>
      <c r="X105">
        <f>IF($P105&lt;&gt;1,0,SUMIFS('JLR Machines'!$N:$N,'JLR Machines'!$A:$A,$O105,'JLR Machines'!$C:$C,IF(Settings!$B$2="","&lt;&gt;",Settings!$B$2),'JLR Machines'!$D:$D,IF(Settings!$B$3="","&lt;&gt;",Settings!$B$3)))</f>
        <v>0</v>
      </c>
      <c r="Y105">
        <f>$Q105+$R105+$S105+$T105+$U105+$V105+$W105</f>
        <v>0</v>
      </c>
      <c r="Z105">
        <f>IF($X105&lt;=0,0,ROUND((D105+E105+F105+G105+H105+I105)/2800-$X105,4))</f>
        <v>0</v>
      </c>
    </row>
    <row r="106">
      <c r="A106" t="str">
        <v>thermoform-small</v>
      </c>
      <c r="B106" t="str">
        <v>Thermoformer (Small/Single Station)</v>
      </c>
      <c r="C106" t="str">
        <v>UK</v>
      </c>
      <c r="D106">
        <f>IF($X106&gt;0,IF($Y106&gt;0,MAX(0,$Q106+$X106-$Y106)*3200,$X106*3200),15000)</f>
        <v>15000</v>
      </c>
      <c r="E106">
        <f>IF($X106&gt;0,IF($Y106&gt;0,$S106*3200,0),6000)</f>
        <v>6000</v>
      </c>
      <c r="F106">
        <f>IF($X106&gt;0,IF($Y106&gt;0,$V106*3200,0),12000)</f>
        <v>12000</v>
      </c>
      <c r="G106">
        <f>IF($X106&gt;0,IF($Y106&gt;0,$R106*3200,0),4000)</f>
        <v>4000</v>
      </c>
      <c r="H106">
        <f>IF($X106&gt;0,IF($Y106&gt;0,($T106+$W106)*3200,0),3000)</f>
        <v>3000</v>
      </c>
      <c r="I106">
        <f>IF($X106&gt;0,IF($Y106&gt;0,$U106*3200,0),1875)</f>
        <v>1875</v>
      </c>
      <c r="J106">
        <v>4000</v>
      </c>
      <c r="K106">
        <v>0.8</v>
      </c>
      <c r="L106" t="str">
        <f>IF($X106&gt;0,IF($P106&lt;&gt;1,"2026-06-14",IFERROR(INDEX('JLR Machines'!$D:$D,MATCH($O106,'JLR Machines'!$A:$A,0)),"2026-06-14")),"2026-06-14")</f>
        <v>2026-06-14</v>
      </c>
      <c r="M106" t="str">
        <f>IF($X106&gt;0,IF($Y106&gt;0,"JLR machine "&amp;$O106&amp;" at "&amp;TEXT($X106,"0.00")&amp;" per hr — build-up as supplied","JLR machine "&amp;$O106&amp;" at "&amp;TEXT($X106,"0.00")&amp;" per hr — build-up not supplied"),"UK plastics benchmark. Single-station vacuum former, up to 800×600mm sheet. Jun 2026")</f>
        <v>UK plastics benchmark. Single-station vacuum former, up to 800×600mm sheet. Jun 2026</v>
      </c>
      <c r="N106" t="str">
        <v>Medium</v>
      </c>
      <c r="O106" t="str">
        <f>IFERROR(INDEX(Mapping!$C:$C,MATCH($A106,Mapping!$A:$A,0)),"")</f>
        <v/>
      </c>
      <c r="P106">
        <f>IF($O106="",0,COUNTIFS('JLR Machines'!$A:$A,$O106,'JLR Machines'!$C:$C,IF(Settings!$B$2="","&lt;&gt;",Settings!$B$2),'JLR Machines'!$D:$D,IF(Settings!$B$3="","&lt;&gt;",Settings!$B$3)))</f>
        <v>0</v>
      </c>
      <c r="Q106">
        <f>IF($P106&lt;&gt;1,0,SUMIFS('JLR Machines'!$G:$G,'JLR Machines'!$A:$A,$O106,'JLR Machines'!$C:$C,IF(Settings!$B$2="","&lt;&gt;",Settings!$B$2),'JLR Machines'!$D:$D,IF(Settings!$B$3="","&lt;&gt;",Settings!$B$3)))</f>
        <v>0</v>
      </c>
      <c r="R106">
        <f>IF($P106&lt;&gt;1,0,SUMIFS('JLR Machines'!$H:$H,'JLR Machines'!$A:$A,$O106,'JLR Machines'!$C:$C,IF(Settings!$B$2="","&lt;&gt;",Settings!$B$2),'JLR Machines'!$D:$D,IF(Settings!$B$3="","&lt;&gt;",Settings!$B$3)))</f>
        <v>0</v>
      </c>
      <c r="S106">
        <f>IF($P106&lt;&gt;1,0,SUMIFS('JLR Machines'!$I:$I,'JLR Machines'!$A:$A,$O106,'JLR Machines'!$C:$C,IF(Settings!$B$2="","&lt;&gt;",Settings!$B$2),'JLR Machines'!$D:$D,IF(Settings!$B$3="","&lt;&gt;",Settings!$B$3)))</f>
        <v>0</v>
      </c>
      <c r="T106">
        <f>IF($P106&lt;&gt;1,0,SUMIFS('JLR Machines'!$J:$J,'JLR Machines'!$A:$A,$O106,'JLR Machines'!$C:$C,IF(Settings!$B$2="","&lt;&gt;",Settings!$B$2),'JLR Machines'!$D:$D,IF(Settings!$B$3="","&lt;&gt;",Settings!$B$3)))</f>
        <v>0</v>
      </c>
      <c r="U106">
        <f>IF($P106&lt;&gt;1,0,SUMIFS('JLR Machines'!$K:$K,'JLR Machines'!$A:$A,$O106,'JLR Machines'!$C:$C,IF(Settings!$B$2="","&lt;&gt;",Settings!$B$2),'JLR Machines'!$D:$D,IF(Settings!$B$3="","&lt;&gt;",Settings!$B$3)))</f>
        <v>0</v>
      </c>
      <c r="V106">
        <f>IF($P106&lt;&gt;1,0,SUMIFS('JLR Machines'!$L:$L,'JLR Machines'!$A:$A,$O106,'JLR Machines'!$C:$C,IF(Settings!$B$2="","&lt;&gt;",Settings!$B$2),'JLR Machines'!$D:$D,IF(Settings!$B$3="","&lt;&gt;",Settings!$B$3)))</f>
        <v>0</v>
      </c>
      <c r="W106">
        <f>IF($P106&lt;&gt;1,0,SUMIFS('JLR Machines'!$M:$M,'JLR Machines'!$A:$A,$O106,'JLR Machines'!$C:$C,IF(Settings!$B$2="","&lt;&gt;",Settings!$B$2),'JLR Machines'!$D:$D,IF(Settings!$B$3="","&lt;&gt;",Settings!$B$3)))</f>
        <v>0</v>
      </c>
      <c r="X106">
        <f>IF($P106&lt;&gt;1,0,SUMIFS('JLR Machines'!$N:$N,'JLR Machines'!$A:$A,$O106,'JLR Machines'!$C:$C,IF(Settings!$B$2="","&lt;&gt;",Settings!$B$2),'JLR Machines'!$D:$D,IF(Settings!$B$3="","&lt;&gt;",Settings!$B$3)))</f>
        <v>0</v>
      </c>
      <c r="Y106">
        <f>$Q106+$R106+$S106+$T106+$U106+$V106+$W106</f>
        <v>0</v>
      </c>
      <c r="Z106">
        <f>IF($X106&lt;=0,0,ROUND((D106+E106+F106+G106+H106+I106)/3200-$X106,4))</f>
        <v>0</v>
      </c>
    </row>
    <row r="107">
      <c r="A107" t="str">
        <v>thermoform-large</v>
      </c>
      <c r="B107" t="str">
        <v>Thermoformer (Inline/Rotary, Large)</v>
      </c>
      <c r="C107" t="str">
        <v>UK</v>
      </c>
      <c r="D107">
        <f>IF($X107&gt;0,IF($Y107&gt;0,MAX(0,$Q107+$X107-$Y107)*3280,$X107*3280),45000)</f>
        <v>45000</v>
      </c>
      <c r="E107">
        <f>IF($X107&gt;0,IF($Y107&gt;0,$S107*3280,0),18000)</f>
        <v>18000</v>
      </c>
      <c r="F107">
        <f>IF($X107&gt;0,IF($Y107&gt;0,$V107*3280,0),28000)</f>
        <v>28000</v>
      </c>
      <c r="G107">
        <f>IF($X107&gt;0,IF($Y107&gt;0,$R107*3280,0),10000)</f>
        <v>10000</v>
      </c>
      <c r="H107">
        <f>IF($X107&gt;0,IF($Y107&gt;0,($T107+$W107)*3280,0),9000)</f>
        <v>9000</v>
      </c>
      <c r="I107">
        <f>IF($X107&gt;0,IF($Y107&gt;0,$U107*3280,0),5625)</f>
        <v>5625</v>
      </c>
      <c r="J107">
        <v>4000</v>
      </c>
      <c r="K107">
        <v>0.82</v>
      </c>
      <c r="L107" t="str">
        <f>IF($X107&gt;0,IF($P107&lt;&gt;1,"2026-06-14",IFERROR(INDEX('JLR Machines'!$D:$D,MATCH($O107,'JLR Machines'!$A:$A,0)),"2026-06-14")),"2026-06-14")</f>
        <v>2026-06-14</v>
      </c>
      <c r="M107" t="str">
        <f>IF($X107&gt;0,IF($Y107&gt;0,"JLR machine "&amp;$O107&amp;" at "&amp;TEXT($X107,"0.00")&amp;" per hr — build-up as supplied","JLR machine "&amp;$O107&amp;" at "&amp;TEXT($X107,"0.00")&amp;" per hr — build-up not supplied"),"UK plastics benchmark. Inline rotary thermoformer, 1200×1000mm+ sheet. Jun 2026")</f>
        <v>UK plastics benchmark. Inline rotary thermoformer, 1200×1000mm+ sheet. Jun 2026</v>
      </c>
      <c r="N107" t="str">
        <v>Medium</v>
      </c>
      <c r="O107" t="str">
        <f>IFERROR(INDEX(Mapping!$C:$C,MATCH($A107,Mapping!$A:$A,0)),"")</f>
        <v/>
      </c>
      <c r="P107">
        <f>IF($O107="",0,COUNTIFS('JLR Machines'!$A:$A,$O107,'JLR Machines'!$C:$C,IF(Settings!$B$2="","&lt;&gt;",Settings!$B$2),'JLR Machines'!$D:$D,IF(Settings!$B$3="","&lt;&gt;",Settings!$B$3)))</f>
        <v>0</v>
      </c>
      <c r="Q107">
        <f>IF($P107&lt;&gt;1,0,SUMIFS('JLR Machines'!$G:$G,'JLR Machines'!$A:$A,$O107,'JLR Machines'!$C:$C,IF(Settings!$B$2="","&lt;&gt;",Settings!$B$2),'JLR Machines'!$D:$D,IF(Settings!$B$3="","&lt;&gt;",Settings!$B$3)))</f>
        <v>0</v>
      </c>
      <c r="R107">
        <f>IF($P107&lt;&gt;1,0,SUMIFS('JLR Machines'!$H:$H,'JLR Machines'!$A:$A,$O107,'JLR Machines'!$C:$C,IF(Settings!$B$2="","&lt;&gt;",Settings!$B$2),'JLR Machines'!$D:$D,IF(Settings!$B$3="","&lt;&gt;",Settings!$B$3)))</f>
        <v>0</v>
      </c>
      <c r="S107">
        <f>IF($P107&lt;&gt;1,0,SUMIFS('JLR Machines'!$I:$I,'JLR Machines'!$A:$A,$O107,'JLR Machines'!$C:$C,IF(Settings!$B$2="","&lt;&gt;",Settings!$B$2),'JLR Machines'!$D:$D,IF(Settings!$B$3="","&lt;&gt;",Settings!$B$3)))</f>
        <v>0</v>
      </c>
      <c r="T107">
        <f>IF($P107&lt;&gt;1,0,SUMIFS('JLR Machines'!$J:$J,'JLR Machines'!$A:$A,$O107,'JLR Machines'!$C:$C,IF(Settings!$B$2="","&lt;&gt;",Settings!$B$2),'JLR Machines'!$D:$D,IF(Settings!$B$3="","&lt;&gt;",Settings!$B$3)))</f>
        <v>0</v>
      </c>
      <c r="U107">
        <f>IF($P107&lt;&gt;1,0,SUMIFS('JLR Machines'!$K:$K,'JLR Machines'!$A:$A,$O107,'JLR Machines'!$C:$C,IF(Settings!$B$2="","&lt;&gt;",Settings!$B$2),'JLR Machines'!$D:$D,IF(Settings!$B$3="","&lt;&gt;",Settings!$B$3)))</f>
        <v>0</v>
      </c>
      <c r="V107">
        <f>IF($P107&lt;&gt;1,0,SUMIFS('JLR Machines'!$L:$L,'JLR Machines'!$A:$A,$O107,'JLR Machines'!$C:$C,IF(Settings!$B$2="","&lt;&gt;",Settings!$B$2),'JLR Machines'!$D:$D,IF(Settings!$B$3="","&lt;&gt;",Settings!$B$3)))</f>
        <v>0</v>
      </c>
      <c r="W107">
        <f>IF($P107&lt;&gt;1,0,SUMIFS('JLR Machines'!$M:$M,'JLR Machines'!$A:$A,$O107,'JLR Machines'!$C:$C,IF(Settings!$B$2="","&lt;&gt;",Settings!$B$2),'JLR Machines'!$D:$D,IF(Settings!$B$3="","&lt;&gt;",Settings!$B$3)))</f>
        <v>0</v>
      </c>
      <c r="X107">
        <f>IF($P107&lt;&gt;1,0,SUMIFS('JLR Machines'!$N:$N,'JLR Machines'!$A:$A,$O107,'JLR Machines'!$C:$C,IF(Settings!$B$2="","&lt;&gt;",Settings!$B$2),'JLR Machines'!$D:$D,IF(Settings!$B$3="","&lt;&gt;",Settings!$B$3)))</f>
        <v>0</v>
      </c>
      <c r="Y107">
        <f>$Q107+$R107+$S107+$T107+$U107+$V107+$W107</f>
        <v>0</v>
      </c>
      <c r="Z107">
        <f>IF($X107&lt;=0,0,ROUND((D107+E107+F107+G107+H107+I107)/3280-$X107,4))</f>
        <v>0</v>
      </c>
    </row>
    <row r="108">
      <c r="A108" t="str">
        <v>thermoform-pressure</v>
      </c>
      <c r="B108" t="str">
        <v>Pressure Former (3–6 bar, cut-sheet)</v>
      </c>
      <c r="C108" t="str">
        <v>UK</v>
      </c>
      <c r="D108">
        <f>IF($X108&gt;0,IF($Y108&gt;0,MAX(0,$Q108+$X108-$Y108)*3200,$X108*3200),32000)</f>
        <v>32000</v>
      </c>
      <c r="E108">
        <f>IF($X108&gt;0,IF($Y108&gt;0,$S108*3200,0),13000)</f>
        <v>13000</v>
      </c>
      <c r="F108">
        <f>IF($X108&gt;0,IF($Y108&gt;0,$V108*3200,0),22000)</f>
        <v>22000</v>
      </c>
      <c r="G108">
        <f>IF($X108&gt;0,IF($Y108&gt;0,$R108*3200,0),7000)</f>
        <v>7000</v>
      </c>
      <c r="H108">
        <f>IF($X108&gt;0,IF($Y108&gt;0,($T108+$W108)*3200,0),7000)</f>
        <v>7000</v>
      </c>
      <c r="I108">
        <f>IF($X108&gt;0,IF($Y108&gt;0,$U108*3200,0),4000)</f>
        <v>4000</v>
      </c>
      <c r="J108">
        <v>4000</v>
      </c>
      <c r="K108">
        <v>0.8</v>
      </c>
      <c r="L108" t="str">
        <f>IF($X108&gt;0,IF($P108&lt;&gt;1,"2026-06-14",IFERROR(INDEX('JLR Machines'!$D:$D,MATCH($O108,'JLR Machines'!$A:$A,0)),"2026-06-14")),"2026-06-14")</f>
        <v>2026-06-14</v>
      </c>
      <c r="M108" t="str">
        <f>IF($X108&gt;0,IF($Y108&gt;0,"JLR machine "&amp;$O108&amp;" at "&amp;TEXT($X108,"0.00")&amp;" per hr — build-up as supplied","JLR machine "&amp;$O108&amp;" at "&amp;TEXT($X108,"0.00")&amp;" per hr — build-up not supplied"),"UK plastics benchmark 2026-07. Cut-sheet pressure former — compressed-air box (3–6 bar) for crisp detail/texture (appliance fascias, medical). Higher energy + steel/CNC-Al tool.")</f>
        <v>UK plastics benchmark 2026-07. Cut-sheet pressure former — compressed-air box (3–6 bar) for crisp detail/texture (appliance fascias, medical). Higher energy + steel/CNC-Al tool.</v>
      </c>
      <c r="N108" t="str">
        <v>Medium</v>
      </c>
      <c r="O108" t="str">
        <f>IFERROR(INDEX(Mapping!$C:$C,MATCH($A108,Mapping!$A:$A,0)),"")</f>
        <v/>
      </c>
      <c r="P108">
        <f>IF($O108="",0,COUNTIFS('JLR Machines'!$A:$A,$O108,'JLR Machines'!$C:$C,IF(Settings!$B$2="","&lt;&gt;",Settings!$B$2),'JLR Machines'!$D:$D,IF(Settings!$B$3="","&lt;&gt;",Settings!$B$3)))</f>
        <v>0</v>
      </c>
      <c r="Q108">
        <f>IF($P108&lt;&gt;1,0,SUMIFS('JLR Machines'!$G:$G,'JLR Machines'!$A:$A,$O108,'JLR Machines'!$C:$C,IF(Settings!$B$2="","&lt;&gt;",Settings!$B$2),'JLR Machines'!$D:$D,IF(Settings!$B$3="","&lt;&gt;",Settings!$B$3)))</f>
        <v>0</v>
      </c>
      <c r="R108">
        <f>IF($P108&lt;&gt;1,0,SUMIFS('JLR Machines'!$H:$H,'JLR Machines'!$A:$A,$O108,'JLR Machines'!$C:$C,IF(Settings!$B$2="","&lt;&gt;",Settings!$B$2),'JLR Machines'!$D:$D,IF(Settings!$B$3="","&lt;&gt;",Settings!$B$3)))</f>
        <v>0</v>
      </c>
      <c r="S108">
        <f>IF($P108&lt;&gt;1,0,SUMIFS('JLR Machines'!$I:$I,'JLR Machines'!$A:$A,$O108,'JLR Machines'!$C:$C,IF(Settings!$B$2="","&lt;&gt;",Settings!$B$2),'JLR Machines'!$D:$D,IF(Settings!$B$3="","&lt;&gt;",Settings!$B$3)))</f>
        <v>0</v>
      </c>
      <c r="T108">
        <f>IF($P108&lt;&gt;1,0,SUMIFS('JLR Machines'!$J:$J,'JLR Machines'!$A:$A,$O108,'JLR Machines'!$C:$C,IF(Settings!$B$2="","&lt;&gt;",Settings!$B$2),'JLR Machines'!$D:$D,IF(Settings!$B$3="","&lt;&gt;",Settings!$B$3)))</f>
        <v>0</v>
      </c>
      <c r="U108">
        <f>IF($P108&lt;&gt;1,0,SUMIFS('JLR Machines'!$K:$K,'JLR Machines'!$A:$A,$O108,'JLR Machines'!$C:$C,IF(Settings!$B$2="","&lt;&gt;",Settings!$B$2),'JLR Machines'!$D:$D,IF(Settings!$B$3="","&lt;&gt;",Settings!$B$3)))</f>
        <v>0</v>
      </c>
      <c r="V108">
        <f>IF($P108&lt;&gt;1,0,SUMIFS('JLR Machines'!$L:$L,'JLR Machines'!$A:$A,$O108,'JLR Machines'!$C:$C,IF(Settings!$B$2="","&lt;&gt;",Settings!$B$2),'JLR Machines'!$D:$D,IF(Settings!$B$3="","&lt;&gt;",Settings!$B$3)))</f>
        <v>0</v>
      </c>
      <c r="W108">
        <f>IF($P108&lt;&gt;1,0,SUMIFS('JLR Machines'!$M:$M,'JLR Machines'!$A:$A,$O108,'JLR Machines'!$C:$C,IF(Settings!$B$2="","&lt;&gt;",Settings!$B$2),'JLR Machines'!$D:$D,IF(Settings!$B$3="","&lt;&gt;",Settings!$B$3)))</f>
        <v>0</v>
      </c>
      <c r="X108">
        <f>IF($P108&lt;&gt;1,0,SUMIFS('JLR Machines'!$N:$N,'JLR Machines'!$A:$A,$O108,'JLR Machines'!$C:$C,IF(Settings!$B$2="","&lt;&gt;",Settings!$B$2),'JLR Machines'!$D:$D,IF(Settings!$B$3="","&lt;&gt;",Settings!$B$3)))</f>
        <v>0</v>
      </c>
      <c r="Y108">
        <f>$Q108+$R108+$S108+$T108+$U108+$V108+$W108</f>
        <v>0</v>
      </c>
      <c r="Z108">
        <f>IF($X108&lt;=0,0,ROUND((D108+E108+F108+G108+H108+I108)/3200-$X108,4))</f>
        <v>0</v>
      </c>
    </row>
    <row r="109">
      <c r="A109" t="str">
        <v>thermoform-twinsheet</v>
      </c>
      <c r="B109" t="str">
        <v>Twin-Sheet Thermoformer</v>
      </c>
      <c r="C109" t="str">
        <v>UK</v>
      </c>
      <c r="D109">
        <f>IF($X109&gt;0,IF($Y109&gt;0,MAX(0,$Q109+$X109-$Y109)*3120,$X109*3120),60000)</f>
        <v>60000</v>
      </c>
      <c r="E109">
        <f>IF($X109&gt;0,IF($Y109&gt;0,$S109*3120,0),24000)</f>
        <v>24000</v>
      </c>
      <c r="F109">
        <f>IF($X109&gt;0,IF($Y109&gt;0,$V109*3120,0),40000)</f>
        <v>40000</v>
      </c>
      <c r="G109">
        <f>IF($X109&gt;0,IF($Y109&gt;0,$R109*3120,0),14000)</f>
        <v>14000</v>
      </c>
      <c r="H109">
        <f>IF($X109&gt;0,IF($Y109&gt;0,($T109+$W109)*3120,0),12000)</f>
        <v>12000</v>
      </c>
      <c r="I109">
        <f>IF($X109&gt;0,IF($Y109&gt;0,$U109*3120,0),7500)</f>
        <v>7500</v>
      </c>
      <c r="J109">
        <v>4000</v>
      </c>
      <c r="K109">
        <v>0.78</v>
      </c>
      <c r="L109" t="str">
        <f>IF($X109&gt;0,IF($P109&lt;&gt;1,"2026-06-14",IFERROR(INDEX('JLR Machines'!$D:$D,MATCH($O109,'JLR Machines'!$A:$A,0)),"2026-06-14")),"2026-06-14")</f>
        <v>2026-06-14</v>
      </c>
      <c r="M109" t="str">
        <f>IF($X109&gt;0,IF($Y109&gt;0,"JLR machine "&amp;$O109&amp;" at "&amp;TEXT($X109,"0.00")&amp;" per hr — build-up as supplied","JLR machine "&amp;$O109&amp;" at "&amp;TEXT($X109,"0.00")&amp;" per hr — build-up not supplied"),"UK plastics benchmark 2026-07. Twin-sheet former — two heated webs blow-bonded into a hollow part (fuel tanks, pallets, ducts, seat backs). Two ovens, two-half tooling.")</f>
        <v>UK plastics benchmark 2026-07. Twin-sheet former — two heated webs blow-bonded into a hollow part (fuel tanks, pallets, ducts, seat backs). Two ovens, two-half tooling.</v>
      </c>
      <c r="N109" t="str">
        <v>Medium</v>
      </c>
      <c r="O109" t="str">
        <f>IFERROR(INDEX(Mapping!$C:$C,MATCH($A109,Mapping!$A:$A,0)),"")</f>
        <v/>
      </c>
      <c r="P109">
        <f>IF($O109="",0,COUNTIFS('JLR Machines'!$A:$A,$O109,'JLR Machines'!$C:$C,IF(Settings!$B$2="","&lt;&gt;",Settings!$B$2),'JLR Machines'!$D:$D,IF(Settings!$B$3="","&lt;&gt;",Settings!$B$3)))</f>
        <v>0</v>
      </c>
      <c r="Q109">
        <f>IF($P109&lt;&gt;1,0,SUMIFS('JLR Machines'!$G:$G,'JLR Machines'!$A:$A,$O109,'JLR Machines'!$C:$C,IF(Settings!$B$2="","&lt;&gt;",Settings!$B$2),'JLR Machines'!$D:$D,IF(Settings!$B$3="","&lt;&gt;",Settings!$B$3)))</f>
        <v>0</v>
      </c>
      <c r="R109">
        <f>IF($P109&lt;&gt;1,0,SUMIFS('JLR Machines'!$H:$H,'JLR Machines'!$A:$A,$O109,'JLR Machines'!$C:$C,IF(Settings!$B$2="","&lt;&gt;",Settings!$B$2),'JLR Machines'!$D:$D,IF(Settings!$B$3="","&lt;&gt;",Settings!$B$3)))</f>
        <v>0</v>
      </c>
      <c r="S109">
        <f>IF($P109&lt;&gt;1,0,SUMIFS('JLR Machines'!$I:$I,'JLR Machines'!$A:$A,$O109,'JLR Machines'!$C:$C,IF(Settings!$B$2="","&lt;&gt;",Settings!$B$2),'JLR Machines'!$D:$D,IF(Settings!$B$3="","&lt;&gt;",Settings!$B$3)))</f>
        <v>0</v>
      </c>
      <c r="T109">
        <f>IF($P109&lt;&gt;1,0,SUMIFS('JLR Machines'!$J:$J,'JLR Machines'!$A:$A,$O109,'JLR Machines'!$C:$C,IF(Settings!$B$2="","&lt;&gt;",Settings!$B$2),'JLR Machines'!$D:$D,IF(Settings!$B$3="","&lt;&gt;",Settings!$B$3)))</f>
        <v>0</v>
      </c>
      <c r="U109">
        <f>IF($P109&lt;&gt;1,0,SUMIFS('JLR Machines'!$K:$K,'JLR Machines'!$A:$A,$O109,'JLR Machines'!$C:$C,IF(Settings!$B$2="","&lt;&gt;",Settings!$B$2),'JLR Machines'!$D:$D,IF(Settings!$B$3="","&lt;&gt;",Settings!$B$3)))</f>
        <v>0</v>
      </c>
      <c r="V109">
        <f>IF($P109&lt;&gt;1,0,SUMIFS('JLR Machines'!$L:$L,'JLR Machines'!$A:$A,$O109,'JLR Machines'!$C:$C,IF(Settings!$B$2="","&lt;&gt;",Settings!$B$2),'JLR Machines'!$D:$D,IF(Settings!$B$3="","&lt;&gt;",Settings!$B$3)))</f>
        <v>0</v>
      </c>
      <c r="W109">
        <f>IF($P109&lt;&gt;1,0,SUMIFS('JLR Machines'!$M:$M,'JLR Machines'!$A:$A,$O109,'JLR Machines'!$C:$C,IF(Settings!$B$2="","&lt;&gt;",Settings!$B$2),'JLR Machines'!$D:$D,IF(Settings!$B$3="","&lt;&gt;",Settings!$B$3)))</f>
        <v>0</v>
      </c>
      <c r="X109">
        <f>IF($P109&lt;&gt;1,0,SUMIFS('JLR Machines'!$N:$N,'JLR Machines'!$A:$A,$O109,'JLR Machines'!$C:$C,IF(Settings!$B$2="","&lt;&gt;",Settings!$B$2),'JLR Machines'!$D:$D,IF(Settings!$B$3="","&lt;&gt;",Settings!$B$3)))</f>
        <v>0</v>
      </c>
      <c r="Y109">
        <f>$Q109+$R109+$S109+$T109+$U109+$V109+$W109</f>
        <v>0</v>
      </c>
      <c r="Z109">
        <f>IF($X109&lt;=0,0,ROUND((D109+E109+F109+G109+H109+I109)/3120-$X109,4))</f>
        <v>0</v>
      </c>
    </row>
    <row r="110">
      <c r="A110" t="str">
        <v>thermoform-rollfed</v>
      </c>
      <c r="B110" t="str">
        <v>Roll-Fed Inline Thermoformer (packaging)</v>
      </c>
      <c r="C110" t="str">
        <v>UK</v>
      </c>
      <c r="D110">
        <f>IF($X110&gt;0,IF($Y110&gt;0,MAX(0,$Q110+$X110-$Y110)*4250,$X110*4250),90000)</f>
        <v>90000</v>
      </c>
      <c r="E110">
        <f>IF($X110&gt;0,IF($Y110&gt;0,$S110*4250,0),32000)</f>
        <v>32000</v>
      </c>
      <c r="F110">
        <f>IF($X110&gt;0,IF($Y110&gt;0,$V110*4250,0),55000)</f>
        <v>55000</v>
      </c>
      <c r="G110">
        <f>IF($X110&gt;0,IF($Y110&gt;0,$R110*4250,0),16000)</f>
        <v>16000</v>
      </c>
      <c r="H110">
        <f>IF($X110&gt;0,IF($Y110&gt;0,($T110+$W110)*4250,0),16000)</f>
        <v>16000</v>
      </c>
      <c r="I110">
        <f>IF($X110&gt;0,IF($Y110&gt;0,$U110*4250,0),11250)</f>
        <v>11250</v>
      </c>
      <c r="J110">
        <v>5000</v>
      </c>
      <c r="K110">
        <v>0.85</v>
      </c>
      <c r="L110" t="str">
        <f>IF($X110&gt;0,IF($P110&lt;&gt;1,"2026-06-14",IFERROR(INDEX('JLR Machines'!$D:$D,MATCH($O110,'JLR Machines'!$A:$A,0)),"2026-06-14")),"2026-06-14")</f>
        <v>2026-06-14</v>
      </c>
      <c r="M110" t="str">
        <f>IF($X110&gt;0,IF($Y110&gt;0,"JLR machine "&amp;$O110&amp;" at "&amp;TEXT($X110,"0.00")&amp;" per hr — build-up as supplied","JLR machine "&amp;$O110&amp;" at "&amp;TEXT($X110,"0.00")&amp;" per hr — build-up not supplied"),"UK packaging benchmark 2026-07. High-speed roll-fed former-filler line — cups/trays/blister from reel; form-cut-stack at 20–40 cycles/min. Highest throughput, lowest £/part at volume.")</f>
        <v>UK packaging benchmark 2026-07. High-speed roll-fed former-filler line — cups/trays/blister from reel; form-cut-stack at 20–40 cycles/min. Highest throughput, lowest £/part at volume.</v>
      </c>
      <c r="N110" t="str">
        <v>Medium</v>
      </c>
      <c r="O110" t="str">
        <f>IFERROR(INDEX(Mapping!$C:$C,MATCH($A110,Mapping!$A:$A,0)),"")</f>
        <v/>
      </c>
      <c r="P110">
        <f>IF($O110="",0,COUNTIFS('JLR Machines'!$A:$A,$O110,'JLR Machines'!$C:$C,IF(Settings!$B$2="","&lt;&gt;",Settings!$B$2),'JLR Machines'!$D:$D,IF(Settings!$B$3="","&lt;&gt;",Settings!$B$3)))</f>
        <v>0</v>
      </c>
      <c r="Q110">
        <f>IF($P110&lt;&gt;1,0,SUMIFS('JLR Machines'!$G:$G,'JLR Machines'!$A:$A,$O110,'JLR Machines'!$C:$C,IF(Settings!$B$2="","&lt;&gt;",Settings!$B$2),'JLR Machines'!$D:$D,IF(Settings!$B$3="","&lt;&gt;",Settings!$B$3)))</f>
        <v>0</v>
      </c>
      <c r="R110">
        <f>IF($P110&lt;&gt;1,0,SUMIFS('JLR Machines'!$H:$H,'JLR Machines'!$A:$A,$O110,'JLR Machines'!$C:$C,IF(Settings!$B$2="","&lt;&gt;",Settings!$B$2),'JLR Machines'!$D:$D,IF(Settings!$B$3="","&lt;&gt;",Settings!$B$3)))</f>
        <v>0</v>
      </c>
      <c r="S110">
        <f>IF($P110&lt;&gt;1,0,SUMIFS('JLR Machines'!$I:$I,'JLR Machines'!$A:$A,$O110,'JLR Machines'!$C:$C,IF(Settings!$B$2="","&lt;&gt;",Settings!$B$2),'JLR Machines'!$D:$D,IF(Settings!$B$3="","&lt;&gt;",Settings!$B$3)))</f>
        <v>0</v>
      </c>
      <c r="T110">
        <f>IF($P110&lt;&gt;1,0,SUMIFS('JLR Machines'!$J:$J,'JLR Machines'!$A:$A,$O110,'JLR Machines'!$C:$C,IF(Settings!$B$2="","&lt;&gt;",Settings!$B$2),'JLR Machines'!$D:$D,IF(Settings!$B$3="","&lt;&gt;",Settings!$B$3)))</f>
        <v>0</v>
      </c>
      <c r="U110">
        <f>IF($P110&lt;&gt;1,0,SUMIFS('JLR Machines'!$K:$K,'JLR Machines'!$A:$A,$O110,'JLR Machines'!$C:$C,IF(Settings!$B$2="","&lt;&gt;",Settings!$B$2),'JLR Machines'!$D:$D,IF(Settings!$B$3="","&lt;&gt;",Settings!$B$3)))</f>
        <v>0</v>
      </c>
      <c r="V110">
        <f>IF($P110&lt;&gt;1,0,SUMIFS('JLR Machines'!$L:$L,'JLR Machines'!$A:$A,$O110,'JLR Machines'!$C:$C,IF(Settings!$B$2="","&lt;&gt;",Settings!$B$2),'JLR Machines'!$D:$D,IF(Settings!$B$3="","&lt;&gt;",Settings!$B$3)))</f>
        <v>0</v>
      </c>
      <c r="W110">
        <f>IF($P110&lt;&gt;1,0,SUMIFS('JLR Machines'!$M:$M,'JLR Machines'!$A:$A,$O110,'JLR Machines'!$C:$C,IF(Settings!$B$2="","&lt;&gt;",Settings!$B$2),'JLR Machines'!$D:$D,IF(Settings!$B$3="","&lt;&gt;",Settings!$B$3)))</f>
        <v>0</v>
      </c>
      <c r="X110">
        <f>IF($P110&lt;&gt;1,0,SUMIFS('JLR Machines'!$N:$N,'JLR Machines'!$A:$A,$O110,'JLR Machines'!$C:$C,IF(Settings!$B$2="","&lt;&gt;",Settings!$B$2),'JLR Machines'!$D:$D,IF(Settings!$B$3="","&lt;&gt;",Settings!$B$3)))</f>
        <v>0</v>
      </c>
      <c r="Y110">
        <f>$Q110+$R110+$S110+$T110+$U110+$V110+$W110</f>
        <v>0</v>
      </c>
      <c r="Z110">
        <f>IF($X110&lt;=0,0,ROUND((D110+E110+F110+G110+H110+I110)/4250-$X110,4))</f>
        <v>0</v>
      </c>
    </row>
    <row r="111">
      <c r="A111" t="str">
        <v>thermoform-oven</v>
      </c>
      <c r="B111" t="str">
        <v>Standalone Sheet Pre-Heat Oven</v>
      </c>
      <c r="C111" t="str">
        <v>UK</v>
      </c>
      <c r="D111">
        <f>IF($X111&gt;0,IF($Y111&gt;0,MAX(0,$Q111+$X111-$Y111)*3200,$X111*3200),9000)</f>
        <v>9000</v>
      </c>
      <c r="E111">
        <f>IF($X111&gt;0,IF($Y111&gt;0,$S111*3200,0),4000)</f>
        <v>4000</v>
      </c>
      <c r="F111">
        <f>IF($X111&gt;0,IF($Y111&gt;0,$V111*3200,0),16000)</f>
        <v>16000</v>
      </c>
      <c r="G111">
        <f>IF($X111&gt;0,IF($Y111&gt;0,$R111*3200,0),3000)</f>
        <v>3000</v>
      </c>
      <c r="H111">
        <f>IF($X111&gt;0,IF($Y111&gt;0,($T111+$W111)*3200,0),2000)</f>
        <v>2000</v>
      </c>
      <c r="I111">
        <f>IF($X111&gt;0,IF($Y111&gt;0,$U111*3200,0),1125)</f>
        <v>1125</v>
      </c>
      <c r="J111">
        <v>4000</v>
      </c>
      <c r="K111">
        <v>0.8</v>
      </c>
      <c r="L111" t="str">
        <f>IF($X111&gt;0,IF($P111&lt;&gt;1,"2026-06-14",IFERROR(INDEX('JLR Machines'!$D:$D,MATCH($O111,'JLR Machines'!$A:$A,0)),"2026-06-14")),"2026-06-14")</f>
        <v>2026-06-14</v>
      </c>
      <c r="M111" t="str">
        <f>IF($X111&gt;0,IF($Y111&gt;0,"JLR machine "&amp;$O111&amp;" at "&amp;TEXT($X111,"0.00")&amp;" per hr — build-up as supplied","JLR machine "&amp;$O111&amp;" at "&amp;TEXT($X111,"0.00")&amp;" per hr — build-up not supplied"),"UK plastics benchmark 2026-07. Standalone radiant/convection sheet oven — pre-heat for heavy-gauge/twin-station forming. Energy-dominated (quartz/ceramic emitters).")</f>
        <v>UK plastics benchmark 2026-07. Standalone radiant/convection sheet oven — pre-heat for heavy-gauge/twin-station forming. Energy-dominated (quartz/ceramic emitters).</v>
      </c>
      <c r="N111" t="str">
        <v>Medium</v>
      </c>
      <c r="O111" t="str">
        <f>IFERROR(INDEX(Mapping!$C:$C,MATCH($A111,Mapping!$A:$A,0)),"")</f>
        <v/>
      </c>
      <c r="P111">
        <f>IF($O111="",0,COUNTIFS('JLR Machines'!$A:$A,$O111,'JLR Machines'!$C:$C,IF(Settings!$B$2="","&lt;&gt;",Settings!$B$2),'JLR Machines'!$D:$D,IF(Settings!$B$3="","&lt;&gt;",Settings!$B$3)))</f>
        <v>0</v>
      </c>
      <c r="Q111">
        <f>IF($P111&lt;&gt;1,0,SUMIFS('JLR Machines'!$G:$G,'JLR Machines'!$A:$A,$O111,'JLR Machines'!$C:$C,IF(Settings!$B$2="","&lt;&gt;",Settings!$B$2),'JLR Machines'!$D:$D,IF(Settings!$B$3="","&lt;&gt;",Settings!$B$3)))</f>
        <v>0</v>
      </c>
      <c r="R111">
        <f>IF($P111&lt;&gt;1,0,SUMIFS('JLR Machines'!$H:$H,'JLR Machines'!$A:$A,$O111,'JLR Machines'!$C:$C,IF(Settings!$B$2="","&lt;&gt;",Settings!$B$2),'JLR Machines'!$D:$D,IF(Settings!$B$3="","&lt;&gt;",Settings!$B$3)))</f>
        <v>0</v>
      </c>
      <c r="S111">
        <f>IF($P111&lt;&gt;1,0,SUMIFS('JLR Machines'!$I:$I,'JLR Machines'!$A:$A,$O111,'JLR Machines'!$C:$C,IF(Settings!$B$2="","&lt;&gt;",Settings!$B$2),'JLR Machines'!$D:$D,IF(Settings!$B$3="","&lt;&gt;",Settings!$B$3)))</f>
        <v>0</v>
      </c>
      <c r="T111">
        <f>IF($P111&lt;&gt;1,0,SUMIFS('JLR Machines'!$J:$J,'JLR Machines'!$A:$A,$O111,'JLR Machines'!$C:$C,IF(Settings!$B$2="","&lt;&gt;",Settings!$B$2),'JLR Machines'!$D:$D,IF(Settings!$B$3="","&lt;&gt;",Settings!$B$3)))</f>
        <v>0</v>
      </c>
      <c r="U111">
        <f>IF($P111&lt;&gt;1,0,SUMIFS('JLR Machines'!$K:$K,'JLR Machines'!$A:$A,$O111,'JLR Machines'!$C:$C,IF(Settings!$B$2="","&lt;&gt;",Settings!$B$2),'JLR Machines'!$D:$D,IF(Settings!$B$3="","&lt;&gt;",Settings!$B$3)))</f>
        <v>0</v>
      </c>
      <c r="V111">
        <f>IF($P111&lt;&gt;1,0,SUMIFS('JLR Machines'!$L:$L,'JLR Machines'!$A:$A,$O111,'JLR Machines'!$C:$C,IF(Settings!$B$2="","&lt;&gt;",Settings!$B$2),'JLR Machines'!$D:$D,IF(Settings!$B$3="","&lt;&gt;",Settings!$B$3)))</f>
        <v>0</v>
      </c>
      <c r="W111">
        <f>IF($P111&lt;&gt;1,0,SUMIFS('JLR Machines'!$M:$M,'JLR Machines'!$A:$A,$O111,'JLR Machines'!$C:$C,IF(Settings!$B$2="","&lt;&gt;",Settings!$B$2),'JLR Machines'!$D:$D,IF(Settings!$B$3="","&lt;&gt;",Settings!$B$3)))</f>
        <v>0</v>
      </c>
      <c r="X111">
        <f>IF($P111&lt;&gt;1,0,SUMIFS('JLR Machines'!$N:$N,'JLR Machines'!$A:$A,$O111,'JLR Machines'!$C:$C,IF(Settings!$B$2="","&lt;&gt;",Settings!$B$2),'JLR Machines'!$D:$D,IF(Settings!$B$3="","&lt;&gt;",Settings!$B$3)))</f>
        <v>0</v>
      </c>
      <c r="Y111">
        <f>$Q111+$R111+$S111+$T111+$U111+$V111+$W111</f>
        <v>0</v>
      </c>
      <c r="Z111">
        <f>IF($X111&lt;=0,0,ROUND((D111+E111+F111+G111+H111+I111)/3200-$X111,4))</f>
        <v>0</v>
      </c>
    </row>
    <row r="112">
      <c r="A112" t="str">
        <v>thermoform-trim-router</v>
      </c>
      <c r="B112" t="str">
        <v>CNC Trim Router / Trim Robot (5-axis)</v>
      </c>
      <c r="C112" t="str">
        <v>UK</v>
      </c>
      <c r="D112">
        <f>IF($X112&gt;0,IF($Y112&gt;0,MAX(0,$Q112+$X112-$Y112)*3200,$X112*3200),22000)</f>
        <v>22000</v>
      </c>
      <c r="E112">
        <f>IF($X112&gt;0,IF($Y112&gt;0,$S112*3200,0),9000)</f>
        <v>9000</v>
      </c>
      <c r="F112">
        <f>IF($X112&gt;0,IF($Y112&gt;0,$V112*3200,0),8000)</f>
        <v>8000</v>
      </c>
      <c r="G112">
        <f>IF($X112&gt;0,IF($Y112&gt;0,$R112*3200,0),5000)</f>
        <v>5000</v>
      </c>
      <c r="H112">
        <f>IF($X112&gt;0,IF($Y112&gt;0,($T112+$W112)*3200,0),5000)</f>
        <v>5000</v>
      </c>
      <c r="I112">
        <f>IF($X112&gt;0,IF($Y112&gt;0,$U112*3200,0),2750)</f>
        <v>2750</v>
      </c>
      <c r="J112">
        <v>4000</v>
      </c>
      <c r="K112">
        <v>0.8</v>
      </c>
      <c r="L112" t="str">
        <f>IF($X112&gt;0,IF($P112&lt;&gt;1,"2026-06-14",IFERROR(INDEX('JLR Machines'!$D:$D,MATCH($O112,'JLR Machines'!$A:$A,0)),"2026-06-14")),"2026-06-14")</f>
        <v>2026-06-14</v>
      </c>
      <c r="M112" t="str">
        <f>IF($X112&gt;0,IF($Y112&gt;0,"JLR machine "&amp;$O112&amp;" at "&amp;TEXT($X112,"0.00")&amp;" per hr — build-up as supplied","JLR machine "&amp;$O112&amp;" at "&amp;TEXT($X112,"0.00")&amp;" per hr — build-up not supplied"),"UK plastics benchmark 2026-07. 5-axis CNC router / trim robot — finishes heavy-gauge formed parts; no part-specific trim die (offsets tool cost vs steel-rule).")</f>
        <v>UK plastics benchmark 2026-07. 5-axis CNC router / trim robot — finishes heavy-gauge formed parts; no part-specific trim die (offsets tool cost vs steel-rule).</v>
      </c>
      <c r="N112" t="str">
        <v>Medium</v>
      </c>
      <c r="O112" t="str">
        <f>IFERROR(INDEX(Mapping!$C:$C,MATCH($A112,Mapping!$A:$A,0)),"")</f>
        <v/>
      </c>
      <c r="P112">
        <f>IF($O112="",0,COUNTIFS('JLR Machines'!$A:$A,$O112,'JLR Machines'!$C:$C,IF(Settings!$B$2="","&lt;&gt;",Settings!$B$2),'JLR Machines'!$D:$D,IF(Settings!$B$3="","&lt;&gt;",Settings!$B$3)))</f>
        <v>0</v>
      </c>
      <c r="Q112">
        <f>IF($P112&lt;&gt;1,0,SUMIFS('JLR Machines'!$G:$G,'JLR Machines'!$A:$A,$O112,'JLR Machines'!$C:$C,IF(Settings!$B$2="","&lt;&gt;",Settings!$B$2),'JLR Machines'!$D:$D,IF(Settings!$B$3="","&lt;&gt;",Settings!$B$3)))</f>
        <v>0</v>
      </c>
      <c r="R112">
        <f>IF($P112&lt;&gt;1,0,SUMIFS('JLR Machines'!$H:$H,'JLR Machines'!$A:$A,$O112,'JLR Machines'!$C:$C,IF(Settings!$B$2="","&lt;&gt;",Settings!$B$2),'JLR Machines'!$D:$D,IF(Settings!$B$3="","&lt;&gt;",Settings!$B$3)))</f>
        <v>0</v>
      </c>
      <c r="S112">
        <f>IF($P112&lt;&gt;1,0,SUMIFS('JLR Machines'!$I:$I,'JLR Machines'!$A:$A,$O112,'JLR Machines'!$C:$C,IF(Settings!$B$2="","&lt;&gt;",Settings!$B$2),'JLR Machines'!$D:$D,IF(Settings!$B$3="","&lt;&gt;",Settings!$B$3)))</f>
        <v>0</v>
      </c>
      <c r="T112">
        <f>IF($P112&lt;&gt;1,0,SUMIFS('JLR Machines'!$J:$J,'JLR Machines'!$A:$A,$O112,'JLR Machines'!$C:$C,IF(Settings!$B$2="","&lt;&gt;",Settings!$B$2),'JLR Machines'!$D:$D,IF(Settings!$B$3="","&lt;&gt;",Settings!$B$3)))</f>
        <v>0</v>
      </c>
      <c r="U112">
        <f>IF($P112&lt;&gt;1,0,SUMIFS('JLR Machines'!$K:$K,'JLR Machines'!$A:$A,$O112,'JLR Machines'!$C:$C,IF(Settings!$B$2="","&lt;&gt;",Settings!$B$2),'JLR Machines'!$D:$D,IF(Settings!$B$3="","&lt;&gt;",Settings!$B$3)))</f>
        <v>0</v>
      </c>
      <c r="V112">
        <f>IF($P112&lt;&gt;1,0,SUMIFS('JLR Machines'!$L:$L,'JLR Machines'!$A:$A,$O112,'JLR Machines'!$C:$C,IF(Settings!$B$2="","&lt;&gt;",Settings!$B$2),'JLR Machines'!$D:$D,IF(Settings!$B$3="","&lt;&gt;",Settings!$B$3)))</f>
        <v>0</v>
      </c>
      <c r="W112">
        <f>IF($P112&lt;&gt;1,0,SUMIFS('JLR Machines'!$M:$M,'JLR Machines'!$A:$A,$O112,'JLR Machines'!$C:$C,IF(Settings!$B$2="","&lt;&gt;",Settings!$B$2),'JLR Machines'!$D:$D,IF(Settings!$B$3="","&lt;&gt;",Settings!$B$3)))</f>
        <v>0</v>
      </c>
      <c r="X112">
        <f>IF($P112&lt;&gt;1,0,SUMIFS('JLR Machines'!$N:$N,'JLR Machines'!$A:$A,$O112,'JLR Machines'!$C:$C,IF(Settings!$B$2="","&lt;&gt;",Settings!$B$2),'JLR Machines'!$D:$D,IF(Settings!$B$3="","&lt;&gt;",Settings!$B$3)))</f>
        <v>0</v>
      </c>
      <c r="Y112">
        <f>$Q112+$R112+$S112+$T112+$U112+$V112+$W112</f>
        <v>0</v>
      </c>
      <c r="Z112">
        <f>IF($X112&lt;=0,0,ROUND((D112+E112+F112+G112+H112+I112)/3200-$X112,4))</f>
        <v>0</v>
      </c>
    </row>
    <row r="113">
      <c r="A113" t="str">
        <v>rotomould-biaxial</v>
      </c>
      <c r="B113" t="str">
        <v>Biaxial Rotational Moulder (3-arm carousel)</v>
      </c>
      <c r="C113" t="str">
        <v>UK</v>
      </c>
      <c r="D113">
        <f>IF($X113&gt;0,IF($Y113&gt;0,MAX(0,$Q113+$X113-$Y113)*2625,$X113*2625),30000)</f>
        <v>30000</v>
      </c>
      <c r="E113">
        <f>IF($X113&gt;0,IF($Y113&gt;0,$S113*2625,0),14000)</f>
        <v>14000</v>
      </c>
      <c r="F113">
        <f>IF($X113&gt;0,IF($Y113&gt;0,$V113*2625,0),40000)</f>
        <v>40000</v>
      </c>
      <c r="G113">
        <f>IF($X113&gt;0,IF($Y113&gt;0,$R113*2625,0),20000)</f>
        <v>20000</v>
      </c>
      <c r="H113">
        <f>IF($X113&gt;0,IF($Y113&gt;0,($T113+$W113)*2625,0),8000)</f>
        <v>8000</v>
      </c>
      <c r="I113">
        <f>IF($X113&gt;0,IF($Y113&gt;0,$U113*2625,0),3750)</f>
        <v>3750</v>
      </c>
      <c r="J113">
        <v>3500</v>
      </c>
      <c r="K113">
        <v>0.75</v>
      </c>
      <c r="L113" t="str">
        <f>IF($X113&gt;0,IF($P113&lt;&gt;1,"2026-06-14",IFERROR(INDEX('JLR Machines'!$D:$D,MATCH($O113,'JLR Machines'!$A:$A,0)),"2026-06-14")),"2026-06-14")</f>
        <v>2026-06-14</v>
      </c>
      <c r="M113" t="str">
        <f>IF($X113&gt;0,IF($Y113&gt;0,"JLR machine "&amp;$O113&amp;" at "&amp;TEXT($X113,"0.00")&amp;" per hr — build-up as supplied","JLR machine "&amp;$O113&amp;" at "&amp;TEXT($X113,"0.00")&amp;" per hr — build-up not supplied"),"UK plastics benchmark. 3-arm biaxial carousel. Large tanks/playground equip. Jun 2026")</f>
        <v>UK plastics benchmark. 3-arm biaxial carousel. Large tanks/playground equip. Jun 2026</v>
      </c>
      <c r="N113" t="str">
        <v>Medium</v>
      </c>
      <c r="O113" t="str">
        <f>IFERROR(INDEX(Mapping!$C:$C,MATCH($A113,Mapping!$A:$A,0)),"")</f>
        <v/>
      </c>
      <c r="P113">
        <f>IF($O113="",0,COUNTIFS('JLR Machines'!$A:$A,$O113,'JLR Machines'!$C:$C,IF(Settings!$B$2="","&lt;&gt;",Settings!$B$2),'JLR Machines'!$D:$D,IF(Settings!$B$3="","&lt;&gt;",Settings!$B$3)))</f>
        <v>0</v>
      </c>
      <c r="Q113">
        <f>IF($P113&lt;&gt;1,0,SUMIFS('JLR Machines'!$G:$G,'JLR Machines'!$A:$A,$O113,'JLR Machines'!$C:$C,IF(Settings!$B$2="","&lt;&gt;",Settings!$B$2),'JLR Machines'!$D:$D,IF(Settings!$B$3="","&lt;&gt;",Settings!$B$3)))</f>
        <v>0</v>
      </c>
      <c r="R113">
        <f>IF($P113&lt;&gt;1,0,SUMIFS('JLR Machines'!$H:$H,'JLR Machines'!$A:$A,$O113,'JLR Machines'!$C:$C,IF(Settings!$B$2="","&lt;&gt;",Settings!$B$2),'JLR Machines'!$D:$D,IF(Settings!$B$3="","&lt;&gt;",Settings!$B$3)))</f>
        <v>0</v>
      </c>
      <c r="S113">
        <f>IF($P113&lt;&gt;1,0,SUMIFS('JLR Machines'!$I:$I,'JLR Machines'!$A:$A,$O113,'JLR Machines'!$C:$C,IF(Settings!$B$2="","&lt;&gt;",Settings!$B$2),'JLR Machines'!$D:$D,IF(Settings!$B$3="","&lt;&gt;",Settings!$B$3)))</f>
        <v>0</v>
      </c>
      <c r="T113">
        <f>IF($P113&lt;&gt;1,0,SUMIFS('JLR Machines'!$J:$J,'JLR Machines'!$A:$A,$O113,'JLR Machines'!$C:$C,IF(Settings!$B$2="","&lt;&gt;",Settings!$B$2),'JLR Machines'!$D:$D,IF(Settings!$B$3="","&lt;&gt;",Settings!$B$3)))</f>
        <v>0</v>
      </c>
      <c r="U113">
        <f>IF($P113&lt;&gt;1,0,SUMIFS('JLR Machines'!$K:$K,'JLR Machines'!$A:$A,$O113,'JLR Machines'!$C:$C,IF(Settings!$B$2="","&lt;&gt;",Settings!$B$2),'JLR Machines'!$D:$D,IF(Settings!$B$3="","&lt;&gt;",Settings!$B$3)))</f>
        <v>0</v>
      </c>
      <c r="V113">
        <f>IF($P113&lt;&gt;1,0,SUMIFS('JLR Machines'!$L:$L,'JLR Machines'!$A:$A,$O113,'JLR Machines'!$C:$C,IF(Settings!$B$2="","&lt;&gt;",Settings!$B$2),'JLR Machines'!$D:$D,IF(Settings!$B$3="","&lt;&gt;",Settings!$B$3)))</f>
        <v>0</v>
      </c>
      <c r="W113">
        <f>IF($P113&lt;&gt;1,0,SUMIFS('JLR Machines'!$M:$M,'JLR Machines'!$A:$A,$O113,'JLR Machines'!$C:$C,IF(Settings!$B$2="","&lt;&gt;",Settings!$B$2),'JLR Machines'!$D:$D,IF(Settings!$B$3="","&lt;&gt;",Settings!$B$3)))</f>
        <v>0</v>
      </c>
      <c r="X113">
        <f>IF($P113&lt;&gt;1,0,SUMIFS('JLR Machines'!$N:$N,'JLR Machines'!$A:$A,$O113,'JLR Machines'!$C:$C,IF(Settings!$B$2="","&lt;&gt;",Settings!$B$2),'JLR Machines'!$D:$D,IF(Settings!$B$3="","&lt;&gt;",Settings!$B$3)))</f>
        <v>0</v>
      </c>
      <c r="Y113">
        <f>$Q113+$R113+$S113+$T113+$U113+$V113+$W113</f>
        <v>0</v>
      </c>
      <c r="Z113">
        <f>IF($X113&lt;=0,0,ROUND((D113+E113+F113+G113+H113+I113)/2625-$X113,4))</f>
        <v>0</v>
      </c>
    </row>
    <row r="114">
      <c r="A114" t="str">
        <v>rotomould-lab-1arm</v>
      </c>
      <c r="B114" t="str">
        <v>Single-Arm Rotational Moulder (small/lab)</v>
      </c>
      <c r="C114" t="str">
        <v>UK</v>
      </c>
      <c r="D114">
        <f>IF($X114&gt;0,IF($Y114&gt;0,MAX(0,$Q114+$X114-$Y114)*2275,$X114*2275),12000)</f>
        <v>12000</v>
      </c>
      <c r="E114">
        <f>IF($X114&gt;0,IF($Y114&gt;0,$S114*2275,0),5000)</f>
        <v>5000</v>
      </c>
      <c r="F114">
        <f>IF($X114&gt;0,IF($Y114&gt;0,$V114*2275,0),15000)</f>
        <v>15000</v>
      </c>
      <c r="G114">
        <f>IF($X114&gt;0,IF($Y114&gt;0,$R114*2275,0),8000)</f>
        <v>8000</v>
      </c>
      <c r="H114">
        <f>IF($X114&gt;0,IF($Y114&gt;0,($T114+$W114)*2275,0),3000)</f>
        <v>3000</v>
      </c>
      <c r="I114">
        <f>IF($X114&gt;0,IF($Y114&gt;0,$U114*2275,0),1500)</f>
        <v>1500</v>
      </c>
      <c r="J114">
        <v>3500</v>
      </c>
      <c r="K114">
        <v>0.65</v>
      </c>
      <c r="L114" t="str">
        <f>IF($X114&gt;0,IF($P114&lt;&gt;1,"2026-06-14",IFERROR(INDEX('JLR Machines'!$D:$D,MATCH($O114,'JLR Machines'!$A:$A,0)),"2026-06-14")),"2026-06-14")</f>
        <v>2026-06-14</v>
      </c>
      <c r="M114" t="str">
        <f>IF($X114&gt;0,IF($Y114&gt;0,"JLR machine "&amp;$O114&amp;" at "&amp;TEXT($X114,"0.00")&amp;" per hr — build-up as supplied","JLR machine "&amp;$O114&amp;" at "&amp;TEXT($X114,"0.00")&amp;" per hr — build-up not supplied"),"UK plastics benchmark. Single-arm / lab roto — small tanks, prototyping, low volume. Jun 2026")</f>
        <v>UK plastics benchmark. Single-arm / lab roto — small tanks, prototyping, low volume. Jun 2026</v>
      </c>
      <c r="N114" t="str">
        <v>Medium</v>
      </c>
      <c r="O114" t="str">
        <f>IFERROR(INDEX(Mapping!$C:$C,MATCH($A114,Mapping!$A:$A,0)),"")</f>
        <v/>
      </c>
      <c r="P114">
        <f>IF($O114="",0,COUNTIFS('JLR Machines'!$A:$A,$O114,'JLR Machines'!$C:$C,IF(Settings!$B$2="","&lt;&gt;",Settings!$B$2),'JLR Machines'!$D:$D,IF(Settings!$B$3="","&lt;&gt;",Settings!$B$3)))</f>
        <v>0</v>
      </c>
      <c r="Q114">
        <f>IF($P114&lt;&gt;1,0,SUMIFS('JLR Machines'!$G:$G,'JLR Machines'!$A:$A,$O114,'JLR Machines'!$C:$C,IF(Settings!$B$2="","&lt;&gt;",Settings!$B$2),'JLR Machines'!$D:$D,IF(Settings!$B$3="","&lt;&gt;",Settings!$B$3)))</f>
        <v>0</v>
      </c>
      <c r="R114">
        <f>IF($P114&lt;&gt;1,0,SUMIFS('JLR Machines'!$H:$H,'JLR Machines'!$A:$A,$O114,'JLR Machines'!$C:$C,IF(Settings!$B$2="","&lt;&gt;",Settings!$B$2),'JLR Machines'!$D:$D,IF(Settings!$B$3="","&lt;&gt;",Settings!$B$3)))</f>
        <v>0</v>
      </c>
      <c r="S114">
        <f>IF($P114&lt;&gt;1,0,SUMIFS('JLR Machines'!$I:$I,'JLR Machines'!$A:$A,$O114,'JLR Machines'!$C:$C,IF(Settings!$B$2="","&lt;&gt;",Settings!$B$2),'JLR Machines'!$D:$D,IF(Settings!$B$3="","&lt;&gt;",Settings!$B$3)))</f>
        <v>0</v>
      </c>
      <c r="T114">
        <f>IF($P114&lt;&gt;1,0,SUMIFS('JLR Machines'!$J:$J,'JLR Machines'!$A:$A,$O114,'JLR Machines'!$C:$C,IF(Settings!$B$2="","&lt;&gt;",Settings!$B$2),'JLR Machines'!$D:$D,IF(Settings!$B$3="","&lt;&gt;",Settings!$B$3)))</f>
        <v>0</v>
      </c>
      <c r="U114">
        <f>IF($P114&lt;&gt;1,0,SUMIFS('JLR Machines'!$K:$K,'JLR Machines'!$A:$A,$O114,'JLR Machines'!$C:$C,IF(Settings!$B$2="","&lt;&gt;",Settings!$B$2),'JLR Machines'!$D:$D,IF(Settings!$B$3="","&lt;&gt;",Settings!$B$3)))</f>
        <v>0</v>
      </c>
      <c r="V114">
        <f>IF($P114&lt;&gt;1,0,SUMIFS('JLR Machines'!$L:$L,'JLR Machines'!$A:$A,$O114,'JLR Machines'!$C:$C,IF(Settings!$B$2="","&lt;&gt;",Settings!$B$2),'JLR Machines'!$D:$D,IF(Settings!$B$3="","&lt;&gt;",Settings!$B$3)))</f>
        <v>0</v>
      </c>
      <c r="W114">
        <f>IF($P114&lt;&gt;1,0,SUMIFS('JLR Machines'!$M:$M,'JLR Machines'!$A:$A,$O114,'JLR Machines'!$C:$C,IF(Settings!$B$2="","&lt;&gt;",Settings!$B$2),'JLR Machines'!$D:$D,IF(Settings!$B$3="","&lt;&gt;",Settings!$B$3)))</f>
        <v>0</v>
      </c>
      <c r="X114">
        <f>IF($P114&lt;&gt;1,0,SUMIFS('JLR Machines'!$N:$N,'JLR Machines'!$A:$A,$O114,'JLR Machines'!$C:$C,IF(Settings!$B$2="","&lt;&gt;",Settings!$B$2),'JLR Machines'!$D:$D,IF(Settings!$B$3="","&lt;&gt;",Settings!$B$3)))</f>
        <v>0</v>
      </c>
      <c r="Y114">
        <f>$Q114+$R114+$S114+$T114+$U114+$V114+$W114</f>
        <v>0</v>
      </c>
      <c r="Z114">
        <f>IF($X114&lt;=0,0,ROUND((D114+E114+F114+G114+H114+I114)/2275-$X114,4))</f>
        <v>0</v>
      </c>
    </row>
    <row r="115">
      <c r="A115" t="str">
        <v>rotomould-shuttle</v>
      </c>
      <c r="B115" t="str">
        <v>Shuttle Rotational Moulder (1–2 station)</v>
      </c>
      <c r="C115" t="str">
        <v>UK</v>
      </c>
      <c r="D115">
        <f>IF($X115&gt;0,IF($Y115&gt;0,MAX(0,$Q115+$X115-$Y115)*2520,$X115*2520),26000)</f>
        <v>26000</v>
      </c>
      <c r="E115">
        <f>IF($X115&gt;0,IF($Y115&gt;0,$S115*2520,0),12000)</f>
        <v>12000</v>
      </c>
      <c r="F115">
        <f>IF($X115&gt;0,IF($Y115&gt;0,$V115*2520,0),35000)</f>
        <v>35000</v>
      </c>
      <c r="G115">
        <f>IF($X115&gt;0,IF($Y115&gt;0,$R115*2520,0),18000)</f>
        <v>18000</v>
      </c>
      <c r="H115">
        <f>IF($X115&gt;0,IF($Y115&gt;0,($T115+$W115)*2520,0),7000)</f>
        <v>7000</v>
      </c>
      <c r="I115">
        <f>IF($X115&gt;0,IF($Y115&gt;0,$U115*2520,0),3250)</f>
        <v>3250</v>
      </c>
      <c r="J115">
        <v>3500</v>
      </c>
      <c r="K115">
        <v>0.72</v>
      </c>
      <c r="L115" t="str">
        <f>IF($X115&gt;0,IF($P115&lt;&gt;1,"2026-06-14",IFERROR(INDEX('JLR Machines'!$D:$D,MATCH($O115,'JLR Machines'!$A:$A,0)),"2026-06-14")),"2026-06-14")</f>
        <v>2026-06-14</v>
      </c>
      <c r="M115" t="str">
        <f>IF($X115&gt;0,IF($Y115&gt;0,"JLR machine "&amp;$O115&amp;" at "&amp;TEXT($X115,"0.00")&amp;" per hr — build-up as supplied","JLR machine "&amp;$O115&amp;" at "&amp;TEXT($X115,"0.00")&amp;" per hr — build-up not supplied"),"UK plastics benchmark. Shuttle roto — mid volume, large/awkward parts, flexible tool changes. Jun 2026")</f>
        <v>UK plastics benchmark. Shuttle roto — mid volume, large/awkward parts, flexible tool changes. Jun 2026</v>
      </c>
      <c r="N115" t="str">
        <v>Medium</v>
      </c>
      <c r="O115" t="str">
        <f>IFERROR(INDEX(Mapping!$C:$C,MATCH($A115,Mapping!$A:$A,0)),"")</f>
        <v/>
      </c>
      <c r="P115">
        <f>IF($O115="",0,COUNTIFS('JLR Machines'!$A:$A,$O115,'JLR Machines'!$C:$C,IF(Settings!$B$2="","&lt;&gt;",Settings!$B$2),'JLR Machines'!$D:$D,IF(Settings!$B$3="","&lt;&gt;",Settings!$B$3)))</f>
        <v>0</v>
      </c>
      <c r="Q115">
        <f>IF($P115&lt;&gt;1,0,SUMIFS('JLR Machines'!$G:$G,'JLR Machines'!$A:$A,$O115,'JLR Machines'!$C:$C,IF(Settings!$B$2="","&lt;&gt;",Settings!$B$2),'JLR Machines'!$D:$D,IF(Settings!$B$3="","&lt;&gt;",Settings!$B$3)))</f>
        <v>0</v>
      </c>
      <c r="R115">
        <f>IF($P115&lt;&gt;1,0,SUMIFS('JLR Machines'!$H:$H,'JLR Machines'!$A:$A,$O115,'JLR Machines'!$C:$C,IF(Settings!$B$2="","&lt;&gt;",Settings!$B$2),'JLR Machines'!$D:$D,IF(Settings!$B$3="","&lt;&gt;",Settings!$B$3)))</f>
        <v>0</v>
      </c>
      <c r="S115">
        <f>IF($P115&lt;&gt;1,0,SUMIFS('JLR Machines'!$I:$I,'JLR Machines'!$A:$A,$O115,'JLR Machines'!$C:$C,IF(Settings!$B$2="","&lt;&gt;",Settings!$B$2),'JLR Machines'!$D:$D,IF(Settings!$B$3="","&lt;&gt;",Settings!$B$3)))</f>
        <v>0</v>
      </c>
      <c r="T115">
        <f>IF($P115&lt;&gt;1,0,SUMIFS('JLR Machines'!$J:$J,'JLR Machines'!$A:$A,$O115,'JLR Machines'!$C:$C,IF(Settings!$B$2="","&lt;&gt;",Settings!$B$2),'JLR Machines'!$D:$D,IF(Settings!$B$3="","&lt;&gt;",Settings!$B$3)))</f>
        <v>0</v>
      </c>
      <c r="U115">
        <f>IF($P115&lt;&gt;1,0,SUMIFS('JLR Machines'!$K:$K,'JLR Machines'!$A:$A,$O115,'JLR Machines'!$C:$C,IF(Settings!$B$2="","&lt;&gt;",Settings!$B$2),'JLR Machines'!$D:$D,IF(Settings!$B$3="","&lt;&gt;",Settings!$B$3)))</f>
        <v>0</v>
      </c>
      <c r="V115">
        <f>IF($P115&lt;&gt;1,0,SUMIFS('JLR Machines'!$L:$L,'JLR Machines'!$A:$A,$O115,'JLR Machines'!$C:$C,IF(Settings!$B$2="","&lt;&gt;",Settings!$B$2),'JLR Machines'!$D:$D,IF(Settings!$B$3="","&lt;&gt;",Settings!$B$3)))</f>
        <v>0</v>
      </c>
      <c r="W115">
        <f>IF($P115&lt;&gt;1,0,SUMIFS('JLR Machines'!$M:$M,'JLR Machines'!$A:$A,$O115,'JLR Machines'!$C:$C,IF(Settings!$B$2="","&lt;&gt;",Settings!$B$2),'JLR Machines'!$D:$D,IF(Settings!$B$3="","&lt;&gt;",Settings!$B$3)))</f>
        <v>0</v>
      </c>
      <c r="X115">
        <f>IF($P115&lt;&gt;1,0,SUMIFS('JLR Machines'!$N:$N,'JLR Machines'!$A:$A,$O115,'JLR Machines'!$C:$C,IF(Settings!$B$2="","&lt;&gt;",Settings!$B$2),'JLR Machines'!$D:$D,IF(Settings!$B$3="","&lt;&gt;",Settings!$B$3)))</f>
        <v>0</v>
      </c>
      <c r="Y115">
        <f>$Q115+$R115+$S115+$T115+$U115+$V115+$W115</f>
        <v>0</v>
      </c>
      <c r="Z115">
        <f>IF($X115&lt;=0,0,ROUND((D115+E115+F115+G115+H115+I115)/2520-$X115,4))</f>
        <v>0</v>
      </c>
    </row>
    <row r="116">
      <c r="A116" t="str">
        <v>rotomould-rocknroll</v>
      </c>
      <c r="B116" t="str">
        <v>Rock-and-Roll Rotational Moulder</v>
      </c>
      <c r="C116" t="str">
        <v>UK</v>
      </c>
      <c r="D116">
        <f>IF($X116&gt;0,IF($Y116&gt;0,MAX(0,$Q116+$X116-$Y116)*2520,$X116*2520),22000)</f>
        <v>22000</v>
      </c>
      <c r="E116">
        <f>IF($X116&gt;0,IF($Y116&gt;0,$S116*2520,0),10000)</f>
        <v>10000</v>
      </c>
      <c r="F116">
        <f>IF($X116&gt;0,IF($Y116&gt;0,$V116*2520,0),30000)</f>
        <v>30000</v>
      </c>
      <c r="G116">
        <f>IF($X116&gt;0,IF($Y116&gt;0,$R116*2520,0),15000)</f>
        <v>15000</v>
      </c>
      <c r="H116">
        <f>IF($X116&gt;0,IF($Y116&gt;0,($T116+$W116)*2520,0),6000)</f>
        <v>6000</v>
      </c>
      <c r="I116">
        <f>IF($X116&gt;0,IF($Y116&gt;0,$U116*2520,0),2750)</f>
        <v>2750</v>
      </c>
      <c r="J116">
        <v>3500</v>
      </c>
      <c r="K116">
        <v>0.72</v>
      </c>
      <c r="L116" t="str">
        <f>IF($X116&gt;0,IF($P116&lt;&gt;1,"2026-06-14",IFERROR(INDEX('JLR Machines'!$D:$D,MATCH($O116,'JLR Machines'!$A:$A,0)),"2026-06-14")),"2026-06-14")</f>
        <v>2026-06-14</v>
      </c>
      <c r="M116" t="str">
        <f>IF($X116&gt;0,IF($Y116&gt;0,"JLR machine "&amp;$O116&amp;" at "&amp;TEXT($X116,"0.00")&amp;" per hr — build-up as supplied","JLR machine "&amp;$O116&amp;" at "&amp;TEXT($X116,"0.00")&amp;" per hr — build-up not supplied"),"UK plastics benchmark. Rock-and-roll — long narrow parts (kayaks, ducts, pontoons); minor-axis rock + major-axis roll. Jun 2026")</f>
        <v>UK plastics benchmark. Rock-and-roll — long narrow parts (kayaks, ducts, pontoons); minor-axis rock + major-axis roll. Jun 2026</v>
      </c>
      <c r="N116" t="str">
        <v>Medium</v>
      </c>
      <c r="O116" t="str">
        <f>IFERROR(INDEX(Mapping!$C:$C,MATCH($A116,Mapping!$A:$A,0)),"")</f>
        <v/>
      </c>
      <c r="P116">
        <f>IF($O116="",0,COUNTIFS('JLR Machines'!$A:$A,$O116,'JLR Machines'!$C:$C,IF(Settings!$B$2="","&lt;&gt;",Settings!$B$2),'JLR Machines'!$D:$D,IF(Settings!$B$3="","&lt;&gt;",Settings!$B$3)))</f>
        <v>0</v>
      </c>
      <c r="Q116">
        <f>IF($P116&lt;&gt;1,0,SUMIFS('JLR Machines'!$G:$G,'JLR Machines'!$A:$A,$O116,'JLR Machines'!$C:$C,IF(Settings!$B$2="","&lt;&gt;",Settings!$B$2),'JLR Machines'!$D:$D,IF(Settings!$B$3="","&lt;&gt;",Settings!$B$3)))</f>
        <v>0</v>
      </c>
      <c r="R116">
        <f>IF($P116&lt;&gt;1,0,SUMIFS('JLR Machines'!$H:$H,'JLR Machines'!$A:$A,$O116,'JLR Machines'!$C:$C,IF(Settings!$B$2="","&lt;&gt;",Settings!$B$2),'JLR Machines'!$D:$D,IF(Settings!$B$3="","&lt;&gt;",Settings!$B$3)))</f>
        <v>0</v>
      </c>
      <c r="S116">
        <f>IF($P116&lt;&gt;1,0,SUMIFS('JLR Machines'!$I:$I,'JLR Machines'!$A:$A,$O116,'JLR Machines'!$C:$C,IF(Settings!$B$2="","&lt;&gt;",Settings!$B$2),'JLR Machines'!$D:$D,IF(Settings!$B$3="","&lt;&gt;",Settings!$B$3)))</f>
        <v>0</v>
      </c>
      <c r="T116">
        <f>IF($P116&lt;&gt;1,0,SUMIFS('JLR Machines'!$J:$J,'JLR Machines'!$A:$A,$O116,'JLR Machines'!$C:$C,IF(Settings!$B$2="","&lt;&gt;",Settings!$B$2),'JLR Machines'!$D:$D,IF(Settings!$B$3="","&lt;&gt;",Settings!$B$3)))</f>
        <v>0</v>
      </c>
      <c r="U116">
        <f>IF($P116&lt;&gt;1,0,SUMIFS('JLR Machines'!$K:$K,'JLR Machines'!$A:$A,$O116,'JLR Machines'!$C:$C,IF(Settings!$B$2="","&lt;&gt;",Settings!$B$2),'JLR Machines'!$D:$D,IF(Settings!$B$3="","&lt;&gt;",Settings!$B$3)))</f>
        <v>0</v>
      </c>
      <c r="V116">
        <f>IF($P116&lt;&gt;1,0,SUMIFS('JLR Machines'!$L:$L,'JLR Machines'!$A:$A,$O116,'JLR Machines'!$C:$C,IF(Settings!$B$2="","&lt;&gt;",Settings!$B$2),'JLR Machines'!$D:$D,IF(Settings!$B$3="","&lt;&gt;",Settings!$B$3)))</f>
        <v>0</v>
      </c>
      <c r="W116">
        <f>IF($P116&lt;&gt;1,0,SUMIFS('JLR Machines'!$M:$M,'JLR Machines'!$A:$A,$O116,'JLR Machines'!$C:$C,IF(Settings!$B$2="","&lt;&gt;",Settings!$B$2),'JLR Machines'!$D:$D,IF(Settings!$B$3="","&lt;&gt;",Settings!$B$3)))</f>
        <v>0</v>
      </c>
      <c r="X116">
        <f>IF($P116&lt;&gt;1,0,SUMIFS('JLR Machines'!$N:$N,'JLR Machines'!$A:$A,$O116,'JLR Machines'!$C:$C,IF(Settings!$B$2="","&lt;&gt;",Settings!$B$2),'JLR Machines'!$D:$D,IF(Settings!$B$3="","&lt;&gt;",Settings!$B$3)))</f>
        <v>0</v>
      </c>
      <c r="Y116">
        <f>$Q116+$R116+$S116+$T116+$U116+$V116+$W116</f>
        <v>0</v>
      </c>
      <c r="Z116">
        <f>IF($X116&lt;=0,0,ROUND((D116+E116+F116+G116+H116+I116)/2520-$X116,4))</f>
        <v>0</v>
      </c>
    </row>
    <row r="117">
      <c r="A117" t="str">
        <v>rotomould-carousel-4arm</v>
      </c>
      <c r="B117" t="str">
        <v>4-Arm Fixed Carousel Rotational Moulder</v>
      </c>
      <c r="C117" t="str">
        <v>UK</v>
      </c>
      <c r="D117">
        <f>IF($X117&gt;0,IF($Y117&gt;0,MAX(0,$Q117+$X117-$Y117)*2730,$X117*2730),45000)</f>
        <v>45000</v>
      </c>
      <c r="E117">
        <f>IF($X117&gt;0,IF($Y117&gt;0,$S117*2730,0),20000)</f>
        <v>20000</v>
      </c>
      <c r="F117">
        <f>IF($X117&gt;0,IF($Y117&gt;0,$V117*2730,0),60000)</f>
        <v>60000</v>
      </c>
      <c r="G117">
        <f>IF($X117&gt;0,IF($Y117&gt;0,$R117*2730,0),28000)</f>
        <v>28000</v>
      </c>
      <c r="H117">
        <f>IF($X117&gt;0,IF($Y117&gt;0,($T117+$W117)*2730,0),12000)</f>
        <v>12000</v>
      </c>
      <c r="I117">
        <f>IF($X117&gt;0,IF($Y117&gt;0,$U117*2730,0),5625)</f>
        <v>5625</v>
      </c>
      <c r="J117">
        <v>3500</v>
      </c>
      <c r="K117">
        <v>0.78</v>
      </c>
      <c r="L117" t="str">
        <f>IF($X117&gt;0,IF($P117&lt;&gt;1,"2026-06-14",IFERROR(INDEX('JLR Machines'!$D:$D,MATCH($O117,'JLR Machines'!$A:$A,0)),"2026-06-14")),"2026-06-14")</f>
        <v>2026-06-14</v>
      </c>
      <c r="M117" t="str">
        <f>IF($X117&gt;0,IF($Y117&gt;0,"JLR machine "&amp;$O117&amp;" at "&amp;TEXT($X117,"0.00")&amp;" per hr — build-up as supplied","JLR machine "&amp;$O117&amp;" at "&amp;TEXT($X117,"0.00")&amp;" per hr — build-up not supplied"),"UK plastics benchmark. 4-arm fixed-carousel — high-volume independent-arm production, best oven utilisation. Jun 2026")</f>
        <v>UK plastics benchmark. 4-arm fixed-carousel — high-volume independent-arm production, best oven utilisation. Jun 2026</v>
      </c>
      <c r="N117" t="str">
        <v>Medium</v>
      </c>
      <c r="O117" t="str">
        <f>IFERROR(INDEX(Mapping!$C:$C,MATCH($A117,Mapping!$A:$A,0)),"")</f>
        <v/>
      </c>
      <c r="P117">
        <f>IF($O117="",0,COUNTIFS('JLR Machines'!$A:$A,$O117,'JLR Machines'!$C:$C,IF(Settings!$B$2="","&lt;&gt;",Settings!$B$2),'JLR Machines'!$D:$D,IF(Settings!$B$3="","&lt;&gt;",Settings!$B$3)))</f>
        <v>0</v>
      </c>
      <c r="Q117">
        <f>IF($P117&lt;&gt;1,0,SUMIFS('JLR Machines'!$G:$G,'JLR Machines'!$A:$A,$O117,'JLR Machines'!$C:$C,IF(Settings!$B$2="","&lt;&gt;",Settings!$B$2),'JLR Machines'!$D:$D,IF(Settings!$B$3="","&lt;&gt;",Settings!$B$3)))</f>
        <v>0</v>
      </c>
      <c r="R117">
        <f>IF($P117&lt;&gt;1,0,SUMIFS('JLR Machines'!$H:$H,'JLR Machines'!$A:$A,$O117,'JLR Machines'!$C:$C,IF(Settings!$B$2="","&lt;&gt;",Settings!$B$2),'JLR Machines'!$D:$D,IF(Settings!$B$3="","&lt;&gt;",Settings!$B$3)))</f>
        <v>0</v>
      </c>
      <c r="S117">
        <f>IF($P117&lt;&gt;1,0,SUMIFS('JLR Machines'!$I:$I,'JLR Machines'!$A:$A,$O117,'JLR Machines'!$C:$C,IF(Settings!$B$2="","&lt;&gt;",Settings!$B$2),'JLR Machines'!$D:$D,IF(Settings!$B$3="","&lt;&gt;",Settings!$B$3)))</f>
        <v>0</v>
      </c>
      <c r="T117">
        <f>IF($P117&lt;&gt;1,0,SUMIFS('JLR Machines'!$J:$J,'JLR Machines'!$A:$A,$O117,'JLR Machines'!$C:$C,IF(Settings!$B$2="","&lt;&gt;",Settings!$B$2),'JLR Machines'!$D:$D,IF(Settings!$B$3="","&lt;&gt;",Settings!$B$3)))</f>
        <v>0</v>
      </c>
      <c r="U117">
        <f>IF($P117&lt;&gt;1,0,SUMIFS('JLR Machines'!$K:$K,'JLR Machines'!$A:$A,$O117,'JLR Machines'!$C:$C,IF(Settings!$B$2="","&lt;&gt;",Settings!$B$2),'JLR Machines'!$D:$D,IF(Settings!$B$3="","&lt;&gt;",Settings!$B$3)))</f>
        <v>0</v>
      </c>
      <c r="V117">
        <f>IF($P117&lt;&gt;1,0,SUMIFS('JLR Machines'!$L:$L,'JLR Machines'!$A:$A,$O117,'JLR Machines'!$C:$C,IF(Settings!$B$2="","&lt;&gt;",Settings!$B$2),'JLR Machines'!$D:$D,IF(Settings!$B$3="","&lt;&gt;",Settings!$B$3)))</f>
        <v>0</v>
      </c>
      <c r="W117">
        <f>IF($P117&lt;&gt;1,0,SUMIFS('JLR Machines'!$M:$M,'JLR Machines'!$A:$A,$O117,'JLR Machines'!$C:$C,IF(Settings!$B$2="","&lt;&gt;",Settings!$B$2),'JLR Machines'!$D:$D,IF(Settings!$B$3="","&lt;&gt;",Settings!$B$3)))</f>
        <v>0</v>
      </c>
      <c r="X117">
        <f>IF($P117&lt;&gt;1,0,SUMIFS('JLR Machines'!$N:$N,'JLR Machines'!$A:$A,$O117,'JLR Machines'!$C:$C,IF(Settings!$B$2="","&lt;&gt;",Settings!$B$2),'JLR Machines'!$D:$D,IF(Settings!$B$3="","&lt;&gt;",Settings!$B$3)))</f>
        <v>0</v>
      </c>
      <c r="Y117">
        <f>$Q117+$R117+$S117+$T117+$U117+$V117+$W117</f>
        <v>0</v>
      </c>
      <c r="Z117">
        <f>IF($X117&lt;=0,0,ROUND((D117+E117+F117+G117+H117+I117)/2730-$X117,4))</f>
        <v>0</v>
      </c>
    </row>
    <row r="118">
      <c r="A118" t="str">
        <v>ultrasonic-welder</v>
      </c>
      <c r="B118" t="str">
        <v>Ultrasonic Welder</v>
      </c>
      <c r="C118" t="str">
        <v>UK</v>
      </c>
      <c r="D118">
        <f>IF($X118&gt;0,IF($Y118&gt;0,MAX(0,$Q118+$X118-$Y118)*3200,$X118*3200),8000)</f>
        <v>8000</v>
      </c>
      <c r="E118">
        <f>IF($X118&gt;0,IF($Y118&gt;0,$S118*3200,0),3000)</f>
        <v>3000</v>
      </c>
      <c r="F118">
        <f>IF($X118&gt;0,IF($Y118&gt;0,$V118*3200,0),2000)</f>
        <v>2000</v>
      </c>
      <c r="G118">
        <f>IF($X118&gt;0,IF($Y118&gt;0,$R118*3200,0),1500)</f>
        <v>1500</v>
      </c>
      <c r="H118">
        <f>IF($X118&gt;0,IF($Y118&gt;0,($T118+$W118)*3200,0),2000)</f>
        <v>2000</v>
      </c>
      <c r="I118">
        <f>IF($X118&gt;0,IF($Y118&gt;0,$U118*3200,0),1000)</f>
        <v>1000</v>
      </c>
      <c r="J118">
        <v>4000</v>
      </c>
      <c r="K118">
        <v>0.8</v>
      </c>
      <c r="L118" t="str">
        <f>IF($X118&gt;0,IF($P118&lt;&gt;1,"2026-06-14",IFERROR(INDEX('JLR Machines'!$D:$D,MATCH($O118,'JLR Machines'!$A:$A,0)),"2026-06-14")),"2026-06-14")</f>
        <v>2026-06-14</v>
      </c>
      <c r="M118" t="str">
        <f>IF($X118&gt;0,IF($Y118&gt;0,"JLR machine "&amp;$O118&amp;" at "&amp;TEXT($X118,"0.00")&amp;" per hr — build-up as supplied","JLR machine "&amp;$O118&amp;" at "&amp;TEXT($X118,"0.00")&amp;" per hr — build-up not supplied"),"UK plastics assembly benchmark. 3kW+ ultrasonic welder, small–medium plastic parts. Jun 2026")</f>
        <v>UK plastics assembly benchmark. 3kW+ ultrasonic welder, small–medium plastic parts. Jun 2026</v>
      </c>
      <c r="N118" t="str">
        <v>Medium</v>
      </c>
      <c r="O118" t="str">
        <f>IFERROR(INDEX(Mapping!$C:$C,MATCH($A118,Mapping!$A:$A,0)),"")</f>
        <v/>
      </c>
      <c r="P118">
        <f>IF($O118="",0,COUNTIFS('JLR Machines'!$A:$A,$O118,'JLR Machines'!$C:$C,IF(Settings!$B$2="","&lt;&gt;",Settings!$B$2),'JLR Machines'!$D:$D,IF(Settings!$B$3="","&lt;&gt;",Settings!$B$3)))</f>
        <v>0</v>
      </c>
      <c r="Q118">
        <f>IF($P118&lt;&gt;1,0,SUMIFS('JLR Machines'!$G:$G,'JLR Machines'!$A:$A,$O118,'JLR Machines'!$C:$C,IF(Settings!$B$2="","&lt;&gt;",Settings!$B$2),'JLR Machines'!$D:$D,IF(Settings!$B$3="","&lt;&gt;",Settings!$B$3)))</f>
        <v>0</v>
      </c>
      <c r="R118">
        <f>IF($P118&lt;&gt;1,0,SUMIFS('JLR Machines'!$H:$H,'JLR Machines'!$A:$A,$O118,'JLR Machines'!$C:$C,IF(Settings!$B$2="","&lt;&gt;",Settings!$B$2),'JLR Machines'!$D:$D,IF(Settings!$B$3="","&lt;&gt;",Settings!$B$3)))</f>
        <v>0</v>
      </c>
      <c r="S118">
        <f>IF($P118&lt;&gt;1,0,SUMIFS('JLR Machines'!$I:$I,'JLR Machines'!$A:$A,$O118,'JLR Machines'!$C:$C,IF(Settings!$B$2="","&lt;&gt;",Settings!$B$2),'JLR Machines'!$D:$D,IF(Settings!$B$3="","&lt;&gt;",Settings!$B$3)))</f>
        <v>0</v>
      </c>
      <c r="T118">
        <f>IF($P118&lt;&gt;1,0,SUMIFS('JLR Machines'!$J:$J,'JLR Machines'!$A:$A,$O118,'JLR Machines'!$C:$C,IF(Settings!$B$2="","&lt;&gt;",Settings!$B$2),'JLR Machines'!$D:$D,IF(Settings!$B$3="","&lt;&gt;",Settings!$B$3)))</f>
        <v>0</v>
      </c>
      <c r="U118">
        <f>IF($P118&lt;&gt;1,0,SUMIFS('JLR Machines'!$K:$K,'JLR Machines'!$A:$A,$O118,'JLR Machines'!$C:$C,IF(Settings!$B$2="","&lt;&gt;",Settings!$B$2),'JLR Machines'!$D:$D,IF(Settings!$B$3="","&lt;&gt;",Settings!$B$3)))</f>
        <v>0</v>
      </c>
      <c r="V118">
        <f>IF($P118&lt;&gt;1,0,SUMIFS('JLR Machines'!$L:$L,'JLR Machines'!$A:$A,$O118,'JLR Machines'!$C:$C,IF(Settings!$B$2="","&lt;&gt;",Settings!$B$2),'JLR Machines'!$D:$D,IF(Settings!$B$3="","&lt;&gt;",Settings!$B$3)))</f>
        <v>0</v>
      </c>
      <c r="W118">
        <f>IF($P118&lt;&gt;1,0,SUMIFS('JLR Machines'!$M:$M,'JLR Machines'!$A:$A,$O118,'JLR Machines'!$C:$C,IF(Settings!$B$2="","&lt;&gt;",Settings!$B$2),'JLR Machines'!$D:$D,IF(Settings!$B$3="","&lt;&gt;",Settings!$B$3)))</f>
        <v>0</v>
      </c>
      <c r="X118">
        <f>IF($P118&lt;&gt;1,0,SUMIFS('JLR Machines'!$N:$N,'JLR Machines'!$A:$A,$O118,'JLR Machines'!$C:$C,IF(Settings!$B$2="","&lt;&gt;",Settings!$B$2),'JLR Machines'!$D:$D,IF(Settings!$B$3="","&lt;&gt;",Settings!$B$3)))</f>
        <v>0</v>
      </c>
      <c r="Y118">
        <f>$Q118+$R118+$S118+$T118+$U118+$V118+$W118</f>
        <v>0</v>
      </c>
      <c r="Z118">
        <f>IF($X118&lt;=0,0,ROUND((D118+E118+F118+G118+H118+I118)/3200-$X118,4))</f>
        <v>0</v>
      </c>
    </row>
    <row r="119">
      <c r="A119" t="str">
        <v>hot-plate-welder</v>
      </c>
      <c r="B119" t="str">
        <v>Hot Plate Welder</v>
      </c>
      <c r="C119" t="str">
        <v>UK</v>
      </c>
      <c r="D119">
        <f>IF($X119&gt;0,IF($Y119&gt;0,MAX(0,$Q119+$X119-$Y119)*3200,$X119*3200),12000)</f>
        <v>12000</v>
      </c>
      <c r="E119">
        <f>IF($X119&gt;0,IF($Y119&gt;0,$S119*3200,0),4000)</f>
        <v>4000</v>
      </c>
      <c r="F119">
        <f>IF($X119&gt;0,IF($Y119&gt;0,$V119*3200,0),3000)</f>
        <v>3000</v>
      </c>
      <c r="G119">
        <f>IF($X119&gt;0,IF($Y119&gt;0,$R119*3200,0),3000)</f>
        <v>3000</v>
      </c>
      <c r="H119">
        <f>IF($X119&gt;0,IF($Y119&gt;0,($T119+$W119)*3200,0),2500)</f>
        <v>2500</v>
      </c>
      <c r="I119">
        <f>IF($X119&gt;0,IF($Y119&gt;0,$U119*3200,0),1500)</f>
        <v>1500</v>
      </c>
      <c r="J119">
        <v>4000</v>
      </c>
      <c r="K119">
        <v>0.8</v>
      </c>
      <c r="L119" t="str">
        <f>IF($X119&gt;0,IF($P119&lt;&gt;1,"2026-06-14",IFERROR(INDEX('JLR Machines'!$D:$D,MATCH($O119,'JLR Machines'!$A:$A,0)),"2026-06-14")),"2026-06-14")</f>
        <v>2026-06-14</v>
      </c>
      <c r="M119" t="str">
        <f>IF($X119&gt;0,IF($Y119&gt;0,"JLR machine "&amp;$O119&amp;" at "&amp;TEXT($X119,"0.00")&amp;" per hr — build-up as supplied","JLR machine "&amp;$O119&amp;" at "&amp;TEXT($X119,"0.00")&amp;" per hr — build-up not supplied"),"UK plastics assembly benchmark. Hot plate welding for tanks and manifolds. Jun 2026")</f>
        <v>UK plastics assembly benchmark. Hot plate welding for tanks and manifolds. Jun 2026</v>
      </c>
      <c r="N119" t="str">
        <v>Medium</v>
      </c>
      <c r="O119" t="str">
        <f>IFERROR(INDEX(Mapping!$C:$C,MATCH($A119,Mapping!$A:$A,0)),"")</f>
        <v/>
      </c>
      <c r="P119">
        <f>IF($O119="",0,COUNTIFS('JLR Machines'!$A:$A,$O119,'JLR Machines'!$C:$C,IF(Settings!$B$2="","&lt;&gt;",Settings!$B$2),'JLR Machines'!$D:$D,IF(Settings!$B$3="","&lt;&gt;",Settings!$B$3)))</f>
        <v>0</v>
      </c>
      <c r="Q119">
        <f>IF($P119&lt;&gt;1,0,SUMIFS('JLR Machines'!$G:$G,'JLR Machines'!$A:$A,$O119,'JLR Machines'!$C:$C,IF(Settings!$B$2="","&lt;&gt;",Settings!$B$2),'JLR Machines'!$D:$D,IF(Settings!$B$3="","&lt;&gt;",Settings!$B$3)))</f>
        <v>0</v>
      </c>
      <c r="R119">
        <f>IF($P119&lt;&gt;1,0,SUMIFS('JLR Machines'!$H:$H,'JLR Machines'!$A:$A,$O119,'JLR Machines'!$C:$C,IF(Settings!$B$2="","&lt;&gt;",Settings!$B$2),'JLR Machines'!$D:$D,IF(Settings!$B$3="","&lt;&gt;",Settings!$B$3)))</f>
        <v>0</v>
      </c>
      <c r="S119">
        <f>IF($P119&lt;&gt;1,0,SUMIFS('JLR Machines'!$I:$I,'JLR Machines'!$A:$A,$O119,'JLR Machines'!$C:$C,IF(Settings!$B$2="","&lt;&gt;",Settings!$B$2),'JLR Machines'!$D:$D,IF(Settings!$B$3="","&lt;&gt;",Settings!$B$3)))</f>
        <v>0</v>
      </c>
      <c r="T119">
        <f>IF($P119&lt;&gt;1,0,SUMIFS('JLR Machines'!$J:$J,'JLR Machines'!$A:$A,$O119,'JLR Machines'!$C:$C,IF(Settings!$B$2="","&lt;&gt;",Settings!$B$2),'JLR Machines'!$D:$D,IF(Settings!$B$3="","&lt;&gt;",Settings!$B$3)))</f>
        <v>0</v>
      </c>
      <c r="U119">
        <f>IF($P119&lt;&gt;1,0,SUMIFS('JLR Machines'!$K:$K,'JLR Machines'!$A:$A,$O119,'JLR Machines'!$C:$C,IF(Settings!$B$2="","&lt;&gt;",Settings!$B$2),'JLR Machines'!$D:$D,IF(Settings!$B$3="","&lt;&gt;",Settings!$B$3)))</f>
        <v>0</v>
      </c>
      <c r="V119">
        <f>IF($P119&lt;&gt;1,0,SUMIFS('JLR Machines'!$L:$L,'JLR Machines'!$A:$A,$O119,'JLR Machines'!$C:$C,IF(Settings!$B$2="","&lt;&gt;",Settings!$B$2),'JLR Machines'!$D:$D,IF(Settings!$B$3="","&lt;&gt;",Settings!$B$3)))</f>
        <v>0</v>
      </c>
      <c r="W119">
        <f>IF($P119&lt;&gt;1,0,SUMIFS('JLR Machines'!$M:$M,'JLR Machines'!$A:$A,$O119,'JLR Machines'!$C:$C,IF(Settings!$B$2="","&lt;&gt;",Settings!$B$2),'JLR Machines'!$D:$D,IF(Settings!$B$3="","&lt;&gt;",Settings!$B$3)))</f>
        <v>0</v>
      </c>
      <c r="X119">
        <f>IF($P119&lt;&gt;1,0,SUMIFS('JLR Machines'!$N:$N,'JLR Machines'!$A:$A,$O119,'JLR Machines'!$C:$C,IF(Settings!$B$2="","&lt;&gt;",Settings!$B$2),'JLR Machines'!$D:$D,IF(Settings!$B$3="","&lt;&gt;",Settings!$B$3)))</f>
        <v>0</v>
      </c>
      <c r="Y119">
        <f>$Q119+$R119+$S119+$T119+$U119+$V119+$W119</f>
        <v>0</v>
      </c>
      <c r="Z119">
        <f>IF($X119&lt;=0,0,ROUND((D119+E119+F119+G119+H119+I119)/3200-$X119,4))</f>
        <v>0</v>
      </c>
    </row>
    <row r="120">
      <c r="A120" t="str">
        <v>vibration-welder</v>
      </c>
      <c r="B120" t="str">
        <v>Vibration Welder</v>
      </c>
      <c r="C120" t="str">
        <v>UK</v>
      </c>
      <c r="D120">
        <f>IF($X120&gt;0,IF($Y120&gt;0,MAX(0,$Q120+$X120-$Y120)*3200,$X120*3200),18000)</f>
        <v>18000</v>
      </c>
      <c r="E120">
        <f>IF($X120&gt;0,IF($Y120&gt;0,$S120*3200,0),7000)</f>
        <v>7000</v>
      </c>
      <c r="F120">
        <f>IF($X120&gt;0,IF($Y120&gt;0,$V120*3200,0),4000)</f>
        <v>4000</v>
      </c>
      <c r="G120">
        <f>IF($X120&gt;0,IF($Y120&gt;0,$R120*3200,0),4000)</f>
        <v>4000</v>
      </c>
      <c r="H120">
        <f>IF($X120&gt;0,IF($Y120&gt;0,($T120+$W120)*3200,0),4000)</f>
        <v>4000</v>
      </c>
      <c r="I120">
        <f>IF($X120&gt;0,IF($Y120&gt;0,$U120*3200,0),2250)</f>
        <v>2250</v>
      </c>
      <c r="J120">
        <v>4000</v>
      </c>
      <c r="K120">
        <v>0.8</v>
      </c>
      <c r="L120" t="str">
        <f>IF($X120&gt;0,IF($P120&lt;&gt;1,"2026-06-14",IFERROR(INDEX('JLR Machines'!$D:$D,MATCH($O120,'JLR Machines'!$A:$A,0)),"2026-06-14")),"2026-06-14")</f>
        <v>2026-06-14</v>
      </c>
      <c r="M120" t="str">
        <f>IF($X120&gt;0,IF($Y120&gt;0,"JLR machine "&amp;$O120&amp;" at "&amp;TEXT($X120,"0.00")&amp;" per hr — build-up as supplied","JLR machine "&amp;$O120&amp;" at "&amp;TEXT($X120,"0.00")&amp;" per hr — build-up not supplied"),"UK plastics assembly benchmark. Vibration welding, large flat interfaces (automotive ducts). Jun 2026")</f>
        <v>UK plastics assembly benchmark. Vibration welding, large flat interfaces (automotive ducts). Jun 2026</v>
      </c>
      <c r="N120" t="str">
        <v>Medium</v>
      </c>
      <c r="O120" t="str">
        <f>IFERROR(INDEX(Mapping!$C:$C,MATCH($A120,Mapping!$A:$A,0)),"")</f>
        <v/>
      </c>
      <c r="P120">
        <f>IF($O120="",0,COUNTIFS('JLR Machines'!$A:$A,$O120,'JLR Machines'!$C:$C,IF(Settings!$B$2="","&lt;&gt;",Settings!$B$2),'JLR Machines'!$D:$D,IF(Settings!$B$3="","&lt;&gt;",Settings!$B$3)))</f>
        <v>0</v>
      </c>
      <c r="Q120">
        <f>IF($P120&lt;&gt;1,0,SUMIFS('JLR Machines'!$G:$G,'JLR Machines'!$A:$A,$O120,'JLR Machines'!$C:$C,IF(Settings!$B$2="","&lt;&gt;",Settings!$B$2),'JLR Machines'!$D:$D,IF(Settings!$B$3="","&lt;&gt;",Settings!$B$3)))</f>
        <v>0</v>
      </c>
      <c r="R120">
        <f>IF($P120&lt;&gt;1,0,SUMIFS('JLR Machines'!$H:$H,'JLR Machines'!$A:$A,$O120,'JLR Machines'!$C:$C,IF(Settings!$B$2="","&lt;&gt;",Settings!$B$2),'JLR Machines'!$D:$D,IF(Settings!$B$3="","&lt;&gt;",Settings!$B$3)))</f>
        <v>0</v>
      </c>
      <c r="S120">
        <f>IF($P120&lt;&gt;1,0,SUMIFS('JLR Machines'!$I:$I,'JLR Machines'!$A:$A,$O120,'JLR Machines'!$C:$C,IF(Settings!$B$2="","&lt;&gt;",Settings!$B$2),'JLR Machines'!$D:$D,IF(Settings!$B$3="","&lt;&gt;",Settings!$B$3)))</f>
        <v>0</v>
      </c>
      <c r="T120">
        <f>IF($P120&lt;&gt;1,0,SUMIFS('JLR Machines'!$J:$J,'JLR Machines'!$A:$A,$O120,'JLR Machines'!$C:$C,IF(Settings!$B$2="","&lt;&gt;",Settings!$B$2),'JLR Machines'!$D:$D,IF(Settings!$B$3="","&lt;&gt;",Settings!$B$3)))</f>
        <v>0</v>
      </c>
      <c r="U120">
        <f>IF($P120&lt;&gt;1,0,SUMIFS('JLR Machines'!$K:$K,'JLR Machines'!$A:$A,$O120,'JLR Machines'!$C:$C,IF(Settings!$B$2="","&lt;&gt;",Settings!$B$2),'JLR Machines'!$D:$D,IF(Settings!$B$3="","&lt;&gt;",Settings!$B$3)))</f>
        <v>0</v>
      </c>
      <c r="V120">
        <f>IF($P120&lt;&gt;1,0,SUMIFS('JLR Machines'!$L:$L,'JLR Machines'!$A:$A,$O120,'JLR Machines'!$C:$C,IF(Settings!$B$2="","&lt;&gt;",Settings!$B$2),'JLR Machines'!$D:$D,IF(Settings!$B$3="","&lt;&gt;",Settings!$B$3)))</f>
        <v>0</v>
      </c>
      <c r="W120">
        <f>IF($P120&lt;&gt;1,0,SUMIFS('JLR Machines'!$M:$M,'JLR Machines'!$A:$A,$O120,'JLR Machines'!$C:$C,IF(Settings!$B$2="","&lt;&gt;",Settings!$B$2),'JLR Machines'!$D:$D,IF(Settings!$B$3="","&lt;&gt;",Settings!$B$3)))</f>
        <v>0</v>
      </c>
      <c r="X120">
        <f>IF($P120&lt;&gt;1,0,SUMIFS('JLR Machines'!$N:$N,'JLR Machines'!$A:$A,$O120,'JLR Machines'!$C:$C,IF(Settings!$B$2="","&lt;&gt;",Settings!$B$2),'JLR Machines'!$D:$D,IF(Settings!$B$3="","&lt;&gt;",Settings!$B$3)))</f>
        <v>0</v>
      </c>
      <c r="Y120">
        <f>$Q120+$R120+$S120+$T120+$U120+$V120+$W120</f>
        <v>0</v>
      </c>
      <c r="Z120">
        <f>IF($X120&lt;=0,0,ROUND((D120+E120+F120+G120+H120+I120)/3200-$X120,4))</f>
        <v>0</v>
      </c>
    </row>
    <row r="121">
      <c r="A121" t="str">
        <v>laser-trumpf-3030</v>
      </c>
      <c r="B121" t="str">
        <v>Trumpf TruLaser 3030 (6kW Fiber)</v>
      </c>
      <c r="C121" t="str">
        <v>UK</v>
      </c>
      <c r="D121">
        <f>IF($X121&gt;0,IF($Y121&gt;0,MAX(0,$Q121+$X121-$Y121)*3000,$X121*3000),90000)</f>
        <v>90000</v>
      </c>
      <c r="E121">
        <f>IF($X121&gt;0,IF($Y121&gt;0,$S121*3000,0),65000)</f>
        <v>65000</v>
      </c>
      <c r="F121">
        <f>IF($X121&gt;0,IF($Y121&gt;0,$V121*3000,0),32000)</f>
        <v>32000</v>
      </c>
      <c r="G121">
        <f>IF($X121&gt;0,IF($Y121&gt;0,$R121*3000,0),10000)</f>
        <v>10000</v>
      </c>
      <c r="H121">
        <f>IF($X121&gt;0,IF($Y121&gt;0,($T121+$W121)*3000,0),40000)</f>
        <v>40000</v>
      </c>
      <c r="I121">
        <f>IF($X121&gt;0,IF($Y121&gt;0,$U121*3000,0),18000)</f>
        <v>18000</v>
      </c>
      <c r="J121">
        <v>4000</v>
      </c>
      <c r="K121">
        <v>0.75</v>
      </c>
      <c r="L121" t="str">
        <f>IF($X121&gt;0,IF($P121&lt;&gt;1,"2026-06-14",IFERROR(INDEX('JLR Machines'!$D:$D,MATCH($O121,'JLR Machines'!$A:$A,0)),"2026-06-14")),"2026-06-14")</f>
        <v>2026-06-14</v>
      </c>
      <c r="M121" t="str">
        <f>IF($X121&gt;0,IF($Y121&gt;0,"JLR machine "&amp;$O121&amp;" at "&amp;TEXT($X121,"0.00")&amp;" per hr — build-up as supplied","JLR machine "&amp;$O121&amp;" at "&amp;TEXT($X121,"0.00")&amp;" per hr — build-up not supplied"),"Trumpf TruLaser 3030, 6kW fiber, 3000×1500 bed. UK fab shop benchmark. Target £85/hr. Jun 2026")</f>
        <v>Trumpf TruLaser 3030, 6kW fiber, 3000×1500 bed. UK fab shop benchmark. Target £85/hr. Jun 2026</v>
      </c>
      <c r="N121" t="str">
        <v>Medium</v>
      </c>
      <c r="O121" t="str">
        <f>IFERROR(INDEX(Mapping!$C:$C,MATCH($A121,Mapping!$A:$A,0)),"")</f>
        <v/>
      </c>
      <c r="P121">
        <f>IF($O121="",0,COUNTIFS('JLR Machines'!$A:$A,$O121,'JLR Machines'!$C:$C,IF(Settings!$B$2="","&lt;&gt;",Settings!$B$2),'JLR Machines'!$D:$D,IF(Settings!$B$3="","&lt;&gt;",Settings!$B$3)))</f>
        <v>0</v>
      </c>
      <c r="Q121">
        <f>IF($P121&lt;&gt;1,0,SUMIFS('JLR Machines'!$G:$G,'JLR Machines'!$A:$A,$O121,'JLR Machines'!$C:$C,IF(Settings!$B$2="","&lt;&gt;",Settings!$B$2),'JLR Machines'!$D:$D,IF(Settings!$B$3="","&lt;&gt;",Settings!$B$3)))</f>
        <v>0</v>
      </c>
      <c r="R121">
        <f>IF($P121&lt;&gt;1,0,SUMIFS('JLR Machines'!$H:$H,'JLR Machines'!$A:$A,$O121,'JLR Machines'!$C:$C,IF(Settings!$B$2="","&lt;&gt;",Settings!$B$2),'JLR Machines'!$D:$D,IF(Settings!$B$3="","&lt;&gt;",Settings!$B$3)))</f>
        <v>0</v>
      </c>
      <c r="S121">
        <f>IF($P121&lt;&gt;1,0,SUMIFS('JLR Machines'!$I:$I,'JLR Machines'!$A:$A,$O121,'JLR Machines'!$C:$C,IF(Settings!$B$2="","&lt;&gt;",Settings!$B$2),'JLR Machines'!$D:$D,IF(Settings!$B$3="","&lt;&gt;",Settings!$B$3)))</f>
        <v>0</v>
      </c>
      <c r="T121">
        <f>IF($P121&lt;&gt;1,0,SUMIFS('JLR Machines'!$J:$J,'JLR Machines'!$A:$A,$O121,'JLR Machines'!$C:$C,IF(Settings!$B$2="","&lt;&gt;",Settings!$B$2),'JLR Machines'!$D:$D,IF(Settings!$B$3="","&lt;&gt;",Settings!$B$3)))</f>
        <v>0</v>
      </c>
      <c r="U121">
        <f>IF($P121&lt;&gt;1,0,SUMIFS('JLR Machines'!$K:$K,'JLR Machines'!$A:$A,$O121,'JLR Machines'!$C:$C,IF(Settings!$B$2="","&lt;&gt;",Settings!$B$2),'JLR Machines'!$D:$D,IF(Settings!$B$3="","&lt;&gt;",Settings!$B$3)))</f>
        <v>0</v>
      </c>
      <c r="V121">
        <f>IF($P121&lt;&gt;1,0,SUMIFS('JLR Machines'!$L:$L,'JLR Machines'!$A:$A,$O121,'JLR Machines'!$C:$C,IF(Settings!$B$2="","&lt;&gt;",Settings!$B$2),'JLR Machines'!$D:$D,IF(Settings!$B$3="","&lt;&gt;",Settings!$B$3)))</f>
        <v>0</v>
      </c>
      <c r="W121">
        <f>IF($P121&lt;&gt;1,0,SUMIFS('JLR Machines'!$M:$M,'JLR Machines'!$A:$A,$O121,'JLR Machines'!$C:$C,IF(Settings!$B$2="","&lt;&gt;",Settings!$B$2),'JLR Machines'!$D:$D,IF(Settings!$B$3="","&lt;&gt;",Settings!$B$3)))</f>
        <v>0</v>
      </c>
      <c r="X121">
        <f>IF($P121&lt;&gt;1,0,SUMIFS('JLR Machines'!$N:$N,'JLR Machines'!$A:$A,$O121,'JLR Machines'!$C:$C,IF(Settings!$B$2="","&lt;&gt;",Settings!$B$2),'JLR Machines'!$D:$D,IF(Settings!$B$3="","&lt;&gt;",Settings!$B$3)))</f>
        <v>0</v>
      </c>
      <c r="Y121">
        <f>$Q121+$R121+$S121+$T121+$U121+$V121+$W121</f>
        <v>0</v>
      </c>
      <c r="Z121">
        <f>IF($X121&lt;=0,0,ROUND((D121+E121+F121+G121+H121+I121)/3000-$X121,4))</f>
        <v>0</v>
      </c>
    </row>
    <row r="122">
      <c r="A122" t="str">
        <v>laser-bystronic-3015</v>
      </c>
      <c r="B122" t="str">
        <v>Bystronic BySmart 3015 (4kW Fiber)</v>
      </c>
      <c r="C122" t="str">
        <v>UK</v>
      </c>
      <c r="D122">
        <f>IF($X122&gt;0,IF($Y122&gt;0,MAX(0,$Q122+$X122-$Y122)*3000,$X122*3000),68000)</f>
        <v>68000</v>
      </c>
      <c r="E122">
        <f>IF($X122&gt;0,IF($Y122&gt;0,$S122*3000,0),50000)</f>
        <v>50000</v>
      </c>
      <c r="F122">
        <f>IF($X122&gt;0,IF($Y122&gt;0,$V122*3000,0),24000)</f>
        <v>24000</v>
      </c>
      <c r="G122">
        <f>IF($X122&gt;0,IF($Y122&gt;0,$R122*3000,0),9000)</f>
        <v>9000</v>
      </c>
      <c r="H122">
        <f>IF($X122&gt;0,IF($Y122&gt;0,($T122+$W122)*3000,0),35000)</f>
        <v>35000</v>
      </c>
      <c r="I122">
        <f>IF($X122&gt;0,IF($Y122&gt;0,$U122*3000,0),24000)</f>
        <v>24000</v>
      </c>
      <c r="J122">
        <v>4000</v>
      </c>
      <c r="K122">
        <v>0.75</v>
      </c>
      <c r="L122" t="str">
        <f>IF($X122&gt;0,IF($P122&lt;&gt;1,"2026-06-14",IFERROR(INDEX('JLR Machines'!$D:$D,MATCH($O122,'JLR Machines'!$A:$A,0)),"2026-06-14")),"2026-06-14")</f>
        <v>2026-06-14</v>
      </c>
      <c r="M122" t="str">
        <f>IF($X122&gt;0,IF($Y122&gt;0,"JLR machine "&amp;$O122&amp;" at "&amp;TEXT($X122,"0.00")&amp;" per hr — build-up as supplied","JLR machine "&amp;$O122&amp;" at "&amp;TEXT($X122,"0.00")&amp;" per hr — build-up not supplied"),"Bystronic BySmart 3015, 4kW fiber, 3000×1500 bed. UK fab shop benchmark. Target £70/hr. Jun 2026")</f>
        <v>Bystronic BySmart 3015, 4kW fiber, 3000×1500 bed. UK fab shop benchmark. Target £70/hr. Jun 2026</v>
      </c>
      <c r="N122" t="str">
        <v>Medium</v>
      </c>
      <c r="O122" t="str">
        <f>IFERROR(INDEX(Mapping!$C:$C,MATCH($A122,Mapping!$A:$A,0)),"")</f>
        <v/>
      </c>
      <c r="P122">
        <f>IF($O122="",0,COUNTIFS('JLR Machines'!$A:$A,$O122,'JLR Machines'!$C:$C,IF(Settings!$B$2="","&lt;&gt;",Settings!$B$2),'JLR Machines'!$D:$D,IF(Settings!$B$3="","&lt;&gt;",Settings!$B$3)))</f>
        <v>0</v>
      </c>
      <c r="Q122">
        <f>IF($P122&lt;&gt;1,0,SUMIFS('JLR Machines'!$G:$G,'JLR Machines'!$A:$A,$O122,'JLR Machines'!$C:$C,IF(Settings!$B$2="","&lt;&gt;",Settings!$B$2),'JLR Machines'!$D:$D,IF(Settings!$B$3="","&lt;&gt;",Settings!$B$3)))</f>
        <v>0</v>
      </c>
      <c r="R122">
        <f>IF($P122&lt;&gt;1,0,SUMIFS('JLR Machines'!$H:$H,'JLR Machines'!$A:$A,$O122,'JLR Machines'!$C:$C,IF(Settings!$B$2="","&lt;&gt;",Settings!$B$2),'JLR Machines'!$D:$D,IF(Settings!$B$3="","&lt;&gt;",Settings!$B$3)))</f>
        <v>0</v>
      </c>
      <c r="S122">
        <f>IF($P122&lt;&gt;1,0,SUMIFS('JLR Machines'!$I:$I,'JLR Machines'!$A:$A,$O122,'JLR Machines'!$C:$C,IF(Settings!$B$2="","&lt;&gt;",Settings!$B$2),'JLR Machines'!$D:$D,IF(Settings!$B$3="","&lt;&gt;",Settings!$B$3)))</f>
        <v>0</v>
      </c>
      <c r="T122">
        <f>IF($P122&lt;&gt;1,0,SUMIFS('JLR Machines'!$J:$J,'JLR Machines'!$A:$A,$O122,'JLR Machines'!$C:$C,IF(Settings!$B$2="","&lt;&gt;",Settings!$B$2),'JLR Machines'!$D:$D,IF(Settings!$B$3="","&lt;&gt;",Settings!$B$3)))</f>
        <v>0</v>
      </c>
      <c r="U122">
        <f>IF($P122&lt;&gt;1,0,SUMIFS('JLR Machines'!$K:$K,'JLR Machines'!$A:$A,$O122,'JLR Machines'!$C:$C,IF(Settings!$B$2="","&lt;&gt;",Settings!$B$2),'JLR Machines'!$D:$D,IF(Settings!$B$3="","&lt;&gt;",Settings!$B$3)))</f>
        <v>0</v>
      </c>
      <c r="V122">
        <f>IF($P122&lt;&gt;1,0,SUMIFS('JLR Machines'!$L:$L,'JLR Machines'!$A:$A,$O122,'JLR Machines'!$C:$C,IF(Settings!$B$2="","&lt;&gt;",Settings!$B$2),'JLR Machines'!$D:$D,IF(Settings!$B$3="","&lt;&gt;",Settings!$B$3)))</f>
        <v>0</v>
      </c>
      <c r="W122">
        <f>IF($P122&lt;&gt;1,0,SUMIFS('JLR Machines'!$M:$M,'JLR Machines'!$A:$A,$O122,'JLR Machines'!$C:$C,IF(Settings!$B$2="","&lt;&gt;",Settings!$B$2),'JLR Machines'!$D:$D,IF(Settings!$B$3="","&lt;&gt;",Settings!$B$3)))</f>
        <v>0</v>
      </c>
      <c r="X122">
        <f>IF($P122&lt;&gt;1,0,SUMIFS('JLR Machines'!$N:$N,'JLR Machines'!$A:$A,$O122,'JLR Machines'!$C:$C,IF(Settings!$B$2="","&lt;&gt;",Settings!$B$2),'JLR Machines'!$D:$D,IF(Settings!$B$3="","&lt;&gt;",Settings!$B$3)))</f>
        <v>0</v>
      </c>
      <c r="Y122">
        <f>$Q122+$R122+$S122+$T122+$U122+$V122+$W122</f>
        <v>0</v>
      </c>
      <c r="Z122">
        <f>IF($X122&lt;=0,0,ROUND((D122+E122+F122+G122+H122+I122)/3000-$X122,4))</f>
        <v>0</v>
      </c>
    </row>
    <row r="123">
      <c r="A123" t="str">
        <v>punch-amada-emz3610</v>
      </c>
      <c r="B123" t="str">
        <v>Amada EMZ 3610 Turret Punch (30T)</v>
      </c>
      <c r="C123" t="str">
        <v>UK</v>
      </c>
      <c r="D123">
        <f>IF($X123&gt;0,IF($Y123&gt;0,MAX(0,$Q123+$X123-$Y123)*2730,$X123*2730),58000)</f>
        <v>58000</v>
      </c>
      <c r="E123">
        <f>IF($X123&gt;0,IF($Y123&gt;0,$S123*2730,0),45000)</f>
        <v>45000</v>
      </c>
      <c r="F123">
        <f>IF($X123&gt;0,IF($Y123&gt;0,$V123*2730,0),18000)</f>
        <v>18000</v>
      </c>
      <c r="G123">
        <f>IF($X123&gt;0,IF($Y123&gt;0,$R123*2730,0),9000)</f>
        <v>9000</v>
      </c>
      <c r="H123">
        <f>IF($X123&gt;0,IF($Y123&gt;0,($T123+$W123)*2730,0),30000)</f>
        <v>30000</v>
      </c>
      <c r="I123">
        <f>IF($X123&gt;0,IF($Y123&gt;0,$U123*2730,0),18000)</f>
        <v>18000</v>
      </c>
      <c r="J123">
        <v>3500</v>
      </c>
      <c r="K123">
        <v>0.78</v>
      </c>
      <c r="L123" t="str">
        <f>IF($X123&gt;0,IF($P123&lt;&gt;1,"2026-06-14",IFERROR(INDEX('JLR Machines'!$D:$D,MATCH($O123,'JLR Machines'!$A:$A,0)),"2026-06-14")),"2026-06-14")</f>
        <v>2026-06-14</v>
      </c>
      <c r="M123" t="str">
        <f>IF($X123&gt;0,IF($Y123&gt;0,"JLR machine "&amp;$O123&amp;" at "&amp;TEXT($X123,"0.00")&amp;" per hr — build-up as supplied","JLR machine "&amp;$O123&amp;" at "&amp;TEXT($X123,"0.00")&amp;" per hr — build-up not supplied"),"Amada EMZ 3610, 30T, 58-tool capacity. UK fab shop benchmark. Target £65/hr. Jun 2026")</f>
        <v>Amada EMZ 3610, 30T, 58-tool capacity. UK fab shop benchmark. Target £65/hr. Jun 2026</v>
      </c>
      <c r="N123" t="str">
        <v>Medium</v>
      </c>
      <c r="O123" t="str">
        <f>IFERROR(INDEX(Mapping!$C:$C,MATCH($A123,Mapping!$A:$A,0)),"")</f>
        <v/>
      </c>
      <c r="P123">
        <f>IF($O123="",0,COUNTIFS('JLR Machines'!$A:$A,$O123,'JLR Machines'!$C:$C,IF(Settings!$B$2="","&lt;&gt;",Settings!$B$2),'JLR Machines'!$D:$D,IF(Settings!$B$3="","&lt;&gt;",Settings!$B$3)))</f>
        <v>0</v>
      </c>
      <c r="Q123">
        <f>IF($P123&lt;&gt;1,0,SUMIFS('JLR Machines'!$G:$G,'JLR Machines'!$A:$A,$O123,'JLR Machines'!$C:$C,IF(Settings!$B$2="","&lt;&gt;",Settings!$B$2),'JLR Machines'!$D:$D,IF(Settings!$B$3="","&lt;&gt;",Settings!$B$3)))</f>
        <v>0</v>
      </c>
      <c r="R123">
        <f>IF($P123&lt;&gt;1,0,SUMIFS('JLR Machines'!$H:$H,'JLR Machines'!$A:$A,$O123,'JLR Machines'!$C:$C,IF(Settings!$B$2="","&lt;&gt;",Settings!$B$2),'JLR Machines'!$D:$D,IF(Settings!$B$3="","&lt;&gt;",Settings!$B$3)))</f>
        <v>0</v>
      </c>
      <c r="S123">
        <f>IF($P123&lt;&gt;1,0,SUMIFS('JLR Machines'!$I:$I,'JLR Machines'!$A:$A,$O123,'JLR Machines'!$C:$C,IF(Settings!$B$2="","&lt;&gt;",Settings!$B$2),'JLR Machines'!$D:$D,IF(Settings!$B$3="","&lt;&gt;",Settings!$B$3)))</f>
        <v>0</v>
      </c>
      <c r="T123">
        <f>IF($P123&lt;&gt;1,0,SUMIFS('JLR Machines'!$J:$J,'JLR Machines'!$A:$A,$O123,'JLR Machines'!$C:$C,IF(Settings!$B$2="","&lt;&gt;",Settings!$B$2),'JLR Machines'!$D:$D,IF(Settings!$B$3="","&lt;&gt;",Settings!$B$3)))</f>
        <v>0</v>
      </c>
      <c r="U123">
        <f>IF($P123&lt;&gt;1,0,SUMIFS('JLR Machines'!$K:$K,'JLR Machines'!$A:$A,$O123,'JLR Machines'!$C:$C,IF(Settings!$B$2="","&lt;&gt;",Settings!$B$2),'JLR Machines'!$D:$D,IF(Settings!$B$3="","&lt;&gt;",Settings!$B$3)))</f>
        <v>0</v>
      </c>
      <c r="V123">
        <f>IF($P123&lt;&gt;1,0,SUMIFS('JLR Machines'!$L:$L,'JLR Machines'!$A:$A,$O123,'JLR Machines'!$C:$C,IF(Settings!$B$2="","&lt;&gt;",Settings!$B$2),'JLR Machines'!$D:$D,IF(Settings!$B$3="","&lt;&gt;",Settings!$B$3)))</f>
        <v>0</v>
      </c>
      <c r="W123">
        <f>IF($P123&lt;&gt;1,0,SUMIFS('JLR Machines'!$M:$M,'JLR Machines'!$A:$A,$O123,'JLR Machines'!$C:$C,IF(Settings!$B$2="","&lt;&gt;",Settings!$B$2),'JLR Machines'!$D:$D,IF(Settings!$B$3="","&lt;&gt;",Settings!$B$3)))</f>
        <v>0</v>
      </c>
      <c r="X123">
        <f>IF($P123&lt;&gt;1,0,SUMIFS('JLR Machines'!$N:$N,'JLR Machines'!$A:$A,$O123,'JLR Machines'!$C:$C,IF(Settings!$B$2="","&lt;&gt;",Settings!$B$2),'JLR Machines'!$D:$D,IF(Settings!$B$3="","&lt;&gt;",Settings!$B$3)))</f>
        <v>0</v>
      </c>
      <c r="Y123">
        <f>$Q123+$R123+$S123+$T123+$U123+$V123+$W123</f>
        <v>0</v>
      </c>
      <c r="Z123">
        <f>IF($X123&lt;=0,0,ROUND((D123+E123+F123+G123+H123+I123)/2730-$X123,4))</f>
        <v>0</v>
      </c>
    </row>
    <row r="124">
      <c r="A124" t="str">
        <v>punch-trumpf-5000</v>
      </c>
      <c r="B124" t="str">
        <v>Trumpf TruPunch 5000 (30T)</v>
      </c>
      <c r="C124" t="str">
        <v>UK</v>
      </c>
      <c r="D124">
        <f>IF($X124&gt;0,IF($Y124&gt;0,MAX(0,$Q124+$X124-$Y124)*2730,$X124*2730),68000)</f>
        <v>68000</v>
      </c>
      <c r="E124">
        <f>IF($X124&gt;0,IF($Y124&gt;0,$S124*2730,0),55000)</f>
        <v>55000</v>
      </c>
      <c r="F124">
        <f>IF($X124&gt;0,IF($Y124&gt;0,$V124*2730,0),22000)</f>
        <v>22000</v>
      </c>
      <c r="G124">
        <f>IF($X124&gt;0,IF($Y124&gt;0,$R124*2730,0),10000)</f>
        <v>10000</v>
      </c>
      <c r="H124">
        <f>IF($X124&gt;0,IF($Y124&gt;0,($T124+$W124)*2730,0),33000)</f>
        <v>33000</v>
      </c>
      <c r="I124">
        <f>IF($X124&gt;0,IF($Y124&gt;0,$U124*2730,0),22000)</f>
        <v>22000</v>
      </c>
      <c r="J124">
        <v>3500</v>
      </c>
      <c r="K124">
        <v>0.78</v>
      </c>
      <c r="L124" t="str">
        <f>IF($X124&gt;0,IF($P124&lt;&gt;1,"2026-06-14",IFERROR(INDEX('JLR Machines'!$D:$D,MATCH($O124,'JLR Machines'!$A:$A,0)),"2026-06-14")),"2026-06-14")</f>
        <v>2026-06-14</v>
      </c>
      <c r="M124" t="str">
        <f>IF($X124&gt;0,IF($Y124&gt;0,"JLR machine "&amp;$O124&amp;" at "&amp;TEXT($X124,"0.00")&amp;" per hr — build-up as supplied","JLR machine "&amp;$O124&amp;" at "&amp;TEXT($X124,"0.00")&amp;" per hr — build-up not supplied"),"Trumpf TruPunch 5000, 30T, 72-tool capacity. UK fab shop benchmark. Target £75/hr. Jun 2026")</f>
        <v>Trumpf TruPunch 5000, 30T, 72-tool capacity. UK fab shop benchmark. Target £75/hr. Jun 2026</v>
      </c>
      <c r="N124" t="str">
        <v>Medium</v>
      </c>
      <c r="O124" t="str">
        <f>IFERROR(INDEX(Mapping!$C:$C,MATCH($A124,Mapping!$A:$A,0)),"")</f>
        <v/>
      </c>
      <c r="P124">
        <f>IF($O124="",0,COUNTIFS('JLR Machines'!$A:$A,$O124,'JLR Machines'!$C:$C,IF(Settings!$B$2="","&lt;&gt;",Settings!$B$2),'JLR Machines'!$D:$D,IF(Settings!$B$3="","&lt;&gt;",Settings!$B$3)))</f>
        <v>0</v>
      </c>
      <c r="Q124">
        <f>IF($P124&lt;&gt;1,0,SUMIFS('JLR Machines'!$G:$G,'JLR Machines'!$A:$A,$O124,'JLR Machines'!$C:$C,IF(Settings!$B$2="","&lt;&gt;",Settings!$B$2),'JLR Machines'!$D:$D,IF(Settings!$B$3="","&lt;&gt;",Settings!$B$3)))</f>
        <v>0</v>
      </c>
      <c r="R124">
        <f>IF($P124&lt;&gt;1,0,SUMIFS('JLR Machines'!$H:$H,'JLR Machines'!$A:$A,$O124,'JLR Machines'!$C:$C,IF(Settings!$B$2="","&lt;&gt;",Settings!$B$2),'JLR Machines'!$D:$D,IF(Settings!$B$3="","&lt;&gt;",Settings!$B$3)))</f>
        <v>0</v>
      </c>
      <c r="S124">
        <f>IF($P124&lt;&gt;1,0,SUMIFS('JLR Machines'!$I:$I,'JLR Machines'!$A:$A,$O124,'JLR Machines'!$C:$C,IF(Settings!$B$2="","&lt;&gt;",Settings!$B$2),'JLR Machines'!$D:$D,IF(Settings!$B$3="","&lt;&gt;",Settings!$B$3)))</f>
        <v>0</v>
      </c>
      <c r="T124">
        <f>IF($P124&lt;&gt;1,0,SUMIFS('JLR Machines'!$J:$J,'JLR Machines'!$A:$A,$O124,'JLR Machines'!$C:$C,IF(Settings!$B$2="","&lt;&gt;",Settings!$B$2),'JLR Machines'!$D:$D,IF(Settings!$B$3="","&lt;&gt;",Settings!$B$3)))</f>
        <v>0</v>
      </c>
      <c r="U124">
        <f>IF($P124&lt;&gt;1,0,SUMIFS('JLR Machines'!$K:$K,'JLR Machines'!$A:$A,$O124,'JLR Machines'!$C:$C,IF(Settings!$B$2="","&lt;&gt;",Settings!$B$2),'JLR Machines'!$D:$D,IF(Settings!$B$3="","&lt;&gt;",Settings!$B$3)))</f>
        <v>0</v>
      </c>
      <c r="V124">
        <f>IF($P124&lt;&gt;1,0,SUMIFS('JLR Machines'!$L:$L,'JLR Machines'!$A:$A,$O124,'JLR Machines'!$C:$C,IF(Settings!$B$2="","&lt;&gt;",Settings!$B$2),'JLR Machines'!$D:$D,IF(Settings!$B$3="","&lt;&gt;",Settings!$B$3)))</f>
        <v>0</v>
      </c>
      <c r="W124">
        <f>IF($P124&lt;&gt;1,0,SUMIFS('JLR Machines'!$M:$M,'JLR Machines'!$A:$A,$O124,'JLR Machines'!$C:$C,IF(Settings!$B$2="","&lt;&gt;",Settings!$B$2),'JLR Machines'!$D:$D,IF(Settings!$B$3="","&lt;&gt;",Settings!$B$3)))</f>
        <v>0</v>
      </c>
      <c r="X124">
        <f>IF($P124&lt;&gt;1,0,SUMIFS('JLR Machines'!$N:$N,'JLR Machines'!$A:$A,$O124,'JLR Machines'!$C:$C,IF(Settings!$B$2="","&lt;&gt;",Settings!$B$2),'JLR Machines'!$D:$D,IF(Settings!$B$3="","&lt;&gt;",Settings!$B$3)))</f>
        <v>0</v>
      </c>
      <c r="Y124">
        <f>$Q124+$R124+$S124+$T124+$U124+$V124+$W124</f>
        <v>0</v>
      </c>
      <c r="Z124">
        <f>IF($X124&lt;=0,0,ROUND((D124+E124+F124+G124+H124+I124)/2730-$X124,4))</f>
        <v>0</v>
      </c>
    </row>
    <row r="125">
      <c r="A125" t="str">
        <v>brake-amada-hfe100</v>
      </c>
      <c r="B125" t="str">
        <v>Amada HFE 100T Press Brake (3m)</v>
      </c>
      <c r="C125" t="str">
        <v>UK</v>
      </c>
      <c r="D125">
        <f>IF($X125&gt;0,IF($Y125&gt;0,MAX(0,$Q125+$X125-$Y125)*2625,$X125*2625),48000)</f>
        <v>48000</v>
      </c>
      <c r="E125">
        <f>IF($X125&gt;0,IF($Y125&gt;0,$S125*2625,0),38000)</f>
        <v>38000</v>
      </c>
      <c r="F125">
        <f>IF($X125&gt;0,IF($Y125&gt;0,$V125*2625,0),14000)</f>
        <v>14000</v>
      </c>
      <c r="G125">
        <f>IF($X125&gt;0,IF($Y125&gt;0,$R125*2625,0),9000)</f>
        <v>9000</v>
      </c>
      <c r="H125">
        <f>IF($X125&gt;0,IF($Y125&gt;0,($T125+$W125)*2625,0),22000)</f>
        <v>22000</v>
      </c>
      <c r="I125">
        <f>IF($X125&gt;0,IF($Y125&gt;0,$U125*2625,0),14000)</f>
        <v>14000</v>
      </c>
      <c r="J125">
        <v>3500</v>
      </c>
      <c r="K125">
        <v>0.75</v>
      </c>
      <c r="L125" t="str">
        <f>IF($X125&gt;0,IF($P125&lt;&gt;1,"2026-06-14",IFERROR(INDEX('JLR Machines'!$D:$D,MATCH($O125,'JLR Machines'!$A:$A,0)),"2026-06-14")),"2026-06-14")</f>
        <v>2026-06-14</v>
      </c>
      <c r="M125" t="str">
        <f>IF($X125&gt;0,IF($Y125&gt;0,"JLR machine "&amp;$O125&amp;" at "&amp;TEXT($X125,"0.00")&amp;" per hr — build-up as supplied","JLR machine "&amp;$O125&amp;" at "&amp;TEXT($X125,"0.00")&amp;" per hr — build-up not supplied"),"Amada HFE3i 100T, 3000mm. UK fab shop benchmark. Target £55/hr. Jun 2026")</f>
        <v>Amada HFE3i 100T, 3000mm. UK fab shop benchmark. Target £55/hr. Jun 2026</v>
      </c>
      <c r="N125" t="str">
        <v>Medium</v>
      </c>
      <c r="O125" t="str">
        <f>IFERROR(INDEX(Mapping!$C:$C,MATCH($A125,Mapping!$A:$A,0)),"")</f>
        <v/>
      </c>
      <c r="P125">
        <f>IF($O125="",0,COUNTIFS('JLR Machines'!$A:$A,$O125,'JLR Machines'!$C:$C,IF(Settings!$B$2="","&lt;&gt;",Settings!$B$2),'JLR Machines'!$D:$D,IF(Settings!$B$3="","&lt;&gt;",Settings!$B$3)))</f>
        <v>0</v>
      </c>
      <c r="Q125">
        <f>IF($P125&lt;&gt;1,0,SUMIFS('JLR Machines'!$G:$G,'JLR Machines'!$A:$A,$O125,'JLR Machines'!$C:$C,IF(Settings!$B$2="","&lt;&gt;",Settings!$B$2),'JLR Machines'!$D:$D,IF(Settings!$B$3="","&lt;&gt;",Settings!$B$3)))</f>
        <v>0</v>
      </c>
      <c r="R125">
        <f>IF($P125&lt;&gt;1,0,SUMIFS('JLR Machines'!$H:$H,'JLR Machines'!$A:$A,$O125,'JLR Machines'!$C:$C,IF(Settings!$B$2="","&lt;&gt;",Settings!$B$2),'JLR Machines'!$D:$D,IF(Settings!$B$3="","&lt;&gt;",Settings!$B$3)))</f>
        <v>0</v>
      </c>
      <c r="S125">
        <f>IF($P125&lt;&gt;1,0,SUMIFS('JLR Machines'!$I:$I,'JLR Machines'!$A:$A,$O125,'JLR Machines'!$C:$C,IF(Settings!$B$2="","&lt;&gt;",Settings!$B$2),'JLR Machines'!$D:$D,IF(Settings!$B$3="","&lt;&gt;",Settings!$B$3)))</f>
        <v>0</v>
      </c>
      <c r="T125">
        <f>IF($P125&lt;&gt;1,0,SUMIFS('JLR Machines'!$J:$J,'JLR Machines'!$A:$A,$O125,'JLR Machines'!$C:$C,IF(Settings!$B$2="","&lt;&gt;",Settings!$B$2),'JLR Machines'!$D:$D,IF(Settings!$B$3="","&lt;&gt;",Settings!$B$3)))</f>
        <v>0</v>
      </c>
      <c r="U125">
        <f>IF($P125&lt;&gt;1,0,SUMIFS('JLR Machines'!$K:$K,'JLR Machines'!$A:$A,$O125,'JLR Machines'!$C:$C,IF(Settings!$B$2="","&lt;&gt;",Settings!$B$2),'JLR Machines'!$D:$D,IF(Settings!$B$3="","&lt;&gt;",Settings!$B$3)))</f>
        <v>0</v>
      </c>
      <c r="V125">
        <f>IF($P125&lt;&gt;1,0,SUMIFS('JLR Machines'!$L:$L,'JLR Machines'!$A:$A,$O125,'JLR Machines'!$C:$C,IF(Settings!$B$2="","&lt;&gt;",Settings!$B$2),'JLR Machines'!$D:$D,IF(Settings!$B$3="","&lt;&gt;",Settings!$B$3)))</f>
        <v>0</v>
      </c>
      <c r="W125">
        <f>IF($P125&lt;&gt;1,0,SUMIFS('JLR Machines'!$M:$M,'JLR Machines'!$A:$A,$O125,'JLR Machines'!$C:$C,IF(Settings!$B$2="","&lt;&gt;",Settings!$B$2),'JLR Machines'!$D:$D,IF(Settings!$B$3="","&lt;&gt;",Settings!$B$3)))</f>
        <v>0</v>
      </c>
      <c r="X125">
        <f>IF($P125&lt;&gt;1,0,SUMIFS('JLR Machines'!$N:$N,'JLR Machines'!$A:$A,$O125,'JLR Machines'!$C:$C,IF(Settings!$B$2="","&lt;&gt;",Settings!$B$2),'JLR Machines'!$D:$D,IF(Settings!$B$3="","&lt;&gt;",Settings!$B$3)))</f>
        <v>0</v>
      </c>
      <c r="Y125">
        <f>$Q125+$R125+$S125+$T125+$U125+$V125+$W125</f>
        <v>0</v>
      </c>
      <c r="Z125">
        <f>IF($X125&lt;=0,0,ROUND((D125+E125+F125+G125+H125+I125)/2625-$X125,4))</f>
        <v>0</v>
      </c>
    </row>
    <row r="126">
      <c r="A126" t="str">
        <v>brake-trumpf-5230</v>
      </c>
      <c r="B126" t="str">
        <v>Trumpf TruBend 5230 (230T)</v>
      </c>
      <c r="C126" t="str">
        <v>UK</v>
      </c>
      <c r="D126">
        <f>IF($X126&gt;0,IF($Y126&gt;0,MAX(0,$Q126+$X126-$Y126)*2625,$X126*2625),62000)</f>
        <v>62000</v>
      </c>
      <c r="E126">
        <f>IF($X126&gt;0,IF($Y126&gt;0,$S126*2625,0),48000)</f>
        <v>48000</v>
      </c>
      <c r="F126">
        <f>IF($X126&gt;0,IF($Y126&gt;0,$V126*2625,0),18000)</f>
        <v>18000</v>
      </c>
      <c r="G126">
        <f>IF($X126&gt;0,IF($Y126&gt;0,$R126*2625,0),10000)</f>
        <v>10000</v>
      </c>
      <c r="H126">
        <f>IF($X126&gt;0,IF($Y126&gt;0,($T126+$W126)*2625,0),28000)</f>
        <v>28000</v>
      </c>
      <c r="I126">
        <f>IF($X126&gt;0,IF($Y126&gt;0,$U126*2625,0),18000)</f>
        <v>18000</v>
      </c>
      <c r="J126">
        <v>3500</v>
      </c>
      <c r="K126">
        <v>0.75</v>
      </c>
      <c r="L126" t="str">
        <f>IF($X126&gt;0,IF($P126&lt;&gt;1,"2026-06-14",IFERROR(INDEX('JLR Machines'!$D:$D,MATCH($O126,'JLR Machines'!$A:$A,0)),"2026-06-14")),"2026-06-14")</f>
        <v>2026-06-14</v>
      </c>
      <c r="M126" t="str">
        <f>IF($X126&gt;0,IF($Y126&gt;0,"JLR machine "&amp;$O126&amp;" at "&amp;TEXT($X126,"0.00")&amp;" per hr — build-up as supplied","JLR machine "&amp;$O126&amp;" at "&amp;TEXT($X126,"0.00")&amp;" per hr — build-up not supplied"),"Trumpf TruBend 5230, 230T, 3230mm. UK fab shop benchmark. Target £70/hr. Jun 2026")</f>
        <v>Trumpf TruBend 5230, 230T, 3230mm. UK fab shop benchmark. Target £70/hr. Jun 2026</v>
      </c>
      <c r="N126" t="str">
        <v>Medium</v>
      </c>
      <c r="O126" t="str">
        <f>IFERROR(INDEX(Mapping!$C:$C,MATCH($A126,Mapping!$A:$A,0)),"")</f>
        <v/>
      </c>
      <c r="P126">
        <f>IF($O126="",0,COUNTIFS('JLR Machines'!$A:$A,$O126,'JLR Machines'!$C:$C,IF(Settings!$B$2="","&lt;&gt;",Settings!$B$2),'JLR Machines'!$D:$D,IF(Settings!$B$3="","&lt;&gt;",Settings!$B$3)))</f>
        <v>0</v>
      </c>
      <c r="Q126">
        <f>IF($P126&lt;&gt;1,0,SUMIFS('JLR Machines'!$G:$G,'JLR Machines'!$A:$A,$O126,'JLR Machines'!$C:$C,IF(Settings!$B$2="","&lt;&gt;",Settings!$B$2),'JLR Machines'!$D:$D,IF(Settings!$B$3="","&lt;&gt;",Settings!$B$3)))</f>
        <v>0</v>
      </c>
      <c r="R126">
        <f>IF($P126&lt;&gt;1,0,SUMIFS('JLR Machines'!$H:$H,'JLR Machines'!$A:$A,$O126,'JLR Machines'!$C:$C,IF(Settings!$B$2="","&lt;&gt;",Settings!$B$2),'JLR Machines'!$D:$D,IF(Settings!$B$3="","&lt;&gt;",Settings!$B$3)))</f>
        <v>0</v>
      </c>
      <c r="S126">
        <f>IF($P126&lt;&gt;1,0,SUMIFS('JLR Machines'!$I:$I,'JLR Machines'!$A:$A,$O126,'JLR Machines'!$C:$C,IF(Settings!$B$2="","&lt;&gt;",Settings!$B$2),'JLR Machines'!$D:$D,IF(Settings!$B$3="","&lt;&gt;",Settings!$B$3)))</f>
        <v>0</v>
      </c>
      <c r="T126">
        <f>IF($P126&lt;&gt;1,0,SUMIFS('JLR Machines'!$J:$J,'JLR Machines'!$A:$A,$O126,'JLR Machines'!$C:$C,IF(Settings!$B$2="","&lt;&gt;",Settings!$B$2),'JLR Machines'!$D:$D,IF(Settings!$B$3="","&lt;&gt;",Settings!$B$3)))</f>
        <v>0</v>
      </c>
      <c r="U126">
        <f>IF($P126&lt;&gt;1,0,SUMIFS('JLR Machines'!$K:$K,'JLR Machines'!$A:$A,$O126,'JLR Machines'!$C:$C,IF(Settings!$B$2="","&lt;&gt;",Settings!$B$2),'JLR Machines'!$D:$D,IF(Settings!$B$3="","&lt;&gt;",Settings!$B$3)))</f>
        <v>0</v>
      </c>
      <c r="V126">
        <f>IF($P126&lt;&gt;1,0,SUMIFS('JLR Machines'!$L:$L,'JLR Machines'!$A:$A,$O126,'JLR Machines'!$C:$C,IF(Settings!$B$2="","&lt;&gt;",Settings!$B$2),'JLR Machines'!$D:$D,IF(Settings!$B$3="","&lt;&gt;",Settings!$B$3)))</f>
        <v>0</v>
      </c>
      <c r="W126">
        <f>IF($P126&lt;&gt;1,0,SUMIFS('JLR Machines'!$M:$M,'JLR Machines'!$A:$A,$O126,'JLR Machines'!$C:$C,IF(Settings!$B$2="","&lt;&gt;",Settings!$B$2),'JLR Machines'!$D:$D,IF(Settings!$B$3="","&lt;&gt;",Settings!$B$3)))</f>
        <v>0</v>
      </c>
      <c r="X126">
        <f>IF($P126&lt;&gt;1,0,SUMIFS('JLR Machines'!$N:$N,'JLR Machines'!$A:$A,$O126,'JLR Machines'!$C:$C,IF(Settings!$B$2="","&lt;&gt;",Settings!$B$2),'JLR Machines'!$D:$D,IF(Settings!$B$3="","&lt;&gt;",Settings!$B$3)))</f>
        <v>0</v>
      </c>
      <c r="Y126">
        <f>$Q126+$R126+$S126+$T126+$U126+$V126+$W126</f>
        <v>0</v>
      </c>
      <c r="Z126">
        <f>IF($X126&lt;=0,0,ROUND((D126+E126+F126+G126+H126+I126)/2625-$X126,4))</f>
        <v>0</v>
      </c>
    </row>
    <row r="127">
      <c r="A127" t="str">
        <v>press-schuler-400t</v>
      </c>
      <c r="B127" t="str">
        <v>Schuler 400T Stamping Press</v>
      </c>
      <c r="C127" t="str">
        <v>UK</v>
      </c>
      <c r="D127">
        <f>IF($X127&gt;0,IF($Y127&gt;0,MAX(0,$Q127+$X127-$Y127)*2730,$X127*2730),145000)</f>
        <v>145000</v>
      </c>
      <c r="E127">
        <f>IF($X127&gt;0,IF($Y127&gt;0,$S127*2730,0),84500)</f>
        <v>84500</v>
      </c>
      <c r="F127">
        <f>IF($X127&gt;0,IF($Y127&gt;0,$V127*2730,0),55000)</f>
        <v>55000</v>
      </c>
      <c r="G127">
        <f>IF($X127&gt;0,IF($Y127&gt;0,$R127*2730,0),20000)</f>
        <v>20000</v>
      </c>
      <c r="H127">
        <f>IF($X127&gt;0,IF($Y127&gt;0,($T127+$W127)*2730,0),65000)</f>
        <v>65000</v>
      </c>
      <c r="I127">
        <f>IF($X127&gt;0,IF($Y127&gt;0,$U127*2730,0),40000)</f>
        <v>40000</v>
      </c>
      <c r="J127">
        <v>3500</v>
      </c>
      <c r="K127">
        <v>0.78</v>
      </c>
      <c r="L127" t="str">
        <f>IF($X127&gt;0,IF($P127&lt;&gt;1,"2026-06-14",IFERROR(INDEX('JLR Machines'!$D:$D,MATCH($O127,'JLR Machines'!$A:$A,0)),"2026-06-14")),"2026-06-14")</f>
        <v>2026-06-14</v>
      </c>
      <c r="M127" t="str">
        <f>IF($X127&gt;0,IF($Y127&gt;0,"JLR machine "&amp;$O127&amp;" at "&amp;TEXT($X127,"0.00")&amp;" per hr — build-up as supplied","JLR machine "&amp;$O127&amp;" at "&amp;TEXT($X127,"0.00")&amp;" per hr — build-up not supplied"),"Schuler 400T mechanical stamping press. UK automotive press shop. Target £150/hr. Jun 2026")</f>
        <v>Schuler 400T mechanical stamping press. UK automotive press shop. Target £150/hr. Jun 2026</v>
      </c>
      <c r="N127" t="str">
        <v>Medium</v>
      </c>
      <c r="O127" t="str">
        <f>IFERROR(INDEX(Mapping!$C:$C,MATCH($A127,Mapping!$A:$A,0)),"")</f>
        <v/>
      </c>
      <c r="P127">
        <f>IF($O127="",0,COUNTIFS('JLR Machines'!$A:$A,$O127,'JLR Machines'!$C:$C,IF(Settings!$B$2="","&lt;&gt;",Settings!$B$2),'JLR Machines'!$D:$D,IF(Settings!$B$3="","&lt;&gt;",Settings!$B$3)))</f>
        <v>0</v>
      </c>
      <c r="Q127">
        <f>IF($P127&lt;&gt;1,0,SUMIFS('JLR Machines'!$G:$G,'JLR Machines'!$A:$A,$O127,'JLR Machines'!$C:$C,IF(Settings!$B$2="","&lt;&gt;",Settings!$B$2),'JLR Machines'!$D:$D,IF(Settings!$B$3="","&lt;&gt;",Settings!$B$3)))</f>
        <v>0</v>
      </c>
      <c r="R127">
        <f>IF($P127&lt;&gt;1,0,SUMIFS('JLR Machines'!$H:$H,'JLR Machines'!$A:$A,$O127,'JLR Machines'!$C:$C,IF(Settings!$B$2="","&lt;&gt;",Settings!$B$2),'JLR Machines'!$D:$D,IF(Settings!$B$3="","&lt;&gt;",Settings!$B$3)))</f>
        <v>0</v>
      </c>
      <c r="S127">
        <f>IF($P127&lt;&gt;1,0,SUMIFS('JLR Machines'!$I:$I,'JLR Machines'!$A:$A,$O127,'JLR Machines'!$C:$C,IF(Settings!$B$2="","&lt;&gt;",Settings!$B$2),'JLR Machines'!$D:$D,IF(Settings!$B$3="","&lt;&gt;",Settings!$B$3)))</f>
        <v>0</v>
      </c>
      <c r="T127">
        <f>IF($P127&lt;&gt;1,0,SUMIFS('JLR Machines'!$J:$J,'JLR Machines'!$A:$A,$O127,'JLR Machines'!$C:$C,IF(Settings!$B$2="","&lt;&gt;",Settings!$B$2),'JLR Machines'!$D:$D,IF(Settings!$B$3="","&lt;&gt;",Settings!$B$3)))</f>
        <v>0</v>
      </c>
      <c r="U127">
        <f>IF($P127&lt;&gt;1,0,SUMIFS('JLR Machines'!$K:$K,'JLR Machines'!$A:$A,$O127,'JLR Machines'!$C:$C,IF(Settings!$B$2="","&lt;&gt;",Settings!$B$2),'JLR Machines'!$D:$D,IF(Settings!$B$3="","&lt;&gt;",Settings!$B$3)))</f>
        <v>0</v>
      </c>
      <c r="V127">
        <f>IF($P127&lt;&gt;1,0,SUMIFS('JLR Machines'!$L:$L,'JLR Machines'!$A:$A,$O127,'JLR Machines'!$C:$C,IF(Settings!$B$2="","&lt;&gt;",Settings!$B$2),'JLR Machines'!$D:$D,IF(Settings!$B$3="","&lt;&gt;",Settings!$B$3)))</f>
        <v>0</v>
      </c>
      <c r="W127">
        <f>IF($P127&lt;&gt;1,0,SUMIFS('JLR Machines'!$M:$M,'JLR Machines'!$A:$A,$O127,'JLR Machines'!$C:$C,IF(Settings!$B$2="","&lt;&gt;",Settings!$B$2),'JLR Machines'!$D:$D,IF(Settings!$B$3="","&lt;&gt;",Settings!$B$3)))</f>
        <v>0</v>
      </c>
      <c r="X127">
        <f>IF($P127&lt;&gt;1,0,SUMIFS('JLR Machines'!$N:$N,'JLR Machines'!$A:$A,$O127,'JLR Machines'!$C:$C,IF(Settings!$B$2="","&lt;&gt;",Settings!$B$2),'JLR Machines'!$D:$D,IF(Settings!$B$3="","&lt;&gt;",Settings!$B$3)))</f>
        <v>0</v>
      </c>
      <c r="Y127">
        <f>$Q127+$R127+$S127+$T127+$U127+$V127+$W127</f>
        <v>0</v>
      </c>
      <c r="Z127">
        <f>IF($X127&lt;=0,0,ROUND((D127+E127+F127+G127+H127+I127)/2730-$X127,4))</f>
        <v>0</v>
      </c>
    </row>
    <row r="128">
      <c r="A128" t="str">
        <v>press-aida-200t</v>
      </c>
      <c r="B128" t="str">
        <v>AIDA 200T Stamping Press</v>
      </c>
      <c r="C128" t="str">
        <v>UK</v>
      </c>
      <c r="D128">
        <f>IF($X128&gt;0,IF($Y128&gt;0,MAX(0,$Q128+$X128-$Y128)*2730,$X128*2730),110000)</f>
        <v>110000</v>
      </c>
      <c r="E128">
        <f>IF($X128&gt;0,IF($Y128&gt;0,$S128*2730,0),70000)</f>
        <v>70000</v>
      </c>
      <c r="F128">
        <f>IF($X128&gt;0,IF($Y128&gt;0,$V128*2730,0),40000)</f>
        <v>40000</v>
      </c>
      <c r="G128">
        <f>IF($X128&gt;0,IF($Y128&gt;0,$R128*2730,0),18000)</f>
        <v>18000</v>
      </c>
      <c r="H128">
        <f>IF($X128&gt;0,IF($Y128&gt;0,($T128+$W128)*2730,0),55000)</f>
        <v>55000</v>
      </c>
      <c r="I128">
        <f>IF($X128&gt;0,IF($Y128&gt;0,$U128*2730,0),35000)</f>
        <v>35000</v>
      </c>
      <c r="J128">
        <v>3500</v>
      </c>
      <c r="K128">
        <v>0.78</v>
      </c>
      <c r="L128" t="str">
        <f>IF($X128&gt;0,IF($P128&lt;&gt;1,"2026-06-14",IFERROR(INDEX('JLR Machines'!$D:$D,MATCH($O128,'JLR Machines'!$A:$A,0)),"2026-06-14")),"2026-06-14")</f>
        <v>2026-06-14</v>
      </c>
      <c r="M128" t="str">
        <f>IF($X128&gt;0,IF($Y128&gt;0,"JLR machine "&amp;$O128&amp;" at "&amp;TEXT($X128,"0.00")&amp;" per hr — build-up as supplied","JLR machine "&amp;$O128&amp;" at "&amp;TEXT($X128,"0.00")&amp;" per hr — build-up not supplied"),"AIDA 200T servo stamping press. UK press shop benchmark. Target £120/hr. Jun 2026")</f>
        <v>AIDA 200T servo stamping press. UK press shop benchmark. Target £120/hr. Jun 2026</v>
      </c>
      <c r="N128" t="str">
        <v>Medium</v>
      </c>
      <c r="O128" t="str">
        <f>IFERROR(INDEX(Mapping!$C:$C,MATCH($A128,Mapping!$A:$A,0)),"")</f>
        <v/>
      </c>
      <c r="P128">
        <f>IF($O128="",0,COUNTIFS('JLR Machines'!$A:$A,$O128,'JLR Machines'!$C:$C,IF(Settings!$B$2="","&lt;&gt;",Settings!$B$2),'JLR Machines'!$D:$D,IF(Settings!$B$3="","&lt;&gt;",Settings!$B$3)))</f>
        <v>0</v>
      </c>
      <c r="Q128">
        <f>IF($P128&lt;&gt;1,0,SUMIFS('JLR Machines'!$G:$G,'JLR Machines'!$A:$A,$O128,'JLR Machines'!$C:$C,IF(Settings!$B$2="","&lt;&gt;",Settings!$B$2),'JLR Machines'!$D:$D,IF(Settings!$B$3="","&lt;&gt;",Settings!$B$3)))</f>
        <v>0</v>
      </c>
      <c r="R128">
        <f>IF($P128&lt;&gt;1,0,SUMIFS('JLR Machines'!$H:$H,'JLR Machines'!$A:$A,$O128,'JLR Machines'!$C:$C,IF(Settings!$B$2="","&lt;&gt;",Settings!$B$2),'JLR Machines'!$D:$D,IF(Settings!$B$3="","&lt;&gt;",Settings!$B$3)))</f>
        <v>0</v>
      </c>
      <c r="S128">
        <f>IF($P128&lt;&gt;1,0,SUMIFS('JLR Machines'!$I:$I,'JLR Machines'!$A:$A,$O128,'JLR Machines'!$C:$C,IF(Settings!$B$2="","&lt;&gt;",Settings!$B$2),'JLR Machines'!$D:$D,IF(Settings!$B$3="","&lt;&gt;",Settings!$B$3)))</f>
        <v>0</v>
      </c>
      <c r="T128">
        <f>IF($P128&lt;&gt;1,0,SUMIFS('JLR Machines'!$J:$J,'JLR Machines'!$A:$A,$O128,'JLR Machines'!$C:$C,IF(Settings!$B$2="","&lt;&gt;",Settings!$B$2),'JLR Machines'!$D:$D,IF(Settings!$B$3="","&lt;&gt;",Settings!$B$3)))</f>
        <v>0</v>
      </c>
      <c r="U128">
        <f>IF($P128&lt;&gt;1,0,SUMIFS('JLR Machines'!$K:$K,'JLR Machines'!$A:$A,$O128,'JLR Machines'!$C:$C,IF(Settings!$B$2="","&lt;&gt;",Settings!$B$2),'JLR Machines'!$D:$D,IF(Settings!$B$3="","&lt;&gt;",Settings!$B$3)))</f>
        <v>0</v>
      </c>
      <c r="V128">
        <f>IF($P128&lt;&gt;1,0,SUMIFS('JLR Machines'!$L:$L,'JLR Machines'!$A:$A,$O128,'JLR Machines'!$C:$C,IF(Settings!$B$2="","&lt;&gt;",Settings!$B$2),'JLR Machines'!$D:$D,IF(Settings!$B$3="","&lt;&gt;",Settings!$B$3)))</f>
        <v>0</v>
      </c>
      <c r="W128">
        <f>IF($P128&lt;&gt;1,0,SUMIFS('JLR Machines'!$M:$M,'JLR Machines'!$A:$A,$O128,'JLR Machines'!$C:$C,IF(Settings!$B$2="","&lt;&gt;",Settings!$B$2),'JLR Machines'!$D:$D,IF(Settings!$B$3="","&lt;&gt;",Settings!$B$3)))</f>
        <v>0</v>
      </c>
      <c r="X128">
        <f>IF($P128&lt;&gt;1,0,SUMIFS('JLR Machines'!$N:$N,'JLR Machines'!$A:$A,$O128,'JLR Machines'!$C:$C,IF(Settings!$B$2="","&lt;&gt;",Settings!$B$2),'JLR Machines'!$D:$D,IF(Settings!$B$3="","&lt;&gt;",Settings!$B$3)))</f>
        <v>0</v>
      </c>
      <c r="Y128">
        <f>$Q128+$R128+$S128+$T128+$U128+$V128+$W128</f>
        <v>0</v>
      </c>
      <c r="Z128">
        <f>IF($X128&lt;=0,0,ROUND((D128+E128+F128+G128+H128+I128)/2730-$X128,4))</f>
        <v>0</v>
      </c>
    </row>
    <row r="129">
      <c r="A129" t="str">
        <v>rollform-dimeco-20st</v>
      </c>
      <c r="B129" t="str">
        <v>Dimeco Roll Forming Line (20 stations)</v>
      </c>
      <c r="C129" t="str">
        <v>UK</v>
      </c>
      <c r="D129">
        <f>IF($X129&gt;0,IF($Y129&gt;0,MAX(0,$Q129+$X129-$Y129)*4000,$X129*4000),150000)</f>
        <v>150000</v>
      </c>
      <c r="E129">
        <f>IF($X129&gt;0,IF($Y129&gt;0,$S129*4000,0),95000)</f>
        <v>95000</v>
      </c>
      <c r="F129">
        <f>IF($X129&gt;0,IF($Y129&gt;0,$V129*4000,0),55000)</f>
        <v>55000</v>
      </c>
      <c r="G129">
        <f>IF($X129&gt;0,IF($Y129&gt;0,$R129*4000,0),35000)</f>
        <v>35000</v>
      </c>
      <c r="H129">
        <f>IF($X129&gt;0,IF($Y129&gt;0,($T129+$W129)*4000,0),70000)</f>
        <v>70000</v>
      </c>
      <c r="I129">
        <f>IF($X129&gt;0,IF($Y129&gt;0,$U129*4000,0),40000)</f>
        <v>40000</v>
      </c>
      <c r="J129">
        <v>5000</v>
      </c>
      <c r="K129">
        <v>0.8</v>
      </c>
      <c r="L129" t="str">
        <f>IF($X129&gt;0,IF($P129&lt;&gt;1,"2026-06-14",IFERROR(INDEX('JLR Machines'!$D:$D,MATCH($O129,'JLR Machines'!$A:$A,0)),"2026-06-14")),"2026-06-14")</f>
        <v>2026-06-14</v>
      </c>
      <c r="M129" t="str">
        <f>IF($X129&gt;0,IF($Y129&gt;0,"JLR machine "&amp;$O129&amp;" at "&amp;TEXT($X129,"0.00")&amp;" per hr — build-up as supplied","JLR machine "&amp;$O129&amp;" at "&amp;TEXT($X129,"0.00")&amp;" per hr — build-up not supplied"),"Dimeco 20-station roll forming line. UK fabricator. Target £110/hr. Jun 2026")</f>
        <v>Dimeco 20-station roll forming line. UK fabricator. Target £110/hr. Jun 2026</v>
      </c>
      <c r="N129" t="str">
        <v>Medium</v>
      </c>
      <c r="O129" t="str">
        <f>IFERROR(INDEX(Mapping!$C:$C,MATCH($A129,Mapping!$A:$A,0)),"")</f>
        <v/>
      </c>
      <c r="P129">
        <f>IF($O129="",0,COUNTIFS('JLR Machines'!$A:$A,$O129,'JLR Machines'!$C:$C,IF(Settings!$B$2="","&lt;&gt;",Settings!$B$2),'JLR Machines'!$D:$D,IF(Settings!$B$3="","&lt;&gt;",Settings!$B$3)))</f>
        <v>0</v>
      </c>
      <c r="Q129">
        <f>IF($P129&lt;&gt;1,0,SUMIFS('JLR Machines'!$G:$G,'JLR Machines'!$A:$A,$O129,'JLR Machines'!$C:$C,IF(Settings!$B$2="","&lt;&gt;",Settings!$B$2),'JLR Machines'!$D:$D,IF(Settings!$B$3="","&lt;&gt;",Settings!$B$3)))</f>
        <v>0</v>
      </c>
      <c r="R129">
        <f>IF($P129&lt;&gt;1,0,SUMIFS('JLR Machines'!$H:$H,'JLR Machines'!$A:$A,$O129,'JLR Machines'!$C:$C,IF(Settings!$B$2="","&lt;&gt;",Settings!$B$2),'JLR Machines'!$D:$D,IF(Settings!$B$3="","&lt;&gt;",Settings!$B$3)))</f>
        <v>0</v>
      </c>
      <c r="S129">
        <f>IF($P129&lt;&gt;1,0,SUMIFS('JLR Machines'!$I:$I,'JLR Machines'!$A:$A,$O129,'JLR Machines'!$C:$C,IF(Settings!$B$2="","&lt;&gt;",Settings!$B$2),'JLR Machines'!$D:$D,IF(Settings!$B$3="","&lt;&gt;",Settings!$B$3)))</f>
        <v>0</v>
      </c>
      <c r="T129">
        <f>IF($P129&lt;&gt;1,0,SUMIFS('JLR Machines'!$J:$J,'JLR Machines'!$A:$A,$O129,'JLR Machines'!$C:$C,IF(Settings!$B$2="","&lt;&gt;",Settings!$B$2),'JLR Machines'!$D:$D,IF(Settings!$B$3="","&lt;&gt;",Settings!$B$3)))</f>
        <v>0</v>
      </c>
      <c r="U129">
        <f>IF($P129&lt;&gt;1,0,SUMIFS('JLR Machines'!$K:$K,'JLR Machines'!$A:$A,$O129,'JLR Machines'!$C:$C,IF(Settings!$B$2="","&lt;&gt;",Settings!$B$2),'JLR Machines'!$D:$D,IF(Settings!$B$3="","&lt;&gt;",Settings!$B$3)))</f>
        <v>0</v>
      </c>
      <c r="V129">
        <f>IF($P129&lt;&gt;1,0,SUMIFS('JLR Machines'!$L:$L,'JLR Machines'!$A:$A,$O129,'JLR Machines'!$C:$C,IF(Settings!$B$2="","&lt;&gt;",Settings!$B$2),'JLR Machines'!$D:$D,IF(Settings!$B$3="","&lt;&gt;",Settings!$B$3)))</f>
        <v>0</v>
      </c>
      <c r="W129">
        <f>IF($P129&lt;&gt;1,0,SUMIFS('JLR Machines'!$M:$M,'JLR Machines'!$A:$A,$O129,'JLR Machines'!$C:$C,IF(Settings!$B$2="","&lt;&gt;",Settings!$B$2),'JLR Machines'!$D:$D,IF(Settings!$B$3="","&lt;&gt;",Settings!$B$3)))</f>
        <v>0</v>
      </c>
      <c r="X129">
        <f>IF($P129&lt;&gt;1,0,SUMIFS('JLR Machines'!$N:$N,'JLR Machines'!$A:$A,$O129,'JLR Machines'!$C:$C,IF(Settings!$B$2="","&lt;&gt;",Settings!$B$2),'JLR Machines'!$D:$D,IF(Settings!$B$3="","&lt;&gt;",Settings!$B$3)))</f>
        <v>0</v>
      </c>
      <c r="Y129">
        <f>$Q129+$R129+$S129+$T129+$U129+$V129+$W129</f>
        <v>0</v>
      </c>
      <c r="Z129">
        <f>IF($X129&lt;=0,0,ROUND((D129+E129+F129+G129+H129+I129)/4000-$X129,4))</f>
        <v>0</v>
      </c>
    </row>
    <row r="130">
      <c r="A130" t="str">
        <v>robot-spotweld-kuka</v>
      </c>
      <c r="B130" t="str">
        <v>KUKA Spot Welding Robot Cell</v>
      </c>
      <c r="C130" t="str">
        <v>UK</v>
      </c>
      <c r="D130">
        <f>IF($X130&gt;0,IF($Y130&gt;0,MAX(0,$Q130+$X130-$Y130)*3200,$X130*3200),90000)</f>
        <v>90000</v>
      </c>
      <c r="E130">
        <f>IF($X130&gt;0,IF($Y130&gt;0,$S130*3200,0),55000)</f>
        <v>55000</v>
      </c>
      <c r="F130">
        <f>IF($X130&gt;0,IF($Y130&gt;0,$V130*3200,0),25000)</f>
        <v>25000</v>
      </c>
      <c r="G130">
        <f>IF($X130&gt;0,IF($Y130&gt;0,$R130*3200,0),15000)</f>
        <v>15000</v>
      </c>
      <c r="H130">
        <f>IF($X130&gt;0,IF($Y130&gt;0,($T130+$W130)*3200,0),65000)</f>
        <v>65000</v>
      </c>
      <c r="I130">
        <f>IF($X130&gt;0,IF($Y130&gt;0,$U130*3200,0),38000)</f>
        <v>38000</v>
      </c>
      <c r="J130">
        <v>4000</v>
      </c>
      <c r="K130">
        <v>0.8</v>
      </c>
      <c r="L130" t="str">
        <f>IF($X130&gt;0,IF($P130&lt;&gt;1,"2026-06-14",IFERROR(INDEX('JLR Machines'!$D:$D,MATCH($O130,'JLR Machines'!$A:$A,0)),"2026-06-14")),"2026-06-14")</f>
        <v>2026-06-14</v>
      </c>
      <c r="M130" t="str">
        <f>IF($X130&gt;0,IF($Y130&gt;0,"JLR machine "&amp;$O130&amp;" at "&amp;TEXT($X130,"0.00")&amp;" per hr — build-up as supplied","JLR machine "&amp;$O130&amp;" at "&amp;TEXT($X130,"0.00")&amp;" per hr — build-up not supplied"),"KUKA robot spot weld cell. UK automotive body shop. Target £90/hr. Jun 2026")</f>
        <v>KUKA robot spot weld cell. UK automotive body shop. Target £90/hr. Jun 2026</v>
      </c>
      <c r="N130" t="str">
        <v>Medium</v>
      </c>
      <c r="O130" t="str">
        <f>IFERROR(INDEX(Mapping!$C:$C,MATCH($A130,Mapping!$A:$A,0)),"")</f>
        <v/>
      </c>
      <c r="P130">
        <f>IF($O130="",0,COUNTIFS('JLR Machines'!$A:$A,$O130,'JLR Machines'!$C:$C,IF(Settings!$B$2="","&lt;&gt;",Settings!$B$2),'JLR Machines'!$D:$D,IF(Settings!$B$3="","&lt;&gt;",Settings!$B$3)))</f>
        <v>0</v>
      </c>
      <c r="Q130">
        <f>IF($P130&lt;&gt;1,0,SUMIFS('JLR Machines'!$G:$G,'JLR Machines'!$A:$A,$O130,'JLR Machines'!$C:$C,IF(Settings!$B$2="","&lt;&gt;",Settings!$B$2),'JLR Machines'!$D:$D,IF(Settings!$B$3="","&lt;&gt;",Settings!$B$3)))</f>
        <v>0</v>
      </c>
      <c r="R130">
        <f>IF($P130&lt;&gt;1,0,SUMIFS('JLR Machines'!$H:$H,'JLR Machines'!$A:$A,$O130,'JLR Machines'!$C:$C,IF(Settings!$B$2="","&lt;&gt;",Settings!$B$2),'JLR Machines'!$D:$D,IF(Settings!$B$3="","&lt;&gt;",Settings!$B$3)))</f>
        <v>0</v>
      </c>
      <c r="S130">
        <f>IF($P130&lt;&gt;1,0,SUMIFS('JLR Machines'!$I:$I,'JLR Machines'!$A:$A,$O130,'JLR Machines'!$C:$C,IF(Settings!$B$2="","&lt;&gt;",Settings!$B$2),'JLR Machines'!$D:$D,IF(Settings!$B$3="","&lt;&gt;",Settings!$B$3)))</f>
        <v>0</v>
      </c>
      <c r="T130">
        <f>IF($P130&lt;&gt;1,0,SUMIFS('JLR Machines'!$J:$J,'JLR Machines'!$A:$A,$O130,'JLR Machines'!$C:$C,IF(Settings!$B$2="","&lt;&gt;",Settings!$B$2),'JLR Machines'!$D:$D,IF(Settings!$B$3="","&lt;&gt;",Settings!$B$3)))</f>
        <v>0</v>
      </c>
      <c r="U130">
        <f>IF($P130&lt;&gt;1,0,SUMIFS('JLR Machines'!$K:$K,'JLR Machines'!$A:$A,$O130,'JLR Machines'!$C:$C,IF(Settings!$B$2="","&lt;&gt;",Settings!$B$2),'JLR Machines'!$D:$D,IF(Settings!$B$3="","&lt;&gt;",Settings!$B$3)))</f>
        <v>0</v>
      </c>
      <c r="V130">
        <f>IF($P130&lt;&gt;1,0,SUMIFS('JLR Machines'!$L:$L,'JLR Machines'!$A:$A,$O130,'JLR Machines'!$C:$C,IF(Settings!$B$2="","&lt;&gt;",Settings!$B$2),'JLR Machines'!$D:$D,IF(Settings!$B$3="","&lt;&gt;",Settings!$B$3)))</f>
        <v>0</v>
      </c>
      <c r="W130">
        <f>IF($P130&lt;&gt;1,0,SUMIFS('JLR Machines'!$M:$M,'JLR Machines'!$A:$A,$O130,'JLR Machines'!$C:$C,IF(Settings!$B$2="","&lt;&gt;",Settings!$B$2),'JLR Machines'!$D:$D,IF(Settings!$B$3="","&lt;&gt;",Settings!$B$3)))</f>
        <v>0</v>
      </c>
      <c r="X130">
        <f>IF($P130&lt;&gt;1,0,SUMIFS('JLR Machines'!$N:$N,'JLR Machines'!$A:$A,$O130,'JLR Machines'!$C:$C,IF(Settings!$B$2="","&lt;&gt;",Settings!$B$2),'JLR Machines'!$D:$D,IF(Settings!$B$3="","&lt;&gt;",Settings!$B$3)))</f>
        <v>0</v>
      </c>
      <c r="Y130">
        <f>$Q130+$R130+$S130+$T130+$U130+$V130+$W130</f>
        <v>0</v>
      </c>
      <c r="Z130">
        <f>IF($X130&lt;=0,0,ROUND((D130+E130+F130+G130+H130+I130)/3200-$X130,4))</f>
        <v>0</v>
      </c>
    </row>
    <row r="131">
      <c r="A131" t="str">
        <v>mig-welder-manual</v>
      </c>
      <c r="B131" t="str">
        <v>Manual MIG/MAG Welder Station</v>
      </c>
      <c r="C131" t="str">
        <v>UK</v>
      </c>
      <c r="D131">
        <f>IF($X131&gt;0,IF($Y131&gt;0,MAX(0,$Q131+$X131-$Y131)*3000,$X131*3000),4000)</f>
        <v>4000</v>
      </c>
      <c r="E131">
        <f>IF($X131&gt;0,IF($Y131&gt;0,$S131*3000,0),2000)</f>
        <v>2000</v>
      </c>
      <c r="F131">
        <f>IF($X131&gt;0,IF($Y131&gt;0,$V131*3000,0),4000)</f>
        <v>4000</v>
      </c>
      <c r="G131">
        <f>IF($X131&gt;0,IF($Y131&gt;0,$R131*3000,0),2000)</f>
        <v>2000</v>
      </c>
      <c r="H131">
        <f>IF($X131&gt;0,IF($Y131&gt;0,($T131+$W131)*3000,0),2000)</f>
        <v>2000</v>
      </c>
      <c r="I131">
        <f>IF($X131&gt;0,IF($Y131&gt;0,$U131*3000,0),500)</f>
        <v>500</v>
      </c>
      <c r="J131">
        <v>4000</v>
      </c>
      <c r="K131">
        <v>0.75</v>
      </c>
      <c r="L131" t="str">
        <f>IF($X131&gt;0,IF($P131&lt;&gt;1,"2026-06-14",IFERROR(INDEX('JLR Machines'!$D:$D,MATCH($O131,'JLR Machines'!$A:$A,0)),"2026-06-14")),"2026-06-14")</f>
        <v>2026-06-14</v>
      </c>
      <c r="M131" t="str">
        <f>IF($X131&gt;0,IF($Y131&gt;0,"JLR machine "&amp;$O131&amp;" at "&amp;TEXT($X131,"0.00")&amp;" per hr — build-up as supplied","JLR machine "&amp;$O131&amp;" at "&amp;TEXT($X131,"0.00")&amp;" per hr — build-up not supplied"),"Manual MIG/MAG station. Machine rate low — cost dominated by operator labour. UK fab shop. Jun 2026")</f>
        <v>Manual MIG/MAG station. Machine rate low — cost dominated by operator labour. UK fab shop. Jun 2026</v>
      </c>
      <c r="N131" t="str">
        <v>Medium</v>
      </c>
      <c r="O131" t="str">
        <f>IFERROR(INDEX(Mapping!$C:$C,MATCH($A131,Mapping!$A:$A,0)),"")</f>
        <v/>
      </c>
      <c r="P131">
        <f>IF($O131="",0,COUNTIFS('JLR Machines'!$A:$A,$O131,'JLR Machines'!$C:$C,IF(Settings!$B$2="","&lt;&gt;",Settings!$B$2),'JLR Machines'!$D:$D,IF(Settings!$B$3="","&lt;&gt;",Settings!$B$3)))</f>
        <v>0</v>
      </c>
      <c r="Q131">
        <f>IF($P131&lt;&gt;1,0,SUMIFS('JLR Machines'!$G:$G,'JLR Machines'!$A:$A,$O131,'JLR Machines'!$C:$C,IF(Settings!$B$2="","&lt;&gt;",Settings!$B$2),'JLR Machines'!$D:$D,IF(Settings!$B$3="","&lt;&gt;",Settings!$B$3)))</f>
        <v>0</v>
      </c>
      <c r="R131">
        <f>IF($P131&lt;&gt;1,0,SUMIFS('JLR Machines'!$H:$H,'JLR Machines'!$A:$A,$O131,'JLR Machines'!$C:$C,IF(Settings!$B$2="","&lt;&gt;",Settings!$B$2),'JLR Machines'!$D:$D,IF(Settings!$B$3="","&lt;&gt;",Settings!$B$3)))</f>
        <v>0</v>
      </c>
      <c r="S131">
        <f>IF($P131&lt;&gt;1,0,SUMIFS('JLR Machines'!$I:$I,'JLR Machines'!$A:$A,$O131,'JLR Machines'!$C:$C,IF(Settings!$B$2="","&lt;&gt;",Settings!$B$2),'JLR Machines'!$D:$D,IF(Settings!$B$3="","&lt;&gt;",Settings!$B$3)))</f>
        <v>0</v>
      </c>
      <c r="T131">
        <f>IF($P131&lt;&gt;1,0,SUMIFS('JLR Machines'!$J:$J,'JLR Machines'!$A:$A,$O131,'JLR Machines'!$C:$C,IF(Settings!$B$2="","&lt;&gt;",Settings!$B$2),'JLR Machines'!$D:$D,IF(Settings!$B$3="","&lt;&gt;",Settings!$B$3)))</f>
        <v>0</v>
      </c>
      <c r="U131">
        <f>IF($P131&lt;&gt;1,0,SUMIFS('JLR Machines'!$K:$K,'JLR Machines'!$A:$A,$O131,'JLR Machines'!$C:$C,IF(Settings!$B$2="","&lt;&gt;",Settings!$B$2),'JLR Machines'!$D:$D,IF(Settings!$B$3="","&lt;&gt;",Settings!$B$3)))</f>
        <v>0</v>
      </c>
      <c r="V131">
        <f>IF($P131&lt;&gt;1,0,SUMIFS('JLR Machines'!$L:$L,'JLR Machines'!$A:$A,$O131,'JLR Machines'!$C:$C,IF(Settings!$B$2="","&lt;&gt;",Settings!$B$2),'JLR Machines'!$D:$D,IF(Settings!$B$3="","&lt;&gt;",Settings!$B$3)))</f>
        <v>0</v>
      </c>
      <c r="W131">
        <f>IF($P131&lt;&gt;1,0,SUMIFS('JLR Machines'!$M:$M,'JLR Machines'!$A:$A,$O131,'JLR Machines'!$C:$C,IF(Settings!$B$2="","&lt;&gt;",Settings!$B$2),'JLR Machines'!$D:$D,IF(Settings!$B$3="","&lt;&gt;",Settings!$B$3)))</f>
        <v>0</v>
      </c>
      <c r="X131">
        <f>IF($P131&lt;&gt;1,0,SUMIFS('JLR Machines'!$N:$N,'JLR Machines'!$A:$A,$O131,'JLR Machines'!$C:$C,IF(Settings!$B$2="","&lt;&gt;",Settings!$B$2),'JLR Machines'!$D:$D,IF(Settings!$B$3="","&lt;&gt;",Settings!$B$3)))</f>
        <v>0</v>
      </c>
      <c r="Y131">
        <f>$Q131+$R131+$S131+$T131+$U131+$V131+$W131</f>
        <v>0</v>
      </c>
      <c r="Z131">
        <f>IF($X131&lt;=0,0,ROUND((D131+E131+F131+G131+H131+I131)/3000-$X131,4))</f>
        <v>0</v>
      </c>
    </row>
    <row r="132">
      <c r="A132" t="str">
        <v>tig-welder-manual</v>
      </c>
      <c r="B132" t="str">
        <v>Manual TIG Welder Station</v>
      </c>
      <c r="C132" t="str">
        <v>UK</v>
      </c>
      <c r="D132">
        <f>IF($X132&gt;0,IF($Y132&gt;0,MAX(0,$Q132+$X132-$Y132)*3000,$X132*3000),5000)</f>
        <v>5000</v>
      </c>
      <c r="E132">
        <f>IF($X132&gt;0,IF($Y132&gt;0,$S132*3000,0),2500)</f>
        <v>2500</v>
      </c>
      <c r="F132">
        <f>IF($X132&gt;0,IF($Y132&gt;0,$V132*3000,0),3500)</f>
        <v>3500</v>
      </c>
      <c r="G132">
        <f>IF($X132&gt;0,IF($Y132&gt;0,$R132*3000,0),2000)</f>
        <v>2000</v>
      </c>
      <c r="H132">
        <f>IF($X132&gt;0,IF($Y132&gt;0,($T132+$W132)*3000,0),2000)</f>
        <v>2000</v>
      </c>
      <c r="I132">
        <f>IF($X132&gt;0,IF($Y132&gt;0,$U132*3000,0),700)</f>
        <v>700</v>
      </c>
      <c r="J132">
        <v>4000</v>
      </c>
      <c r="K132">
        <v>0.75</v>
      </c>
      <c r="L132" t="str">
        <f>IF($X132&gt;0,IF($P132&lt;&gt;1,"2026-06-14",IFERROR(INDEX('JLR Machines'!$D:$D,MATCH($O132,'JLR Machines'!$A:$A,0)),"2026-06-14")),"2026-06-14")</f>
        <v>2026-06-14</v>
      </c>
      <c r="M132" t="str">
        <f>IF($X132&gt;0,IF($Y132&gt;0,"JLR machine "&amp;$O132&amp;" at "&amp;TEXT($X132,"0.00")&amp;" per hr — build-up as supplied","JLR machine "&amp;$O132&amp;" at "&amp;TEXT($X132,"0.00")&amp;" per hr — build-up not supplied"),"Manual TIG station. Machine rate low — cost dominated by skilled operator labour. UK fab shop. Jun 2026")</f>
        <v>Manual TIG station. Machine rate low — cost dominated by skilled operator labour. UK fab shop. Jun 2026</v>
      </c>
      <c r="N132" t="str">
        <v>Medium</v>
      </c>
      <c r="O132" t="str">
        <f>IFERROR(INDEX(Mapping!$C:$C,MATCH($A132,Mapping!$A:$A,0)),"")</f>
        <v/>
      </c>
      <c r="P132">
        <f>IF($O132="",0,COUNTIFS('JLR Machines'!$A:$A,$O132,'JLR Machines'!$C:$C,IF(Settings!$B$2="","&lt;&gt;",Settings!$B$2),'JLR Machines'!$D:$D,IF(Settings!$B$3="","&lt;&gt;",Settings!$B$3)))</f>
        <v>0</v>
      </c>
      <c r="Q132">
        <f>IF($P132&lt;&gt;1,0,SUMIFS('JLR Machines'!$G:$G,'JLR Machines'!$A:$A,$O132,'JLR Machines'!$C:$C,IF(Settings!$B$2="","&lt;&gt;",Settings!$B$2),'JLR Machines'!$D:$D,IF(Settings!$B$3="","&lt;&gt;",Settings!$B$3)))</f>
        <v>0</v>
      </c>
      <c r="R132">
        <f>IF($P132&lt;&gt;1,0,SUMIFS('JLR Machines'!$H:$H,'JLR Machines'!$A:$A,$O132,'JLR Machines'!$C:$C,IF(Settings!$B$2="","&lt;&gt;",Settings!$B$2),'JLR Machines'!$D:$D,IF(Settings!$B$3="","&lt;&gt;",Settings!$B$3)))</f>
        <v>0</v>
      </c>
      <c r="S132">
        <f>IF($P132&lt;&gt;1,0,SUMIFS('JLR Machines'!$I:$I,'JLR Machines'!$A:$A,$O132,'JLR Machines'!$C:$C,IF(Settings!$B$2="","&lt;&gt;",Settings!$B$2),'JLR Machines'!$D:$D,IF(Settings!$B$3="","&lt;&gt;",Settings!$B$3)))</f>
        <v>0</v>
      </c>
      <c r="T132">
        <f>IF($P132&lt;&gt;1,0,SUMIFS('JLR Machines'!$J:$J,'JLR Machines'!$A:$A,$O132,'JLR Machines'!$C:$C,IF(Settings!$B$2="","&lt;&gt;",Settings!$B$2),'JLR Machines'!$D:$D,IF(Settings!$B$3="","&lt;&gt;",Settings!$B$3)))</f>
        <v>0</v>
      </c>
      <c r="U132">
        <f>IF($P132&lt;&gt;1,0,SUMIFS('JLR Machines'!$K:$K,'JLR Machines'!$A:$A,$O132,'JLR Machines'!$C:$C,IF(Settings!$B$2="","&lt;&gt;",Settings!$B$2),'JLR Machines'!$D:$D,IF(Settings!$B$3="","&lt;&gt;",Settings!$B$3)))</f>
        <v>0</v>
      </c>
      <c r="V132">
        <f>IF($P132&lt;&gt;1,0,SUMIFS('JLR Machines'!$L:$L,'JLR Machines'!$A:$A,$O132,'JLR Machines'!$C:$C,IF(Settings!$B$2="","&lt;&gt;",Settings!$B$2),'JLR Machines'!$D:$D,IF(Settings!$B$3="","&lt;&gt;",Settings!$B$3)))</f>
        <v>0</v>
      </c>
      <c r="W132">
        <f>IF($P132&lt;&gt;1,0,SUMIFS('JLR Machines'!$M:$M,'JLR Machines'!$A:$A,$O132,'JLR Machines'!$C:$C,IF(Settings!$B$2="","&lt;&gt;",Settings!$B$2),'JLR Machines'!$D:$D,IF(Settings!$B$3="","&lt;&gt;",Settings!$B$3)))</f>
        <v>0</v>
      </c>
      <c r="X132">
        <f>IF($P132&lt;&gt;1,0,SUMIFS('JLR Machines'!$N:$N,'JLR Machines'!$A:$A,$O132,'JLR Machines'!$C:$C,IF(Settings!$B$2="","&lt;&gt;",Settings!$B$2),'JLR Machines'!$D:$D,IF(Settings!$B$3="","&lt;&gt;",Settings!$B$3)))</f>
        <v>0</v>
      </c>
      <c r="Y132">
        <f>$Q132+$R132+$S132+$T132+$U132+$V132+$W132</f>
        <v>0</v>
      </c>
      <c r="Z132">
        <f>IF($X132&lt;=0,0,ROUND((D132+E132+F132+G132+H132+I132)/3000-$X132,4))</f>
        <v>0</v>
      </c>
    </row>
    <row r="133">
      <c r="A133" t="str">
        <v>laser-trumpf-5030</v>
      </c>
      <c r="B133" t="str">
        <v>Trumpf TruLaser 5030 (10kW Fiber)</v>
      </c>
      <c r="C133" t="str">
        <v>UK</v>
      </c>
      <c r="D133">
        <f>IF($X133&gt;0,IF($Y133&gt;0,MAX(0,$Q133+$X133-$Y133)*3120,$X133*3120),135000)</f>
        <v>135000</v>
      </c>
      <c r="E133">
        <f>IF($X133&gt;0,IF($Y133&gt;0,$S133*3120,0),90000)</f>
        <v>90000</v>
      </c>
      <c r="F133">
        <f>IF($X133&gt;0,IF($Y133&gt;0,$V133*3120,0),50000)</f>
        <v>50000</v>
      </c>
      <c r="G133">
        <f>IF($X133&gt;0,IF($Y133&gt;0,$R133*3120,0),14000)</f>
        <v>14000</v>
      </c>
      <c r="H133">
        <f>IF($X133&gt;0,IF($Y133&gt;0,($T133+$W133)*3120,0),55000)</f>
        <v>55000</v>
      </c>
      <c r="I133">
        <f>IF($X133&gt;0,IF($Y133&gt;0,$U133*3120,0),28000)</f>
        <v>28000</v>
      </c>
      <c r="J133">
        <v>4000</v>
      </c>
      <c r="K133">
        <v>0.78</v>
      </c>
      <c r="L133" t="str">
        <f>IF($X133&gt;0,IF($P133&lt;&gt;1,"2026-06-14",IFERROR(INDEX('JLR Machines'!$D:$D,MATCH($O133,'JLR Machines'!$A:$A,0)),"2026-06-14")),"2026-06-14")</f>
        <v>2026-06-14</v>
      </c>
      <c r="M133" t="str">
        <f>IF($X133&gt;0,IF($Y133&gt;0,"JLR machine "&amp;$O133&amp;" at "&amp;TEXT($X133,"0.00")&amp;" per hr — build-up as supplied","JLR machine "&amp;$O133&amp;" at "&amp;TEXT($X133,"0.00")&amp;" per hr — build-up not supplied"),"UK fab shop benchmark Jun 2026. Trumpf TruLaser 5030, 10kW fiber, 3000×1500 bed. High-speed cutting of thick plate (25mm mild steel, 15mm SS). Dynamic beam shaping BrightLine.")</f>
        <v>UK fab shop benchmark Jun 2026. Trumpf TruLaser 5030, 10kW fiber, 3000×1500 bed. High-speed cutting of thick plate (25mm mild steel, 15mm SS). Dynamic beam shaping BrightLine.</v>
      </c>
      <c r="N133" t="str">
        <v>Medium</v>
      </c>
      <c r="O133" t="str">
        <f>IFERROR(INDEX(Mapping!$C:$C,MATCH($A133,Mapping!$A:$A,0)),"")</f>
        <v/>
      </c>
      <c r="P133">
        <f>IF($O133="",0,COUNTIFS('JLR Machines'!$A:$A,$O133,'JLR Machines'!$C:$C,IF(Settings!$B$2="","&lt;&gt;",Settings!$B$2),'JLR Machines'!$D:$D,IF(Settings!$B$3="","&lt;&gt;",Settings!$B$3)))</f>
        <v>0</v>
      </c>
      <c r="Q133">
        <f>IF($P133&lt;&gt;1,0,SUMIFS('JLR Machines'!$G:$G,'JLR Machines'!$A:$A,$O133,'JLR Machines'!$C:$C,IF(Settings!$B$2="","&lt;&gt;",Settings!$B$2),'JLR Machines'!$D:$D,IF(Settings!$B$3="","&lt;&gt;",Settings!$B$3)))</f>
        <v>0</v>
      </c>
      <c r="R133">
        <f>IF($P133&lt;&gt;1,0,SUMIFS('JLR Machines'!$H:$H,'JLR Machines'!$A:$A,$O133,'JLR Machines'!$C:$C,IF(Settings!$B$2="","&lt;&gt;",Settings!$B$2),'JLR Machines'!$D:$D,IF(Settings!$B$3="","&lt;&gt;",Settings!$B$3)))</f>
        <v>0</v>
      </c>
      <c r="S133">
        <f>IF($P133&lt;&gt;1,0,SUMIFS('JLR Machines'!$I:$I,'JLR Machines'!$A:$A,$O133,'JLR Machines'!$C:$C,IF(Settings!$B$2="","&lt;&gt;",Settings!$B$2),'JLR Machines'!$D:$D,IF(Settings!$B$3="","&lt;&gt;",Settings!$B$3)))</f>
        <v>0</v>
      </c>
      <c r="T133">
        <f>IF($P133&lt;&gt;1,0,SUMIFS('JLR Machines'!$J:$J,'JLR Machines'!$A:$A,$O133,'JLR Machines'!$C:$C,IF(Settings!$B$2="","&lt;&gt;",Settings!$B$2),'JLR Machines'!$D:$D,IF(Settings!$B$3="","&lt;&gt;",Settings!$B$3)))</f>
        <v>0</v>
      </c>
      <c r="U133">
        <f>IF($P133&lt;&gt;1,0,SUMIFS('JLR Machines'!$K:$K,'JLR Machines'!$A:$A,$O133,'JLR Machines'!$C:$C,IF(Settings!$B$2="","&lt;&gt;",Settings!$B$2),'JLR Machines'!$D:$D,IF(Settings!$B$3="","&lt;&gt;",Settings!$B$3)))</f>
        <v>0</v>
      </c>
      <c r="V133">
        <f>IF($P133&lt;&gt;1,0,SUMIFS('JLR Machines'!$L:$L,'JLR Machines'!$A:$A,$O133,'JLR Machines'!$C:$C,IF(Settings!$B$2="","&lt;&gt;",Settings!$B$2),'JLR Machines'!$D:$D,IF(Settings!$B$3="","&lt;&gt;",Settings!$B$3)))</f>
        <v>0</v>
      </c>
      <c r="W133">
        <f>IF($P133&lt;&gt;1,0,SUMIFS('JLR Machines'!$M:$M,'JLR Machines'!$A:$A,$O133,'JLR Machines'!$C:$C,IF(Settings!$B$2="","&lt;&gt;",Settings!$B$2),'JLR Machines'!$D:$D,IF(Settings!$B$3="","&lt;&gt;",Settings!$B$3)))</f>
        <v>0</v>
      </c>
      <c r="X133">
        <f>IF($P133&lt;&gt;1,0,SUMIFS('JLR Machines'!$N:$N,'JLR Machines'!$A:$A,$O133,'JLR Machines'!$C:$C,IF(Settings!$B$2="","&lt;&gt;",Settings!$B$2),'JLR Machines'!$D:$D,IF(Settings!$B$3="","&lt;&gt;",Settings!$B$3)))</f>
        <v>0</v>
      </c>
      <c r="Y133">
        <f>$Q133+$R133+$S133+$T133+$U133+$V133+$W133</f>
        <v>0</v>
      </c>
      <c r="Z133">
        <f>IF($X133&lt;=0,0,ROUND((D133+E133+F133+G133+H133+I133)/3120-$X133,4))</f>
        <v>0</v>
      </c>
    </row>
    <row r="134">
      <c r="A134" t="str">
        <v>laser-amada-ensis-3015</v>
      </c>
      <c r="B134" t="str">
        <v>Amada ENSIS 3015 AJ (3kW Fiber)</v>
      </c>
      <c r="C134" t="str">
        <v>UK</v>
      </c>
      <c r="D134">
        <f>IF($X134&gt;0,IF($Y134&gt;0,MAX(0,$Q134+$X134-$Y134)*3040,$X134*3040),72000)</f>
        <v>72000</v>
      </c>
      <c r="E134">
        <f>IF($X134&gt;0,IF($Y134&gt;0,$S134*3040,0),52000)</f>
        <v>52000</v>
      </c>
      <c r="F134">
        <f>IF($X134&gt;0,IF($Y134&gt;0,$V134*3040,0),22000)</f>
        <v>22000</v>
      </c>
      <c r="G134">
        <f>IF($X134&gt;0,IF($Y134&gt;0,$R134*3040,0),9000)</f>
        <v>9000</v>
      </c>
      <c r="H134">
        <f>IF($X134&gt;0,IF($Y134&gt;0,($T134+$W134)*3040,0),36000)</f>
        <v>36000</v>
      </c>
      <c r="I134">
        <f>IF($X134&gt;0,IF($Y134&gt;0,$U134*3040,0),15000)</f>
        <v>15000</v>
      </c>
      <c r="J134">
        <v>4000</v>
      </c>
      <c r="K134">
        <v>0.76</v>
      </c>
      <c r="L134" t="str">
        <f>IF($X134&gt;0,IF($P134&lt;&gt;1,"2026-06-14",IFERROR(INDEX('JLR Machines'!$D:$D,MATCH($O134,'JLR Machines'!$A:$A,0)),"2026-06-14")),"2026-06-14")</f>
        <v>2026-06-14</v>
      </c>
      <c r="M134" t="str">
        <f>IF($X134&gt;0,IF($Y134&gt;0,"JLR machine "&amp;$O134&amp;" at "&amp;TEXT($X134,"0.00")&amp;" per hr — build-up as supplied","JLR machine "&amp;$O134&amp;" at "&amp;TEXT($X134,"0.00")&amp;" per hr — build-up not supplied"),"UK fab shop benchmark Jun 2026. Amada ENSIS 3015 AJ, 3kW variable-beam fiber, 3000×1500 bed. Intelligent beam control — cuts thin to thick sheet without mode change.")</f>
        <v>UK fab shop benchmark Jun 2026. Amada ENSIS 3015 AJ, 3kW variable-beam fiber, 3000×1500 bed. Intelligent beam control — cuts thin to thick sheet without mode change.</v>
      </c>
      <c r="N134" t="str">
        <v>Medium</v>
      </c>
      <c r="O134" t="str">
        <f>IFERROR(INDEX(Mapping!$C:$C,MATCH($A134,Mapping!$A:$A,0)),"")</f>
        <v/>
      </c>
      <c r="P134">
        <f>IF($O134="",0,COUNTIFS('JLR Machines'!$A:$A,$O134,'JLR Machines'!$C:$C,IF(Settings!$B$2="","&lt;&gt;",Settings!$B$2),'JLR Machines'!$D:$D,IF(Settings!$B$3="","&lt;&gt;",Settings!$B$3)))</f>
        <v>0</v>
      </c>
      <c r="Q134">
        <f>IF($P134&lt;&gt;1,0,SUMIFS('JLR Machines'!$G:$G,'JLR Machines'!$A:$A,$O134,'JLR Machines'!$C:$C,IF(Settings!$B$2="","&lt;&gt;",Settings!$B$2),'JLR Machines'!$D:$D,IF(Settings!$B$3="","&lt;&gt;",Settings!$B$3)))</f>
        <v>0</v>
      </c>
      <c r="R134">
        <f>IF($P134&lt;&gt;1,0,SUMIFS('JLR Machines'!$H:$H,'JLR Machines'!$A:$A,$O134,'JLR Machines'!$C:$C,IF(Settings!$B$2="","&lt;&gt;",Settings!$B$2),'JLR Machines'!$D:$D,IF(Settings!$B$3="","&lt;&gt;",Settings!$B$3)))</f>
        <v>0</v>
      </c>
      <c r="S134">
        <f>IF($P134&lt;&gt;1,0,SUMIFS('JLR Machines'!$I:$I,'JLR Machines'!$A:$A,$O134,'JLR Machines'!$C:$C,IF(Settings!$B$2="","&lt;&gt;",Settings!$B$2),'JLR Machines'!$D:$D,IF(Settings!$B$3="","&lt;&gt;",Settings!$B$3)))</f>
        <v>0</v>
      </c>
      <c r="T134">
        <f>IF($P134&lt;&gt;1,0,SUMIFS('JLR Machines'!$J:$J,'JLR Machines'!$A:$A,$O134,'JLR Machines'!$C:$C,IF(Settings!$B$2="","&lt;&gt;",Settings!$B$2),'JLR Machines'!$D:$D,IF(Settings!$B$3="","&lt;&gt;",Settings!$B$3)))</f>
        <v>0</v>
      </c>
      <c r="U134">
        <f>IF($P134&lt;&gt;1,0,SUMIFS('JLR Machines'!$K:$K,'JLR Machines'!$A:$A,$O134,'JLR Machines'!$C:$C,IF(Settings!$B$2="","&lt;&gt;",Settings!$B$2),'JLR Machines'!$D:$D,IF(Settings!$B$3="","&lt;&gt;",Settings!$B$3)))</f>
        <v>0</v>
      </c>
      <c r="V134">
        <f>IF($P134&lt;&gt;1,0,SUMIFS('JLR Machines'!$L:$L,'JLR Machines'!$A:$A,$O134,'JLR Machines'!$C:$C,IF(Settings!$B$2="","&lt;&gt;",Settings!$B$2),'JLR Machines'!$D:$D,IF(Settings!$B$3="","&lt;&gt;",Settings!$B$3)))</f>
        <v>0</v>
      </c>
      <c r="W134">
        <f>IF($P134&lt;&gt;1,0,SUMIFS('JLR Machines'!$M:$M,'JLR Machines'!$A:$A,$O134,'JLR Machines'!$C:$C,IF(Settings!$B$2="","&lt;&gt;",Settings!$B$2),'JLR Machines'!$D:$D,IF(Settings!$B$3="","&lt;&gt;",Settings!$B$3)))</f>
        <v>0</v>
      </c>
      <c r="X134">
        <f>IF($P134&lt;&gt;1,0,SUMIFS('JLR Machines'!$N:$N,'JLR Machines'!$A:$A,$O134,'JLR Machines'!$C:$C,IF(Settings!$B$2="","&lt;&gt;",Settings!$B$2),'JLR Machines'!$D:$D,IF(Settings!$B$3="","&lt;&gt;",Settings!$B$3)))</f>
        <v>0</v>
      </c>
      <c r="Y134">
        <f>$Q134+$R134+$S134+$T134+$U134+$V134+$W134</f>
        <v>0</v>
      </c>
      <c r="Z134">
        <f>IF($X134&lt;=0,0,ROUND((D134+E134+F134+G134+H134+I134)/3040-$X134,4))</f>
        <v>0</v>
      </c>
    </row>
    <row r="135">
      <c r="A135" t="str">
        <v>plasma-hypertherm-xpr300</v>
      </c>
      <c r="B135" t="str">
        <v>Hypertherm XPR300 Plasma Table</v>
      </c>
      <c r="C135" t="str">
        <v>UK</v>
      </c>
      <c r="D135">
        <f>IF($X135&gt;0,IF($Y135&gt;0,MAX(0,$Q135+$X135-$Y135)*3200,$X135*3200),38000)</f>
        <v>38000</v>
      </c>
      <c r="E135">
        <f>IF($X135&gt;0,IF($Y135&gt;0,$S135*3200,0),28000)</f>
        <v>28000</v>
      </c>
      <c r="F135">
        <f>IF($X135&gt;0,IF($Y135&gt;0,$V135*3200,0),22000)</f>
        <v>22000</v>
      </c>
      <c r="G135">
        <f>IF($X135&gt;0,IF($Y135&gt;0,$R135*3200,0),14000)</f>
        <v>14000</v>
      </c>
      <c r="H135">
        <f>IF($X135&gt;0,IF($Y135&gt;0,($T135+$W135)*3200,0),18000)</f>
        <v>18000</v>
      </c>
      <c r="I135">
        <f>IF($X135&gt;0,IF($Y135&gt;0,$U135*3200,0),7500)</f>
        <v>7500</v>
      </c>
      <c r="J135">
        <v>4000</v>
      </c>
      <c r="K135">
        <v>0.8</v>
      </c>
      <c r="L135" t="str">
        <f>IF($X135&gt;0,IF($P135&lt;&gt;1,"2026-06-14",IFERROR(INDEX('JLR Machines'!$D:$D,MATCH($O135,'JLR Machines'!$A:$A,0)),"2026-06-14")),"2026-06-14")</f>
        <v>2026-06-14</v>
      </c>
      <c r="M135" t="str">
        <f>IF($X135&gt;0,IF($Y135&gt;0,"JLR machine "&amp;$O135&amp;" at "&amp;TEXT($X135,"0.00")&amp;" per hr — build-up as supplied","JLR machine "&amp;$O135&amp;" at "&amp;TEXT($X135,"0.00")&amp;" per hr — build-up not supplied"),"UK fab shop benchmark Jun 2026. Hypertherm XPR300 plasma — 300A, cuts up to 80mm mild steel. Plasma table for structural steel, heavy plate, general fabrication. Better edge quality than HiFocus for thick plate.")</f>
        <v>UK fab shop benchmark Jun 2026. Hypertherm XPR300 plasma — 300A, cuts up to 80mm mild steel. Plasma table for structural steel, heavy plate, general fabrication. Better edge quality than HiFocus for thick plate.</v>
      </c>
      <c r="N135" t="str">
        <v>Medium</v>
      </c>
      <c r="O135" t="str">
        <f>IFERROR(INDEX(Mapping!$C:$C,MATCH($A135,Mapping!$A:$A,0)),"")</f>
        <v/>
      </c>
      <c r="P135">
        <f>IF($O135="",0,COUNTIFS('JLR Machines'!$A:$A,$O135,'JLR Machines'!$C:$C,IF(Settings!$B$2="","&lt;&gt;",Settings!$B$2),'JLR Machines'!$D:$D,IF(Settings!$B$3="","&lt;&gt;",Settings!$B$3)))</f>
        <v>0</v>
      </c>
      <c r="Q135">
        <f>IF($P135&lt;&gt;1,0,SUMIFS('JLR Machines'!$G:$G,'JLR Machines'!$A:$A,$O135,'JLR Machines'!$C:$C,IF(Settings!$B$2="","&lt;&gt;",Settings!$B$2),'JLR Machines'!$D:$D,IF(Settings!$B$3="","&lt;&gt;",Settings!$B$3)))</f>
        <v>0</v>
      </c>
      <c r="R135">
        <f>IF($P135&lt;&gt;1,0,SUMIFS('JLR Machines'!$H:$H,'JLR Machines'!$A:$A,$O135,'JLR Machines'!$C:$C,IF(Settings!$B$2="","&lt;&gt;",Settings!$B$2),'JLR Machines'!$D:$D,IF(Settings!$B$3="","&lt;&gt;",Settings!$B$3)))</f>
        <v>0</v>
      </c>
      <c r="S135">
        <f>IF($P135&lt;&gt;1,0,SUMIFS('JLR Machines'!$I:$I,'JLR Machines'!$A:$A,$O135,'JLR Machines'!$C:$C,IF(Settings!$B$2="","&lt;&gt;",Settings!$B$2),'JLR Machines'!$D:$D,IF(Settings!$B$3="","&lt;&gt;",Settings!$B$3)))</f>
        <v>0</v>
      </c>
      <c r="T135">
        <f>IF($P135&lt;&gt;1,0,SUMIFS('JLR Machines'!$J:$J,'JLR Machines'!$A:$A,$O135,'JLR Machines'!$C:$C,IF(Settings!$B$2="","&lt;&gt;",Settings!$B$2),'JLR Machines'!$D:$D,IF(Settings!$B$3="","&lt;&gt;",Settings!$B$3)))</f>
        <v>0</v>
      </c>
      <c r="U135">
        <f>IF($P135&lt;&gt;1,0,SUMIFS('JLR Machines'!$K:$K,'JLR Machines'!$A:$A,$O135,'JLR Machines'!$C:$C,IF(Settings!$B$2="","&lt;&gt;",Settings!$B$2),'JLR Machines'!$D:$D,IF(Settings!$B$3="","&lt;&gt;",Settings!$B$3)))</f>
        <v>0</v>
      </c>
      <c r="V135">
        <f>IF($P135&lt;&gt;1,0,SUMIFS('JLR Machines'!$L:$L,'JLR Machines'!$A:$A,$O135,'JLR Machines'!$C:$C,IF(Settings!$B$2="","&lt;&gt;",Settings!$B$2),'JLR Machines'!$D:$D,IF(Settings!$B$3="","&lt;&gt;",Settings!$B$3)))</f>
        <v>0</v>
      </c>
      <c r="W135">
        <f>IF($P135&lt;&gt;1,0,SUMIFS('JLR Machines'!$M:$M,'JLR Machines'!$A:$A,$O135,'JLR Machines'!$C:$C,IF(Settings!$B$2="","&lt;&gt;",Settings!$B$2),'JLR Machines'!$D:$D,IF(Settings!$B$3="","&lt;&gt;",Settings!$B$3)))</f>
        <v>0</v>
      </c>
      <c r="X135">
        <f>IF($P135&lt;&gt;1,0,SUMIFS('JLR Machines'!$N:$N,'JLR Machines'!$A:$A,$O135,'JLR Machines'!$C:$C,IF(Settings!$B$2="","&lt;&gt;",Settings!$B$2),'JLR Machines'!$D:$D,IF(Settings!$B$3="","&lt;&gt;",Settings!$B$3)))</f>
        <v>0</v>
      </c>
      <c r="Y135">
        <f>$Q135+$R135+$S135+$T135+$U135+$V135+$W135</f>
        <v>0</v>
      </c>
      <c r="Z135">
        <f>IF($X135&lt;=0,0,ROUND((D135+E135+F135+G135+H135+I135)/3200-$X135,4))</f>
        <v>0</v>
      </c>
    </row>
    <row r="136">
      <c r="A136" t="str">
        <v>plasma-kjellberg-hifocus280</v>
      </c>
      <c r="B136" t="str">
        <v>Kjellberg HiFocus 280i Plasma Table</v>
      </c>
      <c r="C136" t="str">
        <v>UK</v>
      </c>
      <c r="D136">
        <f>IF($X136&gt;0,IF($Y136&gt;0,MAX(0,$Q136+$X136-$Y136)*3200,$X136*3200),32000)</f>
        <v>32000</v>
      </c>
      <c r="E136">
        <f>IF($X136&gt;0,IF($Y136&gt;0,$S136*3200,0),24000)</f>
        <v>24000</v>
      </c>
      <c r="F136">
        <f>IF($X136&gt;0,IF($Y136&gt;0,$V136*3200,0),20000)</f>
        <v>20000</v>
      </c>
      <c r="G136">
        <f>IF($X136&gt;0,IF($Y136&gt;0,$R136*3200,0),14000)</f>
        <v>14000</v>
      </c>
      <c r="H136">
        <f>IF($X136&gt;0,IF($Y136&gt;0,($T136+$W136)*3200,0),16000)</f>
        <v>16000</v>
      </c>
      <c r="I136">
        <f>IF($X136&gt;0,IF($Y136&gt;0,$U136*3200,0),6500)</f>
        <v>6500</v>
      </c>
      <c r="J136">
        <v>4000</v>
      </c>
      <c r="K136">
        <v>0.8</v>
      </c>
      <c r="L136" t="str">
        <f>IF($X136&gt;0,IF($P136&lt;&gt;1,"2026-06-14",IFERROR(INDEX('JLR Machines'!$D:$D,MATCH($O136,'JLR Machines'!$A:$A,0)),"2026-06-14")),"2026-06-14")</f>
        <v>2026-06-14</v>
      </c>
      <c r="M136" t="str">
        <f>IF($X136&gt;0,IF($Y136&gt;0,"JLR machine "&amp;$O136&amp;" at "&amp;TEXT($X136,"0.00")&amp;" per hr — build-up as supplied","JLR machine "&amp;$O136&amp;" at "&amp;TEXT($X136,"0.00")&amp;" per hr — build-up not supplied"),"UK fab shop benchmark Jun 2026. Kjellberg HiFocus 280i — 280A HD plasma for precision cutting up to 50mm. Better edge perpendicularity than standard plasma.")</f>
        <v>UK fab shop benchmark Jun 2026. Kjellberg HiFocus 280i — 280A HD plasma for precision cutting up to 50mm. Better edge perpendicularity than standard plasma.</v>
      </c>
      <c r="N136" t="str">
        <v>Medium</v>
      </c>
      <c r="O136" t="str">
        <f>IFERROR(INDEX(Mapping!$C:$C,MATCH($A136,Mapping!$A:$A,0)),"")</f>
        <v/>
      </c>
      <c r="P136">
        <f>IF($O136="",0,COUNTIFS('JLR Machines'!$A:$A,$O136,'JLR Machines'!$C:$C,IF(Settings!$B$2="","&lt;&gt;",Settings!$B$2),'JLR Machines'!$D:$D,IF(Settings!$B$3="","&lt;&gt;",Settings!$B$3)))</f>
        <v>0</v>
      </c>
      <c r="Q136">
        <f>IF($P136&lt;&gt;1,0,SUMIFS('JLR Machines'!$G:$G,'JLR Machines'!$A:$A,$O136,'JLR Machines'!$C:$C,IF(Settings!$B$2="","&lt;&gt;",Settings!$B$2),'JLR Machines'!$D:$D,IF(Settings!$B$3="","&lt;&gt;",Settings!$B$3)))</f>
        <v>0</v>
      </c>
      <c r="R136">
        <f>IF($P136&lt;&gt;1,0,SUMIFS('JLR Machines'!$H:$H,'JLR Machines'!$A:$A,$O136,'JLR Machines'!$C:$C,IF(Settings!$B$2="","&lt;&gt;",Settings!$B$2),'JLR Machines'!$D:$D,IF(Settings!$B$3="","&lt;&gt;",Settings!$B$3)))</f>
        <v>0</v>
      </c>
      <c r="S136">
        <f>IF($P136&lt;&gt;1,0,SUMIFS('JLR Machines'!$I:$I,'JLR Machines'!$A:$A,$O136,'JLR Machines'!$C:$C,IF(Settings!$B$2="","&lt;&gt;",Settings!$B$2),'JLR Machines'!$D:$D,IF(Settings!$B$3="","&lt;&gt;",Settings!$B$3)))</f>
        <v>0</v>
      </c>
      <c r="T136">
        <f>IF($P136&lt;&gt;1,0,SUMIFS('JLR Machines'!$J:$J,'JLR Machines'!$A:$A,$O136,'JLR Machines'!$C:$C,IF(Settings!$B$2="","&lt;&gt;",Settings!$B$2),'JLR Machines'!$D:$D,IF(Settings!$B$3="","&lt;&gt;",Settings!$B$3)))</f>
        <v>0</v>
      </c>
      <c r="U136">
        <f>IF($P136&lt;&gt;1,0,SUMIFS('JLR Machines'!$K:$K,'JLR Machines'!$A:$A,$O136,'JLR Machines'!$C:$C,IF(Settings!$B$2="","&lt;&gt;",Settings!$B$2),'JLR Machines'!$D:$D,IF(Settings!$B$3="","&lt;&gt;",Settings!$B$3)))</f>
        <v>0</v>
      </c>
      <c r="V136">
        <f>IF($P136&lt;&gt;1,0,SUMIFS('JLR Machines'!$L:$L,'JLR Machines'!$A:$A,$O136,'JLR Machines'!$C:$C,IF(Settings!$B$2="","&lt;&gt;",Settings!$B$2),'JLR Machines'!$D:$D,IF(Settings!$B$3="","&lt;&gt;",Settings!$B$3)))</f>
        <v>0</v>
      </c>
      <c r="W136">
        <f>IF($P136&lt;&gt;1,0,SUMIFS('JLR Machines'!$M:$M,'JLR Machines'!$A:$A,$O136,'JLR Machines'!$C:$C,IF(Settings!$B$2="","&lt;&gt;",Settings!$B$2),'JLR Machines'!$D:$D,IF(Settings!$B$3="","&lt;&gt;",Settings!$B$3)))</f>
        <v>0</v>
      </c>
      <c r="X136">
        <f>IF($P136&lt;&gt;1,0,SUMIFS('JLR Machines'!$N:$N,'JLR Machines'!$A:$A,$O136,'JLR Machines'!$C:$C,IF(Settings!$B$2="","&lt;&gt;",Settings!$B$2),'JLR Machines'!$D:$D,IF(Settings!$B$3="","&lt;&gt;",Settings!$B$3)))</f>
        <v>0</v>
      </c>
      <c r="Y136">
        <f>$Q136+$R136+$S136+$T136+$U136+$V136+$W136</f>
        <v>0</v>
      </c>
      <c r="Z136">
        <f>IF($X136&lt;=0,0,ROUND((D136+E136+F136+G136+H136+I136)/3200-$X136,4))</f>
        <v>0</v>
      </c>
    </row>
    <row r="137">
      <c r="A137" t="str">
        <v>waterjet-flow-mach500</v>
      </c>
      <c r="B137" t="str">
        <v>Flow Mach 500 Waterjet (60K psi)</v>
      </c>
      <c r="C137" t="str">
        <v>UK</v>
      </c>
      <c r="D137">
        <f>IF($X137&gt;0,IF($Y137&gt;0,MAX(0,$Q137+$X137-$Y137)*3000,$X137*3000),45000)</f>
        <v>45000</v>
      </c>
      <c r="E137">
        <f>IF($X137&gt;0,IF($Y137&gt;0,$S137*3000,0),32000)</f>
        <v>32000</v>
      </c>
      <c r="F137">
        <f>IF($X137&gt;0,IF($Y137&gt;0,$V137*3000,0),28000)</f>
        <v>28000</v>
      </c>
      <c r="G137">
        <f>IF($X137&gt;0,IF($Y137&gt;0,$R137*3000,0),16000)</f>
        <v>16000</v>
      </c>
      <c r="H137">
        <f>IF($X137&gt;0,IF($Y137&gt;0,($T137+$W137)*3000,0),20000)</f>
        <v>20000</v>
      </c>
      <c r="I137">
        <f>IF($X137&gt;0,IF($Y137&gt;0,$U137*3000,0),9000)</f>
        <v>9000</v>
      </c>
      <c r="J137">
        <v>4000</v>
      </c>
      <c r="K137">
        <v>0.75</v>
      </c>
      <c r="L137" t="str">
        <f>IF($X137&gt;0,IF($P137&lt;&gt;1,"2026-06-14",IFERROR(INDEX('JLR Machines'!$D:$D,MATCH($O137,'JLR Machines'!$A:$A,0)),"2026-06-14")),"2026-06-14")</f>
        <v>2026-06-14</v>
      </c>
      <c r="M137" t="str">
        <f>IF($X137&gt;0,IF($Y137&gt;0,"JLR machine "&amp;$O137&amp;" at "&amp;TEXT($X137,"0.00")&amp;" per hr — build-up as supplied","JLR machine "&amp;$O137&amp;" at "&amp;TEXT($X137,"0.00")&amp;" per hr — build-up not supplied"),"UK fab shop benchmark Jun 2026. Flow Mach 500, 4000×2000 bed, 60,000 psi. Cuts steel, Al, SS, titanium, glass, ceramic. No HAZ — ideal for hardened/heat-sensitive materials.")</f>
        <v>UK fab shop benchmark Jun 2026. Flow Mach 500, 4000×2000 bed, 60,000 psi. Cuts steel, Al, SS, titanium, glass, ceramic. No HAZ — ideal for hardened/heat-sensitive materials.</v>
      </c>
      <c r="N137" t="str">
        <v>Medium</v>
      </c>
      <c r="O137" t="str">
        <f>IFERROR(INDEX(Mapping!$C:$C,MATCH($A137,Mapping!$A:$A,0)),"")</f>
        <v/>
      </c>
      <c r="P137">
        <f>IF($O137="",0,COUNTIFS('JLR Machines'!$A:$A,$O137,'JLR Machines'!$C:$C,IF(Settings!$B$2="","&lt;&gt;",Settings!$B$2),'JLR Machines'!$D:$D,IF(Settings!$B$3="","&lt;&gt;",Settings!$B$3)))</f>
        <v>0</v>
      </c>
      <c r="Q137">
        <f>IF($P137&lt;&gt;1,0,SUMIFS('JLR Machines'!$G:$G,'JLR Machines'!$A:$A,$O137,'JLR Machines'!$C:$C,IF(Settings!$B$2="","&lt;&gt;",Settings!$B$2),'JLR Machines'!$D:$D,IF(Settings!$B$3="","&lt;&gt;",Settings!$B$3)))</f>
        <v>0</v>
      </c>
      <c r="R137">
        <f>IF($P137&lt;&gt;1,0,SUMIFS('JLR Machines'!$H:$H,'JLR Machines'!$A:$A,$O137,'JLR Machines'!$C:$C,IF(Settings!$B$2="","&lt;&gt;",Settings!$B$2),'JLR Machines'!$D:$D,IF(Settings!$B$3="","&lt;&gt;",Settings!$B$3)))</f>
        <v>0</v>
      </c>
      <c r="S137">
        <f>IF($P137&lt;&gt;1,0,SUMIFS('JLR Machines'!$I:$I,'JLR Machines'!$A:$A,$O137,'JLR Machines'!$C:$C,IF(Settings!$B$2="","&lt;&gt;",Settings!$B$2),'JLR Machines'!$D:$D,IF(Settings!$B$3="","&lt;&gt;",Settings!$B$3)))</f>
        <v>0</v>
      </c>
      <c r="T137">
        <f>IF($P137&lt;&gt;1,0,SUMIFS('JLR Machines'!$J:$J,'JLR Machines'!$A:$A,$O137,'JLR Machines'!$C:$C,IF(Settings!$B$2="","&lt;&gt;",Settings!$B$2),'JLR Machines'!$D:$D,IF(Settings!$B$3="","&lt;&gt;",Settings!$B$3)))</f>
        <v>0</v>
      </c>
      <c r="U137">
        <f>IF($P137&lt;&gt;1,0,SUMIFS('JLR Machines'!$K:$K,'JLR Machines'!$A:$A,$O137,'JLR Machines'!$C:$C,IF(Settings!$B$2="","&lt;&gt;",Settings!$B$2),'JLR Machines'!$D:$D,IF(Settings!$B$3="","&lt;&gt;",Settings!$B$3)))</f>
        <v>0</v>
      </c>
      <c r="V137">
        <f>IF($P137&lt;&gt;1,0,SUMIFS('JLR Machines'!$L:$L,'JLR Machines'!$A:$A,$O137,'JLR Machines'!$C:$C,IF(Settings!$B$2="","&lt;&gt;",Settings!$B$2),'JLR Machines'!$D:$D,IF(Settings!$B$3="","&lt;&gt;",Settings!$B$3)))</f>
        <v>0</v>
      </c>
      <c r="W137">
        <f>IF($P137&lt;&gt;1,0,SUMIFS('JLR Machines'!$M:$M,'JLR Machines'!$A:$A,$O137,'JLR Machines'!$C:$C,IF(Settings!$B$2="","&lt;&gt;",Settings!$B$2),'JLR Machines'!$D:$D,IF(Settings!$B$3="","&lt;&gt;",Settings!$B$3)))</f>
        <v>0</v>
      </c>
      <c r="X137">
        <f>IF($P137&lt;&gt;1,0,SUMIFS('JLR Machines'!$N:$N,'JLR Machines'!$A:$A,$O137,'JLR Machines'!$C:$C,IF(Settings!$B$2="","&lt;&gt;",Settings!$B$2),'JLR Machines'!$D:$D,IF(Settings!$B$3="","&lt;&gt;",Settings!$B$3)))</f>
        <v>0</v>
      </c>
      <c r="Y137">
        <f>$Q137+$R137+$S137+$T137+$U137+$V137+$W137</f>
        <v>0</v>
      </c>
      <c r="Z137">
        <f>IF($X137&lt;=0,0,ROUND((D137+E137+F137+G137+H137+I137)/3000-$X137,4))</f>
        <v>0</v>
      </c>
    </row>
    <row r="138">
      <c r="A138" t="str">
        <v>waterjet-omax-80x</v>
      </c>
      <c r="B138" t="str">
        <v>Omax 80X Waterjet (60K psi)</v>
      </c>
      <c r="C138" t="str">
        <v>UK</v>
      </c>
      <c r="D138">
        <f>IF($X138&gt;0,IF($Y138&gt;0,MAX(0,$Q138+$X138-$Y138)*3000,$X138*3000),38000)</f>
        <v>38000</v>
      </c>
      <c r="E138">
        <f>IF($X138&gt;0,IF($Y138&gt;0,$S138*3000,0),28000)</f>
        <v>28000</v>
      </c>
      <c r="F138">
        <f>IF($X138&gt;0,IF($Y138&gt;0,$V138*3000,0),24000)</f>
        <v>24000</v>
      </c>
      <c r="G138">
        <f>IF($X138&gt;0,IF($Y138&gt;0,$R138*3000,0),14000)</f>
        <v>14000</v>
      </c>
      <c r="H138">
        <f>IF($X138&gt;0,IF($Y138&gt;0,($T138+$W138)*3000,0),18000)</f>
        <v>18000</v>
      </c>
      <c r="I138">
        <f>IF($X138&gt;0,IF($Y138&gt;0,$U138*3000,0),7500)</f>
        <v>7500</v>
      </c>
      <c r="J138">
        <v>4000</v>
      </c>
      <c r="K138">
        <v>0.75</v>
      </c>
      <c r="L138" t="str">
        <f>IF($X138&gt;0,IF($P138&lt;&gt;1,"2026-06-14",IFERROR(INDEX('JLR Machines'!$D:$D,MATCH($O138,'JLR Machines'!$A:$A,0)),"2026-06-14")),"2026-06-14")</f>
        <v>2026-06-14</v>
      </c>
      <c r="M138" t="str">
        <f>IF($X138&gt;0,IF($Y138&gt;0,"JLR machine "&amp;$O138&amp;" at "&amp;TEXT($X138,"0.00")&amp;" per hr — build-up as supplied","JLR machine "&amp;$O138&amp;" at "&amp;TEXT($X138,"0.00")&amp;" per hr — build-up not supplied"),"UK fab shop benchmark Jun 2026. Omax 80X, 2286×2286 bed, 60,000 psi. Versatile shop waterjet — metal, glass, stone, composites. Intelli-MAX software with optimised path generation.")</f>
        <v>UK fab shop benchmark Jun 2026. Omax 80X, 2286×2286 bed, 60,000 psi. Versatile shop waterjet — metal, glass, stone, composites. Intelli-MAX software with optimised path generation.</v>
      </c>
      <c r="N138" t="str">
        <v>Medium</v>
      </c>
      <c r="O138" t="str">
        <f>IFERROR(INDEX(Mapping!$C:$C,MATCH($A138,Mapping!$A:$A,0)),"")</f>
        <v/>
      </c>
      <c r="P138">
        <f>IF($O138="",0,COUNTIFS('JLR Machines'!$A:$A,$O138,'JLR Machines'!$C:$C,IF(Settings!$B$2="","&lt;&gt;",Settings!$B$2),'JLR Machines'!$D:$D,IF(Settings!$B$3="","&lt;&gt;",Settings!$B$3)))</f>
        <v>0</v>
      </c>
      <c r="Q138">
        <f>IF($P138&lt;&gt;1,0,SUMIFS('JLR Machines'!$G:$G,'JLR Machines'!$A:$A,$O138,'JLR Machines'!$C:$C,IF(Settings!$B$2="","&lt;&gt;",Settings!$B$2),'JLR Machines'!$D:$D,IF(Settings!$B$3="","&lt;&gt;",Settings!$B$3)))</f>
        <v>0</v>
      </c>
      <c r="R138">
        <f>IF($P138&lt;&gt;1,0,SUMIFS('JLR Machines'!$H:$H,'JLR Machines'!$A:$A,$O138,'JLR Machines'!$C:$C,IF(Settings!$B$2="","&lt;&gt;",Settings!$B$2),'JLR Machines'!$D:$D,IF(Settings!$B$3="","&lt;&gt;",Settings!$B$3)))</f>
        <v>0</v>
      </c>
      <c r="S138">
        <f>IF($P138&lt;&gt;1,0,SUMIFS('JLR Machines'!$I:$I,'JLR Machines'!$A:$A,$O138,'JLR Machines'!$C:$C,IF(Settings!$B$2="","&lt;&gt;",Settings!$B$2),'JLR Machines'!$D:$D,IF(Settings!$B$3="","&lt;&gt;",Settings!$B$3)))</f>
        <v>0</v>
      </c>
      <c r="T138">
        <f>IF($P138&lt;&gt;1,0,SUMIFS('JLR Machines'!$J:$J,'JLR Machines'!$A:$A,$O138,'JLR Machines'!$C:$C,IF(Settings!$B$2="","&lt;&gt;",Settings!$B$2),'JLR Machines'!$D:$D,IF(Settings!$B$3="","&lt;&gt;",Settings!$B$3)))</f>
        <v>0</v>
      </c>
      <c r="U138">
        <f>IF($P138&lt;&gt;1,0,SUMIFS('JLR Machines'!$K:$K,'JLR Machines'!$A:$A,$O138,'JLR Machines'!$C:$C,IF(Settings!$B$2="","&lt;&gt;",Settings!$B$2),'JLR Machines'!$D:$D,IF(Settings!$B$3="","&lt;&gt;",Settings!$B$3)))</f>
        <v>0</v>
      </c>
      <c r="V138">
        <f>IF($P138&lt;&gt;1,0,SUMIFS('JLR Machines'!$L:$L,'JLR Machines'!$A:$A,$O138,'JLR Machines'!$C:$C,IF(Settings!$B$2="","&lt;&gt;",Settings!$B$2),'JLR Machines'!$D:$D,IF(Settings!$B$3="","&lt;&gt;",Settings!$B$3)))</f>
        <v>0</v>
      </c>
      <c r="W138">
        <f>IF($P138&lt;&gt;1,0,SUMIFS('JLR Machines'!$M:$M,'JLR Machines'!$A:$A,$O138,'JLR Machines'!$C:$C,IF(Settings!$B$2="","&lt;&gt;",Settings!$B$2),'JLR Machines'!$D:$D,IF(Settings!$B$3="","&lt;&gt;",Settings!$B$3)))</f>
        <v>0</v>
      </c>
      <c r="X138">
        <f>IF($P138&lt;&gt;1,0,SUMIFS('JLR Machines'!$N:$N,'JLR Machines'!$A:$A,$O138,'JLR Machines'!$C:$C,IF(Settings!$B$2="","&lt;&gt;",Settings!$B$2),'JLR Machines'!$D:$D,IF(Settings!$B$3="","&lt;&gt;",Settings!$B$3)))</f>
        <v>0</v>
      </c>
      <c r="Y138">
        <f>$Q138+$R138+$S138+$T138+$U138+$V138+$W138</f>
        <v>0</v>
      </c>
      <c r="Z138">
        <f>IF($X138&lt;=0,0,ROUND((D138+E138+F138+G138+H138+I138)/3000-$X138,4))</f>
        <v>0</v>
      </c>
    </row>
    <row r="139">
      <c r="A139" t="str">
        <v>shear-hydraulic-3m</v>
      </c>
      <c r="B139" t="str">
        <v>Hydraulic Guillotine Shear (3m × 6mm)</v>
      </c>
      <c r="C139" t="str">
        <v>UK</v>
      </c>
      <c r="D139">
        <f>IF($X139&gt;0,IF($Y139&gt;0,MAX(0,$Q139+$X139-$Y139)*2800,$X139*2800),14000)</f>
        <v>14000</v>
      </c>
      <c r="E139">
        <f>IF($X139&gt;0,IF($Y139&gt;0,$S139*2800,0),8000)</f>
        <v>8000</v>
      </c>
      <c r="F139">
        <f>IF($X139&gt;0,IF($Y139&gt;0,$V139*2800,0),5000)</f>
        <v>5000</v>
      </c>
      <c r="G139">
        <f>IF($X139&gt;0,IF($Y139&gt;0,$R139*2800,0),6000)</f>
        <v>6000</v>
      </c>
      <c r="H139">
        <f>IF($X139&gt;0,IF($Y139&gt;0,($T139+$W139)*2800,0),5000)</f>
        <v>5000</v>
      </c>
      <c r="I139">
        <f>IF($X139&gt;0,IF($Y139&gt;0,$U139*2800,0),2500)</f>
        <v>2500</v>
      </c>
      <c r="J139">
        <v>3500</v>
      </c>
      <c r="K139">
        <v>0.8</v>
      </c>
      <c r="L139" t="str">
        <f>IF($X139&gt;0,IF($P139&lt;&gt;1,"2026-06-14",IFERROR(INDEX('JLR Machines'!$D:$D,MATCH($O139,'JLR Machines'!$A:$A,0)),"2026-06-14")),"2026-06-14")</f>
        <v>2026-06-14</v>
      </c>
      <c r="M139" t="str">
        <f>IF($X139&gt;0,IF($Y139&gt;0,"JLR machine "&amp;$O139&amp;" at "&amp;TEXT($X139,"0.00")&amp;" per hr — build-up as supplied","JLR machine "&amp;$O139&amp;" at "&amp;TEXT($X139,"0.00")&amp;" per hr — build-up not supplied"),"UK fab shop benchmark Jun 2026. Hydraulic guillotine shear, 3000mm × 6mm mild steel capacity. Straight-line blanking. Very low cycle cost — ideal for simple rectangular blanks.")</f>
        <v>UK fab shop benchmark Jun 2026. Hydraulic guillotine shear, 3000mm × 6mm mild steel capacity. Straight-line blanking. Very low cycle cost — ideal for simple rectangular blanks.</v>
      </c>
      <c r="N139" t="str">
        <v>Medium</v>
      </c>
      <c r="O139" t="str">
        <f>IFERROR(INDEX(Mapping!$C:$C,MATCH($A139,Mapping!$A:$A,0)),"")</f>
        <v/>
      </c>
      <c r="P139">
        <f>IF($O139="",0,COUNTIFS('JLR Machines'!$A:$A,$O139,'JLR Machines'!$C:$C,IF(Settings!$B$2="","&lt;&gt;",Settings!$B$2),'JLR Machines'!$D:$D,IF(Settings!$B$3="","&lt;&gt;",Settings!$B$3)))</f>
        <v>0</v>
      </c>
      <c r="Q139">
        <f>IF($P139&lt;&gt;1,0,SUMIFS('JLR Machines'!$G:$G,'JLR Machines'!$A:$A,$O139,'JLR Machines'!$C:$C,IF(Settings!$B$2="","&lt;&gt;",Settings!$B$2),'JLR Machines'!$D:$D,IF(Settings!$B$3="","&lt;&gt;",Settings!$B$3)))</f>
        <v>0</v>
      </c>
      <c r="R139">
        <f>IF($P139&lt;&gt;1,0,SUMIFS('JLR Machines'!$H:$H,'JLR Machines'!$A:$A,$O139,'JLR Machines'!$C:$C,IF(Settings!$B$2="","&lt;&gt;",Settings!$B$2),'JLR Machines'!$D:$D,IF(Settings!$B$3="","&lt;&gt;",Settings!$B$3)))</f>
        <v>0</v>
      </c>
      <c r="S139">
        <f>IF($P139&lt;&gt;1,0,SUMIFS('JLR Machines'!$I:$I,'JLR Machines'!$A:$A,$O139,'JLR Machines'!$C:$C,IF(Settings!$B$2="","&lt;&gt;",Settings!$B$2),'JLR Machines'!$D:$D,IF(Settings!$B$3="","&lt;&gt;",Settings!$B$3)))</f>
        <v>0</v>
      </c>
      <c r="T139">
        <f>IF($P139&lt;&gt;1,0,SUMIFS('JLR Machines'!$J:$J,'JLR Machines'!$A:$A,$O139,'JLR Machines'!$C:$C,IF(Settings!$B$2="","&lt;&gt;",Settings!$B$2),'JLR Machines'!$D:$D,IF(Settings!$B$3="","&lt;&gt;",Settings!$B$3)))</f>
        <v>0</v>
      </c>
      <c r="U139">
        <f>IF($P139&lt;&gt;1,0,SUMIFS('JLR Machines'!$K:$K,'JLR Machines'!$A:$A,$O139,'JLR Machines'!$C:$C,IF(Settings!$B$2="","&lt;&gt;",Settings!$B$2),'JLR Machines'!$D:$D,IF(Settings!$B$3="","&lt;&gt;",Settings!$B$3)))</f>
        <v>0</v>
      </c>
      <c r="V139">
        <f>IF($P139&lt;&gt;1,0,SUMIFS('JLR Machines'!$L:$L,'JLR Machines'!$A:$A,$O139,'JLR Machines'!$C:$C,IF(Settings!$B$2="","&lt;&gt;",Settings!$B$2),'JLR Machines'!$D:$D,IF(Settings!$B$3="","&lt;&gt;",Settings!$B$3)))</f>
        <v>0</v>
      </c>
      <c r="W139">
        <f>IF($P139&lt;&gt;1,0,SUMIFS('JLR Machines'!$M:$M,'JLR Machines'!$A:$A,$O139,'JLR Machines'!$C:$C,IF(Settings!$B$2="","&lt;&gt;",Settings!$B$2),'JLR Machines'!$D:$D,IF(Settings!$B$3="","&lt;&gt;",Settings!$B$3)))</f>
        <v>0</v>
      </c>
      <c r="X139">
        <f>IF($P139&lt;&gt;1,0,SUMIFS('JLR Machines'!$N:$N,'JLR Machines'!$A:$A,$O139,'JLR Machines'!$C:$C,IF(Settings!$B$2="","&lt;&gt;",Settings!$B$2),'JLR Machines'!$D:$D,IF(Settings!$B$3="","&lt;&gt;",Settings!$B$3)))</f>
        <v>0</v>
      </c>
      <c r="Y139">
        <f>$Q139+$R139+$S139+$T139+$U139+$V139+$W139</f>
        <v>0</v>
      </c>
      <c r="Z139">
        <f>IF($X139&lt;=0,0,ROUND((D139+E139+F139+G139+H139+I139)/2800-$X139,4))</f>
        <v>0</v>
      </c>
    </row>
    <row r="140">
      <c r="A140" t="str">
        <v>shear-guillotine-6mm</v>
      </c>
      <c r="B140" t="str">
        <v>Hydraulic Shear Heavy Duty (4m × 6mm)</v>
      </c>
      <c r="C140" t="str">
        <v>UK</v>
      </c>
      <c r="D140">
        <f>IF($X140&gt;0,IF($Y140&gt;0,MAX(0,$Q140+$X140-$Y140)*2800,$X140*2800),20000)</f>
        <v>20000</v>
      </c>
      <c r="E140">
        <f>IF($X140&gt;0,IF($Y140&gt;0,$S140*2800,0),10000)</f>
        <v>10000</v>
      </c>
      <c r="F140">
        <f>IF($X140&gt;0,IF($Y140&gt;0,$V140*2800,0),7000)</f>
        <v>7000</v>
      </c>
      <c r="G140">
        <f>IF($X140&gt;0,IF($Y140&gt;0,$R140*2800,0),8000)</f>
        <v>8000</v>
      </c>
      <c r="H140">
        <f>IF($X140&gt;0,IF($Y140&gt;0,($T140+$W140)*2800,0),7000)</f>
        <v>7000</v>
      </c>
      <c r="I140">
        <f>IF($X140&gt;0,IF($Y140&gt;0,$U140*2800,0),3500)</f>
        <v>3500</v>
      </c>
      <c r="J140">
        <v>3500</v>
      </c>
      <c r="K140">
        <v>0.8</v>
      </c>
      <c r="L140" t="str">
        <f>IF($X140&gt;0,IF($P140&lt;&gt;1,"2026-06-14",IFERROR(INDEX('JLR Machines'!$D:$D,MATCH($O140,'JLR Machines'!$A:$A,0)),"2026-06-14")),"2026-06-14")</f>
        <v>2026-06-14</v>
      </c>
      <c r="M140" t="str">
        <f>IF($X140&gt;0,IF($Y140&gt;0,"JLR machine "&amp;$O140&amp;" at "&amp;TEXT($X140,"0.00")&amp;" per hr — build-up as supplied","JLR machine "&amp;$O140&amp;" at "&amp;TEXT($X140,"0.00")&amp;" per hr — build-up not supplied"),"UK fab shop benchmark Jun 2026. Heavy-duty hydraulic shear, 4000mm × 6mm (12mm MS). For heavy plate blanking and structural steel service centres.")</f>
        <v>UK fab shop benchmark Jun 2026. Heavy-duty hydraulic shear, 4000mm × 6mm (12mm MS). For heavy plate blanking and structural steel service centres.</v>
      </c>
      <c r="N140" t="str">
        <v>Medium</v>
      </c>
      <c r="O140" t="str">
        <f>IFERROR(INDEX(Mapping!$C:$C,MATCH($A140,Mapping!$A:$A,0)),"")</f>
        <v/>
      </c>
      <c r="P140">
        <f>IF($O140="",0,COUNTIFS('JLR Machines'!$A:$A,$O140,'JLR Machines'!$C:$C,IF(Settings!$B$2="","&lt;&gt;",Settings!$B$2),'JLR Machines'!$D:$D,IF(Settings!$B$3="","&lt;&gt;",Settings!$B$3)))</f>
        <v>0</v>
      </c>
      <c r="Q140">
        <f>IF($P140&lt;&gt;1,0,SUMIFS('JLR Machines'!$G:$G,'JLR Machines'!$A:$A,$O140,'JLR Machines'!$C:$C,IF(Settings!$B$2="","&lt;&gt;",Settings!$B$2),'JLR Machines'!$D:$D,IF(Settings!$B$3="","&lt;&gt;",Settings!$B$3)))</f>
        <v>0</v>
      </c>
      <c r="R140">
        <f>IF($P140&lt;&gt;1,0,SUMIFS('JLR Machines'!$H:$H,'JLR Machines'!$A:$A,$O140,'JLR Machines'!$C:$C,IF(Settings!$B$2="","&lt;&gt;",Settings!$B$2),'JLR Machines'!$D:$D,IF(Settings!$B$3="","&lt;&gt;",Settings!$B$3)))</f>
        <v>0</v>
      </c>
      <c r="S140">
        <f>IF($P140&lt;&gt;1,0,SUMIFS('JLR Machines'!$I:$I,'JLR Machines'!$A:$A,$O140,'JLR Machines'!$C:$C,IF(Settings!$B$2="","&lt;&gt;",Settings!$B$2),'JLR Machines'!$D:$D,IF(Settings!$B$3="","&lt;&gt;",Settings!$B$3)))</f>
        <v>0</v>
      </c>
      <c r="T140">
        <f>IF($P140&lt;&gt;1,0,SUMIFS('JLR Machines'!$J:$J,'JLR Machines'!$A:$A,$O140,'JLR Machines'!$C:$C,IF(Settings!$B$2="","&lt;&gt;",Settings!$B$2),'JLR Machines'!$D:$D,IF(Settings!$B$3="","&lt;&gt;",Settings!$B$3)))</f>
        <v>0</v>
      </c>
      <c r="U140">
        <f>IF($P140&lt;&gt;1,0,SUMIFS('JLR Machines'!$K:$K,'JLR Machines'!$A:$A,$O140,'JLR Machines'!$C:$C,IF(Settings!$B$2="","&lt;&gt;",Settings!$B$2),'JLR Machines'!$D:$D,IF(Settings!$B$3="","&lt;&gt;",Settings!$B$3)))</f>
        <v>0</v>
      </c>
      <c r="V140">
        <f>IF($P140&lt;&gt;1,0,SUMIFS('JLR Machines'!$L:$L,'JLR Machines'!$A:$A,$O140,'JLR Machines'!$C:$C,IF(Settings!$B$2="","&lt;&gt;",Settings!$B$2),'JLR Machines'!$D:$D,IF(Settings!$B$3="","&lt;&gt;",Settings!$B$3)))</f>
        <v>0</v>
      </c>
      <c r="W140">
        <f>IF($P140&lt;&gt;1,0,SUMIFS('JLR Machines'!$M:$M,'JLR Machines'!$A:$A,$O140,'JLR Machines'!$C:$C,IF(Settings!$B$2="","&lt;&gt;",Settings!$B$2),'JLR Machines'!$D:$D,IF(Settings!$B$3="","&lt;&gt;",Settings!$B$3)))</f>
        <v>0</v>
      </c>
      <c r="X140">
        <f>IF($P140&lt;&gt;1,0,SUMIFS('JLR Machines'!$N:$N,'JLR Machines'!$A:$A,$O140,'JLR Machines'!$C:$C,IF(Settings!$B$2="","&lt;&gt;",Settings!$B$2),'JLR Machines'!$D:$D,IF(Settings!$B$3="","&lt;&gt;",Settings!$B$3)))</f>
        <v>0</v>
      </c>
      <c r="Y140">
        <f>$Q140+$R140+$S140+$T140+$U140+$V140+$W140</f>
        <v>0</v>
      </c>
      <c r="Z140">
        <f>IF($X140&lt;=0,0,ROUND((D140+E140+F140+G140+H140+I140)/2800-$X140,4))</f>
        <v>0</v>
      </c>
    </row>
    <row r="141">
      <c r="A141" t="str">
        <v>brake-amada-hfe170</v>
      </c>
      <c r="B141" t="str">
        <v>Amada HFE3i 170T Press Brake (4m)</v>
      </c>
      <c r="C141" t="str">
        <v>UK</v>
      </c>
      <c r="D141">
        <f>IF($X141&gt;0,IF($Y141&gt;0,MAX(0,$Q141+$X141-$Y141)*2625,$X141*2625),60000)</f>
        <v>60000</v>
      </c>
      <c r="E141">
        <f>IF($X141&gt;0,IF($Y141&gt;0,$S141*2625,0),46000)</f>
        <v>46000</v>
      </c>
      <c r="F141">
        <f>IF($X141&gt;0,IF($Y141&gt;0,$V141*2625,0),18000)</f>
        <v>18000</v>
      </c>
      <c r="G141">
        <f>IF($X141&gt;0,IF($Y141&gt;0,$R141*2625,0),11000)</f>
        <v>11000</v>
      </c>
      <c r="H141">
        <f>IF($X141&gt;0,IF($Y141&gt;0,($T141+$W141)*2625,0),28000)</f>
        <v>28000</v>
      </c>
      <c r="I141">
        <f>IF($X141&gt;0,IF($Y141&gt;0,$U141*2625,0),17000)</f>
        <v>17000</v>
      </c>
      <c r="J141">
        <v>3500</v>
      </c>
      <c r="K141">
        <v>0.75</v>
      </c>
      <c r="L141" t="str">
        <f>IF($X141&gt;0,IF($P141&lt;&gt;1,"2026-06-14",IFERROR(INDEX('JLR Machines'!$D:$D,MATCH($O141,'JLR Machines'!$A:$A,0)),"2026-06-14")),"2026-06-14")</f>
        <v>2026-06-14</v>
      </c>
      <c r="M141" t="str">
        <f>IF($X141&gt;0,IF($Y141&gt;0,"JLR machine "&amp;$O141&amp;" at "&amp;TEXT($X141,"0.00")&amp;" per hr — build-up as supplied","JLR machine "&amp;$O141&amp;" at "&amp;TEXT($X141,"0.00")&amp;" per hr — build-up not supplied"),"UK fab shop benchmark Jun 2026. Amada HFE3i 170T, 4000mm. Larger brake for heavier plate forming and longer parts. ATC (Auto Tool Changer) option available.")</f>
        <v>UK fab shop benchmark Jun 2026. Amada HFE3i 170T, 4000mm. Larger brake for heavier plate forming and longer parts. ATC (Auto Tool Changer) option available.</v>
      </c>
      <c r="N141" t="str">
        <v>Medium</v>
      </c>
      <c r="O141" t="str">
        <f>IFERROR(INDEX(Mapping!$C:$C,MATCH($A141,Mapping!$A:$A,0)),"")</f>
        <v/>
      </c>
      <c r="P141">
        <f>IF($O141="",0,COUNTIFS('JLR Machines'!$A:$A,$O141,'JLR Machines'!$C:$C,IF(Settings!$B$2="","&lt;&gt;",Settings!$B$2),'JLR Machines'!$D:$D,IF(Settings!$B$3="","&lt;&gt;",Settings!$B$3)))</f>
        <v>0</v>
      </c>
      <c r="Q141">
        <f>IF($P141&lt;&gt;1,0,SUMIFS('JLR Machines'!$G:$G,'JLR Machines'!$A:$A,$O141,'JLR Machines'!$C:$C,IF(Settings!$B$2="","&lt;&gt;",Settings!$B$2),'JLR Machines'!$D:$D,IF(Settings!$B$3="","&lt;&gt;",Settings!$B$3)))</f>
        <v>0</v>
      </c>
      <c r="R141">
        <f>IF($P141&lt;&gt;1,0,SUMIFS('JLR Machines'!$H:$H,'JLR Machines'!$A:$A,$O141,'JLR Machines'!$C:$C,IF(Settings!$B$2="","&lt;&gt;",Settings!$B$2),'JLR Machines'!$D:$D,IF(Settings!$B$3="","&lt;&gt;",Settings!$B$3)))</f>
        <v>0</v>
      </c>
      <c r="S141">
        <f>IF($P141&lt;&gt;1,0,SUMIFS('JLR Machines'!$I:$I,'JLR Machines'!$A:$A,$O141,'JLR Machines'!$C:$C,IF(Settings!$B$2="","&lt;&gt;",Settings!$B$2),'JLR Machines'!$D:$D,IF(Settings!$B$3="","&lt;&gt;",Settings!$B$3)))</f>
        <v>0</v>
      </c>
      <c r="T141">
        <f>IF($P141&lt;&gt;1,0,SUMIFS('JLR Machines'!$J:$J,'JLR Machines'!$A:$A,$O141,'JLR Machines'!$C:$C,IF(Settings!$B$2="","&lt;&gt;",Settings!$B$2),'JLR Machines'!$D:$D,IF(Settings!$B$3="","&lt;&gt;",Settings!$B$3)))</f>
        <v>0</v>
      </c>
      <c r="U141">
        <f>IF($P141&lt;&gt;1,0,SUMIFS('JLR Machines'!$K:$K,'JLR Machines'!$A:$A,$O141,'JLR Machines'!$C:$C,IF(Settings!$B$2="","&lt;&gt;",Settings!$B$2),'JLR Machines'!$D:$D,IF(Settings!$B$3="","&lt;&gt;",Settings!$B$3)))</f>
        <v>0</v>
      </c>
      <c r="V141">
        <f>IF($P141&lt;&gt;1,0,SUMIFS('JLR Machines'!$L:$L,'JLR Machines'!$A:$A,$O141,'JLR Machines'!$C:$C,IF(Settings!$B$2="","&lt;&gt;",Settings!$B$2),'JLR Machines'!$D:$D,IF(Settings!$B$3="","&lt;&gt;",Settings!$B$3)))</f>
        <v>0</v>
      </c>
      <c r="W141">
        <f>IF($P141&lt;&gt;1,0,SUMIFS('JLR Machines'!$M:$M,'JLR Machines'!$A:$A,$O141,'JLR Machines'!$C:$C,IF(Settings!$B$2="","&lt;&gt;",Settings!$B$2),'JLR Machines'!$D:$D,IF(Settings!$B$3="","&lt;&gt;",Settings!$B$3)))</f>
        <v>0</v>
      </c>
      <c r="X141">
        <f>IF($P141&lt;&gt;1,0,SUMIFS('JLR Machines'!$N:$N,'JLR Machines'!$A:$A,$O141,'JLR Machines'!$C:$C,IF(Settings!$B$2="","&lt;&gt;",Settings!$B$2),'JLR Machines'!$D:$D,IF(Settings!$B$3="","&lt;&gt;",Settings!$B$3)))</f>
        <v>0</v>
      </c>
      <c r="Y141">
        <f>$Q141+$R141+$S141+$T141+$U141+$V141+$W141</f>
        <v>0</v>
      </c>
      <c r="Z141">
        <f>IF($X141&lt;=0,0,ROUND((D141+E141+F141+G141+H141+I141)/2625-$X141,4))</f>
        <v>0</v>
      </c>
    </row>
    <row r="142">
      <c r="A142" t="str">
        <v>brake-trumpf-trubend3100</v>
      </c>
      <c r="B142" t="str">
        <v>Trumpf TruBend 3100 (100T)</v>
      </c>
      <c r="C142" t="str">
        <v>UK</v>
      </c>
      <c r="D142">
        <f>IF($X142&gt;0,IF($Y142&gt;0,MAX(0,$Q142+$X142-$Y142)*2625,$X142*2625),45000)</f>
        <v>45000</v>
      </c>
      <c r="E142">
        <f>IF($X142&gt;0,IF($Y142&gt;0,$S142*2625,0),35000)</f>
        <v>35000</v>
      </c>
      <c r="F142">
        <f>IF($X142&gt;0,IF($Y142&gt;0,$V142*2625,0),13000)</f>
        <v>13000</v>
      </c>
      <c r="G142">
        <f>IF($X142&gt;0,IF($Y142&gt;0,$R142*2625,0),9000)</f>
        <v>9000</v>
      </c>
      <c r="H142">
        <f>IF($X142&gt;0,IF($Y142&gt;0,($T142+$W142)*2625,0),20000)</f>
        <v>20000</v>
      </c>
      <c r="I142">
        <f>IF($X142&gt;0,IF($Y142&gt;0,$U142*2625,0),13000)</f>
        <v>13000</v>
      </c>
      <c r="J142">
        <v>3500</v>
      </c>
      <c r="K142">
        <v>0.75</v>
      </c>
      <c r="L142" t="str">
        <f>IF($X142&gt;0,IF($P142&lt;&gt;1,"2026-06-14",IFERROR(INDEX('JLR Machines'!$D:$D,MATCH($O142,'JLR Machines'!$A:$A,0)),"2026-06-14")),"2026-06-14")</f>
        <v>2026-06-14</v>
      </c>
      <c r="M142" t="str">
        <f>IF($X142&gt;0,IF($Y142&gt;0,"JLR machine "&amp;$O142&amp;" at "&amp;TEXT($X142,"0.00")&amp;" per hr — build-up as supplied","JLR machine "&amp;$O142&amp;" at "&amp;TEXT($X142,"0.00")&amp;" per hr — build-up not supplied"),"UK fab shop benchmark Jun 2026. Trumpf TruBend 3100, 100T, 3000mm. CNC press brake with BendGuard safety and TASC adaptive bending for high angle accuracy.")</f>
        <v>UK fab shop benchmark Jun 2026. Trumpf TruBend 3100, 100T, 3000mm. CNC press brake with BendGuard safety and TASC adaptive bending for high angle accuracy.</v>
      </c>
      <c r="N142" t="str">
        <v>Medium</v>
      </c>
      <c r="O142" t="str">
        <f>IFERROR(INDEX(Mapping!$C:$C,MATCH($A142,Mapping!$A:$A,0)),"")</f>
        <v/>
      </c>
      <c r="P142">
        <f>IF($O142="",0,COUNTIFS('JLR Machines'!$A:$A,$O142,'JLR Machines'!$C:$C,IF(Settings!$B$2="","&lt;&gt;",Settings!$B$2),'JLR Machines'!$D:$D,IF(Settings!$B$3="","&lt;&gt;",Settings!$B$3)))</f>
        <v>0</v>
      </c>
      <c r="Q142">
        <f>IF($P142&lt;&gt;1,0,SUMIFS('JLR Machines'!$G:$G,'JLR Machines'!$A:$A,$O142,'JLR Machines'!$C:$C,IF(Settings!$B$2="","&lt;&gt;",Settings!$B$2),'JLR Machines'!$D:$D,IF(Settings!$B$3="","&lt;&gt;",Settings!$B$3)))</f>
        <v>0</v>
      </c>
      <c r="R142">
        <f>IF($P142&lt;&gt;1,0,SUMIFS('JLR Machines'!$H:$H,'JLR Machines'!$A:$A,$O142,'JLR Machines'!$C:$C,IF(Settings!$B$2="","&lt;&gt;",Settings!$B$2),'JLR Machines'!$D:$D,IF(Settings!$B$3="","&lt;&gt;",Settings!$B$3)))</f>
        <v>0</v>
      </c>
      <c r="S142">
        <f>IF($P142&lt;&gt;1,0,SUMIFS('JLR Machines'!$I:$I,'JLR Machines'!$A:$A,$O142,'JLR Machines'!$C:$C,IF(Settings!$B$2="","&lt;&gt;",Settings!$B$2),'JLR Machines'!$D:$D,IF(Settings!$B$3="","&lt;&gt;",Settings!$B$3)))</f>
        <v>0</v>
      </c>
      <c r="T142">
        <f>IF($P142&lt;&gt;1,0,SUMIFS('JLR Machines'!$J:$J,'JLR Machines'!$A:$A,$O142,'JLR Machines'!$C:$C,IF(Settings!$B$2="","&lt;&gt;",Settings!$B$2),'JLR Machines'!$D:$D,IF(Settings!$B$3="","&lt;&gt;",Settings!$B$3)))</f>
        <v>0</v>
      </c>
      <c r="U142">
        <f>IF($P142&lt;&gt;1,0,SUMIFS('JLR Machines'!$K:$K,'JLR Machines'!$A:$A,$O142,'JLR Machines'!$C:$C,IF(Settings!$B$2="","&lt;&gt;",Settings!$B$2),'JLR Machines'!$D:$D,IF(Settings!$B$3="","&lt;&gt;",Settings!$B$3)))</f>
        <v>0</v>
      </c>
      <c r="V142">
        <f>IF($P142&lt;&gt;1,0,SUMIFS('JLR Machines'!$L:$L,'JLR Machines'!$A:$A,$O142,'JLR Machines'!$C:$C,IF(Settings!$B$2="","&lt;&gt;",Settings!$B$2),'JLR Machines'!$D:$D,IF(Settings!$B$3="","&lt;&gt;",Settings!$B$3)))</f>
        <v>0</v>
      </c>
      <c r="W142">
        <f>IF($P142&lt;&gt;1,0,SUMIFS('JLR Machines'!$M:$M,'JLR Machines'!$A:$A,$O142,'JLR Machines'!$C:$C,IF(Settings!$B$2="","&lt;&gt;",Settings!$B$2),'JLR Machines'!$D:$D,IF(Settings!$B$3="","&lt;&gt;",Settings!$B$3)))</f>
        <v>0</v>
      </c>
      <c r="X142">
        <f>IF($P142&lt;&gt;1,0,SUMIFS('JLR Machines'!$N:$N,'JLR Machines'!$A:$A,$O142,'JLR Machines'!$C:$C,IF(Settings!$B$2="","&lt;&gt;",Settings!$B$2),'JLR Machines'!$D:$D,IF(Settings!$B$3="","&lt;&gt;",Settings!$B$3)))</f>
        <v>0</v>
      </c>
      <c r="Y142">
        <f>$Q142+$R142+$S142+$T142+$U142+$V142+$W142</f>
        <v>0</v>
      </c>
      <c r="Z142">
        <f>IF($X142&lt;=0,0,ROUND((D142+E142+F142+G142+H142+I142)/2625-$X142,4))</f>
        <v>0</v>
      </c>
    </row>
    <row r="143">
      <c r="A143" t="str">
        <v>brake-lvd-ppeb135</v>
      </c>
      <c r="B143" t="str">
        <v>LVD PPEB 135T/30 Press Brake</v>
      </c>
      <c r="C143" t="str">
        <v>UK</v>
      </c>
      <c r="D143">
        <f>IF($X143&gt;0,IF($Y143&gt;0,MAX(0,$Q143+$X143-$Y143)*2625,$X143*2625),52000)</f>
        <v>52000</v>
      </c>
      <c r="E143">
        <f>IF($X143&gt;0,IF($Y143&gt;0,$S143*2625,0),40000)</f>
        <v>40000</v>
      </c>
      <c r="F143">
        <f>IF($X143&gt;0,IF($Y143&gt;0,$V143*2625,0),15000)</f>
        <v>15000</v>
      </c>
      <c r="G143">
        <f>IF($X143&gt;0,IF($Y143&gt;0,$R143*2625,0),10000)</f>
        <v>10000</v>
      </c>
      <c r="H143">
        <f>IF($X143&gt;0,IF($Y143&gt;0,($T143+$W143)*2625,0),24000)</f>
        <v>24000</v>
      </c>
      <c r="I143">
        <f>IF($X143&gt;0,IF($Y143&gt;0,$U143*2625,0),15000)</f>
        <v>15000</v>
      </c>
      <c r="J143">
        <v>3500</v>
      </c>
      <c r="K143">
        <v>0.75</v>
      </c>
      <c r="L143" t="str">
        <f>IF($X143&gt;0,IF($P143&lt;&gt;1,"2026-06-14",IFERROR(INDEX('JLR Machines'!$D:$D,MATCH($O143,'JLR Machines'!$A:$A,0)),"2026-06-14")),"2026-06-14")</f>
        <v>2026-06-14</v>
      </c>
      <c r="M143" t="str">
        <f>IF($X143&gt;0,IF($Y143&gt;0,"JLR machine "&amp;$O143&amp;" at "&amp;TEXT($X143,"0.00")&amp;" per hr — build-up as supplied","JLR machine "&amp;$O143&amp;" at "&amp;TEXT($X143,"0.00")&amp;" per hr — build-up not supplied"),"UK fab shop benchmark Jun 2026. LVD PPEB 135T/30, 3000mm. Electro-hydraulic CNC brake with Touch-B offline programming and angle measurement system.")</f>
        <v>UK fab shop benchmark Jun 2026. LVD PPEB 135T/30, 3000mm. Electro-hydraulic CNC brake with Touch-B offline programming and angle measurement system.</v>
      </c>
      <c r="N143" t="str">
        <v>Medium</v>
      </c>
      <c r="O143" t="str">
        <f>IFERROR(INDEX(Mapping!$C:$C,MATCH($A143,Mapping!$A:$A,0)),"")</f>
        <v/>
      </c>
      <c r="P143">
        <f>IF($O143="",0,COUNTIFS('JLR Machines'!$A:$A,$O143,'JLR Machines'!$C:$C,IF(Settings!$B$2="","&lt;&gt;",Settings!$B$2),'JLR Machines'!$D:$D,IF(Settings!$B$3="","&lt;&gt;",Settings!$B$3)))</f>
        <v>0</v>
      </c>
      <c r="Q143">
        <f>IF($P143&lt;&gt;1,0,SUMIFS('JLR Machines'!$G:$G,'JLR Machines'!$A:$A,$O143,'JLR Machines'!$C:$C,IF(Settings!$B$2="","&lt;&gt;",Settings!$B$2),'JLR Machines'!$D:$D,IF(Settings!$B$3="","&lt;&gt;",Settings!$B$3)))</f>
        <v>0</v>
      </c>
      <c r="R143">
        <f>IF($P143&lt;&gt;1,0,SUMIFS('JLR Machines'!$H:$H,'JLR Machines'!$A:$A,$O143,'JLR Machines'!$C:$C,IF(Settings!$B$2="","&lt;&gt;",Settings!$B$2),'JLR Machines'!$D:$D,IF(Settings!$B$3="","&lt;&gt;",Settings!$B$3)))</f>
        <v>0</v>
      </c>
      <c r="S143">
        <f>IF($P143&lt;&gt;1,0,SUMIFS('JLR Machines'!$I:$I,'JLR Machines'!$A:$A,$O143,'JLR Machines'!$C:$C,IF(Settings!$B$2="","&lt;&gt;",Settings!$B$2),'JLR Machines'!$D:$D,IF(Settings!$B$3="","&lt;&gt;",Settings!$B$3)))</f>
        <v>0</v>
      </c>
      <c r="T143">
        <f>IF($P143&lt;&gt;1,0,SUMIFS('JLR Machines'!$J:$J,'JLR Machines'!$A:$A,$O143,'JLR Machines'!$C:$C,IF(Settings!$B$2="","&lt;&gt;",Settings!$B$2),'JLR Machines'!$D:$D,IF(Settings!$B$3="","&lt;&gt;",Settings!$B$3)))</f>
        <v>0</v>
      </c>
      <c r="U143">
        <f>IF($P143&lt;&gt;1,0,SUMIFS('JLR Machines'!$K:$K,'JLR Machines'!$A:$A,$O143,'JLR Machines'!$C:$C,IF(Settings!$B$2="","&lt;&gt;",Settings!$B$2),'JLR Machines'!$D:$D,IF(Settings!$B$3="","&lt;&gt;",Settings!$B$3)))</f>
        <v>0</v>
      </c>
      <c r="V143">
        <f>IF($P143&lt;&gt;1,0,SUMIFS('JLR Machines'!$L:$L,'JLR Machines'!$A:$A,$O143,'JLR Machines'!$C:$C,IF(Settings!$B$2="","&lt;&gt;",Settings!$B$2),'JLR Machines'!$D:$D,IF(Settings!$B$3="","&lt;&gt;",Settings!$B$3)))</f>
        <v>0</v>
      </c>
      <c r="W143">
        <f>IF($P143&lt;&gt;1,0,SUMIFS('JLR Machines'!$M:$M,'JLR Machines'!$A:$A,$O143,'JLR Machines'!$C:$C,IF(Settings!$B$2="","&lt;&gt;",Settings!$B$2),'JLR Machines'!$D:$D,IF(Settings!$B$3="","&lt;&gt;",Settings!$B$3)))</f>
        <v>0</v>
      </c>
      <c r="X143">
        <f>IF($P143&lt;&gt;1,0,SUMIFS('JLR Machines'!$N:$N,'JLR Machines'!$A:$A,$O143,'JLR Machines'!$C:$C,IF(Settings!$B$2="","&lt;&gt;",Settings!$B$2),'JLR Machines'!$D:$D,IF(Settings!$B$3="","&lt;&gt;",Settings!$B$3)))</f>
        <v>0</v>
      </c>
      <c r="Y143">
        <f>$Q143+$R143+$S143+$T143+$U143+$V143+$W143</f>
        <v>0</v>
      </c>
      <c r="Z143">
        <f>IF($X143&lt;=0,0,ROUND((D143+E143+F143+G143+H143+I143)/2625-$X143,4))</f>
        <v>0</v>
      </c>
    </row>
    <row r="144">
      <c r="A144" t="str">
        <v>spotweld-gun-manual</v>
      </c>
      <c r="B144" t="str">
        <v>Pedestal Spot Welding Machine</v>
      </c>
      <c r="C144" t="str">
        <v>UK</v>
      </c>
      <c r="D144">
        <f>IF($X144&gt;0,IF($Y144&gt;0,MAX(0,$Q144+$X144-$Y144)*3200,$X144*3200),6000)</f>
        <v>6000</v>
      </c>
      <c r="E144">
        <f>IF($X144&gt;0,IF($Y144&gt;0,$S144*3200,0),3000)</f>
        <v>3000</v>
      </c>
      <c r="F144">
        <f>IF($X144&gt;0,IF($Y144&gt;0,$V144*3200,0),5000)</f>
        <v>5000</v>
      </c>
      <c r="G144">
        <f>IF($X144&gt;0,IF($Y144&gt;0,$R144*3200,0),4000)</f>
        <v>4000</v>
      </c>
      <c r="H144">
        <f>IF($X144&gt;0,IF($Y144&gt;0,($T144+$W144)*3200,0),3000)</f>
        <v>3000</v>
      </c>
      <c r="I144">
        <f>IF($X144&gt;0,IF($Y144&gt;0,$U144*3200,0),1000)</f>
        <v>1000</v>
      </c>
      <c r="J144">
        <v>4000</v>
      </c>
      <c r="K144">
        <v>0.8</v>
      </c>
      <c r="L144" t="str">
        <f>IF($X144&gt;0,IF($P144&lt;&gt;1,"2026-06-14",IFERROR(INDEX('JLR Machines'!$D:$D,MATCH($O144,'JLR Machines'!$A:$A,0)),"2026-06-14")),"2026-06-14")</f>
        <v>2026-06-14</v>
      </c>
      <c r="M144" t="str">
        <f>IF($X144&gt;0,IF($Y144&gt;0,"JLR machine "&amp;$O144&amp;" at "&amp;TEXT($X144,"0.00")&amp;" per hr — build-up as supplied","JLR machine "&amp;$O144&amp;" at "&amp;TEXT($X144,"0.00")&amp;" per hr — build-up not supplied"),"UK fab shop benchmark Jun 2026. Pedestal spot welder, 100kVA, programmable pressure/time/current. Manual C-gun also available. For body panel tack welding and structural joins.")</f>
        <v>UK fab shop benchmark Jun 2026. Pedestal spot welder, 100kVA, programmable pressure/time/current. Manual C-gun also available. For body panel tack welding and structural joins.</v>
      </c>
      <c r="N144" t="str">
        <v>Medium</v>
      </c>
      <c r="O144" t="str">
        <f>IFERROR(INDEX(Mapping!$C:$C,MATCH($A144,Mapping!$A:$A,0)),"")</f>
        <v/>
      </c>
      <c r="P144">
        <f>IF($O144="",0,COUNTIFS('JLR Machines'!$A:$A,$O144,'JLR Machines'!$C:$C,IF(Settings!$B$2="","&lt;&gt;",Settings!$B$2),'JLR Machines'!$D:$D,IF(Settings!$B$3="","&lt;&gt;",Settings!$B$3)))</f>
        <v>0</v>
      </c>
      <c r="Q144">
        <f>IF($P144&lt;&gt;1,0,SUMIFS('JLR Machines'!$G:$G,'JLR Machines'!$A:$A,$O144,'JLR Machines'!$C:$C,IF(Settings!$B$2="","&lt;&gt;",Settings!$B$2),'JLR Machines'!$D:$D,IF(Settings!$B$3="","&lt;&gt;",Settings!$B$3)))</f>
        <v>0</v>
      </c>
      <c r="R144">
        <f>IF($P144&lt;&gt;1,0,SUMIFS('JLR Machines'!$H:$H,'JLR Machines'!$A:$A,$O144,'JLR Machines'!$C:$C,IF(Settings!$B$2="","&lt;&gt;",Settings!$B$2),'JLR Machines'!$D:$D,IF(Settings!$B$3="","&lt;&gt;",Settings!$B$3)))</f>
        <v>0</v>
      </c>
      <c r="S144">
        <f>IF($P144&lt;&gt;1,0,SUMIFS('JLR Machines'!$I:$I,'JLR Machines'!$A:$A,$O144,'JLR Machines'!$C:$C,IF(Settings!$B$2="","&lt;&gt;",Settings!$B$2),'JLR Machines'!$D:$D,IF(Settings!$B$3="","&lt;&gt;",Settings!$B$3)))</f>
        <v>0</v>
      </c>
      <c r="T144">
        <f>IF($P144&lt;&gt;1,0,SUMIFS('JLR Machines'!$J:$J,'JLR Machines'!$A:$A,$O144,'JLR Machines'!$C:$C,IF(Settings!$B$2="","&lt;&gt;",Settings!$B$2),'JLR Machines'!$D:$D,IF(Settings!$B$3="","&lt;&gt;",Settings!$B$3)))</f>
        <v>0</v>
      </c>
      <c r="U144">
        <f>IF($P144&lt;&gt;1,0,SUMIFS('JLR Machines'!$K:$K,'JLR Machines'!$A:$A,$O144,'JLR Machines'!$C:$C,IF(Settings!$B$2="","&lt;&gt;",Settings!$B$2),'JLR Machines'!$D:$D,IF(Settings!$B$3="","&lt;&gt;",Settings!$B$3)))</f>
        <v>0</v>
      </c>
      <c r="V144">
        <f>IF($P144&lt;&gt;1,0,SUMIFS('JLR Machines'!$L:$L,'JLR Machines'!$A:$A,$O144,'JLR Machines'!$C:$C,IF(Settings!$B$2="","&lt;&gt;",Settings!$B$2),'JLR Machines'!$D:$D,IF(Settings!$B$3="","&lt;&gt;",Settings!$B$3)))</f>
        <v>0</v>
      </c>
      <c r="W144">
        <f>IF($P144&lt;&gt;1,0,SUMIFS('JLR Machines'!$M:$M,'JLR Machines'!$A:$A,$O144,'JLR Machines'!$C:$C,IF(Settings!$B$2="","&lt;&gt;",Settings!$B$2),'JLR Machines'!$D:$D,IF(Settings!$B$3="","&lt;&gt;",Settings!$B$3)))</f>
        <v>0</v>
      </c>
      <c r="X144">
        <f>IF($P144&lt;&gt;1,0,SUMIFS('JLR Machines'!$N:$N,'JLR Machines'!$A:$A,$O144,'JLR Machines'!$C:$C,IF(Settings!$B$2="","&lt;&gt;",Settings!$B$2),'JLR Machines'!$D:$D,IF(Settings!$B$3="","&lt;&gt;",Settings!$B$3)))</f>
        <v>0</v>
      </c>
      <c r="Y144">
        <f>$Q144+$R144+$S144+$T144+$U144+$V144+$W144</f>
        <v>0</v>
      </c>
      <c r="Z144">
        <f>IF($X144&lt;=0,0,ROUND((D144+E144+F144+G144+H144+I144)/3200-$X144,4))</f>
        <v>0</v>
      </c>
    </row>
    <row r="145">
      <c r="A145" t="str">
        <v>robot-mig-cell</v>
      </c>
      <c r="B145" t="str">
        <v>Robotic MIG/MAG Welding Cell</v>
      </c>
      <c r="C145" t="str">
        <v>UK</v>
      </c>
      <c r="D145">
        <f>IF($X145&gt;0,IF($Y145&gt;0,MAX(0,$Q145+$X145-$Y145)*3280,$X145*3280),75000)</f>
        <v>75000</v>
      </c>
      <c r="E145">
        <f>IF($X145&gt;0,IF($Y145&gt;0,$S145*3280,0),40000)</f>
        <v>40000</v>
      </c>
      <c r="F145">
        <f>IF($X145&gt;0,IF($Y145&gt;0,$V145*3280,0),20000)</f>
        <v>20000</v>
      </c>
      <c r="G145">
        <f>IF($X145&gt;0,IF($Y145&gt;0,$R145*3280,0),12000)</f>
        <v>12000</v>
      </c>
      <c r="H145">
        <f>IF($X145&gt;0,IF($Y145&gt;0,($T145+$W145)*3280,0),45000)</f>
        <v>45000</v>
      </c>
      <c r="I145">
        <f>IF($X145&gt;0,IF($Y145&gt;0,$U145*3280,0),30000)</f>
        <v>30000</v>
      </c>
      <c r="J145">
        <v>4000</v>
      </c>
      <c r="K145">
        <v>0.82</v>
      </c>
      <c r="L145" t="str">
        <f>IF($X145&gt;0,IF($P145&lt;&gt;1,"2026-06-14",IFERROR(INDEX('JLR Machines'!$D:$D,MATCH($O145,'JLR Machines'!$A:$A,0)),"2026-06-14")),"2026-06-14")</f>
        <v>2026-06-14</v>
      </c>
      <c r="M145" t="str">
        <f>IF($X145&gt;0,IF($Y145&gt;0,"JLR machine "&amp;$O145&amp;" at "&amp;TEXT($X145,"0.00")&amp;" per hr — build-up as supplied","JLR machine "&amp;$O145&amp;" at "&amp;TEXT($X145,"0.00")&amp;" per hr — build-up not supplied"),"UK fab shop benchmark Jun 2026. 6-axis robot MIG cell (Fanuc/KUKA), dual-station fixture, arc-sensing seam tracking. Deposition speed 0.5–1.2 m/min. For high-volume structural welding.")</f>
        <v>UK fab shop benchmark Jun 2026. 6-axis robot MIG cell (Fanuc/KUKA), dual-station fixture, arc-sensing seam tracking. Deposition speed 0.5–1.2 m/min. For high-volume structural welding.</v>
      </c>
      <c r="N145" t="str">
        <v>Medium</v>
      </c>
      <c r="O145" t="str">
        <f>IFERROR(INDEX(Mapping!$C:$C,MATCH($A145,Mapping!$A:$A,0)),"")</f>
        <v/>
      </c>
      <c r="P145">
        <f>IF($O145="",0,COUNTIFS('JLR Machines'!$A:$A,$O145,'JLR Machines'!$C:$C,IF(Settings!$B$2="","&lt;&gt;",Settings!$B$2),'JLR Machines'!$D:$D,IF(Settings!$B$3="","&lt;&gt;",Settings!$B$3)))</f>
        <v>0</v>
      </c>
      <c r="Q145">
        <f>IF($P145&lt;&gt;1,0,SUMIFS('JLR Machines'!$G:$G,'JLR Machines'!$A:$A,$O145,'JLR Machines'!$C:$C,IF(Settings!$B$2="","&lt;&gt;",Settings!$B$2),'JLR Machines'!$D:$D,IF(Settings!$B$3="","&lt;&gt;",Settings!$B$3)))</f>
        <v>0</v>
      </c>
      <c r="R145">
        <f>IF($P145&lt;&gt;1,0,SUMIFS('JLR Machines'!$H:$H,'JLR Machines'!$A:$A,$O145,'JLR Machines'!$C:$C,IF(Settings!$B$2="","&lt;&gt;",Settings!$B$2),'JLR Machines'!$D:$D,IF(Settings!$B$3="","&lt;&gt;",Settings!$B$3)))</f>
        <v>0</v>
      </c>
      <c r="S145">
        <f>IF($P145&lt;&gt;1,0,SUMIFS('JLR Machines'!$I:$I,'JLR Machines'!$A:$A,$O145,'JLR Machines'!$C:$C,IF(Settings!$B$2="","&lt;&gt;",Settings!$B$2),'JLR Machines'!$D:$D,IF(Settings!$B$3="","&lt;&gt;",Settings!$B$3)))</f>
        <v>0</v>
      </c>
      <c r="T145">
        <f>IF($P145&lt;&gt;1,0,SUMIFS('JLR Machines'!$J:$J,'JLR Machines'!$A:$A,$O145,'JLR Machines'!$C:$C,IF(Settings!$B$2="","&lt;&gt;",Settings!$B$2),'JLR Machines'!$D:$D,IF(Settings!$B$3="","&lt;&gt;",Settings!$B$3)))</f>
        <v>0</v>
      </c>
      <c r="U145">
        <f>IF($P145&lt;&gt;1,0,SUMIFS('JLR Machines'!$K:$K,'JLR Machines'!$A:$A,$O145,'JLR Machines'!$C:$C,IF(Settings!$B$2="","&lt;&gt;",Settings!$B$2),'JLR Machines'!$D:$D,IF(Settings!$B$3="","&lt;&gt;",Settings!$B$3)))</f>
        <v>0</v>
      </c>
      <c r="V145">
        <f>IF($P145&lt;&gt;1,0,SUMIFS('JLR Machines'!$L:$L,'JLR Machines'!$A:$A,$O145,'JLR Machines'!$C:$C,IF(Settings!$B$2="","&lt;&gt;",Settings!$B$2),'JLR Machines'!$D:$D,IF(Settings!$B$3="","&lt;&gt;",Settings!$B$3)))</f>
        <v>0</v>
      </c>
      <c r="W145">
        <f>IF($P145&lt;&gt;1,0,SUMIFS('JLR Machines'!$M:$M,'JLR Machines'!$A:$A,$O145,'JLR Machines'!$C:$C,IF(Settings!$B$2="","&lt;&gt;",Settings!$B$2),'JLR Machines'!$D:$D,IF(Settings!$B$3="","&lt;&gt;",Settings!$B$3)))</f>
        <v>0</v>
      </c>
      <c r="X145">
        <f>IF($P145&lt;&gt;1,0,SUMIFS('JLR Machines'!$N:$N,'JLR Machines'!$A:$A,$O145,'JLR Machines'!$C:$C,IF(Settings!$B$2="","&lt;&gt;",Settings!$B$2),'JLR Machines'!$D:$D,IF(Settings!$B$3="","&lt;&gt;",Settings!$B$3)))</f>
        <v>0</v>
      </c>
      <c r="Y145">
        <f>$Q145+$R145+$S145+$T145+$U145+$V145+$W145</f>
        <v>0</v>
      </c>
      <c r="Z145">
        <f>IF($X145&lt;=0,0,ROUND((D145+E145+F145+G145+H145+I145)/3280-$X145,4))</f>
        <v>0</v>
      </c>
    </row>
    <row r="146">
      <c r="A146" t="str">
        <v>compression-mould-std</v>
      </c>
      <c r="B146" t="str">
        <v>Compression Moulding Press 250T</v>
      </c>
      <c r="C146" t="str">
        <v>UK</v>
      </c>
      <c r="D146">
        <f>IF($X146&gt;0,IF($Y146&gt;0,MAX(0,$Q146+$X146-$Y146)*2800,$X146*2800),18000)</f>
        <v>18000</v>
      </c>
      <c r="E146">
        <f>IF($X146&gt;0,IF($Y146&gt;0,$S146*2800,0),8000)</f>
        <v>8000</v>
      </c>
      <c r="F146">
        <f>IF($X146&gt;0,IF($Y146&gt;0,$V146*2800,0),10000)</f>
        <v>10000</v>
      </c>
      <c r="G146">
        <f>IF($X146&gt;0,IF($Y146&gt;0,$R146*2800,0),5000)</f>
        <v>5000</v>
      </c>
      <c r="H146">
        <f>IF($X146&gt;0,IF($Y146&gt;0,($T146+$W146)*2800,0),4000)</f>
        <v>4000</v>
      </c>
      <c r="I146">
        <f>IF($X146&gt;0,IF($Y146&gt;0,$U146*2800,0),2250)</f>
        <v>2250</v>
      </c>
      <c r="J146">
        <v>3500</v>
      </c>
      <c r="K146">
        <v>0.8</v>
      </c>
      <c r="L146" t="str">
        <f>IF($X146&gt;0,IF($P146&lt;&gt;1,"2026-06-14",IFERROR(INDEX('JLR Machines'!$D:$D,MATCH($O146,'JLR Machines'!$A:$A,0)),"2026-06-14")),"2026-06-14")</f>
        <v>2026-06-14</v>
      </c>
      <c r="M146" t="str">
        <f>IF($X146&gt;0,IF($Y146&gt;0,"JLR machine "&amp;$O146&amp;" at "&amp;TEXT($X146,"0.00")&amp;" per hr — build-up as supplied","JLR machine "&amp;$O146&amp;" at "&amp;TEXT($X146,"0.00")&amp;" per hr — build-up not supplied"),"UK rubber moulding benchmark Jun 2026. 250T compression press — EPDM/NR/NBR gaskets, mounts.")</f>
        <v>UK rubber moulding benchmark Jun 2026. 250T compression press — EPDM/NR/NBR gaskets, mounts.</v>
      </c>
      <c r="N146" t="str">
        <v>Medium</v>
      </c>
      <c r="O146" t="str">
        <f>IFERROR(INDEX(Mapping!$C:$C,MATCH($A146,Mapping!$A:$A,0)),"")</f>
        <v/>
      </c>
      <c r="P146">
        <f>IF($O146="",0,COUNTIFS('JLR Machines'!$A:$A,$O146,'JLR Machines'!$C:$C,IF(Settings!$B$2="","&lt;&gt;",Settings!$B$2),'JLR Machines'!$D:$D,IF(Settings!$B$3="","&lt;&gt;",Settings!$B$3)))</f>
        <v>0</v>
      </c>
      <c r="Q146">
        <f>IF($P146&lt;&gt;1,0,SUMIFS('JLR Machines'!$G:$G,'JLR Machines'!$A:$A,$O146,'JLR Machines'!$C:$C,IF(Settings!$B$2="","&lt;&gt;",Settings!$B$2),'JLR Machines'!$D:$D,IF(Settings!$B$3="","&lt;&gt;",Settings!$B$3)))</f>
        <v>0</v>
      </c>
      <c r="R146">
        <f>IF($P146&lt;&gt;1,0,SUMIFS('JLR Machines'!$H:$H,'JLR Machines'!$A:$A,$O146,'JLR Machines'!$C:$C,IF(Settings!$B$2="","&lt;&gt;",Settings!$B$2),'JLR Machines'!$D:$D,IF(Settings!$B$3="","&lt;&gt;",Settings!$B$3)))</f>
        <v>0</v>
      </c>
      <c r="S146">
        <f>IF($P146&lt;&gt;1,0,SUMIFS('JLR Machines'!$I:$I,'JLR Machines'!$A:$A,$O146,'JLR Machines'!$C:$C,IF(Settings!$B$2="","&lt;&gt;",Settings!$B$2),'JLR Machines'!$D:$D,IF(Settings!$B$3="","&lt;&gt;",Settings!$B$3)))</f>
        <v>0</v>
      </c>
      <c r="T146">
        <f>IF($P146&lt;&gt;1,0,SUMIFS('JLR Machines'!$J:$J,'JLR Machines'!$A:$A,$O146,'JLR Machines'!$C:$C,IF(Settings!$B$2="","&lt;&gt;",Settings!$B$2),'JLR Machines'!$D:$D,IF(Settings!$B$3="","&lt;&gt;",Settings!$B$3)))</f>
        <v>0</v>
      </c>
      <c r="U146">
        <f>IF($P146&lt;&gt;1,0,SUMIFS('JLR Machines'!$K:$K,'JLR Machines'!$A:$A,$O146,'JLR Machines'!$C:$C,IF(Settings!$B$2="","&lt;&gt;",Settings!$B$2),'JLR Machines'!$D:$D,IF(Settings!$B$3="","&lt;&gt;",Settings!$B$3)))</f>
        <v>0</v>
      </c>
      <c r="V146">
        <f>IF($P146&lt;&gt;1,0,SUMIFS('JLR Machines'!$L:$L,'JLR Machines'!$A:$A,$O146,'JLR Machines'!$C:$C,IF(Settings!$B$2="","&lt;&gt;",Settings!$B$2),'JLR Machines'!$D:$D,IF(Settings!$B$3="","&lt;&gt;",Settings!$B$3)))</f>
        <v>0</v>
      </c>
      <c r="W146">
        <f>IF($P146&lt;&gt;1,0,SUMIFS('JLR Machines'!$M:$M,'JLR Machines'!$A:$A,$O146,'JLR Machines'!$C:$C,IF(Settings!$B$2="","&lt;&gt;",Settings!$B$2),'JLR Machines'!$D:$D,IF(Settings!$B$3="","&lt;&gt;",Settings!$B$3)))</f>
        <v>0</v>
      </c>
      <c r="X146">
        <f>IF($P146&lt;&gt;1,0,SUMIFS('JLR Machines'!$N:$N,'JLR Machines'!$A:$A,$O146,'JLR Machines'!$C:$C,IF(Settings!$B$2="","&lt;&gt;",Settings!$B$2),'JLR Machines'!$D:$D,IF(Settings!$B$3="","&lt;&gt;",Settings!$B$3)))</f>
        <v>0</v>
      </c>
      <c r="Y146">
        <f>$Q146+$R146+$S146+$T146+$U146+$V146+$W146</f>
        <v>0</v>
      </c>
      <c r="Z146">
        <f>IF($X146&lt;=0,0,ROUND((D146+E146+F146+G146+H146+I146)/2800-$X146,4))</f>
        <v>0</v>
      </c>
    </row>
    <row r="147">
      <c r="A147" t="str">
        <v>transfer-mould-std</v>
      </c>
      <c r="B147" t="str">
        <v>Transfer Moulding Press 200T</v>
      </c>
      <c r="C147" t="str">
        <v>UK</v>
      </c>
      <c r="D147">
        <f>IF($X147&gt;0,IF($Y147&gt;0,MAX(0,$Q147+$X147-$Y147)*2730,$X147*2730),22000)</f>
        <v>22000</v>
      </c>
      <c r="E147">
        <f>IF($X147&gt;0,IF($Y147&gt;0,$S147*2730,0),10000)</f>
        <v>10000</v>
      </c>
      <c r="F147">
        <f>IF($X147&gt;0,IF($Y147&gt;0,$V147*2730,0),12000)</f>
        <v>12000</v>
      </c>
      <c r="G147">
        <f>IF($X147&gt;0,IF($Y147&gt;0,$R147*2730,0),6000)</f>
        <v>6000</v>
      </c>
      <c r="H147">
        <f>IF($X147&gt;0,IF($Y147&gt;0,($T147+$W147)*2730,0),5000)</f>
        <v>5000</v>
      </c>
      <c r="I147">
        <f>IF($X147&gt;0,IF($Y147&gt;0,$U147*2730,0),2750)</f>
        <v>2750</v>
      </c>
      <c r="J147">
        <v>3500</v>
      </c>
      <c r="K147">
        <v>0.78</v>
      </c>
      <c r="L147" t="str">
        <f>IF($X147&gt;0,IF($P147&lt;&gt;1,"2026-06-14",IFERROR(INDEX('JLR Machines'!$D:$D,MATCH($O147,'JLR Machines'!$A:$A,0)),"2026-06-14")),"2026-06-14")</f>
        <v>2026-06-14</v>
      </c>
      <c r="M147" t="str">
        <f>IF($X147&gt;0,IF($Y147&gt;0,"JLR machine "&amp;$O147&amp;" at "&amp;TEXT($X147,"0.00")&amp;" per hr — build-up as supplied","JLR machine "&amp;$O147&amp;" at "&amp;TEXT($X147,"0.00")&amp;" per hr — build-up not supplied"),"UK rubber moulding benchmark Jun 2026. 200T transfer press — bonded rubber-metal parts, complex geometry.")</f>
        <v>UK rubber moulding benchmark Jun 2026. 200T transfer press — bonded rubber-metal parts, complex geometry.</v>
      </c>
      <c r="N147" t="str">
        <v>Medium</v>
      </c>
      <c r="O147" t="str">
        <f>IFERROR(INDEX(Mapping!$C:$C,MATCH($A147,Mapping!$A:$A,0)),"")</f>
        <v/>
      </c>
      <c r="P147">
        <f>IF($O147="",0,COUNTIFS('JLR Machines'!$A:$A,$O147,'JLR Machines'!$C:$C,IF(Settings!$B$2="","&lt;&gt;",Settings!$B$2),'JLR Machines'!$D:$D,IF(Settings!$B$3="","&lt;&gt;",Settings!$B$3)))</f>
        <v>0</v>
      </c>
      <c r="Q147">
        <f>IF($P147&lt;&gt;1,0,SUMIFS('JLR Machines'!$G:$G,'JLR Machines'!$A:$A,$O147,'JLR Machines'!$C:$C,IF(Settings!$B$2="","&lt;&gt;",Settings!$B$2),'JLR Machines'!$D:$D,IF(Settings!$B$3="","&lt;&gt;",Settings!$B$3)))</f>
        <v>0</v>
      </c>
      <c r="R147">
        <f>IF($P147&lt;&gt;1,0,SUMIFS('JLR Machines'!$H:$H,'JLR Machines'!$A:$A,$O147,'JLR Machines'!$C:$C,IF(Settings!$B$2="","&lt;&gt;",Settings!$B$2),'JLR Machines'!$D:$D,IF(Settings!$B$3="","&lt;&gt;",Settings!$B$3)))</f>
        <v>0</v>
      </c>
      <c r="S147">
        <f>IF($P147&lt;&gt;1,0,SUMIFS('JLR Machines'!$I:$I,'JLR Machines'!$A:$A,$O147,'JLR Machines'!$C:$C,IF(Settings!$B$2="","&lt;&gt;",Settings!$B$2),'JLR Machines'!$D:$D,IF(Settings!$B$3="","&lt;&gt;",Settings!$B$3)))</f>
        <v>0</v>
      </c>
      <c r="T147">
        <f>IF($P147&lt;&gt;1,0,SUMIFS('JLR Machines'!$J:$J,'JLR Machines'!$A:$A,$O147,'JLR Machines'!$C:$C,IF(Settings!$B$2="","&lt;&gt;",Settings!$B$2),'JLR Machines'!$D:$D,IF(Settings!$B$3="","&lt;&gt;",Settings!$B$3)))</f>
        <v>0</v>
      </c>
      <c r="U147">
        <f>IF($P147&lt;&gt;1,0,SUMIFS('JLR Machines'!$K:$K,'JLR Machines'!$A:$A,$O147,'JLR Machines'!$C:$C,IF(Settings!$B$2="","&lt;&gt;",Settings!$B$2),'JLR Machines'!$D:$D,IF(Settings!$B$3="","&lt;&gt;",Settings!$B$3)))</f>
        <v>0</v>
      </c>
      <c r="V147">
        <f>IF($P147&lt;&gt;1,0,SUMIFS('JLR Machines'!$L:$L,'JLR Machines'!$A:$A,$O147,'JLR Machines'!$C:$C,IF(Settings!$B$2="","&lt;&gt;",Settings!$B$2),'JLR Machines'!$D:$D,IF(Settings!$B$3="","&lt;&gt;",Settings!$B$3)))</f>
        <v>0</v>
      </c>
      <c r="W147">
        <f>IF($P147&lt;&gt;1,0,SUMIFS('JLR Machines'!$M:$M,'JLR Machines'!$A:$A,$O147,'JLR Machines'!$C:$C,IF(Settings!$B$2="","&lt;&gt;",Settings!$B$2),'JLR Machines'!$D:$D,IF(Settings!$B$3="","&lt;&gt;",Settings!$B$3)))</f>
        <v>0</v>
      </c>
      <c r="X147">
        <f>IF($P147&lt;&gt;1,0,SUMIFS('JLR Machines'!$N:$N,'JLR Machines'!$A:$A,$O147,'JLR Machines'!$C:$C,IF(Settings!$B$2="","&lt;&gt;",Settings!$B$2),'JLR Machines'!$D:$D,IF(Settings!$B$3="","&lt;&gt;",Settings!$B$3)))</f>
        <v>0</v>
      </c>
      <c r="Y147">
        <f>$Q147+$R147+$S147+$T147+$U147+$V147+$W147</f>
        <v>0</v>
      </c>
      <c r="Z147">
        <f>IF($X147&lt;=0,0,ROUND((D147+E147+F147+G147+H147+I147)/2730-$X147,4))</f>
        <v>0</v>
      </c>
    </row>
    <row r="148">
      <c r="A148" t="str">
        <v>lsr-injection-machine</v>
      </c>
      <c r="B148" t="str">
        <v>LSR Injection Moulding Machine</v>
      </c>
      <c r="C148" t="str">
        <v>UK</v>
      </c>
      <c r="D148">
        <f>IF($X148&gt;0,IF($Y148&gt;0,MAX(0,$Q148+$X148-$Y148)*3200,$X148*3200),35000)</f>
        <v>35000</v>
      </c>
      <c r="E148">
        <f>IF($X148&gt;0,IF($Y148&gt;0,$S148*3200,0),14000)</f>
        <v>14000</v>
      </c>
      <c r="F148">
        <f>IF($X148&gt;0,IF($Y148&gt;0,$V148*3200,0),20000)</f>
        <v>20000</v>
      </c>
      <c r="G148">
        <f>IF($X148&gt;0,IF($Y148&gt;0,$R148*3200,0),7000)</f>
        <v>7000</v>
      </c>
      <c r="H148">
        <f>IF($X148&gt;0,IF($Y148&gt;0,($T148+$W148)*3200,0),7000)</f>
        <v>7000</v>
      </c>
      <c r="I148">
        <f>IF($X148&gt;0,IF($Y148&gt;0,$U148*3200,0),4375)</f>
        <v>4375</v>
      </c>
      <c r="J148">
        <v>4000</v>
      </c>
      <c r="K148">
        <v>0.8</v>
      </c>
      <c r="L148" t="str">
        <f>IF($X148&gt;0,IF($P148&lt;&gt;1,"2026-06-14",IFERROR(INDEX('JLR Machines'!$D:$D,MATCH($O148,'JLR Machines'!$A:$A,0)),"2026-06-14")),"2026-06-14")</f>
        <v>2026-06-14</v>
      </c>
      <c r="M148" t="str">
        <f>IF($X148&gt;0,IF($Y148&gt;0,"JLR machine "&amp;$O148&amp;" at "&amp;TEXT($X148,"0.00")&amp;" per hr — build-up as supplied","JLR machine "&amp;$O148&amp;" at "&amp;TEXT($X148,"0.00")&amp;" per hr — build-up not supplied"),"UK silicone moulding benchmark Jun 2026. Liquid silicone rubber injection (Engel/Arburg/Sumitomo). Medical/auto seals.")</f>
        <v>UK silicone moulding benchmark Jun 2026. Liquid silicone rubber injection (Engel/Arburg/Sumitomo). Medical/auto seals.</v>
      </c>
      <c r="N148" t="str">
        <v>Medium</v>
      </c>
      <c r="O148" t="str">
        <f>IFERROR(INDEX(Mapping!$C:$C,MATCH($A148,Mapping!$A:$A,0)),"")</f>
        <v/>
      </c>
      <c r="P148">
        <f>IF($O148="",0,COUNTIFS('JLR Machines'!$A:$A,$O148,'JLR Machines'!$C:$C,IF(Settings!$B$2="","&lt;&gt;",Settings!$B$2),'JLR Machines'!$D:$D,IF(Settings!$B$3="","&lt;&gt;",Settings!$B$3)))</f>
        <v>0</v>
      </c>
      <c r="Q148">
        <f>IF($P148&lt;&gt;1,0,SUMIFS('JLR Machines'!$G:$G,'JLR Machines'!$A:$A,$O148,'JLR Machines'!$C:$C,IF(Settings!$B$2="","&lt;&gt;",Settings!$B$2),'JLR Machines'!$D:$D,IF(Settings!$B$3="","&lt;&gt;",Settings!$B$3)))</f>
        <v>0</v>
      </c>
      <c r="R148">
        <f>IF($P148&lt;&gt;1,0,SUMIFS('JLR Machines'!$H:$H,'JLR Machines'!$A:$A,$O148,'JLR Machines'!$C:$C,IF(Settings!$B$2="","&lt;&gt;",Settings!$B$2),'JLR Machines'!$D:$D,IF(Settings!$B$3="","&lt;&gt;",Settings!$B$3)))</f>
        <v>0</v>
      </c>
      <c r="S148">
        <f>IF($P148&lt;&gt;1,0,SUMIFS('JLR Machines'!$I:$I,'JLR Machines'!$A:$A,$O148,'JLR Machines'!$C:$C,IF(Settings!$B$2="","&lt;&gt;",Settings!$B$2),'JLR Machines'!$D:$D,IF(Settings!$B$3="","&lt;&gt;",Settings!$B$3)))</f>
        <v>0</v>
      </c>
      <c r="T148">
        <f>IF($P148&lt;&gt;1,0,SUMIFS('JLR Machines'!$J:$J,'JLR Machines'!$A:$A,$O148,'JLR Machines'!$C:$C,IF(Settings!$B$2="","&lt;&gt;",Settings!$B$2),'JLR Machines'!$D:$D,IF(Settings!$B$3="","&lt;&gt;",Settings!$B$3)))</f>
        <v>0</v>
      </c>
      <c r="U148">
        <f>IF($P148&lt;&gt;1,0,SUMIFS('JLR Machines'!$K:$K,'JLR Machines'!$A:$A,$O148,'JLR Machines'!$C:$C,IF(Settings!$B$2="","&lt;&gt;",Settings!$B$2),'JLR Machines'!$D:$D,IF(Settings!$B$3="","&lt;&gt;",Settings!$B$3)))</f>
        <v>0</v>
      </c>
      <c r="V148">
        <f>IF($P148&lt;&gt;1,0,SUMIFS('JLR Machines'!$L:$L,'JLR Machines'!$A:$A,$O148,'JLR Machines'!$C:$C,IF(Settings!$B$2="","&lt;&gt;",Settings!$B$2),'JLR Machines'!$D:$D,IF(Settings!$B$3="","&lt;&gt;",Settings!$B$3)))</f>
        <v>0</v>
      </c>
      <c r="W148">
        <f>IF($P148&lt;&gt;1,0,SUMIFS('JLR Machines'!$M:$M,'JLR Machines'!$A:$A,$O148,'JLR Machines'!$C:$C,IF(Settings!$B$2="","&lt;&gt;",Settings!$B$2),'JLR Machines'!$D:$D,IF(Settings!$B$3="","&lt;&gt;",Settings!$B$3)))</f>
        <v>0</v>
      </c>
      <c r="X148">
        <f>IF($P148&lt;&gt;1,0,SUMIFS('JLR Machines'!$N:$N,'JLR Machines'!$A:$A,$O148,'JLR Machines'!$C:$C,IF(Settings!$B$2="","&lt;&gt;",Settings!$B$2),'JLR Machines'!$D:$D,IF(Settings!$B$3="","&lt;&gt;",Settings!$B$3)))</f>
        <v>0</v>
      </c>
      <c r="Y148">
        <f>$Q148+$R148+$S148+$T148+$U148+$V148+$W148</f>
        <v>0</v>
      </c>
      <c r="Z148">
        <f>IF($X148&lt;=0,0,ROUND((D148+E148+F148+G148+H148+I148)/3200-$X148,4))</f>
        <v>0</v>
      </c>
    </row>
    <row r="149">
      <c r="A149" t="str">
        <v>cure-oven-rubber</v>
      </c>
      <c r="B149" t="str">
        <v>Rubber Cure / Vulcanisation Oven</v>
      </c>
      <c r="C149" t="str">
        <v>UK</v>
      </c>
      <c r="D149">
        <f>IF($X149&gt;0,IF($Y149&gt;0,MAX(0,$Q149+$X149-$Y149)*4100,$X149*4100),10000)</f>
        <v>10000</v>
      </c>
      <c r="E149">
        <f>IF($X149&gt;0,IF($Y149&gt;0,$S149*4100,0),4000)</f>
        <v>4000</v>
      </c>
      <c r="F149">
        <f>IF($X149&gt;0,IF($Y149&gt;0,$V149*4100,0),25000)</f>
        <v>25000</v>
      </c>
      <c r="G149">
        <f>IF($X149&gt;0,IF($Y149&gt;0,$R149*4100,0),6000)</f>
        <v>6000</v>
      </c>
      <c r="H149">
        <f>IF($X149&gt;0,IF($Y149&gt;0,($T149+$W149)*4100,0),3000)</f>
        <v>3000</v>
      </c>
      <c r="I149">
        <f>IF($X149&gt;0,IF($Y149&gt;0,$U149*4100,0),1250)</f>
        <v>1250</v>
      </c>
      <c r="J149">
        <v>5000</v>
      </c>
      <c r="K149">
        <v>0.82</v>
      </c>
      <c r="L149" t="str">
        <f>IF($X149&gt;0,IF($P149&lt;&gt;1,"2026-06-14",IFERROR(INDEX('JLR Machines'!$D:$D,MATCH($O149,'JLR Machines'!$A:$A,0)),"2026-06-14")),"2026-06-14")</f>
        <v>2026-06-14</v>
      </c>
      <c r="M149" t="str">
        <f>IF($X149&gt;0,IF($Y149&gt;0,"JLR machine "&amp;$O149&amp;" at "&amp;TEXT($X149,"0.00")&amp;" per hr — build-up as supplied","JLR machine "&amp;$O149&amp;" at "&amp;TEXT($X149,"0.00")&amp;" per hr — build-up not supplied"),"UK rubber benchmark Jun 2026. Salt-bath or hot-air oven for EPDM/NBR extrusion vulcanisation.")</f>
        <v>UK rubber benchmark Jun 2026. Salt-bath or hot-air oven for EPDM/NBR extrusion vulcanisation.</v>
      </c>
      <c r="N149" t="str">
        <v>Medium</v>
      </c>
      <c r="O149" t="str">
        <f>IFERROR(INDEX(Mapping!$C:$C,MATCH($A149,Mapping!$A:$A,0)),"")</f>
        <v/>
      </c>
      <c r="P149">
        <f>IF($O149="",0,COUNTIFS('JLR Machines'!$A:$A,$O149,'JLR Machines'!$C:$C,IF(Settings!$B$2="","&lt;&gt;",Settings!$B$2),'JLR Machines'!$D:$D,IF(Settings!$B$3="","&lt;&gt;",Settings!$B$3)))</f>
        <v>0</v>
      </c>
      <c r="Q149">
        <f>IF($P149&lt;&gt;1,0,SUMIFS('JLR Machines'!$G:$G,'JLR Machines'!$A:$A,$O149,'JLR Machines'!$C:$C,IF(Settings!$B$2="","&lt;&gt;",Settings!$B$2),'JLR Machines'!$D:$D,IF(Settings!$B$3="","&lt;&gt;",Settings!$B$3)))</f>
        <v>0</v>
      </c>
      <c r="R149">
        <f>IF($P149&lt;&gt;1,0,SUMIFS('JLR Machines'!$H:$H,'JLR Machines'!$A:$A,$O149,'JLR Machines'!$C:$C,IF(Settings!$B$2="","&lt;&gt;",Settings!$B$2),'JLR Machines'!$D:$D,IF(Settings!$B$3="","&lt;&gt;",Settings!$B$3)))</f>
        <v>0</v>
      </c>
      <c r="S149">
        <f>IF($P149&lt;&gt;1,0,SUMIFS('JLR Machines'!$I:$I,'JLR Machines'!$A:$A,$O149,'JLR Machines'!$C:$C,IF(Settings!$B$2="","&lt;&gt;",Settings!$B$2),'JLR Machines'!$D:$D,IF(Settings!$B$3="","&lt;&gt;",Settings!$B$3)))</f>
        <v>0</v>
      </c>
      <c r="T149">
        <f>IF($P149&lt;&gt;1,0,SUMIFS('JLR Machines'!$J:$J,'JLR Machines'!$A:$A,$O149,'JLR Machines'!$C:$C,IF(Settings!$B$2="","&lt;&gt;",Settings!$B$2),'JLR Machines'!$D:$D,IF(Settings!$B$3="","&lt;&gt;",Settings!$B$3)))</f>
        <v>0</v>
      </c>
      <c r="U149">
        <f>IF($P149&lt;&gt;1,0,SUMIFS('JLR Machines'!$K:$K,'JLR Machines'!$A:$A,$O149,'JLR Machines'!$C:$C,IF(Settings!$B$2="","&lt;&gt;",Settings!$B$2),'JLR Machines'!$D:$D,IF(Settings!$B$3="","&lt;&gt;",Settings!$B$3)))</f>
        <v>0</v>
      </c>
      <c r="V149">
        <f>IF($P149&lt;&gt;1,0,SUMIFS('JLR Machines'!$L:$L,'JLR Machines'!$A:$A,$O149,'JLR Machines'!$C:$C,IF(Settings!$B$2="","&lt;&gt;",Settings!$B$2),'JLR Machines'!$D:$D,IF(Settings!$B$3="","&lt;&gt;",Settings!$B$3)))</f>
        <v>0</v>
      </c>
      <c r="W149">
        <f>IF($P149&lt;&gt;1,0,SUMIFS('JLR Machines'!$M:$M,'JLR Machines'!$A:$A,$O149,'JLR Machines'!$C:$C,IF(Settings!$B$2="","&lt;&gt;",Settings!$B$2),'JLR Machines'!$D:$D,IF(Settings!$B$3="","&lt;&gt;",Settings!$B$3)))</f>
        <v>0</v>
      </c>
      <c r="X149">
        <f>IF($P149&lt;&gt;1,0,SUMIFS('JLR Machines'!$N:$N,'JLR Machines'!$A:$A,$O149,'JLR Machines'!$C:$C,IF(Settings!$B$2="","&lt;&gt;",Settings!$B$2),'JLR Machines'!$D:$D,IF(Settings!$B$3="","&lt;&gt;",Settings!$B$3)))</f>
        <v>0</v>
      </c>
      <c r="Y149">
        <f>$Q149+$R149+$S149+$T149+$U149+$V149+$W149</f>
        <v>0</v>
      </c>
      <c r="Z149">
        <f>IF($X149&lt;=0,0,ROUND((D149+E149+F149+G149+H149+I149)/4100-$X149,4))</f>
        <v>0</v>
      </c>
    </row>
    <row r="150">
      <c r="A150" t="str">
        <v>extruder-rubber-60mm</v>
      </c>
      <c r="B150" t="str">
        <v>Rubber Extruder 60mm (Cold-feed)</v>
      </c>
      <c r="C150" t="str">
        <v>UK</v>
      </c>
      <c r="D150">
        <f>IF($X150&gt;0,IF($Y150&gt;0,MAX(0,$Q150+$X150-$Y150)*4000,$X150*4000),15000)</f>
        <v>15000</v>
      </c>
      <c r="E150">
        <f>IF($X150&gt;0,IF($Y150&gt;0,$S150*4000,0),6000)</f>
        <v>6000</v>
      </c>
      <c r="F150">
        <f>IF($X150&gt;0,IF($Y150&gt;0,$V150*4000,0),18000)</f>
        <v>18000</v>
      </c>
      <c r="G150">
        <f>IF($X150&gt;0,IF($Y150&gt;0,$R150*4000,0),4000)</f>
        <v>4000</v>
      </c>
      <c r="H150">
        <f>IF($X150&gt;0,IF($Y150&gt;0,($T150+$W150)*4000,0),3500)</f>
        <v>3500</v>
      </c>
      <c r="I150">
        <f>IF($X150&gt;0,IF($Y150&gt;0,$U150*4000,0),1875)</f>
        <v>1875</v>
      </c>
      <c r="J150">
        <v>5000</v>
      </c>
      <c r="K150">
        <v>0.8</v>
      </c>
      <c r="L150" t="str">
        <f>IF($X150&gt;0,IF($P150&lt;&gt;1,"2026-06-14",IFERROR(INDEX('JLR Machines'!$D:$D,MATCH($O150,'JLR Machines'!$A:$A,0)),"2026-06-14")),"2026-06-14")</f>
        <v>2026-06-14</v>
      </c>
      <c r="M150" t="str">
        <f>IF($X150&gt;0,IF($Y150&gt;0,"JLR machine "&amp;$O150&amp;" at "&amp;TEXT($X150,"0.00")&amp;" per hr — build-up as supplied","JLR machine "&amp;$O150&amp;" at "&amp;TEXT($X150,"0.00")&amp;" per hr — build-up not supplied"),"UK rubber benchmark Jun 2026. 60mm cold-feed rubber extruder — EPDM seals, hose profiles.")</f>
        <v>UK rubber benchmark Jun 2026. 60mm cold-feed rubber extruder — EPDM seals, hose profiles.</v>
      </c>
      <c r="N150" t="str">
        <v>Medium</v>
      </c>
      <c r="O150" t="str">
        <f>IFERROR(INDEX(Mapping!$C:$C,MATCH($A150,Mapping!$A:$A,0)),"")</f>
        <v/>
      </c>
      <c r="P150">
        <f>IF($O150="",0,COUNTIFS('JLR Machines'!$A:$A,$O150,'JLR Machines'!$C:$C,IF(Settings!$B$2="","&lt;&gt;",Settings!$B$2),'JLR Machines'!$D:$D,IF(Settings!$B$3="","&lt;&gt;",Settings!$B$3)))</f>
        <v>0</v>
      </c>
      <c r="Q150">
        <f>IF($P150&lt;&gt;1,0,SUMIFS('JLR Machines'!$G:$G,'JLR Machines'!$A:$A,$O150,'JLR Machines'!$C:$C,IF(Settings!$B$2="","&lt;&gt;",Settings!$B$2),'JLR Machines'!$D:$D,IF(Settings!$B$3="","&lt;&gt;",Settings!$B$3)))</f>
        <v>0</v>
      </c>
      <c r="R150">
        <f>IF($P150&lt;&gt;1,0,SUMIFS('JLR Machines'!$H:$H,'JLR Machines'!$A:$A,$O150,'JLR Machines'!$C:$C,IF(Settings!$B$2="","&lt;&gt;",Settings!$B$2),'JLR Machines'!$D:$D,IF(Settings!$B$3="","&lt;&gt;",Settings!$B$3)))</f>
        <v>0</v>
      </c>
      <c r="S150">
        <f>IF($P150&lt;&gt;1,0,SUMIFS('JLR Machines'!$I:$I,'JLR Machines'!$A:$A,$O150,'JLR Machines'!$C:$C,IF(Settings!$B$2="","&lt;&gt;",Settings!$B$2),'JLR Machines'!$D:$D,IF(Settings!$B$3="","&lt;&gt;",Settings!$B$3)))</f>
        <v>0</v>
      </c>
      <c r="T150">
        <f>IF($P150&lt;&gt;1,0,SUMIFS('JLR Machines'!$J:$J,'JLR Machines'!$A:$A,$O150,'JLR Machines'!$C:$C,IF(Settings!$B$2="","&lt;&gt;",Settings!$B$2),'JLR Machines'!$D:$D,IF(Settings!$B$3="","&lt;&gt;",Settings!$B$3)))</f>
        <v>0</v>
      </c>
      <c r="U150">
        <f>IF($P150&lt;&gt;1,0,SUMIFS('JLR Machines'!$K:$K,'JLR Machines'!$A:$A,$O150,'JLR Machines'!$C:$C,IF(Settings!$B$2="","&lt;&gt;",Settings!$B$2),'JLR Machines'!$D:$D,IF(Settings!$B$3="","&lt;&gt;",Settings!$B$3)))</f>
        <v>0</v>
      </c>
      <c r="V150">
        <f>IF($P150&lt;&gt;1,0,SUMIFS('JLR Machines'!$L:$L,'JLR Machines'!$A:$A,$O150,'JLR Machines'!$C:$C,IF(Settings!$B$2="","&lt;&gt;",Settings!$B$2),'JLR Machines'!$D:$D,IF(Settings!$B$3="","&lt;&gt;",Settings!$B$3)))</f>
        <v>0</v>
      </c>
      <c r="W150">
        <f>IF($P150&lt;&gt;1,0,SUMIFS('JLR Machines'!$M:$M,'JLR Machines'!$A:$A,$O150,'JLR Machines'!$C:$C,IF(Settings!$B$2="","&lt;&gt;",Settings!$B$2),'JLR Machines'!$D:$D,IF(Settings!$B$3="","&lt;&gt;",Settings!$B$3)))</f>
        <v>0</v>
      </c>
      <c r="X150">
        <f>IF($P150&lt;&gt;1,0,SUMIFS('JLR Machines'!$N:$N,'JLR Machines'!$A:$A,$O150,'JLR Machines'!$C:$C,IF(Settings!$B$2="","&lt;&gt;",Settings!$B$2),'JLR Machines'!$D:$D,IF(Settings!$B$3="","&lt;&gt;",Settings!$B$3)))</f>
        <v>0</v>
      </c>
      <c r="Y150">
        <f>$Q150+$R150+$S150+$T150+$U150+$V150+$W150</f>
        <v>0</v>
      </c>
      <c r="Z150">
        <f>IF($X150&lt;=0,0,ROUND((D150+E150+F150+G150+H150+I150)/4000-$X150,4))</f>
        <v>0</v>
      </c>
    </row>
    <row r="151">
      <c r="A151" t="str">
        <v>die-cut-press-rubber</v>
      </c>
      <c r="B151" t="str">
        <v>Hydraulic Die-Cutting Press 20T</v>
      </c>
      <c r="C151" t="str">
        <v>UK</v>
      </c>
      <c r="D151">
        <f>IF($X151&gt;0,IF($Y151&gt;0,MAX(0,$Q151+$X151-$Y151)*3400,$X151*3400),8000)</f>
        <v>8000</v>
      </c>
      <c r="E151">
        <f>IF($X151&gt;0,IF($Y151&gt;0,$S151*3400,0),3500)</f>
        <v>3500</v>
      </c>
      <c r="F151">
        <f>IF($X151&gt;0,IF($Y151&gt;0,$V151*3400,0),5000)</f>
        <v>5000</v>
      </c>
      <c r="G151">
        <f>IF($X151&gt;0,IF($Y151&gt;0,$R151*3400,0),3000)</f>
        <v>3000</v>
      </c>
      <c r="H151">
        <f>IF($X151&gt;0,IF($Y151&gt;0,($T151+$W151)*3400,0),2000)</f>
        <v>2000</v>
      </c>
      <c r="I151">
        <f>IF($X151&gt;0,IF($Y151&gt;0,$U151*3400,0),1000)</f>
        <v>1000</v>
      </c>
      <c r="J151">
        <v>4000</v>
      </c>
      <c r="K151">
        <v>0.85</v>
      </c>
      <c r="L151" t="str">
        <f>IF($X151&gt;0,IF($P151&lt;&gt;1,"2026-06-14",IFERROR(INDEX('JLR Machines'!$D:$D,MATCH($O151,'JLR Machines'!$A:$A,0)),"2026-06-14")),"2026-06-14")</f>
        <v>2026-06-14</v>
      </c>
      <c r="M151" t="str">
        <f>IF($X151&gt;0,IF($Y151&gt;0,"JLR machine "&amp;$O151&amp;" at "&amp;TEXT($X151,"0.00")&amp;" per hr — build-up as supplied","JLR machine "&amp;$O151&amp;" at "&amp;TEXT($X151,"0.00")&amp;" per hr — build-up not supplied"),"UK rubber benchmark Jun 2026. 20T hydraulic die-cutting press — flat gaskets, seals, strips. Blanks pre-vulcanised EPDM/SBR/NBR/CR sheet at high throughput.")</f>
        <v>UK rubber benchmark Jun 2026. 20T hydraulic die-cutting press — flat gaskets, seals, strips. Blanks pre-vulcanised EPDM/SBR/NBR/CR sheet at high throughput.</v>
      </c>
      <c r="N151" t="str">
        <v>Medium</v>
      </c>
      <c r="O151" t="str">
        <f>IFERROR(INDEX(Mapping!$C:$C,MATCH($A151,Mapping!$A:$A,0)),"")</f>
        <v/>
      </c>
      <c r="P151">
        <f>IF($O151="",0,COUNTIFS('JLR Machines'!$A:$A,$O151,'JLR Machines'!$C:$C,IF(Settings!$B$2="","&lt;&gt;",Settings!$B$2),'JLR Machines'!$D:$D,IF(Settings!$B$3="","&lt;&gt;",Settings!$B$3)))</f>
        <v>0</v>
      </c>
      <c r="Q151">
        <f>IF($P151&lt;&gt;1,0,SUMIFS('JLR Machines'!$G:$G,'JLR Machines'!$A:$A,$O151,'JLR Machines'!$C:$C,IF(Settings!$B$2="","&lt;&gt;",Settings!$B$2),'JLR Machines'!$D:$D,IF(Settings!$B$3="","&lt;&gt;",Settings!$B$3)))</f>
        <v>0</v>
      </c>
      <c r="R151">
        <f>IF($P151&lt;&gt;1,0,SUMIFS('JLR Machines'!$H:$H,'JLR Machines'!$A:$A,$O151,'JLR Machines'!$C:$C,IF(Settings!$B$2="","&lt;&gt;",Settings!$B$2),'JLR Machines'!$D:$D,IF(Settings!$B$3="","&lt;&gt;",Settings!$B$3)))</f>
        <v>0</v>
      </c>
      <c r="S151">
        <f>IF($P151&lt;&gt;1,0,SUMIFS('JLR Machines'!$I:$I,'JLR Machines'!$A:$A,$O151,'JLR Machines'!$C:$C,IF(Settings!$B$2="","&lt;&gt;",Settings!$B$2),'JLR Machines'!$D:$D,IF(Settings!$B$3="","&lt;&gt;",Settings!$B$3)))</f>
        <v>0</v>
      </c>
      <c r="T151">
        <f>IF($P151&lt;&gt;1,0,SUMIFS('JLR Machines'!$J:$J,'JLR Machines'!$A:$A,$O151,'JLR Machines'!$C:$C,IF(Settings!$B$2="","&lt;&gt;",Settings!$B$2),'JLR Machines'!$D:$D,IF(Settings!$B$3="","&lt;&gt;",Settings!$B$3)))</f>
        <v>0</v>
      </c>
      <c r="U151">
        <f>IF($P151&lt;&gt;1,0,SUMIFS('JLR Machines'!$K:$K,'JLR Machines'!$A:$A,$O151,'JLR Machines'!$C:$C,IF(Settings!$B$2="","&lt;&gt;",Settings!$B$2),'JLR Machines'!$D:$D,IF(Settings!$B$3="","&lt;&gt;",Settings!$B$3)))</f>
        <v>0</v>
      </c>
      <c r="V151">
        <f>IF($P151&lt;&gt;1,0,SUMIFS('JLR Machines'!$L:$L,'JLR Machines'!$A:$A,$O151,'JLR Machines'!$C:$C,IF(Settings!$B$2="","&lt;&gt;",Settings!$B$2),'JLR Machines'!$D:$D,IF(Settings!$B$3="","&lt;&gt;",Settings!$B$3)))</f>
        <v>0</v>
      </c>
      <c r="W151">
        <f>IF($P151&lt;&gt;1,0,SUMIFS('JLR Machines'!$M:$M,'JLR Machines'!$A:$A,$O151,'JLR Machines'!$C:$C,IF(Settings!$B$2="","&lt;&gt;",Settings!$B$2),'JLR Machines'!$D:$D,IF(Settings!$B$3="","&lt;&gt;",Settings!$B$3)))</f>
        <v>0</v>
      </c>
      <c r="X151">
        <f>IF($P151&lt;&gt;1,0,SUMIFS('JLR Machines'!$N:$N,'JLR Machines'!$A:$A,$O151,'JLR Machines'!$C:$C,IF(Settings!$B$2="","&lt;&gt;",Settings!$B$2),'JLR Machines'!$D:$D,IF(Settings!$B$3="","&lt;&gt;",Settings!$B$3)))</f>
        <v>0</v>
      </c>
      <c r="Y151">
        <f>$Q151+$R151+$S151+$T151+$U151+$V151+$W151</f>
        <v>0</v>
      </c>
      <c r="Z151">
        <f>IF($X151&lt;=0,0,ROUND((D151+E151+F151+G151+H151+I151)/3400-$X151,4))</f>
        <v>0</v>
      </c>
    </row>
    <row r="152">
      <c r="A152" t="str">
        <v>autoclave-1200mm</v>
      </c>
      <c r="B152" t="str">
        <v>Production Autoclave 1200mm dia</v>
      </c>
      <c r="C152" t="str">
        <v>UK</v>
      </c>
      <c r="D152">
        <f>IF($X152&gt;0,IF($Y152&gt;0,MAX(0,$Q152+$X152-$Y152)*2800,$X152*2800),60000)</f>
        <v>60000</v>
      </c>
      <c r="E152">
        <f>IF($X152&gt;0,IF($Y152&gt;0,$S152*2800,0),25000)</f>
        <v>25000</v>
      </c>
      <c r="F152">
        <f>IF($X152&gt;0,IF($Y152&gt;0,$V152*2800,0),50000)</f>
        <v>50000</v>
      </c>
      <c r="G152">
        <f>IF($X152&gt;0,IF($Y152&gt;0,$R152*2800,0),20000)</f>
        <v>20000</v>
      </c>
      <c r="H152">
        <f>IF($X152&gt;0,IF($Y152&gt;0,($T152+$W152)*2800,0),15000)</f>
        <v>15000</v>
      </c>
      <c r="I152">
        <f>IF($X152&gt;0,IF($Y152&gt;0,$U152*2800,0),7500)</f>
        <v>7500</v>
      </c>
      <c r="J152">
        <v>4000</v>
      </c>
      <c r="K152">
        <v>0.7</v>
      </c>
      <c r="L152" t="str">
        <f>IF($X152&gt;0,IF($P152&lt;&gt;1,"2026-06-14",IFERROR(INDEX('JLR Machines'!$D:$D,MATCH($O152,'JLR Machines'!$A:$A,0)),"2026-06-14")),"2026-06-14")</f>
        <v>2026-06-14</v>
      </c>
      <c r="M152" t="str">
        <f>IF($X152&gt;0,IF($Y152&gt;0,"JLR machine "&amp;$O152&amp;" at "&amp;TEXT($X152,"0.00")&amp;" per hr — build-up as supplied","JLR machine "&amp;$O152&amp;" at "&amp;TEXT($X152,"0.00")&amp;" per hr — build-up not supplied"),"UK composites benchmark Jun 2026. 1200mm × 3000mm production autoclave. CFRP aerospace/auto structures.")</f>
        <v>UK composites benchmark Jun 2026. 1200mm × 3000mm production autoclave. CFRP aerospace/auto structures.</v>
      </c>
      <c r="N152" t="str">
        <v>Medium</v>
      </c>
      <c r="O152" t="str">
        <f>IFERROR(INDEX(Mapping!$C:$C,MATCH($A152,Mapping!$A:$A,0)),"")</f>
        <v/>
      </c>
      <c r="P152">
        <f>IF($O152="",0,COUNTIFS('JLR Machines'!$A:$A,$O152,'JLR Machines'!$C:$C,IF(Settings!$B$2="","&lt;&gt;",Settings!$B$2),'JLR Machines'!$D:$D,IF(Settings!$B$3="","&lt;&gt;",Settings!$B$3)))</f>
        <v>0</v>
      </c>
      <c r="Q152">
        <f>IF($P152&lt;&gt;1,0,SUMIFS('JLR Machines'!$G:$G,'JLR Machines'!$A:$A,$O152,'JLR Machines'!$C:$C,IF(Settings!$B$2="","&lt;&gt;",Settings!$B$2),'JLR Machines'!$D:$D,IF(Settings!$B$3="","&lt;&gt;",Settings!$B$3)))</f>
        <v>0</v>
      </c>
      <c r="R152">
        <f>IF($P152&lt;&gt;1,0,SUMIFS('JLR Machines'!$H:$H,'JLR Machines'!$A:$A,$O152,'JLR Machines'!$C:$C,IF(Settings!$B$2="","&lt;&gt;",Settings!$B$2),'JLR Machines'!$D:$D,IF(Settings!$B$3="","&lt;&gt;",Settings!$B$3)))</f>
        <v>0</v>
      </c>
      <c r="S152">
        <f>IF($P152&lt;&gt;1,0,SUMIFS('JLR Machines'!$I:$I,'JLR Machines'!$A:$A,$O152,'JLR Machines'!$C:$C,IF(Settings!$B$2="","&lt;&gt;",Settings!$B$2),'JLR Machines'!$D:$D,IF(Settings!$B$3="","&lt;&gt;",Settings!$B$3)))</f>
        <v>0</v>
      </c>
      <c r="T152">
        <f>IF($P152&lt;&gt;1,0,SUMIFS('JLR Machines'!$J:$J,'JLR Machines'!$A:$A,$O152,'JLR Machines'!$C:$C,IF(Settings!$B$2="","&lt;&gt;",Settings!$B$2),'JLR Machines'!$D:$D,IF(Settings!$B$3="","&lt;&gt;",Settings!$B$3)))</f>
        <v>0</v>
      </c>
      <c r="U152">
        <f>IF($P152&lt;&gt;1,0,SUMIFS('JLR Machines'!$K:$K,'JLR Machines'!$A:$A,$O152,'JLR Machines'!$C:$C,IF(Settings!$B$2="","&lt;&gt;",Settings!$B$2),'JLR Machines'!$D:$D,IF(Settings!$B$3="","&lt;&gt;",Settings!$B$3)))</f>
        <v>0</v>
      </c>
      <c r="V152">
        <f>IF($P152&lt;&gt;1,0,SUMIFS('JLR Machines'!$L:$L,'JLR Machines'!$A:$A,$O152,'JLR Machines'!$C:$C,IF(Settings!$B$2="","&lt;&gt;",Settings!$B$2),'JLR Machines'!$D:$D,IF(Settings!$B$3="","&lt;&gt;",Settings!$B$3)))</f>
        <v>0</v>
      </c>
      <c r="W152">
        <f>IF($P152&lt;&gt;1,0,SUMIFS('JLR Machines'!$M:$M,'JLR Machines'!$A:$A,$O152,'JLR Machines'!$C:$C,IF(Settings!$B$2="","&lt;&gt;",Settings!$B$2),'JLR Machines'!$D:$D,IF(Settings!$B$3="","&lt;&gt;",Settings!$B$3)))</f>
        <v>0</v>
      </c>
      <c r="X152">
        <f>IF($P152&lt;&gt;1,0,SUMIFS('JLR Machines'!$N:$N,'JLR Machines'!$A:$A,$O152,'JLR Machines'!$C:$C,IF(Settings!$B$2="","&lt;&gt;",Settings!$B$2),'JLR Machines'!$D:$D,IF(Settings!$B$3="","&lt;&gt;",Settings!$B$3)))</f>
        <v>0</v>
      </c>
      <c r="Y152">
        <f>$Q152+$R152+$S152+$T152+$U152+$V152+$W152</f>
        <v>0</v>
      </c>
      <c r="Z152">
        <f>IF($X152&lt;=0,0,ROUND((D152+E152+F152+G152+H152+I152)/2800-$X152,4))</f>
        <v>0</v>
      </c>
    </row>
    <row r="153">
      <c r="A153" t="str">
        <v>oven-composite-cure</v>
      </c>
      <c r="B153" t="str">
        <v>Composite Cure Oven (Fan-Assisted)</v>
      </c>
      <c r="C153" t="str">
        <v>UK</v>
      </c>
      <c r="D153">
        <f>IF($X153&gt;0,IF($Y153&gt;0,MAX(0,$Q153+$X153-$Y153)*3750,$X153*3750),18000)</f>
        <v>18000</v>
      </c>
      <c r="E153">
        <f>IF($X153&gt;0,IF($Y153&gt;0,$S153*3750,0),6000)</f>
        <v>6000</v>
      </c>
      <c r="F153">
        <f>IF($X153&gt;0,IF($Y153&gt;0,$V153*3750,0),30000)</f>
        <v>30000</v>
      </c>
      <c r="G153">
        <f>IF($X153&gt;0,IF($Y153&gt;0,$R153*3750,0),12000)</f>
        <v>12000</v>
      </c>
      <c r="H153">
        <f>IF($X153&gt;0,IF($Y153&gt;0,($T153+$W153)*3750,0),5000)</f>
        <v>5000</v>
      </c>
      <c r="I153">
        <f>IF($X153&gt;0,IF($Y153&gt;0,$U153*3750,0),2250)</f>
        <v>2250</v>
      </c>
      <c r="J153">
        <v>5000</v>
      </c>
      <c r="K153">
        <v>0.75</v>
      </c>
      <c r="L153" t="str">
        <f>IF($X153&gt;0,IF($P153&lt;&gt;1,"2026-06-14",IFERROR(INDEX('JLR Machines'!$D:$D,MATCH($O153,'JLR Machines'!$A:$A,0)),"2026-06-14")),"2026-06-14")</f>
        <v>2026-06-14</v>
      </c>
      <c r="M153" t="str">
        <f>IF($X153&gt;0,IF($Y153&gt;0,"JLR machine "&amp;$O153&amp;" at "&amp;TEXT($X153,"0.00")&amp;" per hr — build-up as supplied","JLR machine "&amp;$O153&amp;" at "&amp;TEXT($X153,"0.00")&amp;" per hr — build-up not supplied"),"UK composites benchmark Jun 2026. Fan-assisted oven cure — prepreg (no autoclave pressure), wet layup post-cure.")</f>
        <v>UK composites benchmark Jun 2026. Fan-assisted oven cure — prepreg (no autoclave pressure), wet layup post-cure.</v>
      </c>
      <c r="N153" t="str">
        <v>Medium</v>
      </c>
      <c r="O153" t="str">
        <f>IFERROR(INDEX(Mapping!$C:$C,MATCH($A153,Mapping!$A:$A,0)),"")</f>
        <v/>
      </c>
      <c r="P153">
        <f>IF($O153="",0,COUNTIFS('JLR Machines'!$A:$A,$O153,'JLR Machines'!$C:$C,IF(Settings!$B$2="","&lt;&gt;",Settings!$B$2),'JLR Machines'!$D:$D,IF(Settings!$B$3="","&lt;&gt;",Settings!$B$3)))</f>
        <v>0</v>
      </c>
      <c r="Q153">
        <f>IF($P153&lt;&gt;1,0,SUMIFS('JLR Machines'!$G:$G,'JLR Machines'!$A:$A,$O153,'JLR Machines'!$C:$C,IF(Settings!$B$2="","&lt;&gt;",Settings!$B$2),'JLR Machines'!$D:$D,IF(Settings!$B$3="","&lt;&gt;",Settings!$B$3)))</f>
        <v>0</v>
      </c>
      <c r="R153">
        <f>IF($P153&lt;&gt;1,0,SUMIFS('JLR Machines'!$H:$H,'JLR Machines'!$A:$A,$O153,'JLR Machines'!$C:$C,IF(Settings!$B$2="","&lt;&gt;",Settings!$B$2),'JLR Machines'!$D:$D,IF(Settings!$B$3="","&lt;&gt;",Settings!$B$3)))</f>
        <v>0</v>
      </c>
      <c r="S153">
        <f>IF($P153&lt;&gt;1,0,SUMIFS('JLR Machines'!$I:$I,'JLR Machines'!$A:$A,$O153,'JLR Machines'!$C:$C,IF(Settings!$B$2="","&lt;&gt;",Settings!$B$2),'JLR Machines'!$D:$D,IF(Settings!$B$3="","&lt;&gt;",Settings!$B$3)))</f>
        <v>0</v>
      </c>
      <c r="T153">
        <f>IF($P153&lt;&gt;1,0,SUMIFS('JLR Machines'!$J:$J,'JLR Machines'!$A:$A,$O153,'JLR Machines'!$C:$C,IF(Settings!$B$2="","&lt;&gt;",Settings!$B$2),'JLR Machines'!$D:$D,IF(Settings!$B$3="","&lt;&gt;",Settings!$B$3)))</f>
        <v>0</v>
      </c>
      <c r="U153">
        <f>IF($P153&lt;&gt;1,0,SUMIFS('JLR Machines'!$K:$K,'JLR Machines'!$A:$A,$O153,'JLR Machines'!$C:$C,IF(Settings!$B$2="","&lt;&gt;",Settings!$B$2),'JLR Machines'!$D:$D,IF(Settings!$B$3="","&lt;&gt;",Settings!$B$3)))</f>
        <v>0</v>
      </c>
      <c r="V153">
        <f>IF($P153&lt;&gt;1,0,SUMIFS('JLR Machines'!$L:$L,'JLR Machines'!$A:$A,$O153,'JLR Machines'!$C:$C,IF(Settings!$B$2="","&lt;&gt;",Settings!$B$2),'JLR Machines'!$D:$D,IF(Settings!$B$3="","&lt;&gt;",Settings!$B$3)))</f>
        <v>0</v>
      </c>
      <c r="W153">
        <f>IF($P153&lt;&gt;1,0,SUMIFS('JLR Machines'!$M:$M,'JLR Machines'!$A:$A,$O153,'JLR Machines'!$C:$C,IF(Settings!$B$2="","&lt;&gt;",Settings!$B$2),'JLR Machines'!$D:$D,IF(Settings!$B$3="","&lt;&gt;",Settings!$B$3)))</f>
        <v>0</v>
      </c>
      <c r="X153">
        <f>IF($P153&lt;&gt;1,0,SUMIFS('JLR Machines'!$N:$N,'JLR Machines'!$A:$A,$O153,'JLR Machines'!$C:$C,IF(Settings!$B$2="","&lt;&gt;",Settings!$B$2),'JLR Machines'!$D:$D,IF(Settings!$B$3="","&lt;&gt;",Settings!$B$3)))</f>
        <v>0</v>
      </c>
      <c r="Y153">
        <f>$Q153+$R153+$S153+$T153+$U153+$V153+$W153</f>
        <v>0</v>
      </c>
      <c r="Z153">
        <f>IF($X153&lt;=0,0,ROUND((D153+E153+F153+G153+H153+I153)/3750-$X153,4))</f>
        <v>0</v>
      </c>
    </row>
    <row r="154">
      <c r="A154" t="str">
        <v>rtm-press-std</v>
      </c>
      <c r="B154" t="str">
        <v>RTM / VARTM Injection Press</v>
      </c>
      <c r="C154" t="str">
        <v>UK</v>
      </c>
      <c r="D154">
        <f>IF($X154&gt;0,IF($Y154&gt;0,MAX(0,$Q154+$X154-$Y154)*2730,$X154*2730),22000)</f>
        <v>22000</v>
      </c>
      <c r="E154">
        <f>IF($X154&gt;0,IF($Y154&gt;0,$S154*2730,0),9000)</f>
        <v>9000</v>
      </c>
      <c r="F154">
        <f>IF($X154&gt;0,IF($Y154&gt;0,$V154*2730,0),12000)</f>
        <v>12000</v>
      </c>
      <c r="G154">
        <f>IF($X154&gt;0,IF($Y154&gt;0,$R154*2730,0),8000)</f>
        <v>8000</v>
      </c>
      <c r="H154">
        <f>IF($X154&gt;0,IF($Y154&gt;0,($T154+$W154)*2730,0),6000)</f>
        <v>6000</v>
      </c>
      <c r="I154">
        <f>IF($X154&gt;0,IF($Y154&gt;0,$U154*2730,0),2750)</f>
        <v>2750</v>
      </c>
      <c r="J154">
        <v>3500</v>
      </c>
      <c r="K154">
        <v>0.78</v>
      </c>
      <c r="L154" t="str">
        <f>IF($X154&gt;0,IF($P154&lt;&gt;1,"2026-06-14",IFERROR(INDEX('JLR Machines'!$D:$D,MATCH($O154,'JLR Machines'!$A:$A,0)),"2026-06-14")),"2026-06-14")</f>
        <v>2026-06-14</v>
      </c>
      <c r="M154" t="str">
        <f>IF($X154&gt;0,IF($Y154&gt;0,"JLR machine "&amp;$O154&amp;" at "&amp;TEXT($X154,"0.00")&amp;" per hr — build-up as supplied","JLR machine "&amp;$O154&amp;" at "&amp;TEXT($X154,"0.00")&amp;" per hr — build-up not supplied"),"UK composites benchmark Jun 2026. Resin Transfer Moulding injection press. Structural automotive CFRP/GFRP.")</f>
        <v>UK composites benchmark Jun 2026. Resin Transfer Moulding injection press. Structural automotive CFRP/GFRP.</v>
      </c>
      <c r="N154" t="str">
        <v>Medium</v>
      </c>
      <c r="O154" t="str">
        <f>IFERROR(INDEX(Mapping!$C:$C,MATCH($A154,Mapping!$A:$A,0)),"")</f>
        <v/>
      </c>
      <c r="P154">
        <f>IF($O154="",0,COUNTIFS('JLR Machines'!$A:$A,$O154,'JLR Machines'!$C:$C,IF(Settings!$B$2="","&lt;&gt;",Settings!$B$2),'JLR Machines'!$D:$D,IF(Settings!$B$3="","&lt;&gt;",Settings!$B$3)))</f>
        <v>0</v>
      </c>
      <c r="Q154">
        <f>IF($P154&lt;&gt;1,0,SUMIFS('JLR Machines'!$G:$G,'JLR Machines'!$A:$A,$O154,'JLR Machines'!$C:$C,IF(Settings!$B$2="","&lt;&gt;",Settings!$B$2),'JLR Machines'!$D:$D,IF(Settings!$B$3="","&lt;&gt;",Settings!$B$3)))</f>
        <v>0</v>
      </c>
      <c r="R154">
        <f>IF($P154&lt;&gt;1,0,SUMIFS('JLR Machines'!$H:$H,'JLR Machines'!$A:$A,$O154,'JLR Machines'!$C:$C,IF(Settings!$B$2="","&lt;&gt;",Settings!$B$2),'JLR Machines'!$D:$D,IF(Settings!$B$3="","&lt;&gt;",Settings!$B$3)))</f>
        <v>0</v>
      </c>
      <c r="S154">
        <f>IF($P154&lt;&gt;1,0,SUMIFS('JLR Machines'!$I:$I,'JLR Machines'!$A:$A,$O154,'JLR Machines'!$C:$C,IF(Settings!$B$2="","&lt;&gt;",Settings!$B$2),'JLR Machines'!$D:$D,IF(Settings!$B$3="","&lt;&gt;",Settings!$B$3)))</f>
        <v>0</v>
      </c>
      <c r="T154">
        <f>IF($P154&lt;&gt;1,0,SUMIFS('JLR Machines'!$J:$J,'JLR Machines'!$A:$A,$O154,'JLR Machines'!$C:$C,IF(Settings!$B$2="","&lt;&gt;",Settings!$B$2),'JLR Machines'!$D:$D,IF(Settings!$B$3="","&lt;&gt;",Settings!$B$3)))</f>
        <v>0</v>
      </c>
      <c r="U154">
        <f>IF($P154&lt;&gt;1,0,SUMIFS('JLR Machines'!$K:$K,'JLR Machines'!$A:$A,$O154,'JLR Machines'!$C:$C,IF(Settings!$B$2="","&lt;&gt;",Settings!$B$2),'JLR Machines'!$D:$D,IF(Settings!$B$3="","&lt;&gt;",Settings!$B$3)))</f>
        <v>0</v>
      </c>
      <c r="V154">
        <f>IF($P154&lt;&gt;1,0,SUMIFS('JLR Machines'!$L:$L,'JLR Machines'!$A:$A,$O154,'JLR Machines'!$C:$C,IF(Settings!$B$2="","&lt;&gt;",Settings!$B$2),'JLR Machines'!$D:$D,IF(Settings!$B$3="","&lt;&gt;",Settings!$B$3)))</f>
        <v>0</v>
      </c>
      <c r="W154">
        <f>IF($P154&lt;&gt;1,0,SUMIFS('JLR Machines'!$M:$M,'JLR Machines'!$A:$A,$O154,'JLR Machines'!$C:$C,IF(Settings!$B$2="","&lt;&gt;",Settings!$B$2),'JLR Machines'!$D:$D,IF(Settings!$B$3="","&lt;&gt;",Settings!$B$3)))</f>
        <v>0</v>
      </c>
      <c r="X154">
        <f>IF($P154&lt;&gt;1,0,SUMIFS('JLR Machines'!$N:$N,'JLR Machines'!$A:$A,$O154,'JLR Machines'!$C:$C,IF(Settings!$B$2="","&lt;&gt;",Settings!$B$2),'JLR Machines'!$D:$D,IF(Settings!$B$3="","&lt;&gt;",Settings!$B$3)))</f>
        <v>0</v>
      </c>
      <c r="Y154">
        <f>$Q154+$R154+$S154+$T154+$U154+$V154+$W154</f>
        <v>0</v>
      </c>
      <c r="Z154">
        <f>IF($X154&lt;=0,0,ROUND((D154+E154+F154+G154+H154+I154)/2730-$X154,4))</f>
        <v>0</v>
      </c>
    </row>
    <row r="155">
      <c r="A155" t="str">
        <v>waterjet-5ax-composite</v>
      </c>
      <c r="B155" t="str">
        <v>5-Axis Waterjet Trim System</v>
      </c>
      <c r="C155" t="str">
        <v>UK</v>
      </c>
      <c r="D155">
        <f>IF($X155&gt;0,IF($Y155&gt;0,MAX(0,$Q155+$X155-$Y155)*3000,$X155*3000),35000)</f>
        <v>35000</v>
      </c>
      <c r="E155">
        <f>IF($X155&gt;0,IF($Y155&gt;0,$S155*3000,0),14000)</f>
        <v>14000</v>
      </c>
      <c r="F155">
        <f>IF($X155&gt;0,IF($Y155&gt;0,$V155*3000,0),20000)</f>
        <v>20000</v>
      </c>
      <c r="G155">
        <f>IF($X155&gt;0,IF($Y155&gt;0,$R155*3000,0),12000)</f>
        <v>12000</v>
      </c>
      <c r="H155">
        <f>IF($X155&gt;0,IF($Y155&gt;0,($T155+$W155)*3000,0),10000)</f>
        <v>10000</v>
      </c>
      <c r="I155">
        <f>IF($X155&gt;0,IF($Y155&gt;0,$U155*3000,0),4375)</f>
        <v>4375</v>
      </c>
      <c r="J155">
        <v>4000</v>
      </c>
      <c r="K155">
        <v>0.75</v>
      </c>
      <c r="L155" t="str">
        <f>IF($X155&gt;0,IF($P155&lt;&gt;1,"2026-06-14",IFERROR(INDEX('JLR Machines'!$D:$D,MATCH($O155,'JLR Machines'!$A:$A,0)),"2026-06-14")),"2026-06-14")</f>
        <v>2026-06-14</v>
      </c>
      <c r="M155" t="str">
        <f>IF($X155&gt;0,IF($Y155&gt;0,"JLR machine "&amp;$O155&amp;" at "&amp;TEXT($X155,"0.00")&amp;" per hr — build-up as supplied","JLR machine "&amp;$O155&amp;" at "&amp;TEXT($X155,"0.00")&amp;" per hr — build-up not supplied"),"UK composites benchmark Jun 2026. 5-axis waterjet trim/drill for CFRP panels. 380 MPa, 0.4mm orifice.")</f>
        <v>UK composites benchmark Jun 2026. 5-axis waterjet trim/drill for CFRP panels. 380 MPa, 0.4mm orifice.</v>
      </c>
      <c r="N155" t="str">
        <v>Medium</v>
      </c>
      <c r="O155" t="str">
        <f>IFERROR(INDEX(Mapping!$C:$C,MATCH($A155,Mapping!$A:$A,0)),"")</f>
        <v/>
      </c>
      <c r="P155">
        <f>IF($O155="",0,COUNTIFS('JLR Machines'!$A:$A,$O155,'JLR Machines'!$C:$C,IF(Settings!$B$2="","&lt;&gt;",Settings!$B$2),'JLR Machines'!$D:$D,IF(Settings!$B$3="","&lt;&gt;",Settings!$B$3)))</f>
        <v>0</v>
      </c>
      <c r="Q155">
        <f>IF($P155&lt;&gt;1,0,SUMIFS('JLR Machines'!$G:$G,'JLR Machines'!$A:$A,$O155,'JLR Machines'!$C:$C,IF(Settings!$B$2="","&lt;&gt;",Settings!$B$2),'JLR Machines'!$D:$D,IF(Settings!$B$3="","&lt;&gt;",Settings!$B$3)))</f>
        <v>0</v>
      </c>
      <c r="R155">
        <f>IF($P155&lt;&gt;1,0,SUMIFS('JLR Machines'!$H:$H,'JLR Machines'!$A:$A,$O155,'JLR Machines'!$C:$C,IF(Settings!$B$2="","&lt;&gt;",Settings!$B$2),'JLR Machines'!$D:$D,IF(Settings!$B$3="","&lt;&gt;",Settings!$B$3)))</f>
        <v>0</v>
      </c>
      <c r="S155">
        <f>IF($P155&lt;&gt;1,0,SUMIFS('JLR Machines'!$I:$I,'JLR Machines'!$A:$A,$O155,'JLR Machines'!$C:$C,IF(Settings!$B$2="","&lt;&gt;",Settings!$B$2),'JLR Machines'!$D:$D,IF(Settings!$B$3="","&lt;&gt;",Settings!$B$3)))</f>
        <v>0</v>
      </c>
      <c r="T155">
        <f>IF($P155&lt;&gt;1,0,SUMIFS('JLR Machines'!$J:$J,'JLR Machines'!$A:$A,$O155,'JLR Machines'!$C:$C,IF(Settings!$B$2="","&lt;&gt;",Settings!$B$2),'JLR Machines'!$D:$D,IF(Settings!$B$3="","&lt;&gt;",Settings!$B$3)))</f>
        <v>0</v>
      </c>
      <c r="U155">
        <f>IF($P155&lt;&gt;1,0,SUMIFS('JLR Machines'!$K:$K,'JLR Machines'!$A:$A,$O155,'JLR Machines'!$C:$C,IF(Settings!$B$2="","&lt;&gt;",Settings!$B$2),'JLR Machines'!$D:$D,IF(Settings!$B$3="","&lt;&gt;",Settings!$B$3)))</f>
        <v>0</v>
      </c>
      <c r="V155">
        <f>IF($P155&lt;&gt;1,0,SUMIFS('JLR Machines'!$L:$L,'JLR Machines'!$A:$A,$O155,'JLR Machines'!$C:$C,IF(Settings!$B$2="","&lt;&gt;",Settings!$B$2),'JLR Machines'!$D:$D,IF(Settings!$B$3="","&lt;&gt;",Settings!$B$3)))</f>
        <v>0</v>
      </c>
      <c r="W155">
        <f>IF($P155&lt;&gt;1,0,SUMIFS('JLR Machines'!$M:$M,'JLR Machines'!$A:$A,$O155,'JLR Machines'!$C:$C,IF(Settings!$B$2="","&lt;&gt;",Settings!$B$2),'JLR Machines'!$D:$D,IF(Settings!$B$3="","&lt;&gt;",Settings!$B$3)))</f>
        <v>0</v>
      </c>
      <c r="X155">
        <f>IF($P155&lt;&gt;1,0,SUMIFS('JLR Machines'!$N:$N,'JLR Machines'!$A:$A,$O155,'JLR Machines'!$C:$C,IF(Settings!$B$2="","&lt;&gt;",Settings!$B$2),'JLR Machines'!$D:$D,IF(Settings!$B$3="","&lt;&gt;",Settings!$B$3)))</f>
        <v>0</v>
      </c>
      <c r="Y155">
        <f>$Q155+$R155+$S155+$T155+$U155+$V155+$W155</f>
        <v>0</v>
      </c>
      <c r="Z155">
        <f>IF($X155&lt;=0,0,ROUND((D155+E155+F155+G155+H155+I155)/3000-$X155,4))</f>
        <v>0</v>
      </c>
    </row>
    <row r="156">
      <c r="A156" t="str">
        <v>mach-afp-atl</v>
      </c>
      <c r="B156" t="str">
        <v>AFP/ATL Composite Cell</v>
      </c>
      <c r="C156" t="str">
        <v>UK</v>
      </c>
      <c r="D156">
        <f>IF($X156&gt;0,IF($Y156&gt;0,MAX(0,$Q156+$X156-$Y156)*2800,$X156*2800),420000)</f>
        <v>420000</v>
      </c>
      <c r="E156">
        <f>IF($X156&gt;0,IF($Y156&gt;0,$S156*2800,0),160000)</f>
        <v>160000</v>
      </c>
      <c r="F156">
        <f>IF($X156&gt;0,IF($Y156&gt;0,$V156*2800,0),80000)</f>
        <v>80000</v>
      </c>
      <c r="G156">
        <f>IF($X156&gt;0,IF($Y156&gt;0,$R156*2800,0),40000)</f>
        <v>40000</v>
      </c>
      <c r="H156">
        <f>IF($X156&gt;0,IF($Y156&gt;0,($T156+$W156)*2800,0),60000)</f>
        <v>60000</v>
      </c>
      <c r="I156">
        <f>IF($X156&gt;0,IF($Y156&gt;0,$U156*2800,0),24000)</f>
        <v>24000</v>
      </c>
      <c r="J156">
        <v>4000</v>
      </c>
      <c r="K156">
        <v>0.7</v>
      </c>
      <c r="L156" t="str">
        <f>IF($X156&gt;0,IF($P156&lt;&gt;1,"2026-06-14",IFERROR(INDEX('JLR Machines'!$D:$D,MATCH($O156,'JLR Machines'!$A:$A,0)),"2026-06-14")),"2026-06-14")</f>
        <v>2026-06-14</v>
      </c>
      <c r="M156" t="str">
        <f>IF($X156&gt;0,IF($Y156&gt;0,"JLR machine "&amp;$O156&amp;" at "&amp;TEXT($X156,"0.00")&amp;" per hr — build-up as supplied","JLR machine "&amp;$O156&amp;" at "&amp;TEXT($X156,"0.00")&amp;" per hr — build-up not supplied"),"Automated Fibre/Tape Placement cell. Rate includes robot, gantry, head, NC software, maintenance. Setup: 4.0 hr. UK composites benchmark Jun 2026.")</f>
        <v>Automated Fibre/Tape Placement cell. Rate includes robot, gantry, head, NC software, maintenance. Setup: 4.0 hr. UK composites benchmark Jun 2026.</v>
      </c>
      <c r="N156" t="str">
        <v>Medium</v>
      </c>
      <c r="O156" t="str">
        <f>IFERROR(INDEX(Mapping!$C:$C,MATCH($A156,Mapping!$A:$A,0)),"")</f>
        <v/>
      </c>
      <c r="P156">
        <f>IF($O156="",0,COUNTIFS('JLR Machines'!$A:$A,$O156,'JLR Machines'!$C:$C,IF(Settings!$B$2="","&lt;&gt;",Settings!$B$2),'JLR Machines'!$D:$D,IF(Settings!$B$3="","&lt;&gt;",Settings!$B$3)))</f>
        <v>0</v>
      </c>
      <c r="Q156">
        <f>IF($P156&lt;&gt;1,0,SUMIFS('JLR Machines'!$G:$G,'JLR Machines'!$A:$A,$O156,'JLR Machines'!$C:$C,IF(Settings!$B$2="","&lt;&gt;",Settings!$B$2),'JLR Machines'!$D:$D,IF(Settings!$B$3="","&lt;&gt;",Settings!$B$3)))</f>
        <v>0</v>
      </c>
      <c r="R156">
        <f>IF($P156&lt;&gt;1,0,SUMIFS('JLR Machines'!$H:$H,'JLR Machines'!$A:$A,$O156,'JLR Machines'!$C:$C,IF(Settings!$B$2="","&lt;&gt;",Settings!$B$2),'JLR Machines'!$D:$D,IF(Settings!$B$3="","&lt;&gt;",Settings!$B$3)))</f>
        <v>0</v>
      </c>
      <c r="S156">
        <f>IF($P156&lt;&gt;1,0,SUMIFS('JLR Machines'!$I:$I,'JLR Machines'!$A:$A,$O156,'JLR Machines'!$C:$C,IF(Settings!$B$2="","&lt;&gt;",Settings!$B$2),'JLR Machines'!$D:$D,IF(Settings!$B$3="","&lt;&gt;",Settings!$B$3)))</f>
        <v>0</v>
      </c>
      <c r="T156">
        <f>IF($P156&lt;&gt;1,0,SUMIFS('JLR Machines'!$J:$J,'JLR Machines'!$A:$A,$O156,'JLR Machines'!$C:$C,IF(Settings!$B$2="","&lt;&gt;",Settings!$B$2),'JLR Machines'!$D:$D,IF(Settings!$B$3="","&lt;&gt;",Settings!$B$3)))</f>
        <v>0</v>
      </c>
      <c r="U156">
        <f>IF($P156&lt;&gt;1,0,SUMIFS('JLR Machines'!$K:$K,'JLR Machines'!$A:$A,$O156,'JLR Machines'!$C:$C,IF(Settings!$B$2="","&lt;&gt;",Settings!$B$2),'JLR Machines'!$D:$D,IF(Settings!$B$3="","&lt;&gt;",Settings!$B$3)))</f>
        <v>0</v>
      </c>
      <c r="V156">
        <f>IF($P156&lt;&gt;1,0,SUMIFS('JLR Machines'!$L:$L,'JLR Machines'!$A:$A,$O156,'JLR Machines'!$C:$C,IF(Settings!$B$2="","&lt;&gt;",Settings!$B$2),'JLR Machines'!$D:$D,IF(Settings!$B$3="","&lt;&gt;",Settings!$B$3)))</f>
        <v>0</v>
      </c>
      <c r="W156">
        <f>IF($P156&lt;&gt;1,0,SUMIFS('JLR Machines'!$M:$M,'JLR Machines'!$A:$A,$O156,'JLR Machines'!$C:$C,IF(Settings!$B$2="","&lt;&gt;",Settings!$B$2),'JLR Machines'!$D:$D,IF(Settings!$B$3="","&lt;&gt;",Settings!$B$3)))</f>
        <v>0</v>
      </c>
      <c r="X156">
        <f>IF($P156&lt;&gt;1,0,SUMIFS('JLR Machines'!$N:$N,'JLR Machines'!$A:$A,$O156,'JLR Machines'!$C:$C,IF(Settings!$B$2="","&lt;&gt;",Settings!$B$2),'JLR Machines'!$D:$D,IF(Settings!$B$3="","&lt;&gt;",Settings!$B$3)))</f>
        <v>0</v>
      </c>
      <c r="Y156">
        <f>$Q156+$R156+$S156+$T156+$U156+$V156+$W156</f>
        <v>0</v>
      </c>
      <c r="Z156">
        <f>IF($X156&lt;=0,0,ROUND((D156+E156+F156+G156+H156+I156)/2800-$X156,4))</f>
        <v>0</v>
      </c>
    </row>
    <row r="157">
      <c r="A157" t="str">
        <v>harness-test-sys</v>
      </c>
      <c r="B157" t="str">
        <v>Electrical Harness Test System (Continuity + HiPot)</v>
      </c>
      <c r="C157" t="str">
        <v>UK</v>
      </c>
      <c r="D157">
        <f>IF($X157&gt;0,IF($Y157&gt;0,MAX(0,$Q157+$X157-$Y157)*3200,$X157*3200),18000)</f>
        <v>18000</v>
      </c>
      <c r="E157">
        <f>IF($X157&gt;0,IF($Y157&gt;0,$S157*3200,0),5000)</f>
        <v>5000</v>
      </c>
      <c r="F157">
        <f>IF($X157&gt;0,IF($Y157&gt;0,$V157*3200,0),3000)</f>
        <v>3000</v>
      </c>
      <c r="G157">
        <f>IF($X157&gt;0,IF($Y157&gt;0,$R157*3200,0),4000)</f>
        <v>4000</v>
      </c>
      <c r="H157">
        <f>IF($X157&gt;0,IF($Y157&gt;0,($T157+$W157)*3200,0),5000)</f>
        <v>5000</v>
      </c>
      <c r="I157">
        <f>IF($X157&gt;0,IF($Y157&gt;0,$U157*3200,0),2250)</f>
        <v>2250</v>
      </c>
      <c r="J157">
        <v>4000</v>
      </c>
      <c r="K157">
        <v>0.8</v>
      </c>
      <c r="L157" t="str">
        <f>IF($X157&gt;0,IF($P157&lt;&gt;1,"2026-06-14",IFERROR(INDEX('JLR Machines'!$D:$D,MATCH($O157,'JLR Machines'!$A:$A,0)),"2026-06-14")),"2026-06-14")</f>
        <v>2026-06-14</v>
      </c>
      <c r="M157" t="str">
        <f>IF($X157&gt;0,IF($Y157&gt;0,"JLR machine "&amp;$O157&amp;" at "&amp;TEXT($X157,"0.00")&amp;" per hr — build-up as supplied","JLR machine "&amp;$O157&amp;" at "&amp;TEXT($X157,"0.00")&amp;" per hr — build-up not supplied"),"UK harness benchmark Jun 2026. Automated electrical test: continuity, insulation resistance, HiPot. IATF-compliant.")</f>
        <v>UK harness benchmark Jun 2026. Automated electrical test: continuity, insulation resistance, HiPot. IATF-compliant.</v>
      </c>
      <c r="N157" t="str">
        <v>Medium</v>
      </c>
      <c r="O157" t="str">
        <f>IFERROR(INDEX(Mapping!$C:$C,MATCH($A157,Mapping!$A:$A,0)),"")</f>
        <v/>
      </c>
      <c r="P157">
        <f>IF($O157="",0,COUNTIFS('JLR Machines'!$A:$A,$O157,'JLR Machines'!$C:$C,IF(Settings!$B$2="","&lt;&gt;",Settings!$B$2),'JLR Machines'!$D:$D,IF(Settings!$B$3="","&lt;&gt;",Settings!$B$3)))</f>
        <v>0</v>
      </c>
      <c r="Q157">
        <f>IF($P157&lt;&gt;1,0,SUMIFS('JLR Machines'!$G:$G,'JLR Machines'!$A:$A,$O157,'JLR Machines'!$C:$C,IF(Settings!$B$2="","&lt;&gt;",Settings!$B$2),'JLR Machines'!$D:$D,IF(Settings!$B$3="","&lt;&gt;",Settings!$B$3)))</f>
        <v>0</v>
      </c>
      <c r="R157">
        <f>IF($P157&lt;&gt;1,0,SUMIFS('JLR Machines'!$H:$H,'JLR Machines'!$A:$A,$O157,'JLR Machines'!$C:$C,IF(Settings!$B$2="","&lt;&gt;",Settings!$B$2),'JLR Machines'!$D:$D,IF(Settings!$B$3="","&lt;&gt;",Settings!$B$3)))</f>
        <v>0</v>
      </c>
      <c r="S157">
        <f>IF($P157&lt;&gt;1,0,SUMIFS('JLR Machines'!$I:$I,'JLR Machines'!$A:$A,$O157,'JLR Machines'!$C:$C,IF(Settings!$B$2="","&lt;&gt;",Settings!$B$2),'JLR Machines'!$D:$D,IF(Settings!$B$3="","&lt;&gt;",Settings!$B$3)))</f>
        <v>0</v>
      </c>
      <c r="T157">
        <f>IF($P157&lt;&gt;1,0,SUMIFS('JLR Machines'!$J:$J,'JLR Machines'!$A:$A,$O157,'JLR Machines'!$C:$C,IF(Settings!$B$2="","&lt;&gt;",Settings!$B$2),'JLR Machines'!$D:$D,IF(Settings!$B$3="","&lt;&gt;",Settings!$B$3)))</f>
        <v>0</v>
      </c>
      <c r="U157">
        <f>IF($P157&lt;&gt;1,0,SUMIFS('JLR Machines'!$K:$K,'JLR Machines'!$A:$A,$O157,'JLR Machines'!$C:$C,IF(Settings!$B$2="","&lt;&gt;",Settings!$B$2),'JLR Machines'!$D:$D,IF(Settings!$B$3="","&lt;&gt;",Settings!$B$3)))</f>
        <v>0</v>
      </c>
      <c r="V157">
        <f>IF($P157&lt;&gt;1,0,SUMIFS('JLR Machines'!$L:$L,'JLR Machines'!$A:$A,$O157,'JLR Machines'!$C:$C,IF(Settings!$B$2="","&lt;&gt;",Settings!$B$2),'JLR Machines'!$D:$D,IF(Settings!$B$3="","&lt;&gt;",Settings!$B$3)))</f>
        <v>0</v>
      </c>
      <c r="W157">
        <f>IF($P157&lt;&gt;1,0,SUMIFS('JLR Machines'!$M:$M,'JLR Machines'!$A:$A,$O157,'JLR Machines'!$C:$C,IF(Settings!$B$2="","&lt;&gt;",Settings!$B$2),'JLR Machines'!$D:$D,IF(Settings!$B$3="","&lt;&gt;",Settings!$B$3)))</f>
        <v>0</v>
      </c>
      <c r="X157">
        <f>IF($P157&lt;&gt;1,0,SUMIFS('JLR Machines'!$N:$N,'JLR Machines'!$A:$A,$O157,'JLR Machines'!$C:$C,IF(Settings!$B$2="","&lt;&gt;",Settings!$B$2),'JLR Machines'!$D:$D,IF(Settings!$B$3="","&lt;&gt;",Settings!$B$3)))</f>
        <v>0</v>
      </c>
      <c r="Y157">
        <f>$Q157+$R157+$S157+$T157+$U157+$V157+$W157</f>
        <v>0</v>
      </c>
      <c r="Z157">
        <f>IF($X157&lt;=0,0,ROUND((D157+E157+F157+G157+H157+I157)/3200-$X157,4))</f>
        <v>0</v>
      </c>
    </row>
    <row r="158">
      <c r="A158" t="str">
        <v>mach-vmc3-cn</v>
      </c>
      <c r="B158" t="str">
        <v>VMC 3-axis CNC (China)</v>
      </c>
      <c r="C158" t="str">
        <v>CN</v>
      </c>
      <c r="D158">
        <f>IF($X158&gt;0,IF($Y158&gt;0,MAX(0,$Q158+$X158-$Y158)*3400,$X158*3400),22000)</f>
        <v>22000</v>
      </c>
      <c r="E158">
        <f>IF($X158&gt;0,IF($Y158&gt;0,$S158*3400,0),2400)</f>
        <v>2400</v>
      </c>
      <c r="F158">
        <f>IF($X158&gt;0,IF($Y158&gt;0,$V158*3400,0),1300)</f>
        <v>1300</v>
      </c>
      <c r="G158">
        <f>IF($X158&gt;0,IF($Y158&gt;0,$R158*3400,0),525)</f>
        <v>525</v>
      </c>
      <c r="H158">
        <f>IF($X158&gt;0,IF($Y158&gt;0,($T158+$W158)*3400,0),2250)</f>
        <v>2250</v>
      </c>
      <c r="I158">
        <f>IF($X158&gt;0,IF($Y158&gt;0,$U158*3400,0),5850)</f>
        <v>5850</v>
      </c>
      <c r="J158">
        <v>4000</v>
      </c>
      <c r="K158">
        <v>0.85</v>
      </c>
      <c r="L158" t="str">
        <f>IF($X158&gt;0,IF($P158&lt;&gt;1,"2026-06-14",IFERROR(INDEX('JLR Machines'!$D:$D,MATCH($O158,'JLR Machines'!$A:$A,0)),"2026-06-14")),"2026-06-14")</f>
        <v>2026-06-14</v>
      </c>
      <c r="M158" t="str">
        <f>IF($X158&gt;0,IF($Y158&gt;0,"JLR machine "&amp;$O158&amp;" at "&amp;TEXT($X158,"0.00")&amp;" per hr — build-up as supplied","JLR machine "&amp;$O158&amp;" at "&amp;TEXT($X158,"0.00")&amp;" per hr — build-up not supplied"),"China CNC machining benchmark. 3-axis VMC, Jiangsu/Guangdong region. Jun 2026")</f>
        <v>China CNC machining benchmark. 3-axis VMC, Jiangsu/Guangdong region. Jun 2026</v>
      </c>
      <c r="N158" t="str">
        <v>Medium</v>
      </c>
      <c r="O158" t="str">
        <f>IFERROR(INDEX(Mapping!$C:$C,MATCH($A158,Mapping!$A:$A,0)),"")</f>
        <v/>
      </c>
      <c r="P158">
        <f>IF($O158="",0,COUNTIFS('JLR Machines'!$A:$A,$O158,'JLR Machines'!$C:$C,IF(Settings!$B$2="","&lt;&gt;",Settings!$B$2),'JLR Machines'!$D:$D,IF(Settings!$B$3="","&lt;&gt;",Settings!$B$3)))</f>
        <v>0</v>
      </c>
      <c r="Q158">
        <f>IF($P158&lt;&gt;1,0,SUMIFS('JLR Machines'!$G:$G,'JLR Machines'!$A:$A,$O158,'JLR Machines'!$C:$C,IF(Settings!$B$2="","&lt;&gt;",Settings!$B$2),'JLR Machines'!$D:$D,IF(Settings!$B$3="","&lt;&gt;",Settings!$B$3)))</f>
        <v>0</v>
      </c>
      <c r="R158">
        <f>IF($P158&lt;&gt;1,0,SUMIFS('JLR Machines'!$H:$H,'JLR Machines'!$A:$A,$O158,'JLR Machines'!$C:$C,IF(Settings!$B$2="","&lt;&gt;",Settings!$B$2),'JLR Machines'!$D:$D,IF(Settings!$B$3="","&lt;&gt;",Settings!$B$3)))</f>
        <v>0</v>
      </c>
      <c r="S158">
        <f>IF($P158&lt;&gt;1,0,SUMIFS('JLR Machines'!$I:$I,'JLR Machines'!$A:$A,$O158,'JLR Machines'!$C:$C,IF(Settings!$B$2="","&lt;&gt;",Settings!$B$2),'JLR Machines'!$D:$D,IF(Settings!$B$3="","&lt;&gt;",Settings!$B$3)))</f>
        <v>0</v>
      </c>
      <c r="T158">
        <f>IF($P158&lt;&gt;1,0,SUMIFS('JLR Machines'!$J:$J,'JLR Machines'!$A:$A,$O158,'JLR Machines'!$C:$C,IF(Settings!$B$2="","&lt;&gt;",Settings!$B$2),'JLR Machines'!$D:$D,IF(Settings!$B$3="","&lt;&gt;",Settings!$B$3)))</f>
        <v>0</v>
      </c>
      <c r="U158">
        <f>IF($P158&lt;&gt;1,0,SUMIFS('JLR Machines'!$K:$K,'JLR Machines'!$A:$A,$O158,'JLR Machines'!$C:$C,IF(Settings!$B$2="","&lt;&gt;",Settings!$B$2),'JLR Machines'!$D:$D,IF(Settings!$B$3="","&lt;&gt;",Settings!$B$3)))</f>
        <v>0</v>
      </c>
      <c r="V158">
        <f>IF($P158&lt;&gt;1,0,SUMIFS('JLR Machines'!$L:$L,'JLR Machines'!$A:$A,$O158,'JLR Machines'!$C:$C,IF(Settings!$B$2="","&lt;&gt;",Settings!$B$2),'JLR Machines'!$D:$D,IF(Settings!$B$3="","&lt;&gt;",Settings!$B$3)))</f>
        <v>0</v>
      </c>
      <c r="W158">
        <f>IF($P158&lt;&gt;1,0,SUMIFS('JLR Machines'!$M:$M,'JLR Machines'!$A:$A,$O158,'JLR Machines'!$C:$C,IF(Settings!$B$2="","&lt;&gt;",Settings!$B$2),'JLR Machines'!$D:$D,IF(Settings!$B$3="","&lt;&gt;",Settings!$B$3)))</f>
        <v>0</v>
      </c>
      <c r="X158">
        <f>IF($P158&lt;&gt;1,0,SUMIFS('JLR Machines'!$N:$N,'JLR Machines'!$A:$A,$O158,'JLR Machines'!$C:$C,IF(Settings!$B$2="","&lt;&gt;",Settings!$B$2),'JLR Machines'!$D:$D,IF(Settings!$B$3="","&lt;&gt;",Settings!$B$3)))</f>
        <v>0</v>
      </c>
      <c r="Y158">
        <f>$Q158+$R158+$S158+$T158+$U158+$V158+$W158</f>
        <v>0</v>
      </c>
      <c r="Z158">
        <f>IF($X158&lt;=0,0,ROUND((D158+E158+F158+G158+H158+I158)/3400-$X158,4))</f>
        <v>0</v>
      </c>
    </row>
    <row r="159">
      <c r="A159" t="str">
        <v>mach-vmc3-in</v>
      </c>
      <c r="B159" t="str">
        <v>VMC 3-axis CNC (India)</v>
      </c>
      <c r="C159" t="str">
        <v>IN</v>
      </c>
      <c r="D159">
        <f>IF($X159&gt;0,IF($Y159&gt;0,MAX(0,$Q159+$X159-$Y159)*3400,$X159*3400),22000)</f>
        <v>22000</v>
      </c>
      <c r="E159">
        <f>IF($X159&gt;0,IF($Y159&gt;0,$S159*3400,0),2000)</f>
        <v>2000</v>
      </c>
      <c r="F159">
        <f>IF($X159&gt;0,IF($Y159&gt;0,$V159*3400,0),1750)</f>
        <v>1750</v>
      </c>
      <c r="G159">
        <f>IF($X159&gt;0,IF($Y159&gt;0,$R159*3400,0),350)</f>
        <v>350</v>
      </c>
      <c r="H159">
        <f>IF($X159&gt;0,IF($Y159&gt;0,($T159+$W159)*3400,0),1500)</f>
        <v>1500</v>
      </c>
      <c r="I159">
        <f>IF($X159&gt;0,IF($Y159&gt;0,$U159*3400,0),5850)</f>
        <v>5850</v>
      </c>
      <c r="J159">
        <v>4000</v>
      </c>
      <c r="K159">
        <v>0.85</v>
      </c>
      <c r="L159" t="str">
        <f>IF($X159&gt;0,IF($P159&lt;&gt;1,"2026-06-14",IFERROR(INDEX('JLR Machines'!$D:$D,MATCH($O159,'JLR Machines'!$A:$A,0)),"2026-06-14")),"2026-06-14")</f>
        <v>2026-06-14</v>
      </c>
      <c r="M159" t="str">
        <f>IF($X159&gt;0,IF($Y159&gt;0,"JLR machine "&amp;$O159&amp;" at "&amp;TEXT($X159,"0.00")&amp;" per hr — build-up as supplied","JLR machine "&amp;$O159&amp;" at "&amp;TEXT($X159,"0.00")&amp;" per hr — build-up not supplied"),"India CNC machining benchmark. Pune/Chennai corridor. Jun 2026")</f>
        <v>India CNC machining benchmark. Pune/Chennai corridor. Jun 2026</v>
      </c>
      <c r="N159" t="str">
        <v>Medium</v>
      </c>
      <c r="O159" t="str">
        <f>IFERROR(INDEX(Mapping!$C:$C,MATCH($A159,Mapping!$A:$A,0)),"")</f>
        <v/>
      </c>
      <c r="P159">
        <f>IF($O159="",0,COUNTIFS('JLR Machines'!$A:$A,$O159,'JLR Machines'!$C:$C,IF(Settings!$B$2="","&lt;&gt;",Settings!$B$2),'JLR Machines'!$D:$D,IF(Settings!$B$3="","&lt;&gt;",Settings!$B$3)))</f>
        <v>0</v>
      </c>
      <c r="Q159">
        <f>IF($P159&lt;&gt;1,0,SUMIFS('JLR Machines'!$G:$G,'JLR Machines'!$A:$A,$O159,'JLR Machines'!$C:$C,IF(Settings!$B$2="","&lt;&gt;",Settings!$B$2),'JLR Machines'!$D:$D,IF(Settings!$B$3="","&lt;&gt;",Settings!$B$3)))</f>
        <v>0</v>
      </c>
      <c r="R159">
        <f>IF($P159&lt;&gt;1,0,SUMIFS('JLR Machines'!$H:$H,'JLR Machines'!$A:$A,$O159,'JLR Machines'!$C:$C,IF(Settings!$B$2="","&lt;&gt;",Settings!$B$2),'JLR Machines'!$D:$D,IF(Settings!$B$3="","&lt;&gt;",Settings!$B$3)))</f>
        <v>0</v>
      </c>
      <c r="S159">
        <f>IF($P159&lt;&gt;1,0,SUMIFS('JLR Machines'!$I:$I,'JLR Machines'!$A:$A,$O159,'JLR Machines'!$C:$C,IF(Settings!$B$2="","&lt;&gt;",Settings!$B$2),'JLR Machines'!$D:$D,IF(Settings!$B$3="","&lt;&gt;",Settings!$B$3)))</f>
        <v>0</v>
      </c>
      <c r="T159">
        <f>IF($P159&lt;&gt;1,0,SUMIFS('JLR Machines'!$J:$J,'JLR Machines'!$A:$A,$O159,'JLR Machines'!$C:$C,IF(Settings!$B$2="","&lt;&gt;",Settings!$B$2),'JLR Machines'!$D:$D,IF(Settings!$B$3="","&lt;&gt;",Settings!$B$3)))</f>
        <v>0</v>
      </c>
      <c r="U159">
        <f>IF($P159&lt;&gt;1,0,SUMIFS('JLR Machines'!$K:$K,'JLR Machines'!$A:$A,$O159,'JLR Machines'!$C:$C,IF(Settings!$B$2="","&lt;&gt;",Settings!$B$2),'JLR Machines'!$D:$D,IF(Settings!$B$3="","&lt;&gt;",Settings!$B$3)))</f>
        <v>0</v>
      </c>
      <c r="V159">
        <f>IF($P159&lt;&gt;1,0,SUMIFS('JLR Machines'!$L:$L,'JLR Machines'!$A:$A,$O159,'JLR Machines'!$C:$C,IF(Settings!$B$2="","&lt;&gt;",Settings!$B$2),'JLR Machines'!$D:$D,IF(Settings!$B$3="","&lt;&gt;",Settings!$B$3)))</f>
        <v>0</v>
      </c>
      <c r="W159">
        <f>IF($P159&lt;&gt;1,0,SUMIFS('JLR Machines'!$M:$M,'JLR Machines'!$A:$A,$O159,'JLR Machines'!$C:$C,IF(Settings!$B$2="","&lt;&gt;",Settings!$B$2),'JLR Machines'!$D:$D,IF(Settings!$B$3="","&lt;&gt;",Settings!$B$3)))</f>
        <v>0</v>
      </c>
      <c r="X159">
        <f>IF($P159&lt;&gt;1,0,SUMIFS('JLR Machines'!$N:$N,'JLR Machines'!$A:$A,$O159,'JLR Machines'!$C:$C,IF(Settings!$B$2="","&lt;&gt;",Settings!$B$2),'JLR Machines'!$D:$D,IF(Settings!$B$3="","&lt;&gt;",Settings!$B$3)))</f>
        <v>0</v>
      </c>
      <c r="Y159">
        <f>$Q159+$R159+$S159+$T159+$U159+$V159+$W159</f>
        <v>0</v>
      </c>
      <c r="Z159">
        <f>IF($X159&lt;=0,0,ROUND((D159+E159+F159+G159+H159+I159)/3400-$X159,4))</f>
        <v>0</v>
      </c>
    </row>
    <row r="160">
      <c r="A160" t="str">
        <v>mach-vmc3-de</v>
      </c>
      <c r="B160" t="str">
        <v>VMC 3-axis CNC (Germany)</v>
      </c>
      <c r="C160" t="str">
        <v>DE</v>
      </c>
      <c r="D160">
        <f>IF($X160&gt;0,IF($Y160&gt;0,MAX(0,$Q160+$X160-$Y160)*3480,$X160*3480),22000)</f>
        <v>22000</v>
      </c>
      <c r="E160">
        <f>IF($X160&gt;0,IF($Y160&gt;0,$S160*3480,0),11200)</f>
        <v>11200</v>
      </c>
      <c r="F160">
        <f>IF($X160&gt;0,IF($Y160&gt;0,$V160*3480,0),4350)</f>
        <v>4350</v>
      </c>
      <c r="G160">
        <f>IF($X160&gt;0,IF($Y160&gt;0,$R160*3480,0),2800)</f>
        <v>2800</v>
      </c>
      <c r="H160">
        <f>IF($X160&gt;0,IF($Y160&gt;0,($T160+$W160)*3480,0),10500)</f>
        <v>10500</v>
      </c>
      <c r="I160">
        <f>IF($X160&gt;0,IF($Y160&gt;0,$U160*3480,0),5850)</f>
        <v>5850</v>
      </c>
      <c r="J160">
        <v>4000</v>
      </c>
      <c r="K160">
        <v>0.87</v>
      </c>
      <c r="L160" t="str">
        <f>IF($X160&gt;0,IF($P160&lt;&gt;1,"2026-06-14",IFERROR(INDEX('JLR Machines'!$D:$D,MATCH($O160,'JLR Machines'!$A:$A,0)),"2026-06-14")),"2026-06-14")</f>
        <v>2026-06-14</v>
      </c>
      <c r="M160" t="str">
        <f>IF($X160&gt;0,IF($Y160&gt;0,"JLR machine "&amp;$O160&amp;" at "&amp;TEXT($X160,"0.00")&amp;" per hr — build-up as supplied","JLR machine "&amp;$O160&amp;" at "&amp;TEXT($X160,"0.00")&amp;" per hr — build-up not supplied"),"Germany precision machining benchmark. Baden-Württemberg. Jun 2026")</f>
        <v>Germany precision machining benchmark. Baden-Württemberg. Jun 2026</v>
      </c>
      <c r="N160" t="str">
        <v>Medium</v>
      </c>
      <c r="O160" t="str">
        <f>IFERROR(INDEX(Mapping!$C:$C,MATCH($A160,Mapping!$A:$A,0)),"")</f>
        <v/>
      </c>
      <c r="P160">
        <f>IF($O160="",0,COUNTIFS('JLR Machines'!$A:$A,$O160,'JLR Machines'!$C:$C,IF(Settings!$B$2="","&lt;&gt;",Settings!$B$2),'JLR Machines'!$D:$D,IF(Settings!$B$3="","&lt;&gt;",Settings!$B$3)))</f>
        <v>0</v>
      </c>
      <c r="Q160">
        <f>IF($P160&lt;&gt;1,0,SUMIFS('JLR Machines'!$G:$G,'JLR Machines'!$A:$A,$O160,'JLR Machines'!$C:$C,IF(Settings!$B$2="","&lt;&gt;",Settings!$B$2),'JLR Machines'!$D:$D,IF(Settings!$B$3="","&lt;&gt;",Settings!$B$3)))</f>
        <v>0</v>
      </c>
      <c r="R160">
        <f>IF($P160&lt;&gt;1,0,SUMIFS('JLR Machines'!$H:$H,'JLR Machines'!$A:$A,$O160,'JLR Machines'!$C:$C,IF(Settings!$B$2="","&lt;&gt;",Settings!$B$2),'JLR Machines'!$D:$D,IF(Settings!$B$3="","&lt;&gt;",Settings!$B$3)))</f>
        <v>0</v>
      </c>
      <c r="S160">
        <f>IF($P160&lt;&gt;1,0,SUMIFS('JLR Machines'!$I:$I,'JLR Machines'!$A:$A,$O160,'JLR Machines'!$C:$C,IF(Settings!$B$2="","&lt;&gt;",Settings!$B$2),'JLR Machines'!$D:$D,IF(Settings!$B$3="","&lt;&gt;",Settings!$B$3)))</f>
        <v>0</v>
      </c>
      <c r="T160">
        <f>IF($P160&lt;&gt;1,0,SUMIFS('JLR Machines'!$J:$J,'JLR Machines'!$A:$A,$O160,'JLR Machines'!$C:$C,IF(Settings!$B$2="","&lt;&gt;",Settings!$B$2),'JLR Machines'!$D:$D,IF(Settings!$B$3="","&lt;&gt;",Settings!$B$3)))</f>
        <v>0</v>
      </c>
      <c r="U160">
        <f>IF($P160&lt;&gt;1,0,SUMIFS('JLR Machines'!$K:$K,'JLR Machines'!$A:$A,$O160,'JLR Machines'!$C:$C,IF(Settings!$B$2="","&lt;&gt;",Settings!$B$2),'JLR Machines'!$D:$D,IF(Settings!$B$3="","&lt;&gt;",Settings!$B$3)))</f>
        <v>0</v>
      </c>
      <c r="V160">
        <f>IF($P160&lt;&gt;1,0,SUMIFS('JLR Machines'!$L:$L,'JLR Machines'!$A:$A,$O160,'JLR Machines'!$C:$C,IF(Settings!$B$2="","&lt;&gt;",Settings!$B$2),'JLR Machines'!$D:$D,IF(Settings!$B$3="","&lt;&gt;",Settings!$B$3)))</f>
        <v>0</v>
      </c>
      <c r="W160">
        <f>IF($P160&lt;&gt;1,0,SUMIFS('JLR Machines'!$M:$M,'JLR Machines'!$A:$A,$O160,'JLR Machines'!$C:$C,IF(Settings!$B$2="","&lt;&gt;",Settings!$B$2),'JLR Machines'!$D:$D,IF(Settings!$B$3="","&lt;&gt;",Settings!$B$3)))</f>
        <v>0</v>
      </c>
      <c r="X160">
        <f>IF($P160&lt;&gt;1,0,SUMIFS('JLR Machines'!$N:$N,'JLR Machines'!$A:$A,$O160,'JLR Machines'!$C:$C,IF(Settings!$B$2="","&lt;&gt;",Settings!$B$2),'JLR Machines'!$D:$D,IF(Settings!$B$3="","&lt;&gt;",Settings!$B$3)))</f>
        <v>0</v>
      </c>
      <c r="Y160">
        <f>$Q160+$R160+$S160+$T160+$U160+$V160+$W160</f>
        <v>0</v>
      </c>
      <c r="Z160">
        <f>IF($X160&lt;=0,0,ROUND((D160+E160+F160+G160+H160+I160)/3480-$X160,4))</f>
        <v>0</v>
      </c>
    </row>
    <row r="161">
      <c r="A161" t="str">
        <v>mach-vmc3-pl</v>
      </c>
      <c r="B161" t="str">
        <v>VMC 3-axis CNC (Poland)</v>
      </c>
      <c r="C161" t="str">
        <v>PL</v>
      </c>
      <c r="D161">
        <f>IF($X161&gt;0,IF($Y161&gt;0,MAX(0,$Q161+$X161-$Y161)*3400,$X161*3400),22000)</f>
        <v>22000</v>
      </c>
      <c r="E161">
        <f>IF($X161&gt;0,IF($Y161&gt;0,$S161*3400,0),3600)</f>
        <v>3600</v>
      </c>
      <c r="F161">
        <f>IF($X161&gt;0,IF($Y161&gt;0,$V161*3400,0),2600)</f>
        <v>2600</v>
      </c>
      <c r="G161">
        <f>IF($X161&gt;0,IF($Y161&gt;0,$R161*3400,0),1225)</f>
        <v>1225</v>
      </c>
      <c r="H161">
        <f>IF($X161&gt;0,IF($Y161&gt;0,($T161+$W161)*3400,0),3375)</f>
        <v>3375</v>
      </c>
      <c r="I161">
        <f>IF($X161&gt;0,IF($Y161&gt;0,$U161*3400,0),5850)</f>
        <v>5850</v>
      </c>
      <c r="J161">
        <v>4000</v>
      </c>
      <c r="K161">
        <v>0.85</v>
      </c>
      <c r="L161" t="str">
        <f>IF($X161&gt;0,IF($P161&lt;&gt;1,"2026-06-14",IFERROR(INDEX('JLR Machines'!$D:$D,MATCH($O161,'JLR Machines'!$A:$A,0)),"2026-06-14")),"2026-06-14")</f>
        <v>2026-06-14</v>
      </c>
      <c r="M161" t="str">
        <f>IF($X161&gt;0,IF($Y161&gt;0,"JLR machine "&amp;$O161&amp;" at "&amp;TEXT($X161,"0.00")&amp;" per hr — build-up as supplied","JLR machine "&amp;$O161&amp;" at "&amp;TEXT($X161,"0.00")&amp;" per hr — build-up not supplied"),"Poland CNC machining benchmark. Silesia/Lower Silesia. Jun 2026")</f>
        <v>Poland CNC machining benchmark. Silesia/Lower Silesia. Jun 2026</v>
      </c>
      <c r="N161" t="str">
        <v>Medium</v>
      </c>
      <c r="O161" t="str">
        <f>IFERROR(INDEX(Mapping!$C:$C,MATCH($A161,Mapping!$A:$A,0)),"")</f>
        <v/>
      </c>
      <c r="P161">
        <f>IF($O161="",0,COUNTIFS('JLR Machines'!$A:$A,$O161,'JLR Machines'!$C:$C,IF(Settings!$B$2="","&lt;&gt;",Settings!$B$2),'JLR Machines'!$D:$D,IF(Settings!$B$3="","&lt;&gt;",Settings!$B$3)))</f>
        <v>0</v>
      </c>
      <c r="Q161">
        <f>IF($P161&lt;&gt;1,0,SUMIFS('JLR Machines'!$G:$G,'JLR Machines'!$A:$A,$O161,'JLR Machines'!$C:$C,IF(Settings!$B$2="","&lt;&gt;",Settings!$B$2),'JLR Machines'!$D:$D,IF(Settings!$B$3="","&lt;&gt;",Settings!$B$3)))</f>
        <v>0</v>
      </c>
      <c r="R161">
        <f>IF($P161&lt;&gt;1,0,SUMIFS('JLR Machines'!$H:$H,'JLR Machines'!$A:$A,$O161,'JLR Machines'!$C:$C,IF(Settings!$B$2="","&lt;&gt;",Settings!$B$2),'JLR Machines'!$D:$D,IF(Settings!$B$3="","&lt;&gt;",Settings!$B$3)))</f>
        <v>0</v>
      </c>
      <c r="S161">
        <f>IF($P161&lt;&gt;1,0,SUMIFS('JLR Machines'!$I:$I,'JLR Machines'!$A:$A,$O161,'JLR Machines'!$C:$C,IF(Settings!$B$2="","&lt;&gt;",Settings!$B$2),'JLR Machines'!$D:$D,IF(Settings!$B$3="","&lt;&gt;",Settings!$B$3)))</f>
        <v>0</v>
      </c>
      <c r="T161">
        <f>IF($P161&lt;&gt;1,0,SUMIFS('JLR Machines'!$J:$J,'JLR Machines'!$A:$A,$O161,'JLR Machines'!$C:$C,IF(Settings!$B$2="","&lt;&gt;",Settings!$B$2),'JLR Machines'!$D:$D,IF(Settings!$B$3="","&lt;&gt;",Settings!$B$3)))</f>
        <v>0</v>
      </c>
      <c r="U161">
        <f>IF($P161&lt;&gt;1,0,SUMIFS('JLR Machines'!$K:$K,'JLR Machines'!$A:$A,$O161,'JLR Machines'!$C:$C,IF(Settings!$B$2="","&lt;&gt;",Settings!$B$2),'JLR Machines'!$D:$D,IF(Settings!$B$3="","&lt;&gt;",Settings!$B$3)))</f>
        <v>0</v>
      </c>
      <c r="V161">
        <f>IF($P161&lt;&gt;1,0,SUMIFS('JLR Machines'!$L:$L,'JLR Machines'!$A:$A,$O161,'JLR Machines'!$C:$C,IF(Settings!$B$2="","&lt;&gt;",Settings!$B$2),'JLR Machines'!$D:$D,IF(Settings!$B$3="","&lt;&gt;",Settings!$B$3)))</f>
        <v>0</v>
      </c>
      <c r="W161">
        <f>IF($P161&lt;&gt;1,0,SUMIFS('JLR Machines'!$M:$M,'JLR Machines'!$A:$A,$O161,'JLR Machines'!$C:$C,IF(Settings!$B$2="","&lt;&gt;",Settings!$B$2),'JLR Machines'!$D:$D,IF(Settings!$B$3="","&lt;&gt;",Settings!$B$3)))</f>
        <v>0</v>
      </c>
      <c r="X161">
        <f>IF($P161&lt;&gt;1,0,SUMIFS('JLR Machines'!$N:$N,'JLR Machines'!$A:$A,$O161,'JLR Machines'!$C:$C,IF(Settings!$B$2="","&lt;&gt;",Settings!$B$2),'JLR Machines'!$D:$D,IF(Settings!$B$3="","&lt;&gt;",Settings!$B$3)))</f>
        <v>0</v>
      </c>
      <c r="Y161">
        <f>$Q161+$R161+$S161+$T161+$U161+$V161+$W161</f>
        <v>0</v>
      </c>
      <c r="Z161">
        <f>IF($X161&lt;=0,0,ROUND((D161+E161+F161+G161+H161+I161)/3400-$X161,4))</f>
        <v>0</v>
      </c>
    </row>
    <row r="162">
      <c r="A162" t="str">
        <v>mach-vmc3-mx</v>
      </c>
      <c r="B162" t="str">
        <v>VMC 3-axis CNC (Mexico)</v>
      </c>
      <c r="C162" t="str">
        <v>MX</v>
      </c>
      <c r="D162">
        <f>IF($X162&gt;0,IF($Y162&gt;0,MAX(0,$Q162+$X162-$Y162)*3400,$X162*3400),22000)</f>
        <v>22000</v>
      </c>
      <c r="E162">
        <f>IF($X162&gt;0,IF($Y162&gt;0,$S162*3400,0),2400)</f>
        <v>2400</v>
      </c>
      <c r="F162">
        <f>IF($X162&gt;0,IF($Y162&gt;0,$V162*3400,0),1950)</f>
        <v>1950</v>
      </c>
      <c r="G162">
        <f>IF($X162&gt;0,IF($Y162&gt;0,$R162*3400,0),700)</f>
        <v>700</v>
      </c>
      <c r="H162">
        <f>IF($X162&gt;0,IF($Y162&gt;0,($T162+$W162)*3400,0),2250)</f>
        <v>2250</v>
      </c>
      <c r="I162">
        <f>IF($X162&gt;0,IF($Y162&gt;0,$U162*3400,0),5850)</f>
        <v>5850</v>
      </c>
      <c r="J162">
        <v>4000</v>
      </c>
      <c r="K162">
        <v>0.85</v>
      </c>
      <c r="L162" t="str">
        <f>IF($X162&gt;0,IF($P162&lt;&gt;1,"2026-06-14",IFERROR(INDEX('JLR Machines'!$D:$D,MATCH($O162,'JLR Machines'!$A:$A,0)),"2026-06-14")),"2026-06-14")</f>
        <v>2026-06-14</v>
      </c>
      <c r="M162" t="str">
        <f>IF($X162&gt;0,IF($Y162&gt;0,"JLR machine "&amp;$O162&amp;" at "&amp;TEXT($X162,"0.00")&amp;" per hr — build-up as supplied","JLR machine "&amp;$O162&amp;" at "&amp;TEXT($X162,"0.00")&amp;" per hr — build-up not supplied"),"Mexico CNC machining benchmark. Monterrey/Guanajuato. Jun 2026")</f>
        <v>Mexico CNC machining benchmark. Monterrey/Guanajuato. Jun 2026</v>
      </c>
      <c r="N162" t="str">
        <v>Medium</v>
      </c>
      <c r="O162" t="str">
        <f>IFERROR(INDEX(Mapping!$C:$C,MATCH($A162,Mapping!$A:$A,0)),"")</f>
        <v/>
      </c>
      <c r="P162">
        <f>IF($O162="",0,COUNTIFS('JLR Machines'!$A:$A,$O162,'JLR Machines'!$C:$C,IF(Settings!$B$2="","&lt;&gt;",Settings!$B$2),'JLR Machines'!$D:$D,IF(Settings!$B$3="","&lt;&gt;",Settings!$B$3)))</f>
        <v>0</v>
      </c>
      <c r="Q162">
        <f>IF($P162&lt;&gt;1,0,SUMIFS('JLR Machines'!$G:$G,'JLR Machines'!$A:$A,$O162,'JLR Machines'!$C:$C,IF(Settings!$B$2="","&lt;&gt;",Settings!$B$2),'JLR Machines'!$D:$D,IF(Settings!$B$3="","&lt;&gt;",Settings!$B$3)))</f>
        <v>0</v>
      </c>
      <c r="R162">
        <f>IF($P162&lt;&gt;1,0,SUMIFS('JLR Machines'!$H:$H,'JLR Machines'!$A:$A,$O162,'JLR Machines'!$C:$C,IF(Settings!$B$2="","&lt;&gt;",Settings!$B$2),'JLR Machines'!$D:$D,IF(Settings!$B$3="","&lt;&gt;",Settings!$B$3)))</f>
        <v>0</v>
      </c>
      <c r="S162">
        <f>IF($P162&lt;&gt;1,0,SUMIFS('JLR Machines'!$I:$I,'JLR Machines'!$A:$A,$O162,'JLR Machines'!$C:$C,IF(Settings!$B$2="","&lt;&gt;",Settings!$B$2),'JLR Machines'!$D:$D,IF(Settings!$B$3="","&lt;&gt;",Settings!$B$3)))</f>
        <v>0</v>
      </c>
      <c r="T162">
        <f>IF($P162&lt;&gt;1,0,SUMIFS('JLR Machines'!$J:$J,'JLR Machines'!$A:$A,$O162,'JLR Machines'!$C:$C,IF(Settings!$B$2="","&lt;&gt;",Settings!$B$2),'JLR Machines'!$D:$D,IF(Settings!$B$3="","&lt;&gt;",Settings!$B$3)))</f>
        <v>0</v>
      </c>
      <c r="U162">
        <f>IF($P162&lt;&gt;1,0,SUMIFS('JLR Machines'!$K:$K,'JLR Machines'!$A:$A,$O162,'JLR Machines'!$C:$C,IF(Settings!$B$2="","&lt;&gt;",Settings!$B$2),'JLR Machines'!$D:$D,IF(Settings!$B$3="","&lt;&gt;",Settings!$B$3)))</f>
        <v>0</v>
      </c>
      <c r="V162">
        <f>IF($P162&lt;&gt;1,0,SUMIFS('JLR Machines'!$L:$L,'JLR Machines'!$A:$A,$O162,'JLR Machines'!$C:$C,IF(Settings!$B$2="","&lt;&gt;",Settings!$B$2),'JLR Machines'!$D:$D,IF(Settings!$B$3="","&lt;&gt;",Settings!$B$3)))</f>
        <v>0</v>
      </c>
      <c r="W162">
        <f>IF($P162&lt;&gt;1,0,SUMIFS('JLR Machines'!$M:$M,'JLR Machines'!$A:$A,$O162,'JLR Machines'!$C:$C,IF(Settings!$B$2="","&lt;&gt;",Settings!$B$2),'JLR Machines'!$D:$D,IF(Settings!$B$3="","&lt;&gt;",Settings!$B$3)))</f>
        <v>0</v>
      </c>
      <c r="X162">
        <f>IF($P162&lt;&gt;1,0,SUMIFS('JLR Machines'!$N:$N,'JLR Machines'!$A:$A,$O162,'JLR Machines'!$C:$C,IF(Settings!$B$2="","&lt;&gt;",Settings!$B$2),'JLR Machines'!$D:$D,IF(Settings!$B$3="","&lt;&gt;",Settings!$B$3)))</f>
        <v>0</v>
      </c>
      <c r="Y162">
        <f>$Q162+$R162+$S162+$T162+$U162+$V162+$W162</f>
        <v>0</v>
      </c>
      <c r="Z162">
        <f>IF($X162&lt;=0,0,ROUND((D162+E162+F162+G162+H162+I162)/3400-$X162,4))</f>
        <v>0</v>
      </c>
    </row>
    <row r="163">
      <c r="A163" t="str">
        <v>imm-200t-cn</v>
      </c>
      <c r="B163" t="str">
        <v>Injection Moulding 200T (China)</v>
      </c>
      <c r="C163" t="str">
        <v>CN</v>
      </c>
      <c r="D163">
        <f>IF($X163&gt;0,IF($Y163&gt;0,MAX(0,$Q163+$X163-$Y163)*4250,$X163*4250),28000)</f>
        <v>28000</v>
      </c>
      <c r="E163">
        <f>IF($X163&gt;0,IF($Y163&gt;0,$S163*4250,0),3000)</f>
        <v>3000</v>
      </c>
      <c r="F163">
        <f>IF($X163&gt;0,IF($Y163&gt;0,$V163*4250,0),4200)</f>
        <v>4200</v>
      </c>
      <c r="G163">
        <f>IF($X163&gt;0,IF($Y163&gt;0,$R163*4250,0),1200)</f>
        <v>1200</v>
      </c>
      <c r="H163">
        <f>IF($X163&gt;0,IF($Y163&gt;0,($T163+$W163)*4250,0),3000)</f>
        <v>3000</v>
      </c>
      <c r="I163">
        <f>IF($X163&gt;0,IF($Y163&gt;0,$U163*4250,0),7000)</f>
        <v>7000</v>
      </c>
      <c r="J163">
        <v>5000</v>
      </c>
      <c r="K163">
        <v>0.85</v>
      </c>
      <c r="L163" t="str">
        <f>IF($X163&gt;0,IF($P163&lt;&gt;1,"2026-06-14",IFERROR(INDEX('JLR Machines'!$D:$D,MATCH($O163,'JLR Machines'!$A:$A,0)),"2026-06-14")),"2026-06-14")</f>
        <v>2026-06-14</v>
      </c>
      <c r="M163" t="str">
        <f>IF($X163&gt;0,IF($Y163&gt;0,"JLR machine "&amp;$O163&amp;" at "&amp;TEXT($X163,"0.00")&amp;" per hr — build-up as supplied","JLR machine "&amp;$O163&amp;" at "&amp;TEXT($X163,"0.00")&amp;" per hr — build-up not supplied"),"China injection moulding benchmark. Taizhou/Guangdong plastics belt. Jun 2026")</f>
        <v>China injection moulding benchmark. Taizhou/Guangdong plastics belt. Jun 2026</v>
      </c>
      <c r="N163" t="str">
        <v>Medium</v>
      </c>
      <c r="O163" t="str">
        <f>IFERROR(INDEX(Mapping!$C:$C,MATCH($A163,Mapping!$A:$A,0)),"")</f>
        <v/>
      </c>
      <c r="P163">
        <f>IF($O163="",0,COUNTIFS('JLR Machines'!$A:$A,$O163,'JLR Machines'!$C:$C,IF(Settings!$B$2="","&lt;&gt;",Settings!$B$2),'JLR Machines'!$D:$D,IF(Settings!$B$3="","&lt;&gt;",Settings!$B$3)))</f>
        <v>0</v>
      </c>
      <c r="Q163">
        <f>IF($P163&lt;&gt;1,0,SUMIFS('JLR Machines'!$G:$G,'JLR Machines'!$A:$A,$O163,'JLR Machines'!$C:$C,IF(Settings!$B$2="","&lt;&gt;",Settings!$B$2),'JLR Machines'!$D:$D,IF(Settings!$B$3="","&lt;&gt;",Settings!$B$3)))</f>
        <v>0</v>
      </c>
      <c r="R163">
        <f>IF($P163&lt;&gt;1,0,SUMIFS('JLR Machines'!$H:$H,'JLR Machines'!$A:$A,$O163,'JLR Machines'!$C:$C,IF(Settings!$B$2="","&lt;&gt;",Settings!$B$2),'JLR Machines'!$D:$D,IF(Settings!$B$3="","&lt;&gt;",Settings!$B$3)))</f>
        <v>0</v>
      </c>
      <c r="S163">
        <f>IF($P163&lt;&gt;1,0,SUMIFS('JLR Machines'!$I:$I,'JLR Machines'!$A:$A,$O163,'JLR Machines'!$C:$C,IF(Settings!$B$2="","&lt;&gt;",Settings!$B$2),'JLR Machines'!$D:$D,IF(Settings!$B$3="","&lt;&gt;",Settings!$B$3)))</f>
        <v>0</v>
      </c>
      <c r="T163">
        <f>IF($P163&lt;&gt;1,0,SUMIFS('JLR Machines'!$J:$J,'JLR Machines'!$A:$A,$O163,'JLR Machines'!$C:$C,IF(Settings!$B$2="","&lt;&gt;",Settings!$B$2),'JLR Machines'!$D:$D,IF(Settings!$B$3="","&lt;&gt;",Settings!$B$3)))</f>
        <v>0</v>
      </c>
      <c r="U163">
        <f>IF($P163&lt;&gt;1,0,SUMIFS('JLR Machines'!$K:$K,'JLR Machines'!$A:$A,$O163,'JLR Machines'!$C:$C,IF(Settings!$B$2="","&lt;&gt;",Settings!$B$2),'JLR Machines'!$D:$D,IF(Settings!$B$3="","&lt;&gt;",Settings!$B$3)))</f>
        <v>0</v>
      </c>
      <c r="V163">
        <f>IF($P163&lt;&gt;1,0,SUMIFS('JLR Machines'!$L:$L,'JLR Machines'!$A:$A,$O163,'JLR Machines'!$C:$C,IF(Settings!$B$2="","&lt;&gt;",Settings!$B$2),'JLR Machines'!$D:$D,IF(Settings!$B$3="","&lt;&gt;",Settings!$B$3)))</f>
        <v>0</v>
      </c>
      <c r="W163">
        <f>IF($P163&lt;&gt;1,0,SUMIFS('JLR Machines'!$M:$M,'JLR Machines'!$A:$A,$O163,'JLR Machines'!$C:$C,IF(Settings!$B$2="","&lt;&gt;",Settings!$B$2),'JLR Machines'!$D:$D,IF(Settings!$B$3="","&lt;&gt;",Settings!$B$3)))</f>
        <v>0</v>
      </c>
      <c r="X163">
        <f>IF($P163&lt;&gt;1,0,SUMIFS('JLR Machines'!$N:$N,'JLR Machines'!$A:$A,$O163,'JLR Machines'!$C:$C,IF(Settings!$B$2="","&lt;&gt;",Settings!$B$2),'JLR Machines'!$D:$D,IF(Settings!$B$3="","&lt;&gt;",Settings!$B$3)))</f>
        <v>0</v>
      </c>
      <c r="Y163">
        <f>$Q163+$R163+$S163+$T163+$U163+$V163+$W163</f>
        <v>0</v>
      </c>
      <c r="Z163">
        <f>IF($X163&lt;=0,0,ROUND((D163+E163+F163+G163+H163+I163)/4250-$X163,4))</f>
        <v>0</v>
      </c>
    </row>
    <row r="164">
      <c r="A164" t="str">
        <v>imm-200t-in</v>
      </c>
      <c r="B164" t="str">
        <v>Injection Moulding 200T (India)</v>
      </c>
      <c r="C164" t="str">
        <v>IN</v>
      </c>
      <c r="D164">
        <f>IF($X164&gt;0,IF($Y164&gt;0,MAX(0,$Q164+$X164-$Y164)*4150,$X164*4150),28000)</f>
        <v>28000</v>
      </c>
      <c r="E164">
        <f>IF($X164&gt;0,IF($Y164&gt;0,$S164*4150,0),2500)</f>
        <v>2500</v>
      </c>
      <c r="F164">
        <f>IF($X164&gt;0,IF($Y164&gt;0,$V164*4150,0),5600)</f>
        <v>5600</v>
      </c>
      <c r="G164">
        <f>IF($X164&gt;0,IF($Y164&gt;0,$R164*4150,0),800)</f>
        <v>800</v>
      </c>
      <c r="H164">
        <f>IF($X164&gt;0,IF($Y164&gt;0,($T164+$W164)*4150,0),2200)</f>
        <v>2200</v>
      </c>
      <c r="I164">
        <f>IF($X164&gt;0,IF($Y164&gt;0,$U164*4150,0),7000)</f>
        <v>7000</v>
      </c>
      <c r="J164">
        <v>5000</v>
      </c>
      <c r="K164">
        <v>0.83</v>
      </c>
      <c r="L164" t="str">
        <f>IF($X164&gt;0,IF($P164&lt;&gt;1,"2026-06-14",IFERROR(INDEX('JLR Machines'!$D:$D,MATCH($O164,'JLR Machines'!$A:$A,0)),"2026-06-14")),"2026-06-14")</f>
        <v>2026-06-14</v>
      </c>
      <c r="M164" t="str">
        <f>IF($X164&gt;0,IF($Y164&gt;0,"JLR machine "&amp;$O164&amp;" at "&amp;TEXT($X164,"0.00")&amp;" per hr — build-up as supplied","JLR machine "&amp;$O164&amp;" at "&amp;TEXT($X164,"0.00")&amp;" per hr — build-up not supplied"),"India injection moulding benchmark. Pune/Rajkot plastics cluster. Jun 2026")</f>
        <v>India injection moulding benchmark. Pune/Rajkot plastics cluster. Jun 2026</v>
      </c>
      <c r="N164" t="str">
        <v>Medium</v>
      </c>
      <c r="O164" t="str">
        <f>IFERROR(INDEX(Mapping!$C:$C,MATCH($A164,Mapping!$A:$A,0)),"")</f>
        <v/>
      </c>
      <c r="P164">
        <f>IF($O164="",0,COUNTIFS('JLR Machines'!$A:$A,$O164,'JLR Machines'!$C:$C,IF(Settings!$B$2="","&lt;&gt;",Settings!$B$2),'JLR Machines'!$D:$D,IF(Settings!$B$3="","&lt;&gt;",Settings!$B$3)))</f>
        <v>0</v>
      </c>
      <c r="Q164">
        <f>IF($P164&lt;&gt;1,0,SUMIFS('JLR Machines'!$G:$G,'JLR Machines'!$A:$A,$O164,'JLR Machines'!$C:$C,IF(Settings!$B$2="","&lt;&gt;",Settings!$B$2),'JLR Machines'!$D:$D,IF(Settings!$B$3="","&lt;&gt;",Settings!$B$3)))</f>
        <v>0</v>
      </c>
      <c r="R164">
        <f>IF($P164&lt;&gt;1,0,SUMIFS('JLR Machines'!$H:$H,'JLR Machines'!$A:$A,$O164,'JLR Machines'!$C:$C,IF(Settings!$B$2="","&lt;&gt;",Settings!$B$2),'JLR Machines'!$D:$D,IF(Settings!$B$3="","&lt;&gt;",Settings!$B$3)))</f>
        <v>0</v>
      </c>
      <c r="S164">
        <f>IF($P164&lt;&gt;1,0,SUMIFS('JLR Machines'!$I:$I,'JLR Machines'!$A:$A,$O164,'JLR Machines'!$C:$C,IF(Settings!$B$2="","&lt;&gt;",Settings!$B$2),'JLR Machines'!$D:$D,IF(Settings!$B$3="","&lt;&gt;",Settings!$B$3)))</f>
        <v>0</v>
      </c>
      <c r="T164">
        <f>IF($P164&lt;&gt;1,0,SUMIFS('JLR Machines'!$J:$J,'JLR Machines'!$A:$A,$O164,'JLR Machines'!$C:$C,IF(Settings!$B$2="","&lt;&gt;",Settings!$B$2),'JLR Machines'!$D:$D,IF(Settings!$B$3="","&lt;&gt;",Settings!$B$3)))</f>
        <v>0</v>
      </c>
      <c r="U164">
        <f>IF($P164&lt;&gt;1,0,SUMIFS('JLR Machines'!$K:$K,'JLR Machines'!$A:$A,$O164,'JLR Machines'!$C:$C,IF(Settings!$B$2="","&lt;&gt;",Settings!$B$2),'JLR Machines'!$D:$D,IF(Settings!$B$3="","&lt;&gt;",Settings!$B$3)))</f>
        <v>0</v>
      </c>
      <c r="V164">
        <f>IF($P164&lt;&gt;1,0,SUMIFS('JLR Machines'!$L:$L,'JLR Machines'!$A:$A,$O164,'JLR Machines'!$C:$C,IF(Settings!$B$2="","&lt;&gt;",Settings!$B$2),'JLR Machines'!$D:$D,IF(Settings!$B$3="","&lt;&gt;",Settings!$B$3)))</f>
        <v>0</v>
      </c>
      <c r="W164">
        <f>IF($P164&lt;&gt;1,0,SUMIFS('JLR Machines'!$M:$M,'JLR Machines'!$A:$A,$O164,'JLR Machines'!$C:$C,IF(Settings!$B$2="","&lt;&gt;",Settings!$B$2),'JLR Machines'!$D:$D,IF(Settings!$B$3="","&lt;&gt;",Settings!$B$3)))</f>
        <v>0</v>
      </c>
      <c r="X164">
        <f>IF($P164&lt;&gt;1,0,SUMIFS('JLR Machines'!$N:$N,'JLR Machines'!$A:$A,$O164,'JLR Machines'!$C:$C,IF(Settings!$B$2="","&lt;&gt;",Settings!$B$2),'JLR Machines'!$D:$D,IF(Settings!$B$3="","&lt;&gt;",Settings!$B$3)))</f>
        <v>0</v>
      </c>
      <c r="Y164">
        <f>$Q164+$R164+$S164+$T164+$U164+$V164+$W164</f>
        <v>0</v>
      </c>
      <c r="Z164">
        <f>IF($X164&lt;=0,0,ROUND((D164+E164+F164+G164+H164+I164)/4150-$X164,4))</f>
        <v>0</v>
      </c>
    </row>
    <row r="165">
      <c r="A165" t="str">
        <v>imm-200t-de</v>
      </c>
      <c r="B165" t="str">
        <v>Injection Moulding 200T (Germany)</v>
      </c>
      <c r="C165" t="str">
        <v>DE</v>
      </c>
      <c r="D165">
        <f>IF($X165&gt;0,IF($Y165&gt;0,MAX(0,$Q165+$X165-$Y165)*4350,$X165*4350),28000)</f>
        <v>28000</v>
      </c>
      <c r="E165">
        <f>IF($X165&gt;0,IF($Y165&gt;0,$S165*4350,0),14000)</f>
        <v>14000</v>
      </c>
      <c r="F165">
        <f>IF($X165&gt;0,IF($Y165&gt;0,$V165*4350,0),13920)</f>
        <v>13920</v>
      </c>
      <c r="G165">
        <f>IF($X165&gt;0,IF($Y165&gt;0,$R165*4350,0),6400)</f>
        <v>6400</v>
      </c>
      <c r="H165">
        <f>IF($X165&gt;0,IF($Y165&gt;0,($T165+$W165)*4350,0),22400)</f>
        <v>22400</v>
      </c>
      <c r="I165">
        <f>IF($X165&gt;0,IF($Y165&gt;0,$U165*4350,0),7000)</f>
        <v>7000</v>
      </c>
      <c r="J165">
        <v>5000</v>
      </c>
      <c r="K165">
        <v>0.87</v>
      </c>
      <c r="L165" t="str">
        <f>IF($X165&gt;0,IF($P165&lt;&gt;1,"2026-06-14",IFERROR(INDEX('JLR Machines'!$D:$D,MATCH($O165,'JLR Machines'!$A:$A,0)),"2026-06-14")),"2026-06-14")</f>
        <v>2026-06-14</v>
      </c>
      <c r="M165" t="str">
        <f>IF($X165&gt;0,IF($Y165&gt;0,"JLR machine "&amp;$O165&amp;" at "&amp;TEXT($X165,"0.00")&amp;" per hr — build-up as supplied","JLR machine "&amp;$O165&amp;" at "&amp;TEXT($X165,"0.00")&amp;" per hr — build-up not supplied"),"Germany injection moulding benchmark. Jun 2026")</f>
        <v>Germany injection moulding benchmark. Jun 2026</v>
      </c>
      <c r="N165" t="str">
        <v>Medium</v>
      </c>
      <c r="O165" t="str">
        <f>IFERROR(INDEX(Mapping!$C:$C,MATCH($A165,Mapping!$A:$A,0)),"")</f>
        <v/>
      </c>
      <c r="P165">
        <f>IF($O165="",0,COUNTIFS('JLR Machines'!$A:$A,$O165,'JLR Machines'!$C:$C,IF(Settings!$B$2="","&lt;&gt;",Settings!$B$2),'JLR Machines'!$D:$D,IF(Settings!$B$3="","&lt;&gt;",Settings!$B$3)))</f>
        <v>0</v>
      </c>
      <c r="Q165">
        <f>IF($P165&lt;&gt;1,0,SUMIFS('JLR Machines'!$G:$G,'JLR Machines'!$A:$A,$O165,'JLR Machines'!$C:$C,IF(Settings!$B$2="","&lt;&gt;",Settings!$B$2),'JLR Machines'!$D:$D,IF(Settings!$B$3="","&lt;&gt;",Settings!$B$3)))</f>
        <v>0</v>
      </c>
      <c r="R165">
        <f>IF($P165&lt;&gt;1,0,SUMIFS('JLR Machines'!$H:$H,'JLR Machines'!$A:$A,$O165,'JLR Machines'!$C:$C,IF(Settings!$B$2="","&lt;&gt;",Settings!$B$2),'JLR Machines'!$D:$D,IF(Settings!$B$3="","&lt;&gt;",Settings!$B$3)))</f>
        <v>0</v>
      </c>
      <c r="S165">
        <f>IF($P165&lt;&gt;1,0,SUMIFS('JLR Machines'!$I:$I,'JLR Machines'!$A:$A,$O165,'JLR Machines'!$C:$C,IF(Settings!$B$2="","&lt;&gt;",Settings!$B$2),'JLR Machines'!$D:$D,IF(Settings!$B$3="","&lt;&gt;",Settings!$B$3)))</f>
        <v>0</v>
      </c>
      <c r="T165">
        <f>IF($P165&lt;&gt;1,0,SUMIFS('JLR Machines'!$J:$J,'JLR Machines'!$A:$A,$O165,'JLR Machines'!$C:$C,IF(Settings!$B$2="","&lt;&gt;",Settings!$B$2),'JLR Machines'!$D:$D,IF(Settings!$B$3="","&lt;&gt;",Settings!$B$3)))</f>
        <v>0</v>
      </c>
      <c r="U165">
        <f>IF($P165&lt;&gt;1,0,SUMIFS('JLR Machines'!$K:$K,'JLR Machines'!$A:$A,$O165,'JLR Machines'!$C:$C,IF(Settings!$B$2="","&lt;&gt;",Settings!$B$2),'JLR Machines'!$D:$D,IF(Settings!$B$3="","&lt;&gt;",Settings!$B$3)))</f>
        <v>0</v>
      </c>
      <c r="V165">
        <f>IF($P165&lt;&gt;1,0,SUMIFS('JLR Machines'!$L:$L,'JLR Machines'!$A:$A,$O165,'JLR Machines'!$C:$C,IF(Settings!$B$2="","&lt;&gt;",Settings!$B$2),'JLR Machines'!$D:$D,IF(Settings!$B$3="","&lt;&gt;",Settings!$B$3)))</f>
        <v>0</v>
      </c>
      <c r="W165">
        <f>IF($P165&lt;&gt;1,0,SUMIFS('JLR Machines'!$M:$M,'JLR Machines'!$A:$A,$O165,'JLR Machines'!$C:$C,IF(Settings!$B$2="","&lt;&gt;",Settings!$B$2),'JLR Machines'!$D:$D,IF(Settings!$B$3="","&lt;&gt;",Settings!$B$3)))</f>
        <v>0</v>
      </c>
      <c r="X165">
        <f>IF($P165&lt;&gt;1,0,SUMIFS('JLR Machines'!$N:$N,'JLR Machines'!$A:$A,$O165,'JLR Machines'!$C:$C,IF(Settings!$B$2="","&lt;&gt;",Settings!$B$2),'JLR Machines'!$D:$D,IF(Settings!$B$3="","&lt;&gt;",Settings!$B$3)))</f>
        <v>0</v>
      </c>
      <c r="Y165">
        <f>$Q165+$R165+$S165+$T165+$U165+$V165+$W165</f>
        <v>0</v>
      </c>
      <c r="Z165">
        <f>IF($X165&lt;=0,0,ROUND((D165+E165+F165+G165+H165+I165)/4350-$X165,4))</f>
        <v>0</v>
      </c>
    </row>
    <row r="166">
      <c r="A166" t="str">
        <v>imm-200t-pl</v>
      </c>
      <c r="B166" t="str">
        <v>Injection Moulding 200T (Poland)</v>
      </c>
      <c r="C166" t="str">
        <v>PL</v>
      </c>
      <c r="D166">
        <f>IF($X166&gt;0,IF($Y166&gt;0,MAX(0,$Q166+$X166-$Y166)*4250,$X166*4250),28000)</f>
        <v>28000</v>
      </c>
      <c r="E166">
        <f>IF($X166&gt;0,IF($Y166&gt;0,$S166*4250,0),4500)</f>
        <v>4500</v>
      </c>
      <c r="F166">
        <f>IF($X166&gt;0,IF($Y166&gt;0,$V166*4250,0),8320)</f>
        <v>8320</v>
      </c>
      <c r="G166">
        <f>IF($X166&gt;0,IF($Y166&gt;0,$R166*4250,0),2800)</f>
        <v>2800</v>
      </c>
      <c r="H166">
        <f>IF($X166&gt;0,IF($Y166&gt;0,($T166+$W166)*4250,0),7200)</f>
        <v>7200</v>
      </c>
      <c r="I166">
        <f>IF($X166&gt;0,IF($Y166&gt;0,$U166*4250,0),7000)</f>
        <v>7000</v>
      </c>
      <c r="J166">
        <v>5000</v>
      </c>
      <c r="K166">
        <v>0.85</v>
      </c>
      <c r="L166" t="str">
        <f>IF($X166&gt;0,IF($P166&lt;&gt;1,"2026-06-14",IFERROR(INDEX('JLR Machines'!$D:$D,MATCH($O166,'JLR Machines'!$A:$A,0)),"2026-06-14")),"2026-06-14")</f>
        <v>2026-06-14</v>
      </c>
      <c r="M166" t="str">
        <f>IF($X166&gt;0,IF($Y166&gt;0,"JLR machine "&amp;$O166&amp;" at "&amp;TEXT($X166,"0.00")&amp;" per hr — build-up as supplied","JLR machine "&amp;$O166&amp;" at "&amp;TEXT($X166,"0.00")&amp;" per hr — build-up not supplied"),"Poland injection moulding benchmark. Jun 2026")</f>
        <v>Poland injection moulding benchmark. Jun 2026</v>
      </c>
      <c r="N166" t="str">
        <v>Medium</v>
      </c>
      <c r="O166" t="str">
        <f>IFERROR(INDEX(Mapping!$C:$C,MATCH($A166,Mapping!$A:$A,0)),"")</f>
        <v/>
      </c>
      <c r="P166">
        <f>IF($O166="",0,COUNTIFS('JLR Machines'!$A:$A,$O166,'JLR Machines'!$C:$C,IF(Settings!$B$2="","&lt;&gt;",Settings!$B$2),'JLR Machines'!$D:$D,IF(Settings!$B$3="","&lt;&gt;",Settings!$B$3)))</f>
        <v>0</v>
      </c>
      <c r="Q166">
        <f>IF($P166&lt;&gt;1,0,SUMIFS('JLR Machines'!$G:$G,'JLR Machines'!$A:$A,$O166,'JLR Machines'!$C:$C,IF(Settings!$B$2="","&lt;&gt;",Settings!$B$2),'JLR Machines'!$D:$D,IF(Settings!$B$3="","&lt;&gt;",Settings!$B$3)))</f>
        <v>0</v>
      </c>
      <c r="R166">
        <f>IF($P166&lt;&gt;1,0,SUMIFS('JLR Machines'!$H:$H,'JLR Machines'!$A:$A,$O166,'JLR Machines'!$C:$C,IF(Settings!$B$2="","&lt;&gt;",Settings!$B$2),'JLR Machines'!$D:$D,IF(Settings!$B$3="","&lt;&gt;",Settings!$B$3)))</f>
        <v>0</v>
      </c>
      <c r="S166">
        <f>IF($P166&lt;&gt;1,0,SUMIFS('JLR Machines'!$I:$I,'JLR Machines'!$A:$A,$O166,'JLR Machines'!$C:$C,IF(Settings!$B$2="","&lt;&gt;",Settings!$B$2),'JLR Machines'!$D:$D,IF(Settings!$B$3="","&lt;&gt;",Settings!$B$3)))</f>
        <v>0</v>
      </c>
      <c r="T166">
        <f>IF($P166&lt;&gt;1,0,SUMIFS('JLR Machines'!$J:$J,'JLR Machines'!$A:$A,$O166,'JLR Machines'!$C:$C,IF(Settings!$B$2="","&lt;&gt;",Settings!$B$2),'JLR Machines'!$D:$D,IF(Settings!$B$3="","&lt;&gt;",Settings!$B$3)))</f>
        <v>0</v>
      </c>
      <c r="U166">
        <f>IF($P166&lt;&gt;1,0,SUMIFS('JLR Machines'!$K:$K,'JLR Machines'!$A:$A,$O166,'JLR Machines'!$C:$C,IF(Settings!$B$2="","&lt;&gt;",Settings!$B$2),'JLR Machines'!$D:$D,IF(Settings!$B$3="","&lt;&gt;",Settings!$B$3)))</f>
        <v>0</v>
      </c>
      <c r="V166">
        <f>IF($P166&lt;&gt;1,0,SUMIFS('JLR Machines'!$L:$L,'JLR Machines'!$A:$A,$O166,'JLR Machines'!$C:$C,IF(Settings!$B$2="","&lt;&gt;",Settings!$B$2),'JLR Machines'!$D:$D,IF(Settings!$B$3="","&lt;&gt;",Settings!$B$3)))</f>
        <v>0</v>
      </c>
      <c r="W166">
        <f>IF($P166&lt;&gt;1,0,SUMIFS('JLR Machines'!$M:$M,'JLR Machines'!$A:$A,$O166,'JLR Machines'!$C:$C,IF(Settings!$B$2="","&lt;&gt;",Settings!$B$2),'JLR Machines'!$D:$D,IF(Settings!$B$3="","&lt;&gt;",Settings!$B$3)))</f>
        <v>0</v>
      </c>
      <c r="X166">
        <f>IF($P166&lt;&gt;1,0,SUMIFS('JLR Machines'!$N:$N,'JLR Machines'!$A:$A,$O166,'JLR Machines'!$C:$C,IF(Settings!$B$2="","&lt;&gt;",Settings!$B$2),'JLR Machines'!$D:$D,IF(Settings!$B$3="","&lt;&gt;",Settings!$B$3)))</f>
        <v>0</v>
      </c>
      <c r="Y166">
        <f>$Q166+$R166+$S166+$T166+$U166+$V166+$W166</f>
        <v>0</v>
      </c>
      <c r="Z166">
        <f>IF($X166&lt;=0,0,ROUND((D166+E166+F166+G166+H166+I166)/4250-$X166,4))</f>
        <v>0</v>
      </c>
    </row>
    <row r="167">
      <c r="A167" t="str">
        <v>imm-200t-mx</v>
      </c>
      <c r="B167" t="str">
        <v>Injection Moulding 200T (Mexico)</v>
      </c>
      <c r="C167" t="str">
        <v>MX</v>
      </c>
      <c r="D167">
        <f>IF($X167&gt;0,IF($Y167&gt;0,MAX(0,$Q167+$X167-$Y167)*4200,$X167*4200),28000)</f>
        <v>28000</v>
      </c>
      <c r="E167">
        <f>IF($X167&gt;0,IF($Y167&gt;0,$S167*4200,0),3000)</f>
        <v>3000</v>
      </c>
      <c r="F167">
        <f>IF($X167&gt;0,IF($Y167&gt;0,$V167*4200,0),6240)</f>
        <v>6240</v>
      </c>
      <c r="G167">
        <f>IF($X167&gt;0,IF($Y167&gt;0,$R167*4200,0),1600)</f>
        <v>1600</v>
      </c>
      <c r="H167">
        <f>IF($X167&gt;0,IF($Y167&gt;0,($T167+$W167)*4200,0),3000)</f>
        <v>3000</v>
      </c>
      <c r="I167">
        <f>IF($X167&gt;0,IF($Y167&gt;0,$U167*4200,0),7000)</f>
        <v>7000</v>
      </c>
      <c r="J167">
        <v>5000</v>
      </c>
      <c r="K167">
        <v>0.84</v>
      </c>
      <c r="L167" t="str">
        <f>IF($X167&gt;0,IF($P167&lt;&gt;1,"2026-06-14",IFERROR(INDEX('JLR Machines'!$D:$D,MATCH($O167,'JLR Machines'!$A:$A,0)),"2026-06-14")),"2026-06-14")</f>
        <v>2026-06-14</v>
      </c>
      <c r="M167" t="str">
        <f>IF($X167&gt;0,IF($Y167&gt;0,"JLR machine "&amp;$O167&amp;" at "&amp;TEXT($X167,"0.00")&amp;" per hr — build-up as supplied","JLR machine "&amp;$O167&amp;" at "&amp;TEXT($X167,"0.00")&amp;" per hr — build-up not supplied"),"Mexico injection moulding benchmark. Monterrey/Saltillo. Jun 2026")</f>
        <v>Mexico injection moulding benchmark. Monterrey/Saltillo. Jun 2026</v>
      </c>
      <c r="N167" t="str">
        <v>Medium</v>
      </c>
      <c r="O167" t="str">
        <f>IFERROR(INDEX(Mapping!$C:$C,MATCH($A167,Mapping!$A:$A,0)),"")</f>
        <v/>
      </c>
      <c r="P167">
        <f>IF($O167="",0,COUNTIFS('JLR Machines'!$A:$A,$O167,'JLR Machines'!$C:$C,IF(Settings!$B$2="","&lt;&gt;",Settings!$B$2),'JLR Machines'!$D:$D,IF(Settings!$B$3="","&lt;&gt;",Settings!$B$3)))</f>
        <v>0</v>
      </c>
      <c r="Q167">
        <f>IF($P167&lt;&gt;1,0,SUMIFS('JLR Machines'!$G:$G,'JLR Machines'!$A:$A,$O167,'JLR Machines'!$C:$C,IF(Settings!$B$2="","&lt;&gt;",Settings!$B$2),'JLR Machines'!$D:$D,IF(Settings!$B$3="","&lt;&gt;",Settings!$B$3)))</f>
        <v>0</v>
      </c>
      <c r="R167">
        <f>IF($P167&lt;&gt;1,0,SUMIFS('JLR Machines'!$H:$H,'JLR Machines'!$A:$A,$O167,'JLR Machines'!$C:$C,IF(Settings!$B$2="","&lt;&gt;",Settings!$B$2),'JLR Machines'!$D:$D,IF(Settings!$B$3="","&lt;&gt;",Settings!$B$3)))</f>
        <v>0</v>
      </c>
      <c r="S167">
        <f>IF($P167&lt;&gt;1,0,SUMIFS('JLR Machines'!$I:$I,'JLR Machines'!$A:$A,$O167,'JLR Machines'!$C:$C,IF(Settings!$B$2="","&lt;&gt;",Settings!$B$2),'JLR Machines'!$D:$D,IF(Settings!$B$3="","&lt;&gt;",Settings!$B$3)))</f>
        <v>0</v>
      </c>
      <c r="T167">
        <f>IF($P167&lt;&gt;1,0,SUMIFS('JLR Machines'!$J:$J,'JLR Machines'!$A:$A,$O167,'JLR Machines'!$C:$C,IF(Settings!$B$2="","&lt;&gt;",Settings!$B$2),'JLR Machines'!$D:$D,IF(Settings!$B$3="","&lt;&gt;",Settings!$B$3)))</f>
        <v>0</v>
      </c>
      <c r="U167">
        <f>IF($P167&lt;&gt;1,0,SUMIFS('JLR Machines'!$K:$K,'JLR Machines'!$A:$A,$O167,'JLR Machines'!$C:$C,IF(Settings!$B$2="","&lt;&gt;",Settings!$B$2),'JLR Machines'!$D:$D,IF(Settings!$B$3="","&lt;&gt;",Settings!$B$3)))</f>
        <v>0</v>
      </c>
      <c r="V167">
        <f>IF($P167&lt;&gt;1,0,SUMIFS('JLR Machines'!$L:$L,'JLR Machines'!$A:$A,$O167,'JLR Machines'!$C:$C,IF(Settings!$B$2="","&lt;&gt;",Settings!$B$2),'JLR Machines'!$D:$D,IF(Settings!$B$3="","&lt;&gt;",Settings!$B$3)))</f>
        <v>0</v>
      </c>
      <c r="W167">
        <f>IF($P167&lt;&gt;1,0,SUMIFS('JLR Machines'!$M:$M,'JLR Machines'!$A:$A,$O167,'JLR Machines'!$C:$C,IF(Settings!$B$2="","&lt;&gt;",Settings!$B$2),'JLR Machines'!$D:$D,IF(Settings!$B$3="","&lt;&gt;",Settings!$B$3)))</f>
        <v>0</v>
      </c>
      <c r="X167">
        <f>IF($P167&lt;&gt;1,0,SUMIFS('JLR Machines'!$N:$N,'JLR Machines'!$A:$A,$O167,'JLR Machines'!$C:$C,IF(Settings!$B$2="","&lt;&gt;",Settings!$B$2),'JLR Machines'!$D:$D,IF(Settings!$B$3="","&lt;&gt;",Settings!$B$3)))</f>
        <v>0</v>
      </c>
      <c r="Y167">
        <f>$Q167+$R167+$S167+$T167+$U167+$V167+$W167</f>
        <v>0</v>
      </c>
      <c r="Z167">
        <f>IF($X167&lt;=0,0,ROUND((D167+E167+F167+G167+H167+I167)/4200-$X167,4))</f>
        <v>0</v>
      </c>
    </row>
    <row r="168">
      <c r="A168" t="str">
        <v>hpdc-500t-cn</v>
      </c>
      <c r="B168" t="str">
        <v>HPDC 500T (China)</v>
      </c>
      <c r="C168" t="str">
        <v>CN</v>
      </c>
      <c r="D168">
        <f>IF($X168&gt;0,IF($Y168&gt;0,MAX(0,$Q168+$X168-$Y168)*3200,$X168*3200),55000)</f>
        <v>55000</v>
      </c>
      <c r="E168">
        <f>IF($X168&gt;0,IF($Y168&gt;0,$S168*3200,0),6000)</f>
        <v>6000</v>
      </c>
      <c r="F168">
        <f>IF($X168&gt;0,IF($Y168&gt;0,$V168*3200,0),7800)</f>
        <v>7800</v>
      </c>
      <c r="G168">
        <f>IF($X168&gt;0,IF($Y168&gt;0,$R168*3200,0),2250)</f>
        <v>2250</v>
      </c>
      <c r="H168">
        <f>IF($X168&gt;0,IF($Y168&gt;0,($T168+$W168)*3200,0),7500)</f>
        <v>7500</v>
      </c>
      <c r="I168">
        <f>IF($X168&gt;0,IF($Y168&gt;0,$U168*3200,0),13750)</f>
        <v>13750</v>
      </c>
      <c r="J168">
        <v>4000</v>
      </c>
      <c r="K168">
        <v>0.8</v>
      </c>
      <c r="L168" t="str">
        <f>IF($X168&gt;0,IF($P168&lt;&gt;1,"2026-06-14",IFERROR(INDEX('JLR Machines'!$D:$D,MATCH($O168,'JLR Machines'!$A:$A,0)),"2026-06-14")),"2026-06-14")</f>
        <v>2026-06-14</v>
      </c>
      <c r="M168" t="str">
        <f>IF($X168&gt;0,IF($Y168&gt;0,"JLR machine "&amp;$O168&amp;" at "&amp;TEXT($X168,"0.00")&amp;" per hr — build-up as supplied","JLR machine "&amp;$O168&amp;" at "&amp;TEXT($X168,"0.00")&amp;" per hr — build-up not supplied"),"China HPDC foundry benchmark. ADC12 Al alloy. Guangdong/Jiangsu. Jun 2026")</f>
        <v>China HPDC foundry benchmark. ADC12 Al alloy. Guangdong/Jiangsu. Jun 2026</v>
      </c>
      <c r="N168" t="str">
        <v>Medium</v>
      </c>
      <c r="O168" t="str">
        <f>IFERROR(INDEX(Mapping!$C:$C,MATCH($A168,Mapping!$A:$A,0)),"")</f>
        <v/>
      </c>
      <c r="P168">
        <f>IF($O168="",0,COUNTIFS('JLR Machines'!$A:$A,$O168,'JLR Machines'!$C:$C,IF(Settings!$B$2="","&lt;&gt;",Settings!$B$2),'JLR Machines'!$D:$D,IF(Settings!$B$3="","&lt;&gt;",Settings!$B$3)))</f>
        <v>0</v>
      </c>
      <c r="Q168">
        <f>IF($P168&lt;&gt;1,0,SUMIFS('JLR Machines'!$G:$G,'JLR Machines'!$A:$A,$O168,'JLR Machines'!$C:$C,IF(Settings!$B$2="","&lt;&gt;",Settings!$B$2),'JLR Machines'!$D:$D,IF(Settings!$B$3="","&lt;&gt;",Settings!$B$3)))</f>
        <v>0</v>
      </c>
      <c r="R168">
        <f>IF($P168&lt;&gt;1,0,SUMIFS('JLR Machines'!$H:$H,'JLR Machines'!$A:$A,$O168,'JLR Machines'!$C:$C,IF(Settings!$B$2="","&lt;&gt;",Settings!$B$2),'JLR Machines'!$D:$D,IF(Settings!$B$3="","&lt;&gt;",Settings!$B$3)))</f>
        <v>0</v>
      </c>
      <c r="S168">
        <f>IF($P168&lt;&gt;1,0,SUMIFS('JLR Machines'!$I:$I,'JLR Machines'!$A:$A,$O168,'JLR Machines'!$C:$C,IF(Settings!$B$2="","&lt;&gt;",Settings!$B$2),'JLR Machines'!$D:$D,IF(Settings!$B$3="","&lt;&gt;",Settings!$B$3)))</f>
        <v>0</v>
      </c>
      <c r="T168">
        <f>IF($P168&lt;&gt;1,0,SUMIFS('JLR Machines'!$J:$J,'JLR Machines'!$A:$A,$O168,'JLR Machines'!$C:$C,IF(Settings!$B$2="","&lt;&gt;",Settings!$B$2),'JLR Machines'!$D:$D,IF(Settings!$B$3="","&lt;&gt;",Settings!$B$3)))</f>
        <v>0</v>
      </c>
      <c r="U168">
        <f>IF($P168&lt;&gt;1,0,SUMIFS('JLR Machines'!$K:$K,'JLR Machines'!$A:$A,$O168,'JLR Machines'!$C:$C,IF(Settings!$B$2="","&lt;&gt;",Settings!$B$2),'JLR Machines'!$D:$D,IF(Settings!$B$3="","&lt;&gt;",Settings!$B$3)))</f>
        <v>0</v>
      </c>
      <c r="V168">
        <f>IF($P168&lt;&gt;1,0,SUMIFS('JLR Machines'!$L:$L,'JLR Machines'!$A:$A,$O168,'JLR Machines'!$C:$C,IF(Settings!$B$2="","&lt;&gt;",Settings!$B$2),'JLR Machines'!$D:$D,IF(Settings!$B$3="","&lt;&gt;",Settings!$B$3)))</f>
        <v>0</v>
      </c>
      <c r="W168">
        <f>IF($P168&lt;&gt;1,0,SUMIFS('JLR Machines'!$M:$M,'JLR Machines'!$A:$A,$O168,'JLR Machines'!$C:$C,IF(Settings!$B$2="","&lt;&gt;",Settings!$B$2),'JLR Machines'!$D:$D,IF(Settings!$B$3="","&lt;&gt;",Settings!$B$3)))</f>
        <v>0</v>
      </c>
      <c r="X168">
        <f>IF($P168&lt;&gt;1,0,SUMIFS('JLR Machines'!$N:$N,'JLR Machines'!$A:$A,$O168,'JLR Machines'!$C:$C,IF(Settings!$B$2="","&lt;&gt;",Settings!$B$2),'JLR Machines'!$D:$D,IF(Settings!$B$3="","&lt;&gt;",Settings!$B$3)))</f>
        <v>0</v>
      </c>
      <c r="Y168">
        <f>$Q168+$R168+$S168+$T168+$U168+$V168+$W168</f>
        <v>0</v>
      </c>
      <c r="Z168">
        <f>IF($X168&lt;=0,0,ROUND((D168+E168+F168+G168+H168+I168)/3200-$X168,4))</f>
        <v>0</v>
      </c>
    </row>
    <row r="169">
      <c r="A169" t="str">
        <v>hpdc-500t-in</v>
      </c>
      <c r="B169" t="str">
        <v>HPDC 500T (India)</v>
      </c>
      <c r="C169" t="str">
        <v>IN</v>
      </c>
      <c r="D169">
        <f>IF($X169&gt;0,IF($Y169&gt;0,MAX(0,$Q169+$X169-$Y169)*3120,$X169*3120),55000)</f>
        <v>55000</v>
      </c>
      <c r="E169">
        <f>IF($X169&gt;0,IF($Y169&gt;0,$S169*3120,0),5000)</f>
        <v>5000</v>
      </c>
      <c r="F169">
        <f>IF($X169&gt;0,IF($Y169&gt;0,$V169*3120,0),10500)</f>
        <v>10500</v>
      </c>
      <c r="G169">
        <f>IF($X169&gt;0,IF($Y169&gt;0,$R169*3120,0),1500)</f>
        <v>1500</v>
      </c>
      <c r="H169">
        <f>IF($X169&gt;0,IF($Y169&gt;0,($T169+$W169)*3120,0),5500)</f>
        <v>5500</v>
      </c>
      <c r="I169">
        <f>IF($X169&gt;0,IF($Y169&gt;0,$U169*3120,0),13750)</f>
        <v>13750</v>
      </c>
      <c r="J169">
        <v>4000</v>
      </c>
      <c r="K169">
        <v>0.78</v>
      </c>
      <c r="L169" t="str">
        <f>IF($X169&gt;0,IF($P169&lt;&gt;1,"2026-06-14",IFERROR(INDEX('JLR Machines'!$D:$D,MATCH($O169,'JLR Machines'!$A:$A,0)),"2026-06-14")),"2026-06-14")</f>
        <v>2026-06-14</v>
      </c>
      <c r="M169" t="str">
        <f>IF($X169&gt;0,IF($Y169&gt;0,"JLR machine "&amp;$O169&amp;" at "&amp;TEXT($X169,"0.00")&amp;" per hr — build-up as supplied","JLR machine "&amp;$O169&amp;" at "&amp;TEXT($X169,"0.00")&amp;" per hr — build-up not supplied"),"India HPDC foundry benchmark. Rajkot/Pune auto cluster. Jun 2026")</f>
        <v>India HPDC foundry benchmark. Rajkot/Pune auto cluster. Jun 2026</v>
      </c>
      <c r="N169" t="str">
        <v>Medium</v>
      </c>
      <c r="O169" t="str">
        <f>IFERROR(INDEX(Mapping!$C:$C,MATCH($A169,Mapping!$A:$A,0)),"")</f>
        <v/>
      </c>
      <c r="P169">
        <f>IF($O169="",0,COUNTIFS('JLR Machines'!$A:$A,$O169,'JLR Machines'!$C:$C,IF(Settings!$B$2="","&lt;&gt;",Settings!$B$2),'JLR Machines'!$D:$D,IF(Settings!$B$3="","&lt;&gt;",Settings!$B$3)))</f>
        <v>0</v>
      </c>
      <c r="Q169">
        <f>IF($P169&lt;&gt;1,0,SUMIFS('JLR Machines'!$G:$G,'JLR Machines'!$A:$A,$O169,'JLR Machines'!$C:$C,IF(Settings!$B$2="","&lt;&gt;",Settings!$B$2),'JLR Machines'!$D:$D,IF(Settings!$B$3="","&lt;&gt;",Settings!$B$3)))</f>
        <v>0</v>
      </c>
      <c r="R169">
        <f>IF($P169&lt;&gt;1,0,SUMIFS('JLR Machines'!$H:$H,'JLR Machines'!$A:$A,$O169,'JLR Machines'!$C:$C,IF(Settings!$B$2="","&lt;&gt;",Settings!$B$2),'JLR Machines'!$D:$D,IF(Settings!$B$3="","&lt;&gt;",Settings!$B$3)))</f>
        <v>0</v>
      </c>
      <c r="S169">
        <f>IF($P169&lt;&gt;1,0,SUMIFS('JLR Machines'!$I:$I,'JLR Machines'!$A:$A,$O169,'JLR Machines'!$C:$C,IF(Settings!$B$2="","&lt;&gt;",Settings!$B$2),'JLR Machines'!$D:$D,IF(Settings!$B$3="","&lt;&gt;",Settings!$B$3)))</f>
        <v>0</v>
      </c>
      <c r="T169">
        <f>IF($P169&lt;&gt;1,0,SUMIFS('JLR Machines'!$J:$J,'JLR Machines'!$A:$A,$O169,'JLR Machines'!$C:$C,IF(Settings!$B$2="","&lt;&gt;",Settings!$B$2),'JLR Machines'!$D:$D,IF(Settings!$B$3="","&lt;&gt;",Settings!$B$3)))</f>
        <v>0</v>
      </c>
      <c r="U169">
        <f>IF($P169&lt;&gt;1,0,SUMIFS('JLR Machines'!$K:$K,'JLR Machines'!$A:$A,$O169,'JLR Machines'!$C:$C,IF(Settings!$B$2="","&lt;&gt;",Settings!$B$2),'JLR Machines'!$D:$D,IF(Settings!$B$3="","&lt;&gt;",Settings!$B$3)))</f>
        <v>0</v>
      </c>
      <c r="V169">
        <f>IF($P169&lt;&gt;1,0,SUMIFS('JLR Machines'!$L:$L,'JLR Machines'!$A:$A,$O169,'JLR Machines'!$C:$C,IF(Settings!$B$2="","&lt;&gt;",Settings!$B$2),'JLR Machines'!$D:$D,IF(Settings!$B$3="","&lt;&gt;",Settings!$B$3)))</f>
        <v>0</v>
      </c>
      <c r="W169">
        <f>IF($P169&lt;&gt;1,0,SUMIFS('JLR Machines'!$M:$M,'JLR Machines'!$A:$A,$O169,'JLR Machines'!$C:$C,IF(Settings!$B$2="","&lt;&gt;",Settings!$B$2),'JLR Machines'!$D:$D,IF(Settings!$B$3="","&lt;&gt;",Settings!$B$3)))</f>
        <v>0</v>
      </c>
      <c r="X169">
        <f>IF($P169&lt;&gt;1,0,SUMIFS('JLR Machines'!$N:$N,'JLR Machines'!$A:$A,$O169,'JLR Machines'!$C:$C,IF(Settings!$B$2="","&lt;&gt;",Settings!$B$2),'JLR Machines'!$D:$D,IF(Settings!$B$3="","&lt;&gt;",Settings!$B$3)))</f>
        <v>0</v>
      </c>
      <c r="Y169">
        <f>$Q169+$R169+$S169+$T169+$U169+$V169+$W169</f>
        <v>0</v>
      </c>
      <c r="Z169">
        <f>IF($X169&lt;=0,0,ROUND((D169+E169+F169+G169+H169+I169)/3120-$X169,4))</f>
        <v>0</v>
      </c>
    </row>
    <row r="170">
      <c r="A170" t="str">
        <v>hpdc-500t-mx</v>
      </c>
      <c r="B170" t="str">
        <v>HPDC 500T (Mexico)</v>
      </c>
      <c r="C170" t="str">
        <v>MX</v>
      </c>
      <c r="D170">
        <f>IF($X170&gt;0,IF($Y170&gt;0,MAX(0,$Q170+$X170-$Y170)*3200,$X170*3200),55000)</f>
        <v>55000</v>
      </c>
      <c r="E170">
        <f>IF($X170&gt;0,IF($Y170&gt;0,$S170*3200,0),6000)</f>
        <v>6000</v>
      </c>
      <c r="F170">
        <f>IF($X170&gt;0,IF($Y170&gt;0,$V170*3200,0),11700)</f>
        <v>11700</v>
      </c>
      <c r="G170">
        <f>IF($X170&gt;0,IF($Y170&gt;0,$R170*3200,0),3000)</f>
        <v>3000</v>
      </c>
      <c r="H170">
        <f>IF($X170&gt;0,IF($Y170&gt;0,($T170+$W170)*3200,0),7500)</f>
        <v>7500</v>
      </c>
      <c r="I170">
        <f>IF($X170&gt;0,IF($Y170&gt;0,$U170*3200,0),13750)</f>
        <v>13750</v>
      </c>
      <c r="J170">
        <v>4000</v>
      </c>
      <c r="K170">
        <v>0.8</v>
      </c>
      <c r="L170" t="str">
        <f>IF($X170&gt;0,IF($P170&lt;&gt;1,"2026-06-14",IFERROR(INDEX('JLR Machines'!$D:$D,MATCH($O170,'JLR Machines'!$A:$A,0)),"2026-06-14")),"2026-06-14")</f>
        <v>2026-06-14</v>
      </c>
      <c r="M170" t="str">
        <f>IF($X170&gt;0,IF($Y170&gt;0,"JLR machine "&amp;$O170&amp;" at "&amp;TEXT($X170,"0.00")&amp;" per hr — build-up as supplied","JLR machine "&amp;$O170&amp;" at "&amp;TEXT($X170,"0.00")&amp;" per hr — build-up not supplied"),"Mexico HPDC benchmark. Monterrey auto zone. Jun 2026")</f>
        <v>Mexico HPDC benchmark. Monterrey auto zone. Jun 2026</v>
      </c>
      <c r="N170" t="str">
        <v>Medium</v>
      </c>
      <c r="O170" t="str">
        <f>IFERROR(INDEX(Mapping!$C:$C,MATCH($A170,Mapping!$A:$A,0)),"")</f>
        <v/>
      </c>
      <c r="P170">
        <f>IF($O170="",0,COUNTIFS('JLR Machines'!$A:$A,$O170,'JLR Machines'!$C:$C,IF(Settings!$B$2="","&lt;&gt;",Settings!$B$2),'JLR Machines'!$D:$D,IF(Settings!$B$3="","&lt;&gt;",Settings!$B$3)))</f>
        <v>0</v>
      </c>
      <c r="Q170">
        <f>IF($P170&lt;&gt;1,0,SUMIFS('JLR Machines'!$G:$G,'JLR Machines'!$A:$A,$O170,'JLR Machines'!$C:$C,IF(Settings!$B$2="","&lt;&gt;",Settings!$B$2),'JLR Machines'!$D:$D,IF(Settings!$B$3="","&lt;&gt;",Settings!$B$3)))</f>
        <v>0</v>
      </c>
      <c r="R170">
        <f>IF($P170&lt;&gt;1,0,SUMIFS('JLR Machines'!$H:$H,'JLR Machines'!$A:$A,$O170,'JLR Machines'!$C:$C,IF(Settings!$B$2="","&lt;&gt;",Settings!$B$2),'JLR Machines'!$D:$D,IF(Settings!$B$3="","&lt;&gt;",Settings!$B$3)))</f>
        <v>0</v>
      </c>
      <c r="S170">
        <f>IF($P170&lt;&gt;1,0,SUMIFS('JLR Machines'!$I:$I,'JLR Machines'!$A:$A,$O170,'JLR Machines'!$C:$C,IF(Settings!$B$2="","&lt;&gt;",Settings!$B$2),'JLR Machines'!$D:$D,IF(Settings!$B$3="","&lt;&gt;",Settings!$B$3)))</f>
        <v>0</v>
      </c>
      <c r="T170">
        <f>IF($P170&lt;&gt;1,0,SUMIFS('JLR Machines'!$J:$J,'JLR Machines'!$A:$A,$O170,'JLR Machines'!$C:$C,IF(Settings!$B$2="","&lt;&gt;",Settings!$B$2),'JLR Machines'!$D:$D,IF(Settings!$B$3="","&lt;&gt;",Settings!$B$3)))</f>
        <v>0</v>
      </c>
      <c r="U170">
        <f>IF($P170&lt;&gt;1,0,SUMIFS('JLR Machines'!$K:$K,'JLR Machines'!$A:$A,$O170,'JLR Machines'!$C:$C,IF(Settings!$B$2="","&lt;&gt;",Settings!$B$2),'JLR Machines'!$D:$D,IF(Settings!$B$3="","&lt;&gt;",Settings!$B$3)))</f>
        <v>0</v>
      </c>
      <c r="V170">
        <f>IF($P170&lt;&gt;1,0,SUMIFS('JLR Machines'!$L:$L,'JLR Machines'!$A:$A,$O170,'JLR Machines'!$C:$C,IF(Settings!$B$2="","&lt;&gt;",Settings!$B$2),'JLR Machines'!$D:$D,IF(Settings!$B$3="","&lt;&gt;",Settings!$B$3)))</f>
        <v>0</v>
      </c>
      <c r="W170">
        <f>IF($P170&lt;&gt;1,0,SUMIFS('JLR Machines'!$M:$M,'JLR Machines'!$A:$A,$O170,'JLR Machines'!$C:$C,IF(Settings!$B$2="","&lt;&gt;",Settings!$B$2),'JLR Machines'!$D:$D,IF(Settings!$B$3="","&lt;&gt;",Settings!$B$3)))</f>
        <v>0</v>
      </c>
      <c r="X170">
        <f>IF($P170&lt;&gt;1,0,SUMIFS('JLR Machines'!$N:$N,'JLR Machines'!$A:$A,$O170,'JLR Machines'!$C:$C,IF(Settings!$B$2="","&lt;&gt;",Settings!$B$2),'JLR Machines'!$D:$D,IF(Settings!$B$3="","&lt;&gt;",Settings!$B$3)))</f>
        <v>0</v>
      </c>
      <c r="Y170">
        <f>$Q170+$R170+$S170+$T170+$U170+$V170+$W170</f>
        <v>0</v>
      </c>
      <c r="Z170">
        <f>IF($X170&lt;=0,0,ROUND((D170+E170+F170+G170+H170+I170)/3200-$X170,4))</f>
        <v>0</v>
      </c>
    </row>
    <row r="171">
      <c r="A171" t="str">
        <v>press-400t-cn</v>
      </c>
      <c r="B171" t="str">
        <v>Stamping Press 400T (China)</v>
      </c>
      <c r="C171" t="str">
        <v>CN</v>
      </c>
      <c r="D171">
        <f>IF($X171&gt;0,IF($Y171&gt;0,MAX(0,$Q171+$X171-$Y171)*3280,$X171*3280),38000)</f>
        <v>38000</v>
      </c>
      <c r="E171">
        <f>IF($X171&gt;0,IF($Y171&gt;0,$S171*3280,0),3600)</f>
        <v>3600</v>
      </c>
      <c r="F171">
        <f>IF($X171&gt;0,IF($Y171&gt;0,$V171*3280,0),5200)</f>
        <v>5200</v>
      </c>
      <c r="G171">
        <f>IF($X171&gt;0,IF($Y171&gt;0,$R171*3280,0),3000)</f>
        <v>3000</v>
      </c>
      <c r="H171">
        <f>IF($X171&gt;0,IF($Y171&gt;0,($T171+$W171)*3280,0),4500)</f>
        <v>4500</v>
      </c>
      <c r="I171">
        <f>IF($X171&gt;0,IF($Y171&gt;0,$U171*3280,0),9500)</f>
        <v>9500</v>
      </c>
      <c r="J171">
        <v>4000</v>
      </c>
      <c r="K171">
        <v>0.82</v>
      </c>
      <c r="L171" t="str">
        <f>IF($X171&gt;0,IF($P171&lt;&gt;1,"2026-06-14",IFERROR(INDEX('JLR Machines'!$D:$D,MATCH($O171,'JLR Machines'!$A:$A,0)),"2026-06-14")),"2026-06-14")</f>
        <v>2026-06-14</v>
      </c>
      <c r="M171" t="str">
        <f>IF($X171&gt;0,IF($Y171&gt;0,"JLR machine "&amp;$O171&amp;" at "&amp;TEXT($X171,"0.00")&amp;" per hr — build-up as supplied","JLR machine "&amp;$O171&amp;" at "&amp;TEXT($X171,"0.00")&amp;" per hr — build-up not supplied"),"China press shop benchmark. Wuhan/Shanghai auto stamping. Jun 2026")</f>
        <v>China press shop benchmark. Wuhan/Shanghai auto stamping. Jun 2026</v>
      </c>
      <c r="N171" t="str">
        <v>Medium</v>
      </c>
      <c r="O171" t="str">
        <f>IFERROR(INDEX(Mapping!$C:$C,MATCH($A171,Mapping!$A:$A,0)),"")</f>
        <v/>
      </c>
      <c r="P171">
        <f>IF($O171="",0,COUNTIFS('JLR Machines'!$A:$A,$O171,'JLR Machines'!$C:$C,IF(Settings!$B$2="","&lt;&gt;",Settings!$B$2),'JLR Machines'!$D:$D,IF(Settings!$B$3="","&lt;&gt;",Settings!$B$3)))</f>
        <v>0</v>
      </c>
      <c r="Q171">
        <f>IF($P171&lt;&gt;1,0,SUMIFS('JLR Machines'!$G:$G,'JLR Machines'!$A:$A,$O171,'JLR Machines'!$C:$C,IF(Settings!$B$2="","&lt;&gt;",Settings!$B$2),'JLR Machines'!$D:$D,IF(Settings!$B$3="","&lt;&gt;",Settings!$B$3)))</f>
        <v>0</v>
      </c>
      <c r="R171">
        <f>IF($P171&lt;&gt;1,0,SUMIFS('JLR Machines'!$H:$H,'JLR Machines'!$A:$A,$O171,'JLR Machines'!$C:$C,IF(Settings!$B$2="","&lt;&gt;",Settings!$B$2),'JLR Machines'!$D:$D,IF(Settings!$B$3="","&lt;&gt;",Settings!$B$3)))</f>
        <v>0</v>
      </c>
      <c r="S171">
        <f>IF($P171&lt;&gt;1,0,SUMIFS('JLR Machines'!$I:$I,'JLR Machines'!$A:$A,$O171,'JLR Machines'!$C:$C,IF(Settings!$B$2="","&lt;&gt;",Settings!$B$2),'JLR Machines'!$D:$D,IF(Settings!$B$3="","&lt;&gt;",Settings!$B$3)))</f>
        <v>0</v>
      </c>
      <c r="T171">
        <f>IF($P171&lt;&gt;1,0,SUMIFS('JLR Machines'!$J:$J,'JLR Machines'!$A:$A,$O171,'JLR Machines'!$C:$C,IF(Settings!$B$2="","&lt;&gt;",Settings!$B$2),'JLR Machines'!$D:$D,IF(Settings!$B$3="","&lt;&gt;",Settings!$B$3)))</f>
        <v>0</v>
      </c>
      <c r="U171">
        <f>IF($P171&lt;&gt;1,0,SUMIFS('JLR Machines'!$K:$K,'JLR Machines'!$A:$A,$O171,'JLR Machines'!$C:$C,IF(Settings!$B$2="","&lt;&gt;",Settings!$B$2),'JLR Machines'!$D:$D,IF(Settings!$B$3="","&lt;&gt;",Settings!$B$3)))</f>
        <v>0</v>
      </c>
      <c r="V171">
        <f>IF($P171&lt;&gt;1,0,SUMIFS('JLR Machines'!$L:$L,'JLR Machines'!$A:$A,$O171,'JLR Machines'!$C:$C,IF(Settings!$B$2="","&lt;&gt;",Settings!$B$2),'JLR Machines'!$D:$D,IF(Settings!$B$3="","&lt;&gt;",Settings!$B$3)))</f>
        <v>0</v>
      </c>
      <c r="W171">
        <f>IF($P171&lt;&gt;1,0,SUMIFS('JLR Machines'!$M:$M,'JLR Machines'!$A:$A,$O171,'JLR Machines'!$C:$C,IF(Settings!$B$2="","&lt;&gt;",Settings!$B$2),'JLR Machines'!$D:$D,IF(Settings!$B$3="","&lt;&gt;",Settings!$B$3)))</f>
        <v>0</v>
      </c>
      <c r="X171">
        <f>IF($P171&lt;&gt;1,0,SUMIFS('JLR Machines'!$N:$N,'JLR Machines'!$A:$A,$O171,'JLR Machines'!$C:$C,IF(Settings!$B$2="","&lt;&gt;",Settings!$B$2),'JLR Machines'!$D:$D,IF(Settings!$B$3="","&lt;&gt;",Settings!$B$3)))</f>
        <v>0</v>
      </c>
      <c r="Y171">
        <f>$Q171+$R171+$S171+$T171+$U171+$V171+$W171</f>
        <v>0</v>
      </c>
      <c r="Z171">
        <f>IF($X171&lt;=0,0,ROUND((D171+E171+F171+G171+H171+I171)/3280-$X171,4))</f>
        <v>0</v>
      </c>
    </row>
    <row r="172">
      <c r="A172" t="str">
        <v>press-400t-in</v>
      </c>
      <c r="B172" t="str">
        <v>Stamping Press 400T (India)</v>
      </c>
      <c r="C172" t="str">
        <v>IN</v>
      </c>
      <c r="D172">
        <f>IF($X172&gt;0,IF($Y172&gt;0,MAX(0,$Q172+$X172-$Y172)*3200,$X172*3200),38000)</f>
        <v>38000</v>
      </c>
      <c r="E172">
        <f>IF($X172&gt;0,IF($Y172&gt;0,$S172*3200,0),3000)</f>
        <v>3000</v>
      </c>
      <c r="F172">
        <f>IF($X172&gt;0,IF($Y172&gt;0,$V172*3200,0),7000)</f>
        <v>7000</v>
      </c>
      <c r="G172">
        <f>IF($X172&gt;0,IF($Y172&gt;0,$R172*3200,0),2000)</f>
        <v>2000</v>
      </c>
      <c r="H172">
        <f>IF($X172&gt;0,IF($Y172&gt;0,($T172+$W172)*3200,0),3300)</f>
        <v>3300</v>
      </c>
      <c r="I172">
        <f>IF($X172&gt;0,IF($Y172&gt;0,$U172*3200,0),9500)</f>
        <v>9500</v>
      </c>
      <c r="J172">
        <v>4000</v>
      </c>
      <c r="K172">
        <v>0.8</v>
      </c>
      <c r="L172" t="str">
        <f>IF($X172&gt;0,IF($P172&lt;&gt;1,"2026-06-14",IFERROR(INDEX('JLR Machines'!$D:$D,MATCH($O172,'JLR Machines'!$A:$A,0)),"2026-06-14")),"2026-06-14")</f>
        <v>2026-06-14</v>
      </c>
      <c r="M172" t="str">
        <f>IF($X172&gt;0,IF($Y172&gt;0,"JLR machine "&amp;$O172&amp;" at "&amp;TEXT($X172,"0.00")&amp;" per hr — build-up as supplied","JLR machine "&amp;$O172&amp;" at "&amp;TEXT($X172,"0.00")&amp;" per hr — build-up not supplied"),"India press shop benchmark. Pune/NCR auto cluster. Jun 2026")</f>
        <v>India press shop benchmark. Pune/NCR auto cluster. Jun 2026</v>
      </c>
      <c r="N172" t="str">
        <v>Medium</v>
      </c>
      <c r="O172" t="str">
        <f>IFERROR(INDEX(Mapping!$C:$C,MATCH($A172,Mapping!$A:$A,0)),"")</f>
        <v/>
      </c>
      <c r="P172">
        <f>IF($O172="",0,COUNTIFS('JLR Machines'!$A:$A,$O172,'JLR Machines'!$C:$C,IF(Settings!$B$2="","&lt;&gt;",Settings!$B$2),'JLR Machines'!$D:$D,IF(Settings!$B$3="","&lt;&gt;",Settings!$B$3)))</f>
        <v>0</v>
      </c>
      <c r="Q172">
        <f>IF($P172&lt;&gt;1,0,SUMIFS('JLR Machines'!$G:$G,'JLR Machines'!$A:$A,$O172,'JLR Machines'!$C:$C,IF(Settings!$B$2="","&lt;&gt;",Settings!$B$2),'JLR Machines'!$D:$D,IF(Settings!$B$3="","&lt;&gt;",Settings!$B$3)))</f>
        <v>0</v>
      </c>
      <c r="R172">
        <f>IF($P172&lt;&gt;1,0,SUMIFS('JLR Machines'!$H:$H,'JLR Machines'!$A:$A,$O172,'JLR Machines'!$C:$C,IF(Settings!$B$2="","&lt;&gt;",Settings!$B$2),'JLR Machines'!$D:$D,IF(Settings!$B$3="","&lt;&gt;",Settings!$B$3)))</f>
        <v>0</v>
      </c>
      <c r="S172">
        <f>IF($P172&lt;&gt;1,0,SUMIFS('JLR Machines'!$I:$I,'JLR Machines'!$A:$A,$O172,'JLR Machines'!$C:$C,IF(Settings!$B$2="","&lt;&gt;",Settings!$B$2),'JLR Machines'!$D:$D,IF(Settings!$B$3="","&lt;&gt;",Settings!$B$3)))</f>
        <v>0</v>
      </c>
      <c r="T172">
        <f>IF($P172&lt;&gt;1,0,SUMIFS('JLR Machines'!$J:$J,'JLR Machines'!$A:$A,$O172,'JLR Machines'!$C:$C,IF(Settings!$B$2="","&lt;&gt;",Settings!$B$2),'JLR Machines'!$D:$D,IF(Settings!$B$3="","&lt;&gt;",Settings!$B$3)))</f>
        <v>0</v>
      </c>
      <c r="U172">
        <f>IF($P172&lt;&gt;1,0,SUMIFS('JLR Machines'!$K:$K,'JLR Machines'!$A:$A,$O172,'JLR Machines'!$C:$C,IF(Settings!$B$2="","&lt;&gt;",Settings!$B$2),'JLR Machines'!$D:$D,IF(Settings!$B$3="","&lt;&gt;",Settings!$B$3)))</f>
        <v>0</v>
      </c>
      <c r="V172">
        <f>IF($P172&lt;&gt;1,0,SUMIFS('JLR Machines'!$L:$L,'JLR Machines'!$A:$A,$O172,'JLR Machines'!$C:$C,IF(Settings!$B$2="","&lt;&gt;",Settings!$B$2),'JLR Machines'!$D:$D,IF(Settings!$B$3="","&lt;&gt;",Settings!$B$3)))</f>
        <v>0</v>
      </c>
      <c r="W172">
        <f>IF($P172&lt;&gt;1,0,SUMIFS('JLR Machines'!$M:$M,'JLR Machines'!$A:$A,$O172,'JLR Machines'!$C:$C,IF(Settings!$B$2="","&lt;&gt;",Settings!$B$2),'JLR Machines'!$D:$D,IF(Settings!$B$3="","&lt;&gt;",Settings!$B$3)))</f>
        <v>0</v>
      </c>
      <c r="X172">
        <f>IF($P172&lt;&gt;1,0,SUMIFS('JLR Machines'!$N:$N,'JLR Machines'!$A:$A,$O172,'JLR Machines'!$C:$C,IF(Settings!$B$2="","&lt;&gt;",Settings!$B$2),'JLR Machines'!$D:$D,IF(Settings!$B$3="","&lt;&gt;",Settings!$B$3)))</f>
        <v>0</v>
      </c>
      <c r="Y172">
        <f>$Q172+$R172+$S172+$T172+$U172+$V172+$W172</f>
        <v>0</v>
      </c>
      <c r="Z172">
        <f>IF($X172&lt;=0,0,ROUND((D172+E172+F172+G172+H172+I172)/3200-$X172,4))</f>
        <v>0</v>
      </c>
    </row>
    <row r="173">
      <c r="A173" t="str">
        <v>press-400t-pl</v>
      </c>
      <c r="B173" t="str">
        <v>Stamping Press 400T (Poland)</v>
      </c>
      <c r="C173" t="str">
        <v>PL</v>
      </c>
      <c r="D173">
        <f>IF($X173&gt;0,IF($Y173&gt;0,MAX(0,$Q173+$X173-$Y173)*3280,$X173*3280),38000)</f>
        <v>38000</v>
      </c>
      <c r="E173">
        <f>IF($X173&gt;0,IF($Y173&gt;0,$S173*3280,0),5400)</f>
        <v>5400</v>
      </c>
      <c r="F173">
        <f>IF($X173&gt;0,IF($Y173&gt;0,$V173*3280,0),10400)</f>
        <v>10400</v>
      </c>
      <c r="G173">
        <f>IF($X173&gt;0,IF($Y173&gt;0,$R173*3280,0),5250)</f>
        <v>5250</v>
      </c>
      <c r="H173">
        <f>IF($X173&gt;0,IF($Y173&gt;0,($T173+$W173)*3280,0),6750)</f>
        <v>6750</v>
      </c>
      <c r="I173">
        <f>IF($X173&gt;0,IF($Y173&gt;0,$U173*3280,0),9500)</f>
        <v>9500</v>
      </c>
      <c r="J173">
        <v>4000</v>
      </c>
      <c r="K173">
        <v>0.82</v>
      </c>
      <c r="L173" t="str">
        <f>IF($X173&gt;0,IF($P173&lt;&gt;1,"2026-06-14",IFERROR(INDEX('JLR Machines'!$D:$D,MATCH($O173,'JLR Machines'!$A:$A,0)),"2026-06-14")),"2026-06-14")</f>
        <v>2026-06-14</v>
      </c>
      <c r="M173" t="str">
        <f>IF($X173&gt;0,IF($Y173&gt;0,"JLR machine "&amp;$O173&amp;" at "&amp;TEXT($X173,"0.00")&amp;" per hr — build-up as supplied","JLR machine "&amp;$O173&amp;" at "&amp;TEXT($X173,"0.00")&amp;" per hr — build-up not supplied"),"Poland stamping press benchmark. Silesia auto suppliers. Jun 2026")</f>
        <v>Poland stamping press benchmark. Silesia auto suppliers. Jun 2026</v>
      </c>
      <c r="N173" t="str">
        <v>Medium</v>
      </c>
      <c r="O173" t="str">
        <f>IFERROR(INDEX(Mapping!$C:$C,MATCH($A173,Mapping!$A:$A,0)),"")</f>
        <v/>
      </c>
      <c r="P173">
        <f>IF($O173="",0,COUNTIFS('JLR Machines'!$A:$A,$O173,'JLR Machines'!$C:$C,IF(Settings!$B$2="","&lt;&gt;",Settings!$B$2),'JLR Machines'!$D:$D,IF(Settings!$B$3="","&lt;&gt;",Settings!$B$3)))</f>
        <v>0</v>
      </c>
      <c r="Q173">
        <f>IF($P173&lt;&gt;1,0,SUMIFS('JLR Machines'!$G:$G,'JLR Machines'!$A:$A,$O173,'JLR Machines'!$C:$C,IF(Settings!$B$2="","&lt;&gt;",Settings!$B$2),'JLR Machines'!$D:$D,IF(Settings!$B$3="","&lt;&gt;",Settings!$B$3)))</f>
        <v>0</v>
      </c>
      <c r="R173">
        <f>IF($P173&lt;&gt;1,0,SUMIFS('JLR Machines'!$H:$H,'JLR Machines'!$A:$A,$O173,'JLR Machines'!$C:$C,IF(Settings!$B$2="","&lt;&gt;",Settings!$B$2),'JLR Machines'!$D:$D,IF(Settings!$B$3="","&lt;&gt;",Settings!$B$3)))</f>
        <v>0</v>
      </c>
      <c r="S173">
        <f>IF($P173&lt;&gt;1,0,SUMIFS('JLR Machines'!$I:$I,'JLR Machines'!$A:$A,$O173,'JLR Machines'!$C:$C,IF(Settings!$B$2="","&lt;&gt;",Settings!$B$2),'JLR Machines'!$D:$D,IF(Settings!$B$3="","&lt;&gt;",Settings!$B$3)))</f>
        <v>0</v>
      </c>
      <c r="T173">
        <f>IF($P173&lt;&gt;1,0,SUMIFS('JLR Machines'!$J:$J,'JLR Machines'!$A:$A,$O173,'JLR Machines'!$C:$C,IF(Settings!$B$2="","&lt;&gt;",Settings!$B$2),'JLR Machines'!$D:$D,IF(Settings!$B$3="","&lt;&gt;",Settings!$B$3)))</f>
        <v>0</v>
      </c>
      <c r="U173">
        <f>IF($P173&lt;&gt;1,0,SUMIFS('JLR Machines'!$K:$K,'JLR Machines'!$A:$A,$O173,'JLR Machines'!$C:$C,IF(Settings!$B$2="","&lt;&gt;",Settings!$B$2),'JLR Machines'!$D:$D,IF(Settings!$B$3="","&lt;&gt;",Settings!$B$3)))</f>
        <v>0</v>
      </c>
      <c r="V173">
        <f>IF($P173&lt;&gt;1,0,SUMIFS('JLR Machines'!$L:$L,'JLR Machines'!$A:$A,$O173,'JLR Machines'!$C:$C,IF(Settings!$B$2="","&lt;&gt;",Settings!$B$2),'JLR Machines'!$D:$D,IF(Settings!$B$3="","&lt;&gt;",Settings!$B$3)))</f>
        <v>0</v>
      </c>
      <c r="W173">
        <f>IF($P173&lt;&gt;1,0,SUMIFS('JLR Machines'!$M:$M,'JLR Machines'!$A:$A,$O173,'JLR Machines'!$C:$C,IF(Settings!$B$2="","&lt;&gt;",Settings!$B$2),'JLR Machines'!$D:$D,IF(Settings!$B$3="","&lt;&gt;",Settings!$B$3)))</f>
        <v>0</v>
      </c>
      <c r="X173">
        <f>IF($P173&lt;&gt;1,0,SUMIFS('JLR Machines'!$N:$N,'JLR Machines'!$A:$A,$O173,'JLR Machines'!$C:$C,IF(Settings!$B$2="","&lt;&gt;",Settings!$B$2),'JLR Machines'!$D:$D,IF(Settings!$B$3="","&lt;&gt;",Settings!$B$3)))</f>
        <v>0</v>
      </c>
      <c r="Y173">
        <f>$Q173+$R173+$S173+$T173+$U173+$V173+$W173</f>
        <v>0</v>
      </c>
      <c r="Z173">
        <f>IF($X173&lt;=0,0,ROUND((D173+E173+F173+G173+H173+I173)/3280-$X173,4))</f>
        <v>0</v>
      </c>
    </row>
    <row r="174">
      <c r="A174" t="str">
        <v>press-400t-mx</v>
      </c>
      <c r="B174" t="str">
        <v>Stamping Press 400T (Mexico)</v>
      </c>
      <c r="C174" t="str">
        <v>MX</v>
      </c>
      <c r="D174">
        <f>IF($X174&gt;0,IF($Y174&gt;0,MAX(0,$Q174+$X174-$Y174)*3280,$X174*3280),38000)</f>
        <v>38000</v>
      </c>
      <c r="E174">
        <f>IF($X174&gt;0,IF($Y174&gt;0,$S174*3280,0),3600)</f>
        <v>3600</v>
      </c>
      <c r="F174">
        <f>IF($X174&gt;0,IF($Y174&gt;0,$V174*3280,0),7800)</f>
        <v>7800</v>
      </c>
      <c r="G174">
        <f>IF($X174&gt;0,IF($Y174&gt;0,$R174*3280,0),4000)</f>
        <v>4000</v>
      </c>
      <c r="H174">
        <f>IF($X174&gt;0,IF($Y174&gt;0,($T174+$W174)*3280,0),4500)</f>
        <v>4500</v>
      </c>
      <c r="I174">
        <f>IF($X174&gt;0,IF($Y174&gt;0,$U174*3280,0),9500)</f>
        <v>9500</v>
      </c>
      <c r="J174">
        <v>4000</v>
      </c>
      <c r="K174">
        <v>0.82</v>
      </c>
      <c r="L174" t="str">
        <f>IF($X174&gt;0,IF($P174&lt;&gt;1,"2026-06-14",IFERROR(INDEX('JLR Machines'!$D:$D,MATCH($O174,'JLR Machines'!$A:$A,0)),"2026-06-14")),"2026-06-14")</f>
        <v>2026-06-14</v>
      </c>
      <c r="M174" t="str">
        <f>IF($X174&gt;0,IF($Y174&gt;0,"JLR machine "&amp;$O174&amp;" at "&amp;TEXT($X174,"0.00")&amp;" per hr — build-up as supplied","JLR machine "&amp;$O174&amp;" at "&amp;TEXT($X174,"0.00")&amp;" per hr — build-up not supplied"),"Mexico stamping benchmark. Saltillo auto corridor. Jun 2026")</f>
        <v>Mexico stamping benchmark. Saltillo auto corridor. Jun 2026</v>
      </c>
      <c r="N174" t="str">
        <v>Medium</v>
      </c>
      <c r="O174" t="str">
        <f>IFERROR(INDEX(Mapping!$C:$C,MATCH($A174,Mapping!$A:$A,0)),"")</f>
        <v/>
      </c>
      <c r="P174">
        <f>IF($O174="",0,COUNTIFS('JLR Machines'!$A:$A,$O174,'JLR Machines'!$C:$C,IF(Settings!$B$2="","&lt;&gt;",Settings!$B$2),'JLR Machines'!$D:$D,IF(Settings!$B$3="","&lt;&gt;",Settings!$B$3)))</f>
        <v>0</v>
      </c>
      <c r="Q174">
        <f>IF($P174&lt;&gt;1,0,SUMIFS('JLR Machines'!$G:$G,'JLR Machines'!$A:$A,$O174,'JLR Machines'!$C:$C,IF(Settings!$B$2="","&lt;&gt;",Settings!$B$2),'JLR Machines'!$D:$D,IF(Settings!$B$3="","&lt;&gt;",Settings!$B$3)))</f>
        <v>0</v>
      </c>
      <c r="R174">
        <f>IF($P174&lt;&gt;1,0,SUMIFS('JLR Machines'!$H:$H,'JLR Machines'!$A:$A,$O174,'JLR Machines'!$C:$C,IF(Settings!$B$2="","&lt;&gt;",Settings!$B$2),'JLR Machines'!$D:$D,IF(Settings!$B$3="","&lt;&gt;",Settings!$B$3)))</f>
        <v>0</v>
      </c>
      <c r="S174">
        <f>IF($P174&lt;&gt;1,0,SUMIFS('JLR Machines'!$I:$I,'JLR Machines'!$A:$A,$O174,'JLR Machines'!$C:$C,IF(Settings!$B$2="","&lt;&gt;",Settings!$B$2),'JLR Machines'!$D:$D,IF(Settings!$B$3="","&lt;&gt;",Settings!$B$3)))</f>
        <v>0</v>
      </c>
      <c r="T174">
        <f>IF($P174&lt;&gt;1,0,SUMIFS('JLR Machines'!$J:$J,'JLR Machines'!$A:$A,$O174,'JLR Machines'!$C:$C,IF(Settings!$B$2="","&lt;&gt;",Settings!$B$2),'JLR Machines'!$D:$D,IF(Settings!$B$3="","&lt;&gt;",Settings!$B$3)))</f>
        <v>0</v>
      </c>
      <c r="U174">
        <f>IF($P174&lt;&gt;1,0,SUMIFS('JLR Machines'!$K:$K,'JLR Machines'!$A:$A,$O174,'JLR Machines'!$C:$C,IF(Settings!$B$2="","&lt;&gt;",Settings!$B$2),'JLR Machines'!$D:$D,IF(Settings!$B$3="","&lt;&gt;",Settings!$B$3)))</f>
        <v>0</v>
      </c>
      <c r="V174">
        <f>IF($P174&lt;&gt;1,0,SUMIFS('JLR Machines'!$L:$L,'JLR Machines'!$A:$A,$O174,'JLR Machines'!$C:$C,IF(Settings!$B$2="","&lt;&gt;",Settings!$B$2),'JLR Machines'!$D:$D,IF(Settings!$B$3="","&lt;&gt;",Settings!$B$3)))</f>
        <v>0</v>
      </c>
      <c r="W174">
        <f>IF($P174&lt;&gt;1,0,SUMIFS('JLR Machines'!$M:$M,'JLR Machines'!$A:$A,$O174,'JLR Machines'!$C:$C,IF(Settings!$B$2="","&lt;&gt;",Settings!$B$2),'JLR Machines'!$D:$D,IF(Settings!$B$3="","&lt;&gt;",Settings!$B$3)))</f>
        <v>0</v>
      </c>
      <c r="X174">
        <f>IF($P174&lt;&gt;1,0,SUMIFS('JLR Machines'!$N:$N,'JLR Machines'!$A:$A,$O174,'JLR Machines'!$C:$C,IF(Settings!$B$2="","&lt;&gt;",Settings!$B$2),'JLR Machines'!$D:$D,IF(Settings!$B$3="","&lt;&gt;",Settings!$B$3)))</f>
        <v>0</v>
      </c>
      <c r="Y174">
        <f>$Q174+$R174+$S174+$T174+$U174+$V174+$W174</f>
        <v>0</v>
      </c>
      <c r="Z174">
        <f>IF($X174&lt;=0,0,ROUND((D174+E174+F174+G174+H174+I174)/3280-$X174,4))</f>
        <v>0</v>
      </c>
    </row>
    <row r="175">
      <c r="A175" t="str">
        <v>bench-assembly-cn</v>
      </c>
      <c r="B175" t="str">
        <v>Manual Assembly Bench (China)</v>
      </c>
      <c r="C175" t="str">
        <v>CN</v>
      </c>
      <c r="D175">
        <f>IF($X175&gt;0,IF($Y175&gt;0,MAX(0,$Q175+$X175-$Y175)*4050,$X175*4050),3000)</f>
        <v>3000</v>
      </c>
      <c r="E175">
        <f>IF($X175&gt;0,IF($Y175&gt;0,$S175*4050,0),300)</f>
        <v>300</v>
      </c>
      <c r="F175">
        <f>IF($X175&gt;0,IF($Y175&gt;0,$V175*4050,0),260)</f>
        <v>260</v>
      </c>
      <c r="G175">
        <f>IF($X175&gt;0,IF($Y175&gt;0,$R175*4050,0),600)</f>
        <v>600</v>
      </c>
      <c r="H175">
        <f>IF($X175&gt;0,IF($Y175&gt;0,($T175+$W175)*4050,0),1000)</f>
        <v>1000</v>
      </c>
      <c r="I175">
        <f>IF($X175&gt;0,IF($Y175&gt;0,$U175*4050,0),750)</f>
        <v>750</v>
      </c>
      <c r="J175">
        <v>4500</v>
      </c>
      <c r="K175">
        <v>0.9</v>
      </c>
      <c r="L175" t="str">
        <f>IF($X175&gt;0,IF($P175&lt;&gt;1,"2026-06-14",IFERROR(INDEX('JLR Machines'!$D:$D,MATCH($O175,'JLR Machines'!$A:$A,0)),"2026-06-14")),"2026-06-14")</f>
        <v>2026-06-14</v>
      </c>
      <c r="M175" t="str">
        <f>IF($X175&gt;0,IF($Y175&gt;0,"JLR machine "&amp;$O175&amp;" at "&amp;TEXT($X175,"0.00")&amp;" per hr — build-up as supplied","JLR machine "&amp;$O175&amp;" at "&amp;TEXT($X175,"0.00")&amp;" per hr — build-up not supplied"),"China assembly benchmark. Shenzhen/Suzhou. Harness, PCBA, BIW subassembly. Jun 2026")</f>
        <v>China assembly benchmark. Shenzhen/Suzhou. Harness, PCBA, BIW subassembly. Jun 2026</v>
      </c>
      <c r="N175" t="str">
        <v>Medium</v>
      </c>
      <c r="O175" t="str">
        <f>IFERROR(INDEX(Mapping!$C:$C,MATCH($A175,Mapping!$A:$A,0)),"")</f>
        <v/>
      </c>
      <c r="P175">
        <f>IF($O175="",0,COUNTIFS('JLR Machines'!$A:$A,$O175,'JLR Machines'!$C:$C,IF(Settings!$B$2="","&lt;&gt;",Settings!$B$2),'JLR Machines'!$D:$D,IF(Settings!$B$3="","&lt;&gt;",Settings!$B$3)))</f>
        <v>0</v>
      </c>
      <c r="Q175">
        <f>IF($P175&lt;&gt;1,0,SUMIFS('JLR Machines'!$G:$G,'JLR Machines'!$A:$A,$O175,'JLR Machines'!$C:$C,IF(Settings!$B$2="","&lt;&gt;",Settings!$B$2),'JLR Machines'!$D:$D,IF(Settings!$B$3="","&lt;&gt;",Settings!$B$3)))</f>
        <v>0</v>
      </c>
      <c r="R175">
        <f>IF($P175&lt;&gt;1,0,SUMIFS('JLR Machines'!$H:$H,'JLR Machines'!$A:$A,$O175,'JLR Machines'!$C:$C,IF(Settings!$B$2="","&lt;&gt;",Settings!$B$2),'JLR Machines'!$D:$D,IF(Settings!$B$3="","&lt;&gt;",Settings!$B$3)))</f>
        <v>0</v>
      </c>
      <c r="S175">
        <f>IF($P175&lt;&gt;1,0,SUMIFS('JLR Machines'!$I:$I,'JLR Machines'!$A:$A,$O175,'JLR Machines'!$C:$C,IF(Settings!$B$2="","&lt;&gt;",Settings!$B$2),'JLR Machines'!$D:$D,IF(Settings!$B$3="","&lt;&gt;",Settings!$B$3)))</f>
        <v>0</v>
      </c>
      <c r="T175">
        <f>IF($P175&lt;&gt;1,0,SUMIFS('JLR Machines'!$J:$J,'JLR Machines'!$A:$A,$O175,'JLR Machines'!$C:$C,IF(Settings!$B$2="","&lt;&gt;",Settings!$B$2),'JLR Machines'!$D:$D,IF(Settings!$B$3="","&lt;&gt;",Settings!$B$3)))</f>
        <v>0</v>
      </c>
      <c r="U175">
        <f>IF($P175&lt;&gt;1,0,SUMIFS('JLR Machines'!$K:$K,'JLR Machines'!$A:$A,$O175,'JLR Machines'!$C:$C,IF(Settings!$B$2="","&lt;&gt;",Settings!$B$2),'JLR Machines'!$D:$D,IF(Settings!$B$3="","&lt;&gt;",Settings!$B$3)))</f>
        <v>0</v>
      </c>
      <c r="V175">
        <f>IF($P175&lt;&gt;1,0,SUMIFS('JLR Machines'!$L:$L,'JLR Machines'!$A:$A,$O175,'JLR Machines'!$C:$C,IF(Settings!$B$2="","&lt;&gt;",Settings!$B$2),'JLR Machines'!$D:$D,IF(Settings!$B$3="","&lt;&gt;",Settings!$B$3)))</f>
        <v>0</v>
      </c>
      <c r="W175">
        <f>IF($P175&lt;&gt;1,0,SUMIFS('JLR Machines'!$M:$M,'JLR Machines'!$A:$A,$O175,'JLR Machines'!$C:$C,IF(Settings!$B$2="","&lt;&gt;",Settings!$B$2),'JLR Machines'!$D:$D,IF(Settings!$B$3="","&lt;&gt;",Settings!$B$3)))</f>
        <v>0</v>
      </c>
      <c r="X175">
        <f>IF($P175&lt;&gt;1,0,SUMIFS('JLR Machines'!$N:$N,'JLR Machines'!$A:$A,$O175,'JLR Machines'!$C:$C,IF(Settings!$B$2="","&lt;&gt;",Settings!$B$2),'JLR Machines'!$D:$D,IF(Settings!$B$3="","&lt;&gt;",Settings!$B$3)))</f>
        <v>0</v>
      </c>
      <c r="Y175">
        <f>$Q175+$R175+$S175+$T175+$U175+$V175+$W175</f>
        <v>0</v>
      </c>
      <c r="Z175">
        <f>IF($X175&lt;=0,0,ROUND((D175+E175+F175+G175+H175+I175)/4050-$X175,4))</f>
        <v>0</v>
      </c>
    </row>
    <row r="176">
      <c r="A176" t="str">
        <v>bench-assembly-in</v>
      </c>
      <c r="B176" t="str">
        <v>Manual Assembly Bench (India)</v>
      </c>
      <c r="C176" t="str">
        <v>IN</v>
      </c>
      <c r="D176">
        <f>IF($X176&gt;0,IF($Y176&gt;0,MAX(0,$Q176+$X176-$Y176)*4050,$X176*4050),3000)</f>
        <v>3000</v>
      </c>
      <c r="E176">
        <f>IF($X176&gt;0,IF($Y176&gt;0,$S176*4050,0),250)</f>
        <v>250</v>
      </c>
      <c r="F176">
        <f>IF($X176&gt;0,IF($Y176&gt;0,$V176*4050,0),350)</f>
        <v>350</v>
      </c>
      <c r="G176">
        <f>IF($X176&gt;0,IF($Y176&gt;0,$R176*4050,0),400)</f>
        <v>400</v>
      </c>
      <c r="H176">
        <f>IF($X176&gt;0,IF($Y176&gt;0,($T176+$W176)*4050,0),750)</f>
        <v>750</v>
      </c>
      <c r="I176">
        <f>IF($X176&gt;0,IF($Y176&gt;0,$U176*4050,0),750)</f>
        <v>750</v>
      </c>
      <c r="J176">
        <v>4500</v>
      </c>
      <c r="K176">
        <v>0.9</v>
      </c>
      <c r="L176" t="str">
        <f>IF($X176&gt;0,IF($P176&lt;&gt;1,"2026-06-14",IFERROR(INDEX('JLR Machines'!$D:$D,MATCH($O176,'JLR Machines'!$A:$A,0)),"2026-06-14")),"2026-06-14")</f>
        <v>2026-06-14</v>
      </c>
      <c r="M176" t="str">
        <f>IF($X176&gt;0,IF($Y176&gt;0,"JLR machine "&amp;$O176&amp;" at "&amp;TEXT($X176,"0.00")&amp;" per hr — build-up as supplied","JLR machine "&amp;$O176&amp;" at "&amp;TEXT($X176,"0.00")&amp;" per hr — build-up not supplied"),"India assembly benchmark. Pune/Nashik auto corridor. Jun 2026")</f>
        <v>India assembly benchmark. Pune/Nashik auto corridor. Jun 2026</v>
      </c>
      <c r="N176" t="str">
        <v>Medium</v>
      </c>
      <c r="O176" t="str">
        <f>IFERROR(INDEX(Mapping!$C:$C,MATCH($A176,Mapping!$A:$A,0)),"")</f>
        <v/>
      </c>
      <c r="P176">
        <f>IF($O176="",0,COUNTIFS('JLR Machines'!$A:$A,$O176,'JLR Machines'!$C:$C,IF(Settings!$B$2="","&lt;&gt;",Settings!$B$2),'JLR Machines'!$D:$D,IF(Settings!$B$3="","&lt;&gt;",Settings!$B$3)))</f>
        <v>0</v>
      </c>
      <c r="Q176">
        <f>IF($P176&lt;&gt;1,0,SUMIFS('JLR Machines'!$G:$G,'JLR Machines'!$A:$A,$O176,'JLR Machines'!$C:$C,IF(Settings!$B$2="","&lt;&gt;",Settings!$B$2),'JLR Machines'!$D:$D,IF(Settings!$B$3="","&lt;&gt;",Settings!$B$3)))</f>
        <v>0</v>
      </c>
      <c r="R176">
        <f>IF($P176&lt;&gt;1,0,SUMIFS('JLR Machines'!$H:$H,'JLR Machines'!$A:$A,$O176,'JLR Machines'!$C:$C,IF(Settings!$B$2="","&lt;&gt;",Settings!$B$2),'JLR Machines'!$D:$D,IF(Settings!$B$3="","&lt;&gt;",Settings!$B$3)))</f>
        <v>0</v>
      </c>
      <c r="S176">
        <f>IF($P176&lt;&gt;1,0,SUMIFS('JLR Machines'!$I:$I,'JLR Machines'!$A:$A,$O176,'JLR Machines'!$C:$C,IF(Settings!$B$2="","&lt;&gt;",Settings!$B$2),'JLR Machines'!$D:$D,IF(Settings!$B$3="","&lt;&gt;",Settings!$B$3)))</f>
        <v>0</v>
      </c>
      <c r="T176">
        <f>IF($P176&lt;&gt;1,0,SUMIFS('JLR Machines'!$J:$J,'JLR Machines'!$A:$A,$O176,'JLR Machines'!$C:$C,IF(Settings!$B$2="","&lt;&gt;",Settings!$B$2),'JLR Machines'!$D:$D,IF(Settings!$B$3="","&lt;&gt;",Settings!$B$3)))</f>
        <v>0</v>
      </c>
      <c r="U176">
        <f>IF($P176&lt;&gt;1,0,SUMIFS('JLR Machines'!$K:$K,'JLR Machines'!$A:$A,$O176,'JLR Machines'!$C:$C,IF(Settings!$B$2="","&lt;&gt;",Settings!$B$2),'JLR Machines'!$D:$D,IF(Settings!$B$3="","&lt;&gt;",Settings!$B$3)))</f>
        <v>0</v>
      </c>
      <c r="V176">
        <f>IF($P176&lt;&gt;1,0,SUMIFS('JLR Machines'!$L:$L,'JLR Machines'!$A:$A,$O176,'JLR Machines'!$C:$C,IF(Settings!$B$2="","&lt;&gt;",Settings!$B$2),'JLR Machines'!$D:$D,IF(Settings!$B$3="","&lt;&gt;",Settings!$B$3)))</f>
        <v>0</v>
      </c>
      <c r="W176">
        <f>IF($P176&lt;&gt;1,0,SUMIFS('JLR Machines'!$M:$M,'JLR Machines'!$A:$A,$O176,'JLR Machines'!$C:$C,IF(Settings!$B$2="","&lt;&gt;",Settings!$B$2),'JLR Machines'!$D:$D,IF(Settings!$B$3="","&lt;&gt;",Settings!$B$3)))</f>
        <v>0</v>
      </c>
      <c r="X176">
        <f>IF($P176&lt;&gt;1,0,SUMIFS('JLR Machines'!$N:$N,'JLR Machines'!$A:$A,$O176,'JLR Machines'!$C:$C,IF(Settings!$B$2="","&lt;&gt;",Settings!$B$2),'JLR Machines'!$D:$D,IF(Settings!$B$3="","&lt;&gt;",Settings!$B$3)))</f>
        <v>0</v>
      </c>
      <c r="Y176">
        <f>$Q176+$R176+$S176+$T176+$U176+$V176+$W176</f>
        <v>0</v>
      </c>
      <c r="Z176">
        <f>IF($X176&lt;=0,0,ROUND((D176+E176+F176+G176+H176+I176)/4050-$X176,4))</f>
        <v>0</v>
      </c>
    </row>
    <row r="177">
      <c r="A177" t="str">
        <v>bench-assembly-mx</v>
      </c>
      <c r="B177" t="str">
        <v>Manual Assembly Bench (Mexico)</v>
      </c>
      <c r="C177" t="str">
        <v>MX</v>
      </c>
      <c r="D177">
        <f>IF($X177&gt;0,IF($Y177&gt;0,MAX(0,$Q177+$X177-$Y177)*4050,$X177*4050),3000)</f>
        <v>3000</v>
      </c>
      <c r="E177">
        <f>IF($X177&gt;0,IF($Y177&gt;0,$S177*4050,0),300)</f>
        <v>300</v>
      </c>
      <c r="F177">
        <f>IF($X177&gt;0,IF($Y177&gt;0,$V177*4050,0),390)</f>
        <v>390</v>
      </c>
      <c r="G177">
        <f>IF($X177&gt;0,IF($Y177&gt;0,$R177*4050,0),800)</f>
        <v>800</v>
      </c>
      <c r="H177">
        <f>IF($X177&gt;0,IF($Y177&gt;0,($T177+$W177)*4050,0),1000)</f>
        <v>1000</v>
      </c>
      <c r="I177">
        <f>IF($X177&gt;0,IF($Y177&gt;0,$U177*4050,0),750)</f>
        <v>750</v>
      </c>
      <c r="J177">
        <v>4500</v>
      </c>
      <c r="K177">
        <v>0.9</v>
      </c>
      <c r="L177" t="str">
        <f>IF($X177&gt;0,IF($P177&lt;&gt;1,"2026-06-14",IFERROR(INDEX('JLR Machines'!$D:$D,MATCH($O177,'JLR Machines'!$A:$A,0)),"2026-06-14")),"2026-06-14")</f>
        <v>2026-06-14</v>
      </c>
      <c r="M177" t="str">
        <f>IF($X177&gt;0,IF($Y177&gt;0,"JLR machine "&amp;$O177&amp;" at "&amp;TEXT($X177,"0.00")&amp;" per hr — build-up as supplied","JLR machine "&amp;$O177&amp;" at "&amp;TEXT($X177,"0.00")&amp;" per hr — build-up not supplied"),"Mexico assembly benchmark. Juárez/Monterrey maquiladora. Jun 2026")</f>
        <v>Mexico assembly benchmark. Juárez/Monterrey maquiladora. Jun 2026</v>
      </c>
      <c r="N177" t="str">
        <v>Medium</v>
      </c>
      <c r="O177" t="str">
        <f>IFERROR(INDEX(Mapping!$C:$C,MATCH($A177,Mapping!$A:$A,0)),"")</f>
        <v/>
      </c>
      <c r="P177">
        <f>IF($O177="",0,COUNTIFS('JLR Machines'!$A:$A,$O177,'JLR Machines'!$C:$C,IF(Settings!$B$2="","&lt;&gt;",Settings!$B$2),'JLR Machines'!$D:$D,IF(Settings!$B$3="","&lt;&gt;",Settings!$B$3)))</f>
        <v>0</v>
      </c>
      <c r="Q177">
        <f>IF($P177&lt;&gt;1,0,SUMIFS('JLR Machines'!$G:$G,'JLR Machines'!$A:$A,$O177,'JLR Machines'!$C:$C,IF(Settings!$B$2="","&lt;&gt;",Settings!$B$2),'JLR Machines'!$D:$D,IF(Settings!$B$3="","&lt;&gt;",Settings!$B$3)))</f>
        <v>0</v>
      </c>
      <c r="R177">
        <f>IF($P177&lt;&gt;1,0,SUMIFS('JLR Machines'!$H:$H,'JLR Machines'!$A:$A,$O177,'JLR Machines'!$C:$C,IF(Settings!$B$2="","&lt;&gt;",Settings!$B$2),'JLR Machines'!$D:$D,IF(Settings!$B$3="","&lt;&gt;",Settings!$B$3)))</f>
        <v>0</v>
      </c>
      <c r="S177">
        <f>IF($P177&lt;&gt;1,0,SUMIFS('JLR Machines'!$I:$I,'JLR Machines'!$A:$A,$O177,'JLR Machines'!$C:$C,IF(Settings!$B$2="","&lt;&gt;",Settings!$B$2),'JLR Machines'!$D:$D,IF(Settings!$B$3="","&lt;&gt;",Settings!$B$3)))</f>
        <v>0</v>
      </c>
      <c r="T177">
        <f>IF($P177&lt;&gt;1,0,SUMIFS('JLR Machines'!$J:$J,'JLR Machines'!$A:$A,$O177,'JLR Machines'!$C:$C,IF(Settings!$B$2="","&lt;&gt;",Settings!$B$2),'JLR Machines'!$D:$D,IF(Settings!$B$3="","&lt;&gt;",Settings!$B$3)))</f>
        <v>0</v>
      </c>
      <c r="U177">
        <f>IF($P177&lt;&gt;1,0,SUMIFS('JLR Machines'!$K:$K,'JLR Machines'!$A:$A,$O177,'JLR Machines'!$C:$C,IF(Settings!$B$2="","&lt;&gt;",Settings!$B$2),'JLR Machines'!$D:$D,IF(Settings!$B$3="","&lt;&gt;",Settings!$B$3)))</f>
        <v>0</v>
      </c>
      <c r="V177">
        <f>IF($P177&lt;&gt;1,0,SUMIFS('JLR Machines'!$L:$L,'JLR Machines'!$A:$A,$O177,'JLR Machines'!$C:$C,IF(Settings!$B$2="","&lt;&gt;",Settings!$B$2),'JLR Machines'!$D:$D,IF(Settings!$B$3="","&lt;&gt;",Settings!$B$3)))</f>
        <v>0</v>
      </c>
      <c r="W177">
        <f>IF($P177&lt;&gt;1,0,SUMIFS('JLR Machines'!$M:$M,'JLR Machines'!$A:$A,$O177,'JLR Machines'!$C:$C,IF(Settings!$B$2="","&lt;&gt;",Settings!$B$2),'JLR Machines'!$D:$D,IF(Settings!$B$3="","&lt;&gt;",Settings!$B$3)))</f>
        <v>0</v>
      </c>
      <c r="X177">
        <f>IF($P177&lt;&gt;1,0,SUMIFS('JLR Machines'!$N:$N,'JLR Machines'!$A:$A,$O177,'JLR Machines'!$C:$C,IF(Settings!$B$2="","&lt;&gt;",Settings!$B$2),'JLR Machines'!$D:$D,IF(Settings!$B$3="","&lt;&gt;",Settings!$B$3)))</f>
        <v>0</v>
      </c>
      <c r="Y177">
        <f>$Q177+$R177+$S177+$T177+$U177+$V177+$W177</f>
        <v>0</v>
      </c>
      <c r="Z177">
        <f>IF($X177&lt;=0,0,ROUND((D177+E177+F177+G177+H177+I177)/4050-$X177,4))</f>
        <v>0</v>
      </c>
    </row>
    <row r="178">
      <c r="A178" t="str">
        <v>bench-assembly-vn</v>
      </c>
      <c r="B178" t="str">
        <v>Manual Assembly Bench (Vietnam)</v>
      </c>
      <c r="C178" t="str">
        <v>VN</v>
      </c>
      <c r="D178">
        <f>IF($X178&gt;0,IF($Y178&gt;0,MAX(0,$Q178+$X178-$Y178)*4416,$X178*4416),3000)</f>
        <v>3000</v>
      </c>
      <c r="E178">
        <f>IF($X178&gt;0,IF($Y178&gt;0,$S178*4416,0),200)</f>
        <v>200</v>
      </c>
      <c r="F178">
        <f>IF($X178&gt;0,IF($Y178&gt;0,$V178*4416,0),312)</f>
        <v>312</v>
      </c>
      <c r="G178">
        <f>IF($X178&gt;0,IF($Y178&gt;0,$R178*4416,0),300)</f>
        <v>300</v>
      </c>
      <c r="H178">
        <f>IF($X178&gt;0,IF($Y178&gt;0,($T178+$W178)*4416,0),600)</f>
        <v>600</v>
      </c>
      <c r="I178">
        <f>IF($X178&gt;0,IF($Y178&gt;0,$U178*4416,0),750)</f>
        <v>750</v>
      </c>
      <c r="J178">
        <v>4800</v>
      </c>
      <c r="K178">
        <v>0.92</v>
      </c>
      <c r="L178" t="str">
        <f>IF($X178&gt;0,IF($P178&lt;&gt;1,"2026-06-14",IFERROR(INDEX('JLR Machines'!$D:$D,MATCH($O178,'JLR Machines'!$A:$A,0)),"2026-06-14")),"2026-06-14")</f>
        <v>2026-06-14</v>
      </c>
      <c r="M178" t="str">
        <f>IF($X178&gt;0,IF($Y178&gt;0,"JLR machine "&amp;$O178&amp;" at "&amp;TEXT($X178,"0.00")&amp;" per hr — build-up as supplied","JLR machine "&amp;$O178&amp;" at "&amp;TEXT($X178,"0.00")&amp;" per hr — build-up not supplied"),"Vietnam assembly benchmark. Ho Chi Minh City / Hanoi. Wiring harness. Jun 2026")</f>
        <v>Vietnam assembly benchmark. Ho Chi Minh City / Hanoi. Wiring harness. Jun 2026</v>
      </c>
      <c r="N178" t="str">
        <v>Medium</v>
      </c>
      <c r="O178" t="str">
        <f>IFERROR(INDEX(Mapping!$C:$C,MATCH($A178,Mapping!$A:$A,0)),"")</f>
        <v/>
      </c>
      <c r="P178">
        <f>IF($O178="",0,COUNTIFS('JLR Machines'!$A:$A,$O178,'JLR Machines'!$C:$C,IF(Settings!$B$2="","&lt;&gt;",Settings!$B$2),'JLR Machines'!$D:$D,IF(Settings!$B$3="","&lt;&gt;",Settings!$B$3)))</f>
        <v>0</v>
      </c>
      <c r="Q178">
        <f>IF($P178&lt;&gt;1,0,SUMIFS('JLR Machines'!$G:$G,'JLR Machines'!$A:$A,$O178,'JLR Machines'!$C:$C,IF(Settings!$B$2="","&lt;&gt;",Settings!$B$2),'JLR Machines'!$D:$D,IF(Settings!$B$3="","&lt;&gt;",Settings!$B$3)))</f>
        <v>0</v>
      </c>
      <c r="R178">
        <f>IF($P178&lt;&gt;1,0,SUMIFS('JLR Machines'!$H:$H,'JLR Machines'!$A:$A,$O178,'JLR Machines'!$C:$C,IF(Settings!$B$2="","&lt;&gt;",Settings!$B$2),'JLR Machines'!$D:$D,IF(Settings!$B$3="","&lt;&gt;",Settings!$B$3)))</f>
        <v>0</v>
      </c>
      <c r="S178">
        <f>IF($P178&lt;&gt;1,0,SUMIFS('JLR Machines'!$I:$I,'JLR Machines'!$A:$A,$O178,'JLR Machines'!$C:$C,IF(Settings!$B$2="","&lt;&gt;",Settings!$B$2),'JLR Machines'!$D:$D,IF(Settings!$B$3="","&lt;&gt;",Settings!$B$3)))</f>
        <v>0</v>
      </c>
      <c r="T178">
        <f>IF($P178&lt;&gt;1,0,SUMIFS('JLR Machines'!$J:$J,'JLR Machines'!$A:$A,$O178,'JLR Machines'!$C:$C,IF(Settings!$B$2="","&lt;&gt;",Settings!$B$2),'JLR Machines'!$D:$D,IF(Settings!$B$3="","&lt;&gt;",Settings!$B$3)))</f>
        <v>0</v>
      </c>
      <c r="U178">
        <f>IF($P178&lt;&gt;1,0,SUMIFS('JLR Machines'!$K:$K,'JLR Machines'!$A:$A,$O178,'JLR Machines'!$C:$C,IF(Settings!$B$2="","&lt;&gt;",Settings!$B$2),'JLR Machines'!$D:$D,IF(Settings!$B$3="","&lt;&gt;",Settings!$B$3)))</f>
        <v>0</v>
      </c>
      <c r="V178">
        <f>IF($P178&lt;&gt;1,0,SUMIFS('JLR Machines'!$L:$L,'JLR Machines'!$A:$A,$O178,'JLR Machines'!$C:$C,IF(Settings!$B$2="","&lt;&gt;",Settings!$B$2),'JLR Machines'!$D:$D,IF(Settings!$B$3="","&lt;&gt;",Settings!$B$3)))</f>
        <v>0</v>
      </c>
      <c r="W178">
        <f>IF($P178&lt;&gt;1,0,SUMIFS('JLR Machines'!$M:$M,'JLR Machines'!$A:$A,$O178,'JLR Machines'!$C:$C,IF(Settings!$B$2="","&lt;&gt;",Settings!$B$2),'JLR Machines'!$D:$D,IF(Settings!$B$3="","&lt;&gt;",Settings!$B$3)))</f>
        <v>0</v>
      </c>
      <c r="X178">
        <f>IF($P178&lt;&gt;1,0,SUMIFS('JLR Machines'!$N:$N,'JLR Machines'!$A:$A,$O178,'JLR Machines'!$C:$C,IF(Settings!$B$2="","&lt;&gt;",Settings!$B$2),'JLR Machines'!$D:$D,IF(Settings!$B$3="","&lt;&gt;",Settings!$B$3)))</f>
        <v>0</v>
      </c>
      <c r="Y178">
        <f>$Q178+$R178+$S178+$T178+$U178+$V178+$W178</f>
        <v>0</v>
      </c>
      <c r="Z178">
        <f>IF($X178&lt;=0,0,ROUND((D178+E178+F178+G178+H178+I178)/4416-$X178,4))</f>
        <v>0</v>
      </c>
    </row>
    <row r="179">
      <c r="A179" t="str">
        <v>bench-assembly-pl</v>
      </c>
      <c r="B179" t="str">
        <v>Manual Assembly Bench (Poland)</v>
      </c>
      <c r="C179" t="str">
        <v>PL</v>
      </c>
      <c r="D179">
        <f>IF($X179&gt;0,IF($Y179&gt;0,MAX(0,$Q179+$X179-$Y179)*4050,$X179*4050),3000)</f>
        <v>3000</v>
      </c>
      <c r="E179">
        <f>IF($X179&gt;0,IF($Y179&gt;0,$S179*4050,0),450)</f>
        <v>450</v>
      </c>
      <c r="F179">
        <f>IF($X179&gt;0,IF($Y179&gt;0,$V179*4050,0),624)</f>
        <v>624</v>
      </c>
      <c r="G179">
        <f>IF($X179&gt;0,IF($Y179&gt;0,$R179*4050,0),1050)</f>
        <v>1050</v>
      </c>
      <c r="H179">
        <f>IF($X179&gt;0,IF($Y179&gt;0,($T179+$W179)*4050,0),1350)</f>
        <v>1350</v>
      </c>
      <c r="I179">
        <f>IF($X179&gt;0,IF($Y179&gt;0,$U179*4050,0),750)</f>
        <v>750</v>
      </c>
      <c r="J179">
        <v>4500</v>
      </c>
      <c r="K179">
        <v>0.9</v>
      </c>
      <c r="L179" t="str">
        <f>IF($X179&gt;0,IF($P179&lt;&gt;1,"2026-06-14",IFERROR(INDEX('JLR Machines'!$D:$D,MATCH($O179,'JLR Machines'!$A:$A,0)),"2026-06-14")),"2026-06-14")</f>
        <v>2026-06-14</v>
      </c>
      <c r="M179" t="str">
        <f>IF($X179&gt;0,IF($Y179&gt;0,"JLR machine "&amp;$O179&amp;" at "&amp;TEXT($X179,"0.00")&amp;" per hr — build-up as supplied","JLR machine "&amp;$O179&amp;" at "&amp;TEXT($X179,"0.00")&amp;" per hr — build-up not supplied"),"Poland assembly benchmark. Łódź/Wrocław. Harness, electronics. Jun 2026")</f>
        <v>Poland assembly benchmark. Łódź/Wrocław. Harness, electronics. Jun 2026</v>
      </c>
      <c r="N179" t="str">
        <v>Medium</v>
      </c>
      <c r="O179" t="str">
        <f>IFERROR(INDEX(Mapping!$C:$C,MATCH($A179,Mapping!$A:$A,0)),"")</f>
        <v/>
      </c>
      <c r="P179">
        <f>IF($O179="",0,COUNTIFS('JLR Machines'!$A:$A,$O179,'JLR Machines'!$C:$C,IF(Settings!$B$2="","&lt;&gt;",Settings!$B$2),'JLR Machines'!$D:$D,IF(Settings!$B$3="","&lt;&gt;",Settings!$B$3)))</f>
        <v>0</v>
      </c>
      <c r="Q179">
        <f>IF($P179&lt;&gt;1,0,SUMIFS('JLR Machines'!$G:$G,'JLR Machines'!$A:$A,$O179,'JLR Machines'!$C:$C,IF(Settings!$B$2="","&lt;&gt;",Settings!$B$2),'JLR Machines'!$D:$D,IF(Settings!$B$3="","&lt;&gt;",Settings!$B$3)))</f>
        <v>0</v>
      </c>
      <c r="R179">
        <f>IF($P179&lt;&gt;1,0,SUMIFS('JLR Machines'!$H:$H,'JLR Machines'!$A:$A,$O179,'JLR Machines'!$C:$C,IF(Settings!$B$2="","&lt;&gt;",Settings!$B$2),'JLR Machines'!$D:$D,IF(Settings!$B$3="","&lt;&gt;",Settings!$B$3)))</f>
        <v>0</v>
      </c>
      <c r="S179">
        <f>IF($P179&lt;&gt;1,0,SUMIFS('JLR Machines'!$I:$I,'JLR Machines'!$A:$A,$O179,'JLR Machines'!$C:$C,IF(Settings!$B$2="","&lt;&gt;",Settings!$B$2),'JLR Machines'!$D:$D,IF(Settings!$B$3="","&lt;&gt;",Settings!$B$3)))</f>
        <v>0</v>
      </c>
      <c r="T179">
        <f>IF($P179&lt;&gt;1,0,SUMIFS('JLR Machines'!$J:$J,'JLR Machines'!$A:$A,$O179,'JLR Machines'!$C:$C,IF(Settings!$B$2="","&lt;&gt;",Settings!$B$2),'JLR Machines'!$D:$D,IF(Settings!$B$3="","&lt;&gt;",Settings!$B$3)))</f>
        <v>0</v>
      </c>
      <c r="U179">
        <f>IF($P179&lt;&gt;1,0,SUMIFS('JLR Machines'!$K:$K,'JLR Machines'!$A:$A,$O179,'JLR Machines'!$C:$C,IF(Settings!$B$2="","&lt;&gt;",Settings!$B$2),'JLR Machines'!$D:$D,IF(Settings!$B$3="","&lt;&gt;",Settings!$B$3)))</f>
        <v>0</v>
      </c>
      <c r="V179">
        <f>IF($P179&lt;&gt;1,0,SUMIFS('JLR Machines'!$L:$L,'JLR Machines'!$A:$A,$O179,'JLR Machines'!$C:$C,IF(Settings!$B$2="","&lt;&gt;",Settings!$B$2),'JLR Machines'!$D:$D,IF(Settings!$B$3="","&lt;&gt;",Settings!$B$3)))</f>
        <v>0</v>
      </c>
      <c r="W179">
        <f>IF($P179&lt;&gt;1,0,SUMIFS('JLR Machines'!$M:$M,'JLR Machines'!$A:$A,$O179,'JLR Machines'!$C:$C,IF(Settings!$B$2="","&lt;&gt;",Settings!$B$2),'JLR Machines'!$D:$D,IF(Settings!$B$3="","&lt;&gt;",Settings!$B$3)))</f>
        <v>0</v>
      </c>
      <c r="X179">
        <f>IF($P179&lt;&gt;1,0,SUMIFS('JLR Machines'!$N:$N,'JLR Machines'!$A:$A,$O179,'JLR Machines'!$C:$C,IF(Settings!$B$2="","&lt;&gt;",Settings!$B$2),'JLR Machines'!$D:$D,IF(Settings!$B$3="","&lt;&gt;",Settings!$B$3)))</f>
        <v>0</v>
      </c>
      <c r="Y179">
        <f>$Q179+$R179+$S179+$T179+$U179+$V179+$W179</f>
        <v>0</v>
      </c>
      <c r="Z179">
        <f>IF($X179&lt;=0,0,ROUND((D179+E179+F179+G179+H179+I179)/4050-$X179,4))</f>
        <v>0</v>
      </c>
    </row>
  </sheetData>
  <ignoredErrors>
    <ignoredError numberStoredAsText="1" sqref="A1:Z17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L43"/>
  <sheetViews>
    <sheetView workbookViewId="0"/>
  </sheetViews>
  <cols>
    <col min="1" max="1" width="22.83203125" customWidth="1"/>
    <col min="2" max="2" width="12.83203125" customWidth="1"/>
    <col min="3" max="3" width="26.83203125" customWidth="1"/>
    <col min="4" max="4" width="20.83203125" customWidth="1"/>
    <col min="5" max="5" width="14.83203125" customWidth="1"/>
    <col min="6" max="6" width="44.83203125" customWidth="1"/>
    <col min="7" max="7" width="12.83203125" customWidth="1"/>
    <col min="8" max="8" width="12.83203125" customWidth="1"/>
    <col min="9" max="9" width="12.83203125" customWidth="1"/>
    <col min="10" max="10" width="16.83203125" customWidth="1"/>
    <col min="11" max="11" width="18.83203125" customWidth="1"/>
    <col min="12" max="12" width="12.83203125" customWidth="1"/>
  </cols>
  <sheetData>
    <row r="1">
      <c r="A1" t="str">
        <v>id</v>
      </c>
      <c r="B1" t="str">
        <v>region</v>
      </c>
      <c r="C1" t="str">
        <v>skillLevel</v>
      </c>
      <c r="D1" t="str">
        <v>fullyLoadedRatePerHr</v>
      </c>
      <c r="E1" t="str">
        <v>effectiveDate</v>
      </c>
      <c r="F1" t="str">
        <v>sourceNote</v>
      </c>
      <c r="G1" t="str">
        <v>confidence</v>
      </c>
      <c r="H1" t="str">
        <v>JLR code</v>
      </c>
      <c r="I1" t="str">
        <v>rows matched</v>
      </c>
      <c r="J1" t="str">
        <v>from JLR Labour</v>
      </c>
      <c r="K1" t="str">
        <v>from JLR Machines</v>
      </c>
      <c r="L1" t="str">
        <v>rate used</v>
      </c>
    </row>
    <row r="2">
      <c r="A2" t="str">
        <v>lab-uk-skilled</v>
      </c>
      <c r="B2" t="str">
        <v>UK</v>
      </c>
      <c r="C2" t="str">
        <v>Skilled Machinist</v>
      </c>
      <c r="D2">
        <f>IF($L2&gt;0,$L2,26)</f>
        <v>26</v>
      </c>
      <c r="E2" t="str">
        <v>2026-06-14</v>
      </c>
      <c r="F2" t="str">
        <f>IF($L2&gt;0,"JLR rate card — labour category "&amp;$H2,"UK AMT wage survey Jun 2026, incl. NI + benefits")</f>
        <v>UK AMT wage survey Jun 2026, incl. NI + benefits</v>
      </c>
      <c r="G2" t="str">
        <v>High</v>
      </c>
      <c r="H2" t="str">
        <f>IFERROR(INDEX(Mapping!$C:$C,MATCH($A2,Mapping!$A:$A,0)),"")</f>
        <v/>
      </c>
      <c r="I2">
        <f>IF($H2="",0,COUNTIFS('JLR Labour'!$A:$A,$H2,'JLR Labour'!$C:$C,IF(Settings!$B$2="","&lt;&gt;",Settings!$B$2),'JLR Labour'!$D:$D,IF(Settings!$B$3="","&lt;&gt;",Settings!$B$3)))</f>
        <v>0</v>
      </c>
      <c r="J2">
        <f>IF($I2&lt;&gt;1,0,SUMIFS('JLR Labour'!$E:$E,'JLR Labour'!$A:$A,$H2,'JLR Labour'!$C:$C,IF(Settings!$B$2="","&lt;&gt;",Settings!$B$2),'JLR Labour'!$D:$D,IF(Settings!$B$3="","&lt;&gt;",Settings!$B$3)))</f>
        <v>0</v>
      </c>
      <c r="K2">
        <f>IF($H2="",0,IFERROR(AVERAGEIFS('JLR Machines'!$F:$F,'JLR Machines'!$E:$E,$H2,'JLR Machines'!$C:$C,IF(Settings!$B$2="","&lt;&gt;",Settings!$B$2),'JLR Machines'!$D:$D,IF(Settings!$B$3="","&lt;&gt;",Settings!$B$3)),0))</f>
        <v>0</v>
      </c>
      <c r="L2">
        <f>IF($J2&gt;0,$J2,$K2)</f>
        <v>0</v>
      </c>
    </row>
    <row r="3">
      <c r="A3" t="str">
        <v>lab-uk-semiskilled</v>
      </c>
      <c r="B3" t="str">
        <v>UK</v>
      </c>
      <c r="C3" t="str">
        <v>Semi-skilled Operator</v>
      </c>
      <c r="D3">
        <f>IF($L3&gt;0,$L3,19.8)</f>
        <v>19.8</v>
      </c>
      <c r="E3" t="str">
        <v>2026-06-14</v>
      </c>
      <c r="F3" t="str">
        <f>IF($L3&gt;0,"JLR rate card — labour category "&amp;$H3,"UK AMT wage survey Jun 2026, incl. NI + benefits")</f>
        <v>UK AMT wage survey Jun 2026, incl. NI + benefits</v>
      </c>
      <c r="G3" t="str">
        <v>High</v>
      </c>
      <c r="H3" t="str">
        <f>IFERROR(INDEX(Mapping!$C:$C,MATCH($A3,Mapping!$A:$A,0)),"")</f>
        <v/>
      </c>
      <c r="I3">
        <f>IF($H3="",0,COUNTIFS('JLR Labour'!$A:$A,$H3,'JLR Labour'!$C:$C,IF(Settings!$B$2="","&lt;&gt;",Settings!$B$2),'JLR Labour'!$D:$D,IF(Settings!$B$3="","&lt;&gt;",Settings!$B$3)))</f>
        <v>0</v>
      </c>
      <c r="J3">
        <f>IF($I3&lt;&gt;1,0,SUMIFS('JLR Labour'!$E:$E,'JLR Labour'!$A:$A,$H3,'JLR Labour'!$C:$C,IF(Settings!$B$2="","&lt;&gt;",Settings!$B$2),'JLR Labour'!$D:$D,IF(Settings!$B$3="","&lt;&gt;",Settings!$B$3)))</f>
        <v>0</v>
      </c>
      <c r="K3">
        <f>IF($H3="",0,IFERROR(AVERAGEIFS('JLR Machines'!$F:$F,'JLR Machines'!$E:$E,$H3,'JLR Machines'!$C:$C,IF(Settings!$B$2="","&lt;&gt;",Settings!$B$2),'JLR Machines'!$D:$D,IF(Settings!$B$3="","&lt;&gt;",Settings!$B$3)),0))</f>
        <v>0</v>
      </c>
      <c r="L3">
        <f>IF($J3&gt;0,$J3,$K3)</f>
        <v>0</v>
      </c>
    </row>
    <row r="4">
      <c r="A4" t="str">
        <v>lab-uk-engineer</v>
      </c>
      <c r="B4" t="str">
        <v>UK</v>
      </c>
      <c r="C4" t="str">
        <v>Process Engineer</v>
      </c>
      <c r="D4">
        <f>IF($L4&gt;0,$L4,42.5)</f>
        <v>42.5</v>
      </c>
      <c r="E4" t="str">
        <v>2026-06-14</v>
      </c>
      <c r="F4" t="str">
        <f>IF($L4&gt;0,"JLR rate card — labour category "&amp;$H4,"UK engineering salary benchmark Jun 2026")</f>
        <v>UK engineering salary benchmark Jun 2026</v>
      </c>
      <c r="G4" t="str">
        <v>Medium</v>
      </c>
      <c r="H4" t="str">
        <f>IFERROR(INDEX(Mapping!$C:$C,MATCH($A4,Mapping!$A:$A,0)),"")</f>
        <v/>
      </c>
      <c r="I4">
        <f>IF($H4="",0,COUNTIFS('JLR Labour'!$A:$A,$H4,'JLR Labour'!$C:$C,IF(Settings!$B$2="","&lt;&gt;",Settings!$B$2),'JLR Labour'!$D:$D,IF(Settings!$B$3="","&lt;&gt;",Settings!$B$3)))</f>
        <v>0</v>
      </c>
      <c r="J4">
        <f>IF($I4&lt;&gt;1,0,SUMIFS('JLR Labour'!$E:$E,'JLR Labour'!$A:$A,$H4,'JLR Labour'!$C:$C,IF(Settings!$B$2="","&lt;&gt;",Settings!$B$2),'JLR Labour'!$D:$D,IF(Settings!$B$3="","&lt;&gt;",Settings!$B$3)))</f>
        <v>0</v>
      </c>
      <c r="K4">
        <f>IF($H4="",0,IFERROR(AVERAGEIFS('JLR Machines'!$F:$F,'JLR Machines'!$E:$E,$H4,'JLR Machines'!$C:$C,IF(Settings!$B$2="","&lt;&gt;",Settings!$B$2),'JLR Machines'!$D:$D,IF(Settings!$B$3="","&lt;&gt;",Settings!$B$3)),0))</f>
        <v>0</v>
      </c>
      <c r="L4">
        <f>IF($J4&gt;0,$J4,$K4)</f>
        <v>0</v>
      </c>
    </row>
    <row r="5">
      <c r="A5" t="str">
        <v>lab-in-skilled</v>
      </c>
      <c r="B5" t="str">
        <v>India</v>
      </c>
      <c r="C5" t="str">
        <v>Skilled Machinist</v>
      </c>
      <c r="D5">
        <f>IF($L5&gt;0,$L5,5.1)</f>
        <v>5.1</v>
      </c>
      <c r="E5" t="str">
        <v>2026-06-14</v>
      </c>
      <c r="F5" t="str">
        <f>IF($L5&gt;0,"JLR rate card — labour category "&amp;$H5,"India manufacturing wage benchmark Jun 2026")</f>
        <v>India manufacturing wage benchmark Jun 2026</v>
      </c>
      <c r="G5" t="str">
        <v>Low</v>
      </c>
      <c r="H5" t="str">
        <f>IFERROR(INDEX(Mapping!$C:$C,MATCH($A5,Mapping!$A:$A,0)),"")</f>
        <v/>
      </c>
      <c r="I5">
        <f>IF($H5="",0,COUNTIFS('JLR Labour'!$A:$A,$H5,'JLR Labour'!$C:$C,IF(Settings!$B$2="","&lt;&gt;",Settings!$B$2),'JLR Labour'!$D:$D,IF(Settings!$B$3="","&lt;&gt;",Settings!$B$3)))</f>
        <v>0</v>
      </c>
      <c r="J5">
        <f>IF($I5&lt;&gt;1,0,SUMIFS('JLR Labour'!$E:$E,'JLR Labour'!$A:$A,$H5,'JLR Labour'!$C:$C,IF(Settings!$B$2="","&lt;&gt;",Settings!$B$2),'JLR Labour'!$D:$D,IF(Settings!$B$3="","&lt;&gt;",Settings!$B$3)))</f>
        <v>0</v>
      </c>
      <c r="K5">
        <f>IF($H5="",0,IFERROR(AVERAGEIFS('JLR Machines'!$F:$F,'JLR Machines'!$E:$E,$H5,'JLR Machines'!$C:$C,IF(Settings!$B$2="","&lt;&gt;",Settings!$B$2),'JLR Machines'!$D:$D,IF(Settings!$B$3="","&lt;&gt;",Settings!$B$3)),0))</f>
        <v>0</v>
      </c>
      <c r="L5">
        <f>IF($J5&gt;0,$J5,$K5)</f>
        <v>0</v>
      </c>
    </row>
    <row r="6">
      <c r="A6" t="str">
        <v>lab-cn-skilled</v>
      </c>
      <c r="B6" t="str">
        <v>China</v>
      </c>
      <c r="C6" t="str">
        <v>Skilled Machinist</v>
      </c>
      <c r="D6">
        <f>IF($L6&gt;0,$L6,7.9)</f>
        <v>7.9</v>
      </c>
      <c r="E6" t="str">
        <v>2026-06-14</v>
      </c>
      <c r="F6" t="str">
        <f>IF($L6&gt;0,"JLR rate card — labour category "&amp;$H6,"China manufacturing wage benchmark Jun 2026")</f>
        <v>China manufacturing wage benchmark Jun 2026</v>
      </c>
      <c r="G6" t="str">
        <v>Low</v>
      </c>
      <c r="H6" t="str">
        <f>IFERROR(INDEX(Mapping!$C:$C,MATCH($A6,Mapping!$A:$A,0)),"")</f>
        <v/>
      </c>
      <c r="I6">
        <f>IF($H6="",0,COUNTIFS('JLR Labour'!$A:$A,$H6,'JLR Labour'!$C:$C,IF(Settings!$B$2="","&lt;&gt;",Settings!$B$2),'JLR Labour'!$D:$D,IF(Settings!$B$3="","&lt;&gt;",Settings!$B$3)))</f>
        <v>0</v>
      </c>
      <c r="J6">
        <f>IF($I6&lt;&gt;1,0,SUMIFS('JLR Labour'!$E:$E,'JLR Labour'!$A:$A,$H6,'JLR Labour'!$C:$C,IF(Settings!$B$2="","&lt;&gt;",Settings!$B$2),'JLR Labour'!$D:$D,IF(Settings!$B$3="","&lt;&gt;",Settings!$B$3)))</f>
        <v>0</v>
      </c>
      <c r="K6">
        <f>IF($H6="",0,IFERROR(AVERAGEIFS('JLR Machines'!$F:$F,'JLR Machines'!$E:$E,$H6,'JLR Machines'!$C:$C,IF(Settings!$B$2="","&lt;&gt;",Settings!$B$2),'JLR Machines'!$D:$D,IF(Settings!$B$3="","&lt;&gt;",Settings!$B$3)),0))</f>
        <v>0</v>
      </c>
      <c r="L6">
        <f>IF($J6&gt;0,$J6,$K6)</f>
        <v>0</v>
      </c>
    </row>
    <row r="7">
      <c r="A7" t="str">
        <v>lab-uk-foundry</v>
      </c>
      <c r="B7" t="str">
        <v>UK</v>
      </c>
      <c r="C7" t="str">
        <v>Foundry Operative</v>
      </c>
      <c r="D7">
        <f>IF($L7&gt;0,$L7,18.5)</f>
        <v>18.5</v>
      </c>
      <c r="E7" t="str">
        <v>2026-06-14</v>
      </c>
      <c r="F7" t="str">
        <f>IF($L7&gt;0,"JLR rate card — labour category "&amp;$H7,"UK foundry/casting operator wage survey Jun 2026, incl. NI + benefits")</f>
        <v>UK foundry/casting operator wage survey Jun 2026, incl. NI + benefits</v>
      </c>
      <c r="G7" t="str">
        <v>Medium</v>
      </c>
      <c r="H7" t="str">
        <f>IFERROR(INDEX(Mapping!$C:$C,MATCH($A7,Mapping!$A:$A,0)),"")</f>
        <v/>
      </c>
      <c r="I7">
        <f>IF($H7="",0,COUNTIFS('JLR Labour'!$A:$A,$H7,'JLR Labour'!$C:$C,IF(Settings!$B$2="","&lt;&gt;",Settings!$B$2),'JLR Labour'!$D:$D,IF(Settings!$B$3="","&lt;&gt;",Settings!$B$3)))</f>
        <v>0</v>
      </c>
      <c r="J7">
        <f>IF($I7&lt;&gt;1,0,SUMIFS('JLR Labour'!$E:$E,'JLR Labour'!$A:$A,$H7,'JLR Labour'!$C:$C,IF(Settings!$B$2="","&lt;&gt;",Settings!$B$2),'JLR Labour'!$D:$D,IF(Settings!$B$3="","&lt;&gt;",Settings!$B$3)))</f>
        <v>0</v>
      </c>
      <c r="K7">
        <f>IF($H7="",0,IFERROR(AVERAGEIFS('JLR Machines'!$F:$F,'JLR Machines'!$E:$E,$H7,'JLR Machines'!$C:$C,IF(Settings!$B$2="","&lt;&gt;",Settings!$B$2),'JLR Machines'!$D:$D,IF(Settings!$B$3="","&lt;&gt;",Settings!$B$3)),0))</f>
        <v>0</v>
      </c>
      <c r="L7">
        <f>IF($J7&gt;0,$J7,$K7)</f>
        <v>0</v>
      </c>
    </row>
    <row r="8">
      <c r="A8" t="str">
        <v>lab-uk-inspector</v>
      </c>
      <c r="B8" t="str">
        <v>UK</v>
      </c>
      <c r="C8" t="str">
        <v>CMM / Quality Inspector</v>
      </c>
      <c r="D8">
        <f>IF($L8&gt;0,$L8,27.5)</f>
        <v>27.5</v>
      </c>
      <c r="E8" t="str">
        <v>2026-06-14</v>
      </c>
      <c r="F8" t="str">
        <f>IF($L8&gt;0,"JLR rate card — labour category "&amp;$H8,"UK quality/inspection wage benchmark Jun 2026, incl. NI + benefits")</f>
        <v>UK quality/inspection wage benchmark Jun 2026, incl. NI + benefits</v>
      </c>
      <c r="G8" t="str">
        <v>Medium</v>
      </c>
      <c r="H8" t="str">
        <f>IFERROR(INDEX(Mapping!$C:$C,MATCH($A8,Mapping!$A:$A,0)),"")</f>
        <v/>
      </c>
      <c r="I8">
        <f>IF($H8="",0,COUNTIFS('JLR Labour'!$A:$A,$H8,'JLR Labour'!$C:$C,IF(Settings!$B$2="","&lt;&gt;",Settings!$B$2),'JLR Labour'!$D:$D,IF(Settings!$B$3="","&lt;&gt;",Settings!$B$3)))</f>
        <v>0</v>
      </c>
      <c r="J8">
        <f>IF($I8&lt;&gt;1,0,SUMIFS('JLR Labour'!$E:$E,'JLR Labour'!$A:$A,$H8,'JLR Labour'!$C:$C,IF(Settings!$B$2="","&lt;&gt;",Settings!$B$2),'JLR Labour'!$D:$D,IF(Settings!$B$3="","&lt;&gt;",Settings!$B$3)))</f>
        <v>0</v>
      </c>
      <c r="K8">
        <f>IF($H8="",0,IFERROR(AVERAGEIFS('JLR Machines'!$F:$F,'JLR Machines'!$E:$E,$H8,'JLR Machines'!$C:$C,IF(Settings!$B$2="","&lt;&gt;",Settings!$B$2),'JLR Machines'!$D:$D,IF(Settings!$B$3="","&lt;&gt;",Settings!$B$3)),0))</f>
        <v>0</v>
      </c>
      <c r="L8">
        <f>IF($J8&gt;0,$J8,$K8)</f>
        <v>0</v>
      </c>
    </row>
    <row r="9">
      <c r="A9" t="str">
        <v>lab-uk-technician</v>
      </c>
      <c r="B9" t="str">
        <v>UK</v>
      </c>
      <c r="C9" t="str">
        <v>Maintenance / Mould-Setter Technician</v>
      </c>
      <c r="D9">
        <f>IF($L9&gt;0,$L9,28.6)</f>
        <v>28.6</v>
      </c>
      <c r="E9" t="str">
        <v>2026-06-14</v>
      </c>
      <c r="F9" t="str">
        <f>IF($L9&gt;0,"JLR rate card — labour category "&amp;$H9,"UK process/maintenance technician benchmark Jun 2026, incl. NI + benefits")</f>
        <v>UK process/maintenance technician benchmark Jun 2026, incl. NI + benefits</v>
      </c>
      <c r="G9" t="str">
        <v>Medium</v>
      </c>
      <c r="H9" t="str">
        <f>IFERROR(INDEX(Mapping!$C:$C,MATCH($A9,Mapping!$A:$A,0)),"")</f>
        <v/>
      </c>
      <c r="I9">
        <f>IF($H9="",0,COUNTIFS('JLR Labour'!$A:$A,$H9,'JLR Labour'!$C:$C,IF(Settings!$B$2="","&lt;&gt;",Settings!$B$2),'JLR Labour'!$D:$D,IF(Settings!$B$3="","&lt;&gt;",Settings!$B$3)))</f>
        <v>0</v>
      </c>
      <c r="J9">
        <f>IF($I9&lt;&gt;1,0,SUMIFS('JLR Labour'!$E:$E,'JLR Labour'!$A:$A,$H9,'JLR Labour'!$C:$C,IF(Settings!$B$2="","&lt;&gt;",Settings!$B$2),'JLR Labour'!$D:$D,IF(Settings!$B$3="","&lt;&gt;",Settings!$B$3)))</f>
        <v>0</v>
      </c>
      <c r="K9">
        <f>IF($H9="",0,IFERROR(AVERAGEIFS('JLR Machines'!$F:$F,'JLR Machines'!$E:$E,$H9,'JLR Machines'!$C:$C,IF(Settings!$B$2="","&lt;&gt;",Settings!$B$2),'JLR Machines'!$D:$D,IF(Settings!$B$3="","&lt;&gt;",Settings!$B$3)),0))</f>
        <v>0</v>
      </c>
      <c r="L9">
        <f>IF($J9&gt;0,$J9,$K9)</f>
        <v>0</v>
      </c>
    </row>
    <row r="10">
      <c r="A10" t="str">
        <v>lab-uk-supervisor</v>
      </c>
      <c r="B10" t="str">
        <v>UK</v>
      </c>
      <c r="C10" t="str">
        <v>Shift / Production Supervisor</v>
      </c>
      <c r="D10">
        <f>IF($L10&gt;0,$L10,35.1)</f>
        <v>35.1</v>
      </c>
      <c r="E10" t="str">
        <v>2026-06-14</v>
      </c>
      <c r="F10" t="str">
        <f>IF($L10&gt;0,"JLR rate card — labour category "&amp;$H10,"UK production supervisor benchmark Jun 2026, incl. NI + benefits")</f>
        <v>UK production supervisor benchmark Jun 2026, incl. NI + benefits</v>
      </c>
      <c r="G10" t="str">
        <v>Medium</v>
      </c>
      <c r="H10" t="str">
        <f>IFERROR(INDEX(Mapping!$C:$C,MATCH($A10,Mapping!$A:$A,0)),"")</f>
        <v/>
      </c>
      <c r="I10">
        <f>IF($H10="",0,COUNTIFS('JLR Labour'!$A:$A,$H10,'JLR Labour'!$C:$C,IF(Settings!$B$2="","&lt;&gt;",Settings!$B$2),'JLR Labour'!$D:$D,IF(Settings!$B$3="","&lt;&gt;",Settings!$B$3)))</f>
        <v>0</v>
      </c>
      <c r="J10">
        <f>IF($I10&lt;&gt;1,0,SUMIFS('JLR Labour'!$E:$E,'JLR Labour'!$A:$A,$H10,'JLR Labour'!$C:$C,IF(Settings!$B$2="","&lt;&gt;",Settings!$B$2),'JLR Labour'!$D:$D,IF(Settings!$B$3="","&lt;&gt;",Settings!$B$3)))</f>
        <v>0</v>
      </c>
      <c r="K10">
        <f>IF($H10="",0,IFERROR(AVERAGEIFS('JLR Machines'!$F:$F,'JLR Machines'!$E:$E,$H10,'JLR Machines'!$C:$C,IF(Settings!$B$2="","&lt;&gt;",Settings!$B$2),'JLR Machines'!$D:$D,IF(Settings!$B$3="","&lt;&gt;",Settings!$B$3)),0))</f>
        <v>0</v>
      </c>
      <c r="L10">
        <f>IF($J10&gt;0,$J10,$K10)</f>
        <v>0</v>
      </c>
    </row>
    <row r="11">
      <c r="A11" t="str">
        <v>lab-uk-forge</v>
      </c>
      <c r="B11" t="str">
        <v>UK</v>
      </c>
      <c r="C11" t="str">
        <v>Forge Operator / Hammer-man</v>
      </c>
      <c r="D11">
        <f>IF($L11&gt;0,$L11,24)</f>
        <v>24</v>
      </c>
      <c r="E11" t="str">
        <v>2026-06-14</v>
      </c>
      <c r="F11" t="str">
        <f>IF($L11&gt;0,"JLR rate card — labour category "&amp;$H11,"UK drop-forge operator wage benchmark Jun 2026, incl. NI + benefits + hot-work allowance")</f>
        <v>UK drop-forge operator wage benchmark Jun 2026, incl. NI + benefits + hot-work allowance</v>
      </c>
      <c r="G11" t="str">
        <v>Medium</v>
      </c>
      <c r="H11" t="str">
        <f>IFERROR(INDEX(Mapping!$C:$C,MATCH($A11,Mapping!$A:$A,0)),"")</f>
        <v/>
      </c>
      <c r="I11">
        <f>IF($H11="",0,COUNTIFS('JLR Labour'!$A:$A,$H11,'JLR Labour'!$C:$C,IF(Settings!$B$2="","&lt;&gt;",Settings!$B$2),'JLR Labour'!$D:$D,IF(Settings!$B$3="","&lt;&gt;",Settings!$B$3)))</f>
        <v>0</v>
      </c>
      <c r="J11">
        <f>IF($I11&lt;&gt;1,0,SUMIFS('JLR Labour'!$E:$E,'JLR Labour'!$A:$A,$H11,'JLR Labour'!$C:$C,IF(Settings!$B$2="","&lt;&gt;",Settings!$B$2),'JLR Labour'!$D:$D,IF(Settings!$B$3="","&lt;&gt;",Settings!$B$3)))</f>
        <v>0</v>
      </c>
      <c r="K11">
        <f>IF($H11="",0,IFERROR(AVERAGEIFS('JLR Machines'!$F:$F,'JLR Machines'!$E:$E,$H11,'JLR Machines'!$C:$C,IF(Settings!$B$2="","&lt;&gt;",Settings!$B$2),'JLR Machines'!$D:$D,IF(Settings!$B$3="","&lt;&gt;",Settings!$B$3)),0))</f>
        <v>0</v>
      </c>
      <c r="L11">
        <f>IF($J11&gt;0,$J11,$K11)</f>
        <v>0</v>
      </c>
    </row>
    <row r="12">
      <c r="A12" t="str">
        <v>lab-uk-furnace</v>
      </c>
      <c r="B12" t="str">
        <v>UK</v>
      </c>
      <c r="C12" t="str">
        <v>Furnace / Heat Operator</v>
      </c>
      <c r="D12">
        <f>IF($L12&gt;0,$L12,22)</f>
        <v>22</v>
      </c>
      <c r="E12" t="str">
        <v>2026-06-14</v>
      </c>
      <c r="F12" t="str">
        <f>IF($L12&gt;0,"JLR rate card — labour category "&amp;$H12,"UK furnace/induction heat operator wage benchmark Jun 2026, incl. NI + benefits")</f>
        <v>UK furnace/induction heat operator wage benchmark Jun 2026, incl. NI + benefits</v>
      </c>
      <c r="G12" t="str">
        <v>Medium</v>
      </c>
      <c r="H12" t="str">
        <f>IFERROR(INDEX(Mapping!$C:$C,MATCH($A12,Mapping!$A:$A,0)),"")</f>
        <v/>
      </c>
      <c r="I12">
        <f>IF($H12="",0,COUNTIFS('JLR Labour'!$A:$A,$H12,'JLR Labour'!$C:$C,IF(Settings!$B$2="","&lt;&gt;",Settings!$B$2),'JLR Labour'!$D:$D,IF(Settings!$B$3="","&lt;&gt;",Settings!$B$3)))</f>
        <v>0</v>
      </c>
      <c r="J12">
        <f>IF($I12&lt;&gt;1,0,SUMIFS('JLR Labour'!$E:$E,'JLR Labour'!$A:$A,$H12,'JLR Labour'!$C:$C,IF(Settings!$B$2="","&lt;&gt;",Settings!$B$2),'JLR Labour'!$D:$D,IF(Settings!$B$3="","&lt;&gt;",Settings!$B$3)))</f>
        <v>0</v>
      </c>
      <c r="K12">
        <f>IF($H12="",0,IFERROR(AVERAGEIFS('JLR Machines'!$F:$F,'JLR Machines'!$E:$E,$H12,'JLR Machines'!$C:$C,IF(Settings!$B$2="","&lt;&gt;",Settings!$B$2),'JLR Machines'!$D:$D,IF(Settings!$B$3="","&lt;&gt;",Settings!$B$3)),0))</f>
        <v>0</v>
      </c>
      <c r="L12">
        <f>IF($J12&gt;0,$J12,$K12)</f>
        <v>0</v>
      </c>
    </row>
    <row r="13">
      <c r="A13" t="str">
        <v>lab-uk-blow</v>
      </c>
      <c r="B13" t="str">
        <v>UK</v>
      </c>
      <c r="C13" t="str">
        <v>Blow Moulding Operator</v>
      </c>
      <c r="D13">
        <f>IF($L13&gt;0,$L13,20.5)</f>
        <v>20.5</v>
      </c>
      <c r="E13" t="str">
        <v>2026-06-14</v>
      </c>
      <c r="F13" t="str">
        <f>IF($L13&gt;0,"JLR rate card — labour category "&amp;$H13,"UK blow-moulding machine operator wage benchmark Jun 2026, incl. NI + benefits")</f>
        <v>UK blow-moulding machine operator wage benchmark Jun 2026, incl. NI + benefits</v>
      </c>
      <c r="G13" t="str">
        <v>Medium</v>
      </c>
      <c r="H13" t="str">
        <f>IFERROR(INDEX(Mapping!$C:$C,MATCH($A13,Mapping!$A:$A,0)),"")</f>
        <v/>
      </c>
      <c r="I13">
        <f>IF($H13="",0,COUNTIFS('JLR Labour'!$A:$A,$H13,'JLR Labour'!$C:$C,IF(Settings!$B$2="","&lt;&gt;",Settings!$B$2),'JLR Labour'!$D:$D,IF(Settings!$B$3="","&lt;&gt;",Settings!$B$3)))</f>
        <v>0</v>
      </c>
      <c r="J13">
        <f>IF($I13&lt;&gt;1,0,SUMIFS('JLR Labour'!$E:$E,'JLR Labour'!$A:$A,$H13,'JLR Labour'!$C:$C,IF(Settings!$B$2="","&lt;&gt;",Settings!$B$2),'JLR Labour'!$D:$D,IF(Settings!$B$3="","&lt;&gt;",Settings!$B$3)))</f>
        <v>0</v>
      </c>
      <c r="K13">
        <f>IF($H13="",0,IFERROR(AVERAGEIFS('JLR Machines'!$F:$F,'JLR Machines'!$E:$E,$H13,'JLR Machines'!$C:$C,IF(Settings!$B$2="","&lt;&gt;",Settings!$B$2),'JLR Machines'!$D:$D,IF(Settings!$B$3="","&lt;&gt;",Settings!$B$3)),0))</f>
        <v>0</v>
      </c>
      <c r="L13">
        <f>IF($J13&gt;0,$J13,$K13)</f>
        <v>0</v>
      </c>
    </row>
    <row r="14">
      <c r="A14" t="str">
        <v>lab-uk-roto</v>
      </c>
      <c r="B14" t="str">
        <v>UK</v>
      </c>
      <c r="C14" t="str">
        <v>Rotational Moulding Operator</v>
      </c>
      <c r="D14">
        <f>IF($L14&gt;0,$L14,20)</f>
        <v>20</v>
      </c>
      <c r="E14" t="str">
        <v>2026-06-14</v>
      </c>
      <c r="F14" t="str">
        <f>IF($L14&gt;0,"JLR rate card — labour category "&amp;$H14,"UK roto-moulding operator wage benchmark Jun 2026, incl. NI + benefits (hot demould/charge)")</f>
        <v>UK roto-moulding operator wage benchmark Jun 2026, incl. NI + benefits (hot demould/charge)</v>
      </c>
      <c r="G14" t="str">
        <v>Medium</v>
      </c>
      <c r="H14" t="str">
        <f>IFERROR(INDEX(Mapping!$C:$C,MATCH($A14,Mapping!$A:$A,0)),"")</f>
        <v/>
      </c>
      <c r="I14">
        <f>IF($H14="",0,COUNTIFS('JLR Labour'!$A:$A,$H14,'JLR Labour'!$C:$C,IF(Settings!$B$2="","&lt;&gt;",Settings!$B$2),'JLR Labour'!$D:$D,IF(Settings!$B$3="","&lt;&gt;",Settings!$B$3)))</f>
        <v>0</v>
      </c>
      <c r="J14">
        <f>IF($I14&lt;&gt;1,0,SUMIFS('JLR Labour'!$E:$E,'JLR Labour'!$A:$A,$H14,'JLR Labour'!$C:$C,IF(Settings!$B$2="","&lt;&gt;",Settings!$B$2),'JLR Labour'!$D:$D,IF(Settings!$B$3="","&lt;&gt;",Settings!$B$3)))</f>
        <v>0</v>
      </c>
      <c r="K14">
        <f>IF($H14="",0,IFERROR(AVERAGEIFS('JLR Machines'!$F:$F,'JLR Machines'!$E:$E,$H14,'JLR Machines'!$C:$C,IF(Settings!$B$2="","&lt;&gt;",Settings!$B$2),'JLR Machines'!$D:$D,IF(Settings!$B$3="","&lt;&gt;",Settings!$B$3)),0))</f>
        <v>0</v>
      </c>
      <c r="L14">
        <f>IF($J14&gt;0,$J14,$K14)</f>
        <v>0</v>
      </c>
    </row>
    <row r="15">
      <c r="A15" t="str">
        <v>lab-uk-thermoform</v>
      </c>
      <c r="B15" t="str">
        <v>UK</v>
      </c>
      <c r="C15" t="str">
        <v>Thermoforming Operator</v>
      </c>
      <c r="D15">
        <f>IF($L15&gt;0,$L15,19.5)</f>
        <v>19.5</v>
      </c>
      <c r="E15" t="str">
        <v>2026-06-14</v>
      </c>
      <c r="F15" t="str">
        <f>IF($L15&gt;0,"JLR rate card — labour category "&amp;$H15,"UK thermoforming machine operator wage benchmark Jun 2026, incl. NI + benefits (sheet load, form, unload)")</f>
        <v>UK thermoforming machine operator wage benchmark Jun 2026, incl. NI + benefits (sheet load, form, unload)</v>
      </c>
      <c r="G15" t="str">
        <v>Medium</v>
      </c>
      <c r="H15" t="str">
        <f>IFERROR(INDEX(Mapping!$C:$C,MATCH($A15,Mapping!$A:$A,0)),"")</f>
        <v/>
      </c>
      <c r="I15">
        <f>IF($H15="",0,COUNTIFS('JLR Labour'!$A:$A,$H15,'JLR Labour'!$C:$C,IF(Settings!$B$2="","&lt;&gt;",Settings!$B$2),'JLR Labour'!$D:$D,IF(Settings!$B$3="","&lt;&gt;",Settings!$B$3)))</f>
        <v>0</v>
      </c>
      <c r="J15">
        <f>IF($I15&lt;&gt;1,0,SUMIFS('JLR Labour'!$E:$E,'JLR Labour'!$A:$A,$H15,'JLR Labour'!$C:$C,IF(Settings!$B$2="","&lt;&gt;",Settings!$B$2),'JLR Labour'!$D:$D,IF(Settings!$B$3="","&lt;&gt;",Settings!$B$3)))</f>
        <v>0</v>
      </c>
      <c r="K15">
        <f>IF($H15="",0,IFERROR(AVERAGEIFS('JLR Machines'!$F:$F,'JLR Machines'!$E:$E,$H15,'JLR Machines'!$C:$C,IF(Settings!$B$2="","&lt;&gt;",Settings!$B$2),'JLR Machines'!$D:$D,IF(Settings!$B$3="","&lt;&gt;",Settings!$B$3)),0))</f>
        <v>0</v>
      </c>
      <c r="L15">
        <f>IF($J15&gt;0,$J15,$K15)</f>
        <v>0</v>
      </c>
    </row>
    <row r="16">
      <c r="A16" t="str">
        <v>lab-uk-trim-router</v>
      </c>
      <c r="B16" t="str">
        <v>UK</v>
      </c>
      <c r="C16" t="str">
        <v>CNC Trim / Router Operator</v>
      </c>
      <c r="D16">
        <f>IF($L16&gt;0,$L16,22.5)</f>
        <v>22.5</v>
      </c>
      <c r="E16" t="str">
        <v>2026-06-14</v>
      </c>
      <c r="F16" t="str">
        <f>IF($L16&gt;0,"JLR rate card — labour category "&amp;$H16,"UK CNC router / trim-cell operator wage benchmark Jun 2026, incl. NI + benefits (programmes/jigs formed parts)")</f>
        <v>UK CNC router / trim-cell operator wage benchmark Jun 2026, incl. NI + benefits (programmes/jigs formed parts)</v>
      </c>
      <c r="G16" t="str">
        <v>Medium</v>
      </c>
      <c r="H16" t="str">
        <f>IFERROR(INDEX(Mapping!$C:$C,MATCH($A16,Mapping!$A:$A,0)),"")</f>
        <v/>
      </c>
      <c r="I16">
        <f>IF($H16="",0,COUNTIFS('JLR Labour'!$A:$A,$H16,'JLR Labour'!$C:$C,IF(Settings!$B$2="","&lt;&gt;",Settings!$B$2),'JLR Labour'!$D:$D,IF(Settings!$B$3="","&lt;&gt;",Settings!$B$3)))</f>
        <v>0</v>
      </c>
      <c r="J16">
        <f>IF($I16&lt;&gt;1,0,SUMIFS('JLR Labour'!$E:$E,'JLR Labour'!$A:$A,$H16,'JLR Labour'!$C:$C,IF(Settings!$B$2="","&lt;&gt;",Settings!$B$2),'JLR Labour'!$D:$D,IF(Settings!$B$3="","&lt;&gt;",Settings!$B$3)))</f>
        <v>0</v>
      </c>
      <c r="K16">
        <f>IF($H16="",0,IFERROR(AVERAGEIFS('JLR Machines'!$F:$F,'JLR Machines'!$E:$E,$H16,'JLR Machines'!$C:$C,IF(Settings!$B$2="","&lt;&gt;",Settings!$B$2),'JLR Machines'!$D:$D,IF(Settings!$B$3="","&lt;&gt;",Settings!$B$3)),0))</f>
        <v>0</v>
      </c>
      <c r="L16">
        <f>IF($J16&gt;0,$J16,$K16)</f>
        <v>0</v>
      </c>
    </row>
    <row r="17">
      <c r="A17" t="str">
        <v>lab-de-skilled</v>
      </c>
      <c r="B17" t="str">
        <v>Germany</v>
      </c>
      <c r="C17" t="str">
        <v>Skilled Machinist</v>
      </c>
      <c r="D17">
        <f>IF($L17&gt;0,$L17,40.5)</f>
        <v>40.5</v>
      </c>
      <c r="E17" t="str">
        <v>2026-06-14</v>
      </c>
      <c r="F17" t="str">
        <f>IF($L17&gt;0,"JLR rate card — labour category "&amp;$H17,"Germany IG Metall wage survey Jun 2026, incl. social costs")</f>
        <v>Germany IG Metall wage survey Jun 2026, incl. social costs</v>
      </c>
      <c r="G17" t="str">
        <v>Medium</v>
      </c>
      <c r="H17" t="str">
        <f>IFERROR(INDEX(Mapping!$C:$C,MATCH($A17,Mapping!$A:$A,0)),"")</f>
        <v/>
      </c>
      <c r="I17">
        <f>IF($H17="",0,COUNTIFS('JLR Labour'!$A:$A,$H17,'JLR Labour'!$C:$C,IF(Settings!$B$2="","&lt;&gt;",Settings!$B$2),'JLR Labour'!$D:$D,IF(Settings!$B$3="","&lt;&gt;",Settings!$B$3)))</f>
        <v>0</v>
      </c>
      <c r="J17">
        <f>IF($I17&lt;&gt;1,0,SUMIFS('JLR Labour'!$E:$E,'JLR Labour'!$A:$A,$H17,'JLR Labour'!$C:$C,IF(Settings!$B$2="","&lt;&gt;",Settings!$B$2),'JLR Labour'!$D:$D,IF(Settings!$B$3="","&lt;&gt;",Settings!$B$3)))</f>
        <v>0</v>
      </c>
      <c r="K17">
        <f>IF($H17="",0,IFERROR(AVERAGEIFS('JLR Machines'!$F:$F,'JLR Machines'!$E:$E,$H17,'JLR Machines'!$C:$C,IF(Settings!$B$2="","&lt;&gt;",Settings!$B$2),'JLR Machines'!$D:$D,IF(Settings!$B$3="","&lt;&gt;",Settings!$B$3)),0))</f>
        <v>0</v>
      </c>
      <c r="L17">
        <f>IF($J17&gt;0,$J17,$K17)</f>
        <v>0</v>
      </c>
    </row>
    <row r="18">
      <c r="A18" t="str">
        <v>lab-pl-skilled</v>
      </c>
      <c r="B18" t="str">
        <v>Poland</v>
      </c>
      <c r="C18" t="str">
        <v>Skilled Machinist</v>
      </c>
      <c r="D18">
        <f>IF($L18&gt;0,$L18,12)</f>
        <v>12</v>
      </c>
      <c r="E18" t="str">
        <v>2026-06-14</v>
      </c>
      <c r="F18" t="str">
        <f>IF($L18&gt;0,"JLR rate card — labour category "&amp;$H18,"Poland manufacturing wage benchmark Jun 2026, incl. social costs")</f>
        <v>Poland manufacturing wage benchmark Jun 2026, incl. social costs</v>
      </c>
      <c r="G18" t="str">
        <v>Low</v>
      </c>
      <c r="H18" t="str">
        <f>IFERROR(INDEX(Mapping!$C:$C,MATCH($A18,Mapping!$A:$A,0)),"")</f>
        <v/>
      </c>
      <c r="I18">
        <f>IF($H18="",0,COUNTIFS('JLR Labour'!$A:$A,$H18,'JLR Labour'!$C:$C,IF(Settings!$B$2="","&lt;&gt;",Settings!$B$2),'JLR Labour'!$D:$D,IF(Settings!$B$3="","&lt;&gt;",Settings!$B$3)))</f>
        <v>0</v>
      </c>
      <c r="J18">
        <f>IF($I18&lt;&gt;1,0,SUMIFS('JLR Labour'!$E:$E,'JLR Labour'!$A:$A,$H18,'JLR Labour'!$C:$C,IF(Settings!$B$2="","&lt;&gt;",Settings!$B$2),'JLR Labour'!$D:$D,IF(Settings!$B$3="","&lt;&gt;",Settings!$B$3)))</f>
        <v>0</v>
      </c>
      <c r="K18">
        <f>IF($H18="",0,IFERROR(AVERAGEIFS('JLR Machines'!$F:$F,'JLR Machines'!$E:$E,$H18,'JLR Machines'!$C:$C,IF(Settings!$B$2="","&lt;&gt;",Settings!$B$2),'JLR Machines'!$D:$D,IF(Settings!$B$3="","&lt;&gt;",Settings!$B$3)),0))</f>
        <v>0</v>
      </c>
      <c r="L18">
        <f>IF($J18&gt;0,$J18,$K18)</f>
        <v>0</v>
      </c>
    </row>
    <row r="19">
      <c r="A19" t="str">
        <v>lab-mx-skilled</v>
      </c>
      <c r="B19" t="str">
        <v>Mexico</v>
      </c>
      <c r="C19" t="str">
        <v>Skilled Machinist</v>
      </c>
      <c r="D19">
        <f>IF($L19&gt;0,$L19,7.5)</f>
        <v>7.5</v>
      </c>
      <c r="E19" t="str">
        <v>2026-06-14</v>
      </c>
      <c r="F19" t="str">
        <f>IF($L19&gt;0,"JLR rate card — labour category "&amp;$H19,"Mexico manufacturing wage benchmark Jun 2026 (IMSS included)")</f>
        <v>Mexico manufacturing wage benchmark Jun 2026 (IMSS included)</v>
      </c>
      <c r="G19" t="str">
        <v>Low</v>
      </c>
      <c r="H19" t="str">
        <f>IFERROR(INDEX(Mapping!$C:$C,MATCH($A19,Mapping!$A:$A,0)),"")</f>
        <v/>
      </c>
      <c r="I19">
        <f>IF($H19="",0,COUNTIFS('JLR Labour'!$A:$A,$H19,'JLR Labour'!$C:$C,IF(Settings!$B$2="","&lt;&gt;",Settings!$B$2),'JLR Labour'!$D:$D,IF(Settings!$B$3="","&lt;&gt;",Settings!$B$3)))</f>
        <v>0</v>
      </c>
      <c r="J19">
        <f>IF($I19&lt;&gt;1,0,SUMIFS('JLR Labour'!$E:$E,'JLR Labour'!$A:$A,$H19,'JLR Labour'!$C:$C,IF(Settings!$B$2="","&lt;&gt;",Settings!$B$2),'JLR Labour'!$D:$D,IF(Settings!$B$3="","&lt;&gt;",Settings!$B$3)))</f>
        <v>0</v>
      </c>
      <c r="K19">
        <f>IF($H19="",0,IFERROR(AVERAGEIFS('JLR Machines'!$F:$F,'JLR Machines'!$E:$E,$H19,'JLR Machines'!$C:$C,IF(Settings!$B$2="","&lt;&gt;",Settings!$B$2),'JLR Machines'!$D:$D,IF(Settings!$B$3="","&lt;&gt;",Settings!$B$3)),0))</f>
        <v>0</v>
      </c>
      <c r="L19">
        <f>IF($J19&gt;0,$J19,$K19)</f>
        <v>0</v>
      </c>
    </row>
    <row r="20">
      <c r="A20" t="str">
        <v>lab-uk-electronics</v>
      </c>
      <c r="B20" t="str">
        <v>UK</v>
      </c>
      <c r="C20" t="str">
        <v>SMT / Electronics Operator</v>
      </c>
      <c r="D20">
        <f>IF($L20&gt;0,$L20,17.5)</f>
        <v>17.5</v>
      </c>
      <c r="E20" t="str">
        <v>2026-06-14</v>
      </c>
      <c r="F20" t="str">
        <f>IF($L20&gt;0,"JLR rate card — labour category "&amp;$H20,"UK EMS operator wage benchmark Jun 2026, incl. NI + benefits")</f>
        <v>UK EMS operator wage benchmark Jun 2026, incl. NI + benefits</v>
      </c>
      <c r="G20" t="str">
        <v>Medium</v>
      </c>
      <c r="H20" t="str">
        <f>IFERROR(INDEX(Mapping!$C:$C,MATCH($A20,Mapping!$A:$A,0)),"")</f>
        <v/>
      </c>
      <c r="I20">
        <f>IF($H20="",0,COUNTIFS('JLR Labour'!$A:$A,$H20,'JLR Labour'!$C:$C,IF(Settings!$B$2="","&lt;&gt;",Settings!$B$2),'JLR Labour'!$D:$D,IF(Settings!$B$3="","&lt;&gt;",Settings!$B$3)))</f>
        <v>0</v>
      </c>
      <c r="J20">
        <f>IF($I20&lt;&gt;1,0,SUMIFS('JLR Labour'!$E:$E,'JLR Labour'!$A:$A,$H20,'JLR Labour'!$C:$C,IF(Settings!$B$2="","&lt;&gt;",Settings!$B$2),'JLR Labour'!$D:$D,IF(Settings!$B$3="","&lt;&gt;",Settings!$B$3)))</f>
        <v>0</v>
      </c>
      <c r="K20">
        <f>IF($H20="",0,IFERROR(AVERAGEIFS('JLR Machines'!$F:$F,'JLR Machines'!$E:$E,$H20,'JLR Machines'!$C:$C,IF(Settings!$B$2="","&lt;&gt;",Settings!$B$2),'JLR Machines'!$D:$D,IF(Settings!$B$3="","&lt;&gt;",Settings!$B$3)),0))</f>
        <v>0</v>
      </c>
      <c r="L20">
        <f>IF($J20&gt;0,$J20,$K20)</f>
        <v>0</v>
      </c>
    </row>
    <row r="21">
      <c r="A21" t="str">
        <v>lab-de-semiskilled</v>
      </c>
      <c r="B21" t="str">
        <v>Germany</v>
      </c>
      <c r="C21" t="str">
        <v>Semi-skilled Operator</v>
      </c>
      <c r="D21">
        <f>IF($L21&gt;0,$L21,32)</f>
        <v>32</v>
      </c>
      <c r="E21" t="str">
        <v>2026-06-14</v>
      </c>
      <c r="F21" t="str">
        <f>IF($L21&gt;0,"JLR rate card — labour category "&amp;$H21,"Germany IG Metall Lohngruppe 3 Jun 2026, incl. social costs")</f>
        <v>Germany IG Metall Lohngruppe 3 Jun 2026, incl. social costs</v>
      </c>
      <c r="G21" t="str">
        <v>Medium</v>
      </c>
      <c r="H21" t="str">
        <f>IFERROR(INDEX(Mapping!$C:$C,MATCH($A21,Mapping!$A:$A,0)),"")</f>
        <v/>
      </c>
      <c r="I21">
        <f>IF($H21="",0,COUNTIFS('JLR Labour'!$A:$A,$H21,'JLR Labour'!$C:$C,IF(Settings!$B$2="","&lt;&gt;",Settings!$B$2),'JLR Labour'!$D:$D,IF(Settings!$B$3="","&lt;&gt;",Settings!$B$3)))</f>
        <v>0</v>
      </c>
      <c r="J21">
        <f>IF($I21&lt;&gt;1,0,SUMIFS('JLR Labour'!$E:$E,'JLR Labour'!$A:$A,$H21,'JLR Labour'!$C:$C,IF(Settings!$B$2="","&lt;&gt;",Settings!$B$2),'JLR Labour'!$D:$D,IF(Settings!$B$3="","&lt;&gt;",Settings!$B$3)))</f>
        <v>0</v>
      </c>
      <c r="K21">
        <f>IF($H21="",0,IFERROR(AVERAGEIFS('JLR Machines'!$F:$F,'JLR Machines'!$E:$E,$H21,'JLR Machines'!$C:$C,IF(Settings!$B$2="","&lt;&gt;",Settings!$B$2),'JLR Machines'!$D:$D,IF(Settings!$B$3="","&lt;&gt;",Settings!$B$3)),0))</f>
        <v>0</v>
      </c>
      <c r="L21">
        <f>IF($J21&gt;0,$J21,$K21)</f>
        <v>0</v>
      </c>
    </row>
    <row r="22">
      <c r="A22" t="str">
        <v>lab-de-foundry</v>
      </c>
      <c r="B22" t="str">
        <v>Germany</v>
      </c>
      <c r="C22" t="str">
        <v>Foundry Operative</v>
      </c>
      <c r="D22">
        <f>IF($L22&gt;0,$L22,35)</f>
        <v>35</v>
      </c>
      <c r="E22" t="str">
        <v>2026-06-14</v>
      </c>
      <c r="F22" t="str">
        <f>IF($L22&gt;0,"JLR rate card — labour category "&amp;$H22,"Germany foundry Tarifvertrag Jun 2026, incl. social costs")</f>
        <v>Germany foundry Tarifvertrag Jun 2026, incl. social costs</v>
      </c>
      <c r="G22" t="str">
        <v>Medium</v>
      </c>
      <c r="H22" t="str">
        <f>IFERROR(INDEX(Mapping!$C:$C,MATCH($A22,Mapping!$A:$A,0)),"")</f>
        <v/>
      </c>
      <c r="I22">
        <f>IF($H22="",0,COUNTIFS('JLR Labour'!$A:$A,$H22,'JLR Labour'!$C:$C,IF(Settings!$B$2="","&lt;&gt;",Settings!$B$2),'JLR Labour'!$D:$D,IF(Settings!$B$3="","&lt;&gt;",Settings!$B$3)))</f>
        <v>0</v>
      </c>
      <c r="J22">
        <f>IF($I22&lt;&gt;1,0,SUMIFS('JLR Labour'!$E:$E,'JLR Labour'!$A:$A,$H22,'JLR Labour'!$C:$C,IF(Settings!$B$2="","&lt;&gt;",Settings!$B$2),'JLR Labour'!$D:$D,IF(Settings!$B$3="","&lt;&gt;",Settings!$B$3)))</f>
        <v>0</v>
      </c>
      <c r="K22">
        <f>IF($H22="",0,IFERROR(AVERAGEIFS('JLR Machines'!$F:$F,'JLR Machines'!$E:$E,$H22,'JLR Machines'!$C:$C,IF(Settings!$B$2="","&lt;&gt;",Settings!$B$2),'JLR Machines'!$D:$D,IF(Settings!$B$3="","&lt;&gt;",Settings!$B$3)),0))</f>
        <v>0</v>
      </c>
      <c r="L22">
        <f>IF($J22&gt;0,$J22,$K22)</f>
        <v>0</v>
      </c>
    </row>
    <row r="23">
      <c r="A23" t="str">
        <v>lab-de-electronics</v>
      </c>
      <c r="B23" t="str">
        <v>Germany</v>
      </c>
      <c r="C23" t="str">
        <v>SMT / Electronics Operator</v>
      </c>
      <c r="D23">
        <f>IF($L23&gt;0,$L23,30)</f>
        <v>30</v>
      </c>
      <c r="E23" t="str">
        <v>2026-06-14</v>
      </c>
      <c r="F23" t="str">
        <f>IF($L23&gt;0,"JLR rate card — labour category "&amp;$H23,"Germany EMS operator benchmark Jun 2026, incl. social costs")</f>
        <v>Germany EMS operator benchmark Jun 2026, incl. social costs</v>
      </c>
      <c r="G23" t="str">
        <v>Medium</v>
      </c>
      <c r="H23" t="str">
        <f>IFERROR(INDEX(Mapping!$C:$C,MATCH($A23,Mapping!$A:$A,0)),"")</f>
        <v/>
      </c>
      <c r="I23">
        <f>IF($H23="",0,COUNTIFS('JLR Labour'!$A:$A,$H23,'JLR Labour'!$C:$C,IF(Settings!$B$2="","&lt;&gt;",Settings!$B$2),'JLR Labour'!$D:$D,IF(Settings!$B$3="","&lt;&gt;",Settings!$B$3)))</f>
        <v>0</v>
      </c>
      <c r="J23">
        <f>IF($I23&lt;&gt;1,0,SUMIFS('JLR Labour'!$E:$E,'JLR Labour'!$A:$A,$H23,'JLR Labour'!$C:$C,IF(Settings!$B$2="","&lt;&gt;",Settings!$B$2),'JLR Labour'!$D:$D,IF(Settings!$B$3="","&lt;&gt;",Settings!$B$3)))</f>
        <v>0</v>
      </c>
      <c r="K23">
        <f>IF($H23="",0,IFERROR(AVERAGEIFS('JLR Machines'!$F:$F,'JLR Machines'!$E:$E,$H23,'JLR Machines'!$C:$C,IF(Settings!$B$2="","&lt;&gt;",Settings!$B$2),'JLR Machines'!$D:$D,IF(Settings!$B$3="","&lt;&gt;",Settings!$B$3)),0))</f>
        <v>0</v>
      </c>
      <c r="L23">
        <f>IF($J23&gt;0,$J23,$K23)</f>
        <v>0</v>
      </c>
    </row>
    <row r="24">
      <c r="A24" t="str">
        <v>lab-de-engineer</v>
      </c>
      <c r="B24" t="str">
        <v>Germany</v>
      </c>
      <c r="C24" t="str">
        <v>Process Engineer</v>
      </c>
      <c r="D24">
        <f>IF($L24&gt;0,$L24,65)</f>
        <v>65</v>
      </c>
      <c r="E24" t="str">
        <v>2026-06-14</v>
      </c>
      <c r="F24" t="str">
        <f>IF($L24&gt;0,"JLR rate card — labour category "&amp;$H24,"Germany engineering salary benchmark Jun 2026, incl. social costs")</f>
        <v>Germany engineering salary benchmark Jun 2026, incl. social costs</v>
      </c>
      <c r="G24" t="str">
        <v>Medium</v>
      </c>
      <c r="H24" t="str">
        <f>IFERROR(INDEX(Mapping!$C:$C,MATCH($A24,Mapping!$A:$A,0)),"")</f>
        <v/>
      </c>
      <c r="I24">
        <f>IF($H24="",0,COUNTIFS('JLR Labour'!$A:$A,$H24,'JLR Labour'!$C:$C,IF(Settings!$B$2="","&lt;&gt;",Settings!$B$2),'JLR Labour'!$D:$D,IF(Settings!$B$3="","&lt;&gt;",Settings!$B$3)))</f>
        <v>0</v>
      </c>
      <c r="J24">
        <f>IF($I24&lt;&gt;1,0,SUMIFS('JLR Labour'!$E:$E,'JLR Labour'!$A:$A,$H24,'JLR Labour'!$C:$C,IF(Settings!$B$2="","&lt;&gt;",Settings!$B$2),'JLR Labour'!$D:$D,IF(Settings!$B$3="","&lt;&gt;",Settings!$B$3)))</f>
        <v>0</v>
      </c>
      <c r="K24">
        <f>IF($H24="",0,IFERROR(AVERAGEIFS('JLR Machines'!$F:$F,'JLR Machines'!$E:$E,$H24,'JLR Machines'!$C:$C,IF(Settings!$B$2="","&lt;&gt;",Settings!$B$2),'JLR Machines'!$D:$D,IF(Settings!$B$3="","&lt;&gt;",Settings!$B$3)),0))</f>
        <v>0</v>
      </c>
      <c r="L24">
        <f>IF($J24&gt;0,$J24,$K24)</f>
        <v>0</v>
      </c>
    </row>
    <row r="25">
      <c r="A25" t="str">
        <v>lab-pl-semiskilled</v>
      </c>
      <c r="B25" t="str">
        <v>Poland</v>
      </c>
      <c r="C25" t="str">
        <v>Semi-skilled Operator</v>
      </c>
      <c r="D25">
        <f>IF($L25&gt;0,$L25,9)</f>
        <v>9</v>
      </c>
      <c r="E25" t="str">
        <v>2026-06-14</v>
      </c>
      <c r="F25" t="str">
        <f>IF($L25&gt;0,"JLR rate card — labour category "&amp;$H25,"Poland manufacturing wage benchmark Jun 2026, incl. social costs")</f>
        <v>Poland manufacturing wage benchmark Jun 2026, incl. social costs</v>
      </c>
      <c r="G25" t="str">
        <v>Low</v>
      </c>
      <c r="H25" t="str">
        <f>IFERROR(INDEX(Mapping!$C:$C,MATCH($A25,Mapping!$A:$A,0)),"")</f>
        <v/>
      </c>
      <c r="I25">
        <f>IF($H25="",0,COUNTIFS('JLR Labour'!$A:$A,$H25,'JLR Labour'!$C:$C,IF(Settings!$B$2="","&lt;&gt;",Settings!$B$2),'JLR Labour'!$D:$D,IF(Settings!$B$3="","&lt;&gt;",Settings!$B$3)))</f>
        <v>0</v>
      </c>
      <c r="J25">
        <f>IF($I25&lt;&gt;1,0,SUMIFS('JLR Labour'!$E:$E,'JLR Labour'!$A:$A,$H25,'JLR Labour'!$C:$C,IF(Settings!$B$2="","&lt;&gt;",Settings!$B$2),'JLR Labour'!$D:$D,IF(Settings!$B$3="","&lt;&gt;",Settings!$B$3)))</f>
        <v>0</v>
      </c>
      <c r="K25">
        <f>IF($H25="",0,IFERROR(AVERAGEIFS('JLR Machines'!$F:$F,'JLR Machines'!$E:$E,$H25,'JLR Machines'!$C:$C,IF(Settings!$B$2="","&lt;&gt;",Settings!$B$2),'JLR Machines'!$D:$D,IF(Settings!$B$3="","&lt;&gt;",Settings!$B$3)),0))</f>
        <v>0</v>
      </c>
      <c r="L25">
        <f>IF($J25&gt;0,$J25,$K25)</f>
        <v>0</v>
      </c>
    </row>
    <row r="26">
      <c r="A26" t="str">
        <v>lab-pl-electronics</v>
      </c>
      <c r="B26" t="str">
        <v>Poland</v>
      </c>
      <c r="C26" t="str">
        <v>SMT / Electronics Operator</v>
      </c>
      <c r="D26">
        <f>IF($L26&gt;0,$L26,10.5)</f>
        <v>10.5</v>
      </c>
      <c r="E26" t="str">
        <v>2026-06-14</v>
      </c>
      <c r="F26" t="str">
        <f>IF($L26&gt;0,"JLR rate card — labour category "&amp;$H26,"Poland EMS sector benchmark Jun 2026, incl. social costs")</f>
        <v>Poland EMS sector benchmark Jun 2026, incl. social costs</v>
      </c>
      <c r="G26" t="str">
        <v>Low</v>
      </c>
      <c r="H26" t="str">
        <f>IFERROR(INDEX(Mapping!$C:$C,MATCH($A26,Mapping!$A:$A,0)),"")</f>
        <v/>
      </c>
      <c r="I26">
        <f>IF($H26="",0,COUNTIFS('JLR Labour'!$A:$A,$H26,'JLR Labour'!$C:$C,IF(Settings!$B$2="","&lt;&gt;",Settings!$B$2),'JLR Labour'!$D:$D,IF(Settings!$B$3="","&lt;&gt;",Settings!$B$3)))</f>
        <v>0</v>
      </c>
      <c r="J26">
        <f>IF($I26&lt;&gt;1,0,SUMIFS('JLR Labour'!$E:$E,'JLR Labour'!$A:$A,$H26,'JLR Labour'!$C:$C,IF(Settings!$B$2="","&lt;&gt;",Settings!$B$2),'JLR Labour'!$D:$D,IF(Settings!$B$3="","&lt;&gt;",Settings!$B$3)))</f>
        <v>0</v>
      </c>
      <c r="K26">
        <f>IF($H26="",0,IFERROR(AVERAGEIFS('JLR Machines'!$F:$F,'JLR Machines'!$E:$E,$H26,'JLR Machines'!$C:$C,IF(Settings!$B$2="","&lt;&gt;",Settings!$B$2),'JLR Machines'!$D:$D,IF(Settings!$B$3="","&lt;&gt;",Settings!$B$3)),0))</f>
        <v>0</v>
      </c>
      <c r="L26">
        <f>IF($J26&gt;0,$J26,$K26)</f>
        <v>0</v>
      </c>
    </row>
    <row r="27">
      <c r="A27" t="str">
        <v>lab-pl-foundry</v>
      </c>
      <c r="B27" t="str">
        <v>Poland</v>
      </c>
      <c r="C27" t="str">
        <v>Foundry Operative</v>
      </c>
      <c r="D27">
        <f>IF($L27&gt;0,$L27,10)</f>
        <v>10</v>
      </c>
      <c r="E27" t="str">
        <v>2026-06-14</v>
      </c>
      <c r="F27" t="str">
        <f>IF($L27&gt;0,"JLR rate card — labour category "&amp;$H27,"Poland foundry wage benchmark Jun 2026, incl. social costs")</f>
        <v>Poland foundry wage benchmark Jun 2026, incl. social costs</v>
      </c>
      <c r="G27" t="str">
        <v>Low</v>
      </c>
      <c r="H27" t="str">
        <f>IFERROR(INDEX(Mapping!$C:$C,MATCH($A27,Mapping!$A:$A,0)),"")</f>
        <v/>
      </c>
      <c r="I27">
        <f>IF($H27="",0,COUNTIFS('JLR Labour'!$A:$A,$H27,'JLR Labour'!$C:$C,IF(Settings!$B$2="","&lt;&gt;",Settings!$B$2),'JLR Labour'!$D:$D,IF(Settings!$B$3="","&lt;&gt;",Settings!$B$3)))</f>
        <v>0</v>
      </c>
      <c r="J27">
        <f>IF($I27&lt;&gt;1,0,SUMIFS('JLR Labour'!$E:$E,'JLR Labour'!$A:$A,$H27,'JLR Labour'!$C:$C,IF(Settings!$B$2="","&lt;&gt;",Settings!$B$2),'JLR Labour'!$D:$D,IF(Settings!$B$3="","&lt;&gt;",Settings!$B$3)))</f>
        <v>0</v>
      </c>
      <c r="K27">
        <f>IF($H27="",0,IFERROR(AVERAGEIFS('JLR Machines'!$F:$F,'JLR Machines'!$E:$E,$H27,'JLR Machines'!$C:$C,IF(Settings!$B$2="","&lt;&gt;",Settings!$B$2),'JLR Machines'!$D:$D,IF(Settings!$B$3="","&lt;&gt;",Settings!$B$3)),0))</f>
        <v>0</v>
      </c>
      <c r="L27">
        <f>IF($J27&gt;0,$J27,$K27)</f>
        <v>0</v>
      </c>
    </row>
    <row r="28">
      <c r="A28" t="str">
        <v>lab-cn-semiskilled</v>
      </c>
      <c r="B28" t="str">
        <v>China</v>
      </c>
      <c r="C28" t="str">
        <v>Semi-skilled Operator</v>
      </c>
      <c r="D28">
        <f>IF($L28&gt;0,$L28,5.5)</f>
        <v>5.5</v>
      </c>
      <c r="E28" t="str">
        <v>2026-06-14</v>
      </c>
      <c r="F28" t="str">
        <f>IF($L28&gt;0,"JLR rate card — labour category "&amp;$H28,"China Pearl/Yangtze delta manufacturing wage benchmark Jun 2026")</f>
        <v>China Pearl/Yangtze delta manufacturing wage benchmark Jun 2026</v>
      </c>
      <c r="G28" t="str">
        <v>Low</v>
      </c>
      <c r="H28" t="str">
        <f>IFERROR(INDEX(Mapping!$C:$C,MATCH($A28,Mapping!$A:$A,0)),"")</f>
        <v/>
      </c>
      <c r="I28">
        <f>IF($H28="",0,COUNTIFS('JLR Labour'!$A:$A,$H28,'JLR Labour'!$C:$C,IF(Settings!$B$2="","&lt;&gt;",Settings!$B$2),'JLR Labour'!$D:$D,IF(Settings!$B$3="","&lt;&gt;",Settings!$B$3)))</f>
        <v>0</v>
      </c>
      <c r="J28">
        <f>IF($I28&lt;&gt;1,0,SUMIFS('JLR Labour'!$E:$E,'JLR Labour'!$A:$A,$H28,'JLR Labour'!$C:$C,IF(Settings!$B$2="","&lt;&gt;",Settings!$B$2),'JLR Labour'!$D:$D,IF(Settings!$B$3="","&lt;&gt;",Settings!$B$3)))</f>
        <v>0</v>
      </c>
      <c r="K28">
        <f>IF($H28="",0,IFERROR(AVERAGEIFS('JLR Machines'!$F:$F,'JLR Machines'!$E:$E,$H28,'JLR Machines'!$C:$C,IF(Settings!$B$2="","&lt;&gt;",Settings!$B$2),'JLR Machines'!$D:$D,IF(Settings!$B$3="","&lt;&gt;",Settings!$B$3)),0))</f>
        <v>0</v>
      </c>
      <c r="L28">
        <f>IF($J28&gt;0,$J28,$K28)</f>
        <v>0</v>
      </c>
    </row>
    <row r="29">
      <c r="A29" t="str">
        <v>lab-cn-electronics</v>
      </c>
      <c r="B29" t="str">
        <v>China</v>
      </c>
      <c r="C29" t="str">
        <v>SMT / Electronics Operator</v>
      </c>
      <c r="D29">
        <f>IF($L29&gt;0,$L29,6.5)</f>
        <v>6.5</v>
      </c>
      <c r="E29" t="str">
        <v>2026-06-14</v>
      </c>
      <c r="F29" t="str">
        <f>IF($L29&gt;0,"JLR rate card — labour category "&amp;$H29,"China EMS operator benchmark Jun 2026 (Shenzhen/Suzhou)")</f>
        <v>China EMS operator benchmark Jun 2026 (Shenzhen/Suzhou)</v>
      </c>
      <c r="G29" t="str">
        <v>Low</v>
      </c>
      <c r="H29" t="str">
        <f>IFERROR(INDEX(Mapping!$C:$C,MATCH($A29,Mapping!$A:$A,0)),"")</f>
        <v/>
      </c>
      <c r="I29">
        <f>IF($H29="",0,COUNTIFS('JLR Labour'!$A:$A,$H29,'JLR Labour'!$C:$C,IF(Settings!$B$2="","&lt;&gt;",Settings!$B$2),'JLR Labour'!$D:$D,IF(Settings!$B$3="","&lt;&gt;",Settings!$B$3)))</f>
        <v>0</v>
      </c>
      <c r="J29">
        <f>IF($I29&lt;&gt;1,0,SUMIFS('JLR Labour'!$E:$E,'JLR Labour'!$A:$A,$H29,'JLR Labour'!$C:$C,IF(Settings!$B$2="","&lt;&gt;",Settings!$B$2),'JLR Labour'!$D:$D,IF(Settings!$B$3="","&lt;&gt;",Settings!$B$3)))</f>
        <v>0</v>
      </c>
      <c r="K29">
        <f>IF($H29="",0,IFERROR(AVERAGEIFS('JLR Machines'!$F:$F,'JLR Machines'!$E:$E,$H29,'JLR Machines'!$C:$C,IF(Settings!$B$2="","&lt;&gt;",Settings!$B$2),'JLR Machines'!$D:$D,IF(Settings!$B$3="","&lt;&gt;",Settings!$B$3)),0))</f>
        <v>0</v>
      </c>
      <c r="L29">
        <f>IF($J29&gt;0,$J29,$K29)</f>
        <v>0</v>
      </c>
    </row>
    <row r="30">
      <c r="A30" t="str">
        <v>lab-cn-engineer</v>
      </c>
      <c r="B30" t="str">
        <v>China</v>
      </c>
      <c r="C30" t="str">
        <v>Process Engineer</v>
      </c>
      <c r="D30">
        <f>IF($L30&gt;0,$L30,18)</f>
        <v>18</v>
      </c>
      <c r="E30" t="str">
        <v>2026-06-14</v>
      </c>
      <c r="F30" t="str">
        <f>IF($L30&gt;0,"JLR rate card — labour category "&amp;$H30,"China manufacturing engineer salary benchmark Jun 2026")</f>
        <v>China manufacturing engineer salary benchmark Jun 2026</v>
      </c>
      <c r="G30" t="str">
        <v>Low</v>
      </c>
      <c r="H30" t="str">
        <f>IFERROR(INDEX(Mapping!$C:$C,MATCH($A30,Mapping!$A:$A,0)),"")</f>
        <v/>
      </c>
      <c r="I30">
        <f>IF($H30="",0,COUNTIFS('JLR Labour'!$A:$A,$H30,'JLR Labour'!$C:$C,IF(Settings!$B$2="","&lt;&gt;",Settings!$B$2),'JLR Labour'!$D:$D,IF(Settings!$B$3="","&lt;&gt;",Settings!$B$3)))</f>
        <v>0</v>
      </c>
      <c r="J30">
        <f>IF($I30&lt;&gt;1,0,SUMIFS('JLR Labour'!$E:$E,'JLR Labour'!$A:$A,$H30,'JLR Labour'!$C:$C,IF(Settings!$B$2="","&lt;&gt;",Settings!$B$2),'JLR Labour'!$D:$D,IF(Settings!$B$3="","&lt;&gt;",Settings!$B$3)))</f>
        <v>0</v>
      </c>
      <c r="K30">
        <f>IF($H30="",0,IFERROR(AVERAGEIFS('JLR Machines'!$F:$F,'JLR Machines'!$E:$E,$H30,'JLR Machines'!$C:$C,IF(Settings!$B$2="","&lt;&gt;",Settings!$B$2),'JLR Machines'!$D:$D,IF(Settings!$B$3="","&lt;&gt;",Settings!$B$3)),0))</f>
        <v>0</v>
      </c>
      <c r="L30">
        <f>IF($J30&gt;0,$J30,$K30)</f>
        <v>0</v>
      </c>
    </row>
    <row r="31">
      <c r="A31" t="str">
        <v>lab-in-semiskilled</v>
      </c>
      <c r="B31" t="str">
        <v>India</v>
      </c>
      <c r="C31" t="str">
        <v>Semi-skilled Operator</v>
      </c>
      <c r="D31">
        <f>IF($L31&gt;0,$L31,3.5)</f>
        <v>3.5</v>
      </c>
      <c r="E31" t="str">
        <v>2026-06-14</v>
      </c>
      <c r="F31" t="str">
        <f>IF($L31&gt;0,"JLR rate card — labour category "&amp;$H31,"India manufacturing wage benchmark Jun 2026 (Pune/Chennai)")</f>
        <v>India manufacturing wage benchmark Jun 2026 (Pune/Chennai)</v>
      </c>
      <c r="G31" t="str">
        <v>Low</v>
      </c>
      <c r="H31" t="str">
        <f>IFERROR(INDEX(Mapping!$C:$C,MATCH($A31,Mapping!$A:$A,0)),"")</f>
        <v/>
      </c>
      <c r="I31">
        <f>IF($H31="",0,COUNTIFS('JLR Labour'!$A:$A,$H31,'JLR Labour'!$C:$C,IF(Settings!$B$2="","&lt;&gt;",Settings!$B$2),'JLR Labour'!$D:$D,IF(Settings!$B$3="","&lt;&gt;",Settings!$B$3)))</f>
        <v>0</v>
      </c>
      <c r="J31">
        <f>IF($I31&lt;&gt;1,0,SUMIFS('JLR Labour'!$E:$E,'JLR Labour'!$A:$A,$H31,'JLR Labour'!$C:$C,IF(Settings!$B$2="","&lt;&gt;",Settings!$B$2),'JLR Labour'!$D:$D,IF(Settings!$B$3="","&lt;&gt;",Settings!$B$3)))</f>
        <v>0</v>
      </c>
      <c r="K31">
        <f>IF($H31="",0,IFERROR(AVERAGEIFS('JLR Machines'!$F:$F,'JLR Machines'!$E:$E,$H31,'JLR Machines'!$C:$C,IF(Settings!$B$2="","&lt;&gt;",Settings!$B$2),'JLR Machines'!$D:$D,IF(Settings!$B$3="","&lt;&gt;",Settings!$B$3)),0))</f>
        <v>0</v>
      </c>
      <c r="L31">
        <f>IF($J31&gt;0,$J31,$K31)</f>
        <v>0</v>
      </c>
    </row>
    <row r="32">
      <c r="A32" t="str">
        <v>lab-in-electronics</v>
      </c>
      <c r="B32" t="str">
        <v>India</v>
      </c>
      <c r="C32" t="str">
        <v>SMT / Electronics Operator</v>
      </c>
      <c r="D32">
        <f>IF($L32&gt;0,$L32,4.5)</f>
        <v>4.5</v>
      </c>
      <c r="E32" t="str">
        <v>2026-06-14</v>
      </c>
      <c r="F32" t="str">
        <f>IF($L32&gt;0,"JLR rate card — labour category "&amp;$H32,"India EMS operator benchmark Jun 2026 (Bangalore/Chennai)")</f>
        <v>India EMS operator benchmark Jun 2026 (Bangalore/Chennai)</v>
      </c>
      <c r="G32" t="str">
        <v>Low</v>
      </c>
      <c r="H32" t="str">
        <f>IFERROR(INDEX(Mapping!$C:$C,MATCH($A32,Mapping!$A:$A,0)),"")</f>
        <v/>
      </c>
      <c r="I32">
        <f>IF($H32="",0,COUNTIFS('JLR Labour'!$A:$A,$H32,'JLR Labour'!$C:$C,IF(Settings!$B$2="","&lt;&gt;",Settings!$B$2),'JLR Labour'!$D:$D,IF(Settings!$B$3="","&lt;&gt;",Settings!$B$3)))</f>
        <v>0</v>
      </c>
      <c r="J32">
        <f>IF($I32&lt;&gt;1,0,SUMIFS('JLR Labour'!$E:$E,'JLR Labour'!$A:$A,$H32,'JLR Labour'!$C:$C,IF(Settings!$B$2="","&lt;&gt;",Settings!$B$2),'JLR Labour'!$D:$D,IF(Settings!$B$3="","&lt;&gt;",Settings!$B$3)))</f>
        <v>0</v>
      </c>
      <c r="K32">
        <f>IF($H32="",0,IFERROR(AVERAGEIFS('JLR Machines'!$F:$F,'JLR Machines'!$E:$E,$H32,'JLR Machines'!$C:$C,IF(Settings!$B$2="","&lt;&gt;",Settings!$B$2),'JLR Machines'!$D:$D,IF(Settings!$B$3="","&lt;&gt;",Settings!$B$3)),0))</f>
        <v>0</v>
      </c>
      <c r="L32">
        <f>IF($J32&gt;0,$J32,$K32)</f>
        <v>0</v>
      </c>
    </row>
    <row r="33">
      <c r="A33" t="str">
        <v>lab-in-engineer</v>
      </c>
      <c r="B33" t="str">
        <v>India</v>
      </c>
      <c r="C33" t="str">
        <v>Process Engineer</v>
      </c>
      <c r="D33">
        <f>IF($L33&gt;0,$L33,12)</f>
        <v>12</v>
      </c>
      <c r="E33" t="str">
        <v>2026-06-14</v>
      </c>
      <c r="F33" t="str">
        <f>IF($L33&gt;0,"JLR rate card — labour category "&amp;$H33,"India manufacturing engineer salary benchmark Jun 2026")</f>
        <v>India manufacturing engineer salary benchmark Jun 2026</v>
      </c>
      <c r="G33" t="str">
        <v>Low</v>
      </c>
      <c r="H33" t="str">
        <f>IFERROR(INDEX(Mapping!$C:$C,MATCH($A33,Mapping!$A:$A,0)),"")</f>
        <v/>
      </c>
      <c r="I33">
        <f>IF($H33="",0,COUNTIFS('JLR Labour'!$A:$A,$H33,'JLR Labour'!$C:$C,IF(Settings!$B$2="","&lt;&gt;",Settings!$B$2),'JLR Labour'!$D:$D,IF(Settings!$B$3="","&lt;&gt;",Settings!$B$3)))</f>
        <v>0</v>
      </c>
      <c r="J33">
        <f>IF($I33&lt;&gt;1,0,SUMIFS('JLR Labour'!$E:$E,'JLR Labour'!$A:$A,$H33,'JLR Labour'!$C:$C,IF(Settings!$B$2="","&lt;&gt;",Settings!$B$2),'JLR Labour'!$D:$D,IF(Settings!$B$3="","&lt;&gt;",Settings!$B$3)))</f>
        <v>0</v>
      </c>
      <c r="K33">
        <f>IF($H33="",0,IFERROR(AVERAGEIFS('JLR Machines'!$F:$F,'JLR Machines'!$E:$E,$H33,'JLR Machines'!$C:$C,IF(Settings!$B$2="","&lt;&gt;",Settings!$B$2),'JLR Machines'!$D:$D,IF(Settings!$B$3="","&lt;&gt;",Settings!$B$3)),0))</f>
        <v>0</v>
      </c>
      <c r="L33">
        <f>IF($J33&gt;0,$J33,$K33)</f>
        <v>0</v>
      </c>
    </row>
    <row r="34">
      <c r="A34" t="str">
        <v>lab-mx-semiskilled</v>
      </c>
      <c r="B34" t="str">
        <v>Mexico</v>
      </c>
      <c r="C34" t="str">
        <v>Semi-skilled Operator</v>
      </c>
      <c r="D34">
        <f>IF($L34&gt;0,$L34,5.8)</f>
        <v>5.8</v>
      </c>
      <c r="E34" t="str">
        <v>2026-06-14</v>
      </c>
      <c r="F34" t="str">
        <f>IF($L34&gt;0,"JLR rate card — labour category "&amp;$H34,"Mexico manufacturing wage benchmark Jun 2026 (Monterrey/Juárez, IMSS included)")</f>
        <v>Mexico manufacturing wage benchmark Jun 2026 (Monterrey/Juárez, IMSS included)</v>
      </c>
      <c r="G34" t="str">
        <v>Low</v>
      </c>
      <c r="H34" t="str">
        <f>IFERROR(INDEX(Mapping!$C:$C,MATCH($A34,Mapping!$A:$A,0)),"")</f>
        <v/>
      </c>
      <c r="I34">
        <f>IF($H34="",0,COUNTIFS('JLR Labour'!$A:$A,$H34,'JLR Labour'!$C:$C,IF(Settings!$B$2="","&lt;&gt;",Settings!$B$2),'JLR Labour'!$D:$D,IF(Settings!$B$3="","&lt;&gt;",Settings!$B$3)))</f>
        <v>0</v>
      </c>
      <c r="J34">
        <f>IF($I34&lt;&gt;1,0,SUMIFS('JLR Labour'!$E:$E,'JLR Labour'!$A:$A,$H34,'JLR Labour'!$C:$C,IF(Settings!$B$2="","&lt;&gt;",Settings!$B$2),'JLR Labour'!$D:$D,IF(Settings!$B$3="","&lt;&gt;",Settings!$B$3)))</f>
        <v>0</v>
      </c>
      <c r="K34">
        <f>IF($H34="",0,IFERROR(AVERAGEIFS('JLR Machines'!$F:$F,'JLR Machines'!$E:$E,$H34,'JLR Machines'!$C:$C,IF(Settings!$B$2="","&lt;&gt;",Settings!$B$2),'JLR Machines'!$D:$D,IF(Settings!$B$3="","&lt;&gt;",Settings!$B$3)),0))</f>
        <v>0</v>
      </c>
      <c r="L34">
        <f>IF($J34&gt;0,$J34,$K34)</f>
        <v>0</v>
      </c>
    </row>
    <row r="35">
      <c r="A35" t="str">
        <v>lab-mx-electronics</v>
      </c>
      <c r="B35" t="str">
        <v>Mexico</v>
      </c>
      <c r="C35" t="str">
        <v>SMT / Electronics Operator</v>
      </c>
      <c r="D35">
        <f>IF($L35&gt;0,$L35,6.5)</f>
        <v>6.5</v>
      </c>
      <c r="E35" t="str">
        <v>2026-06-14</v>
      </c>
      <c r="F35" t="str">
        <f>IF($L35&gt;0,"JLR rate card — labour category "&amp;$H35,"Mexico EMS operator benchmark Jun 2026 (Juárez/Tijuana, IMSS included)")</f>
        <v>Mexico EMS operator benchmark Jun 2026 (Juárez/Tijuana, IMSS included)</v>
      </c>
      <c r="G35" t="str">
        <v>Low</v>
      </c>
      <c r="H35" t="str">
        <f>IFERROR(INDEX(Mapping!$C:$C,MATCH($A35,Mapping!$A:$A,0)),"")</f>
        <v/>
      </c>
      <c r="I35">
        <f>IF($H35="",0,COUNTIFS('JLR Labour'!$A:$A,$H35,'JLR Labour'!$C:$C,IF(Settings!$B$2="","&lt;&gt;",Settings!$B$2),'JLR Labour'!$D:$D,IF(Settings!$B$3="","&lt;&gt;",Settings!$B$3)))</f>
        <v>0</v>
      </c>
      <c r="J35">
        <f>IF($I35&lt;&gt;1,0,SUMIFS('JLR Labour'!$E:$E,'JLR Labour'!$A:$A,$H35,'JLR Labour'!$C:$C,IF(Settings!$B$2="","&lt;&gt;",Settings!$B$2),'JLR Labour'!$D:$D,IF(Settings!$B$3="","&lt;&gt;",Settings!$B$3)))</f>
        <v>0</v>
      </c>
      <c r="K35">
        <f>IF($H35="",0,IFERROR(AVERAGEIFS('JLR Machines'!$F:$F,'JLR Machines'!$E:$E,$H35,'JLR Machines'!$C:$C,IF(Settings!$B$2="","&lt;&gt;",Settings!$B$2),'JLR Machines'!$D:$D,IF(Settings!$B$3="","&lt;&gt;",Settings!$B$3)),0))</f>
        <v>0</v>
      </c>
      <c r="L35">
        <f>IF($J35&gt;0,$J35,$K35)</f>
        <v>0</v>
      </c>
    </row>
    <row r="36">
      <c r="A36" t="str">
        <v>lab-tr-skilled</v>
      </c>
      <c r="B36" t="str">
        <v>Turkey</v>
      </c>
      <c r="C36" t="str">
        <v>Skilled Machinist</v>
      </c>
      <c r="D36">
        <f>IF($L36&gt;0,$L36,8.5)</f>
        <v>8.5</v>
      </c>
      <c r="E36" t="str">
        <v>2026-06-14</v>
      </c>
      <c r="F36" t="str">
        <f>IF($L36&gt;0,"JLR rate card — labour category "&amp;$H36,"Turkey manufacturing wage benchmark Jun 2026 (Bursa/İzmir, SGK included)")</f>
        <v>Turkey manufacturing wage benchmark Jun 2026 (Bursa/İzmir, SGK included)</v>
      </c>
      <c r="G36" t="str">
        <v>Low</v>
      </c>
      <c r="H36" t="str">
        <f>IFERROR(INDEX(Mapping!$C:$C,MATCH($A36,Mapping!$A:$A,0)),"")</f>
        <v/>
      </c>
      <c r="I36">
        <f>IF($H36="",0,COUNTIFS('JLR Labour'!$A:$A,$H36,'JLR Labour'!$C:$C,IF(Settings!$B$2="","&lt;&gt;",Settings!$B$2),'JLR Labour'!$D:$D,IF(Settings!$B$3="","&lt;&gt;",Settings!$B$3)))</f>
        <v>0</v>
      </c>
      <c r="J36">
        <f>IF($I36&lt;&gt;1,0,SUMIFS('JLR Labour'!$E:$E,'JLR Labour'!$A:$A,$H36,'JLR Labour'!$C:$C,IF(Settings!$B$2="","&lt;&gt;",Settings!$B$2),'JLR Labour'!$D:$D,IF(Settings!$B$3="","&lt;&gt;",Settings!$B$3)))</f>
        <v>0</v>
      </c>
      <c r="K36">
        <f>IF($H36="",0,IFERROR(AVERAGEIFS('JLR Machines'!$F:$F,'JLR Machines'!$E:$E,$H36,'JLR Machines'!$C:$C,IF(Settings!$B$2="","&lt;&gt;",Settings!$B$2),'JLR Machines'!$D:$D,IF(Settings!$B$3="","&lt;&gt;",Settings!$B$3)),0))</f>
        <v>0</v>
      </c>
      <c r="L36">
        <f>IF($J36&gt;0,$J36,$K36)</f>
        <v>0</v>
      </c>
    </row>
    <row r="37">
      <c r="A37" t="str">
        <v>lab-tr-semiskilled</v>
      </c>
      <c r="B37" t="str">
        <v>Turkey</v>
      </c>
      <c r="C37" t="str">
        <v>Semi-skilled Operator</v>
      </c>
      <c r="D37">
        <f>IF($L37&gt;0,$L37,6)</f>
        <v>6</v>
      </c>
      <c r="E37" t="str">
        <v>2026-06-14</v>
      </c>
      <c r="F37" t="str">
        <f>IF($L37&gt;0,"JLR rate card — labour category "&amp;$H37,"Turkey manufacturing wage benchmark Jun 2026 (SGK included)")</f>
        <v>Turkey manufacturing wage benchmark Jun 2026 (SGK included)</v>
      </c>
      <c r="G37" t="str">
        <v>Low</v>
      </c>
      <c r="H37" t="str">
        <f>IFERROR(INDEX(Mapping!$C:$C,MATCH($A37,Mapping!$A:$A,0)),"")</f>
        <v/>
      </c>
      <c r="I37">
        <f>IF($H37="",0,COUNTIFS('JLR Labour'!$A:$A,$H37,'JLR Labour'!$C:$C,IF(Settings!$B$2="","&lt;&gt;",Settings!$B$2),'JLR Labour'!$D:$D,IF(Settings!$B$3="","&lt;&gt;",Settings!$B$3)))</f>
        <v>0</v>
      </c>
      <c r="J37">
        <f>IF($I37&lt;&gt;1,0,SUMIFS('JLR Labour'!$E:$E,'JLR Labour'!$A:$A,$H37,'JLR Labour'!$C:$C,IF(Settings!$B$2="","&lt;&gt;",Settings!$B$2),'JLR Labour'!$D:$D,IF(Settings!$B$3="","&lt;&gt;",Settings!$B$3)))</f>
        <v>0</v>
      </c>
      <c r="K37">
        <f>IF($H37="",0,IFERROR(AVERAGEIFS('JLR Machines'!$F:$F,'JLR Machines'!$E:$E,$H37,'JLR Machines'!$C:$C,IF(Settings!$B$2="","&lt;&gt;",Settings!$B$2),'JLR Machines'!$D:$D,IF(Settings!$B$3="","&lt;&gt;",Settings!$B$3)),0))</f>
        <v>0</v>
      </c>
      <c r="L37">
        <f>IF($J37&gt;0,$J37,$K37)</f>
        <v>0</v>
      </c>
    </row>
    <row r="38">
      <c r="A38" t="str">
        <v>lab-vn-skilled</v>
      </c>
      <c r="B38" t="str">
        <v>Vietnam</v>
      </c>
      <c r="C38" t="str">
        <v>Skilled Machinist</v>
      </c>
      <c r="D38">
        <f>IF($L38&gt;0,$L38,4)</f>
        <v>4</v>
      </c>
      <c r="E38" t="str">
        <v>2026-06-14</v>
      </c>
      <c r="F38" t="str">
        <f>IF($L38&gt;0,"JLR rate card — labour category "&amp;$H38,"Vietnam manufacturing wage benchmark Jun 2026 (Ho Chi Minh / Hanoi)")</f>
        <v>Vietnam manufacturing wage benchmark Jun 2026 (Ho Chi Minh / Hanoi)</v>
      </c>
      <c r="G38" t="str">
        <v>Low</v>
      </c>
      <c r="H38" t="str">
        <f>IFERROR(INDEX(Mapping!$C:$C,MATCH($A38,Mapping!$A:$A,0)),"")</f>
        <v/>
      </c>
      <c r="I38">
        <f>IF($H38="",0,COUNTIFS('JLR Labour'!$A:$A,$H38,'JLR Labour'!$C:$C,IF(Settings!$B$2="","&lt;&gt;",Settings!$B$2),'JLR Labour'!$D:$D,IF(Settings!$B$3="","&lt;&gt;",Settings!$B$3)))</f>
        <v>0</v>
      </c>
      <c r="J38">
        <f>IF($I38&lt;&gt;1,0,SUMIFS('JLR Labour'!$E:$E,'JLR Labour'!$A:$A,$H38,'JLR Labour'!$C:$C,IF(Settings!$B$2="","&lt;&gt;",Settings!$B$2),'JLR Labour'!$D:$D,IF(Settings!$B$3="","&lt;&gt;",Settings!$B$3)))</f>
        <v>0</v>
      </c>
      <c r="K38">
        <f>IF($H38="",0,IFERROR(AVERAGEIFS('JLR Machines'!$F:$F,'JLR Machines'!$E:$E,$H38,'JLR Machines'!$C:$C,IF(Settings!$B$2="","&lt;&gt;",Settings!$B$2),'JLR Machines'!$D:$D,IF(Settings!$B$3="","&lt;&gt;",Settings!$B$3)),0))</f>
        <v>0</v>
      </c>
      <c r="L38">
        <f>IF($J38&gt;0,$J38,$K38)</f>
        <v>0</v>
      </c>
    </row>
    <row r="39">
      <c r="A39" t="str">
        <v>lab-vn-semiskilled</v>
      </c>
      <c r="B39" t="str">
        <v>Vietnam</v>
      </c>
      <c r="C39" t="str">
        <v>Semi-skilled Operator</v>
      </c>
      <c r="D39">
        <f>IF($L39&gt;0,$L39,2.8)</f>
        <v>2.8</v>
      </c>
      <c r="E39" t="str">
        <v>2026-06-14</v>
      </c>
      <c r="F39" t="str">
        <f>IF($L39&gt;0,"JLR rate card — labour category "&amp;$H39,"Vietnam manufacturing wage benchmark Jun 2026")</f>
        <v>Vietnam manufacturing wage benchmark Jun 2026</v>
      </c>
      <c r="G39" t="str">
        <v>Low</v>
      </c>
      <c r="H39" t="str">
        <f>IFERROR(INDEX(Mapping!$C:$C,MATCH($A39,Mapping!$A:$A,0)),"")</f>
        <v/>
      </c>
      <c r="I39">
        <f>IF($H39="",0,COUNTIFS('JLR Labour'!$A:$A,$H39,'JLR Labour'!$C:$C,IF(Settings!$B$2="","&lt;&gt;",Settings!$B$2),'JLR Labour'!$D:$D,IF(Settings!$B$3="","&lt;&gt;",Settings!$B$3)))</f>
        <v>0</v>
      </c>
      <c r="J39">
        <f>IF($I39&lt;&gt;1,0,SUMIFS('JLR Labour'!$E:$E,'JLR Labour'!$A:$A,$H39,'JLR Labour'!$C:$C,IF(Settings!$B$2="","&lt;&gt;",Settings!$B$2),'JLR Labour'!$D:$D,IF(Settings!$B$3="","&lt;&gt;",Settings!$B$3)))</f>
        <v>0</v>
      </c>
      <c r="K39">
        <f>IF($H39="",0,IFERROR(AVERAGEIFS('JLR Machines'!$F:$F,'JLR Machines'!$E:$E,$H39,'JLR Machines'!$C:$C,IF(Settings!$B$2="","&lt;&gt;",Settings!$B$2),'JLR Machines'!$D:$D,IF(Settings!$B$3="","&lt;&gt;",Settings!$B$3)),0))</f>
        <v>0</v>
      </c>
      <c r="L39">
        <f>IF($J39&gt;0,$J39,$K39)</f>
        <v>0</v>
      </c>
    </row>
    <row r="40">
      <c r="A40" t="str">
        <v>lab-kr-skilled</v>
      </c>
      <c r="B40" t="str">
        <v>South Korea</v>
      </c>
      <c r="C40" t="str">
        <v>Skilled Machinist</v>
      </c>
      <c r="D40">
        <f>IF($L40&gt;0,$L40,22)</f>
        <v>22</v>
      </c>
      <c r="E40" t="str">
        <v>2026-06-14</v>
      </c>
      <c r="F40" t="str">
        <f>IF($L40&gt;0,"JLR rate card — labour category "&amp;$H40,"Korea manufacturing wage benchmark Jun 2026 (Ulsan/Busan, incl. health + pension)")</f>
        <v>Korea manufacturing wage benchmark Jun 2026 (Ulsan/Busan, incl. health + pension)</v>
      </c>
      <c r="G40" t="str">
        <v>Low</v>
      </c>
      <c r="H40" t="str">
        <f>IFERROR(INDEX(Mapping!$C:$C,MATCH($A40,Mapping!$A:$A,0)),"")</f>
        <v/>
      </c>
      <c r="I40">
        <f>IF($H40="",0,COUNTIFS('JLR Labour'!$A:$A,$H40,'JLR Labour'!$C:$C,IF(Settings!$B$2="","&lt;&gt;",Settings!$B$2),'JLR Labour'!$D:$D,IF(Settings!$B$3="","&lt;&gt;",Settings!$B$3)))</f>
        <v>0</v>
      </c>
      <c r="J40">
        <f>IF($I40&lt;&gt;1,0,SUMIFS('JLR Labour'!$E:$E,'JLR Labour'!$A:$A,$H40,'JLR Labour'!$C:$C,IF(Settings!$B$2="","&lt;&gt;",Settings!$B$2),'JLR Labour'!$D:$D,IF(Settings!$B$3="","&lt;&gt;",Settings!$B$3)))</f>
        <v>0</v>
      </c>
      <c r="K40">
        <f>IF($H40="",0,IFERROR(AVERAGEIFS('JLR Machines'!$F:$F,'JLR Machines'!$E:$E,$H40,'JLR Machines'!$C:$C,IF(Settings!$B$2="","&lt;&gt;",Settings!$B$2),'JLR Machines'!$D:$D,IF(Settings!$B$3="","&lt;&gt;",Settings!$B$3)),0))</f>
        <v>0</v>
      </c>
      <c r="L40">
        <f>IF($J40&gt;0,$J40,$K40)</f>
        <v>0</v>
      </c>
    </row>
    <row r="41">
      <c r="A41" t="str">
        <v>lab-kr-electronics</v>
      </c>
      <c r="B41" t="str">
        <v>South Korea</v>
      </c>
      <c r="C41" t="str">
        <v>SMT / Electronics Operator</v>
      </c>
      <c r="D41">
        <f>IF($L41&gt;0,$L41,18.5)</f>
        <v>18.5</v>
      </c>
      <c r="E41" t="str">
        <v>2026-06-14</v>
      </c>
      <c r="F41" t="str">
        <f>IF($L41&gt;0,"JLR rate card — labour category "&amp;$H41,"Korea EMS operator benchmark Jun 2026 (Suwon/Gumi)")</f>
        <v>Korea EMS operator benchmark Jun 2026 (Suwon/Gumi)</v>
      </c>
      <c r="G41" t="str">
        <v>Low</v>
      </c>
      <c r="H41" t="str">
        <f>IFERROR(INDEX(Mapping!$C:$C,MATCH($A41,Mapping!$A:$A,0)),"")</f>
        <v/>
      </c>
      <c r="I41">
        <f>IF($H41="",0,COUNTIFS('JLR Labour'!$A:$A,$H41,'JLR Labour'!$C:$C,IF(Settings!$B$2="","&lt;&gt;",Settings!$B$2),'JLR Labour'!$D:$D,IF(Settings!$B$3="","&lt;&gt;",Settings!$B$3)))</f>
        <v>0</v>
      </c>
      <c r="J41">
        <f>IF($I41&lt;&gt;1,0,SUMIFS('JLR Labour'!$E:$E,'JLR Labour'!$A:$A,$H41,'JLR Labour'!$C:$C,IF(Settings!$B$2="","&lt;&gt;",Settings!$B$2),'JLR Labour'!$D:$D,IF(Settings!$B$3="","&lt;&gt;",Settings!$B$3)))</f>
        <v>0</v>
      </c>
      <c r="K41">
        <f>IF($H41="",0,IFERROR(AVERAGEIFS('JLR Machines'!$F:$F,'JLR Machines'!$E:$E,$H41,'JLR Machines'!$C:$C,IF(Settings!$B$2="","&lt;&gt;",Settings!$B$2),'JLR Machines'!$D:$D,IF(Settings!$B$3="","&lt;&gt;",Settings!$B$3)),0))</f>
        <v>0</v>
      </c>
      <c r="L41">
        <f>IF($J41&gt;0,$J41,$K41)</f>
        <v>0</v>
      </c>
    </row>
    <row r="42">
      <c r="A42" t="str">
        <v>lab-ro-skilled</v>
      </c>
      <c r="B42" t="str">
        <v>Romania</v>
      </c>
      <c r="C42" t="str">
        <v>Skilled Machinist</v>
      </c>
      <c r="D42">
        <f>IF($L42&gt;0,$L42,8)</f>
        <v>8</v>
      </c>
      <c r="E42" t="str">
        <v>2026-06-14</v>
      </c>
      <c r="F42" t="str">
        <f>IF($L42&gt;0,"JLR rate card — labour category "&amp;$H42,"Romania manufacturing wage benchmark Jun 2026 (Cluj/Timișoara, CAS included)")</f>
        <v>Romania manufacturing wage benchmark Jun 2026 (Cluj/Timișoara, CAS included)</v>
      </c>
      <c r="G42" t="str">
        <v>Low</v>
      </c>
      <c r="H42" t="str">
        <f>IFERROR(INDEX(Mapping!$C:$C,MATCH($A42,Mapping!$A:$A,0)),"")</f>
        <v/>
      </c>
      <c r="I42">
        <f>IF($H42="",0,COUNTIFS('JLR Labour'!$A:$A,$H42,'JLR Labour'!$C:$C,IF(Settings!$B$2="","&lt;&gt;",Settings!$B$2),'JLR Labour'!$D:$D,IF(Settings!$B$3="","&lt;&gt;",Settings!$B$3)))</f>
        <v>0</v>
      </c>
      <c r="J42">
        <f>IF($I42&lt;&gt;1,0,SUMIFS('JLR Labour'!$E:$E,'JLR Labour'!$A:$A,$H42,'JLR Labour'!$C:$C,IF(Settings!$B$2="","&lt;&gt;",Settings!$B$2),'JLR Labour'!$D:$D,IF(Settings!$B$3="","&lt;&gt;",Settings!$B$3)))</f>
        <v>0</v>
      </c>
      <c r="K42">
        <f>IF($H42="",0,IFERROR(AVERAGEIFS('JLR Machines'!$F:$F,'JLR Machines'!$E:$E,$H42,'JLR Machines'!$C:$C,IF(Settings!$B$2="","&lt;&gt;",Settings!$B$2),'JLR Machines'!$D:$D,IF(Settings!$B$3="","&lt;&gt;",Settings!$B$3)),0))</f>
        <v>0</v>
      </c>
      <c r="L42">
        <f>IF($J42&gt;0,$J42,$K42)</f>
        <v>0</v>
      </c>
    </row>
    <row r="43">
      <c r="A43" t="str">
        <v>lab-ro-semiskilled</v>
      </c>
      <c r="B43" t="str">
        <v>Romania</v>
      </c>
      <c r="C43" t="str">
        <v>Semi-skilled Operator</v>
      </c>
      <c r="D43">
        <f>IF($L43&gt;0,$L43,6.5)</f>
        <v>6.5</v>
      </c>
      <c r="E43" t="str">
        <v>2026-06-14</v>
      </c>
      <c r="F43" t="str">
        <f>IF($L43&gt;0,"JLR rate card — labour category "&amp;$H43,"Romania manufacturing wage benchmark Jun 2026 (CAS included)")</f>
        <v>Romania manufacturing wage benchmark Jun 2026 (CAS included)</v>
      </c>
      <c r="G43" t="str">
        <v>Low</v>
      </c>
      <c r="H43" t="str">
        <f>IFERROR(INDEX(Mapping!$C:$C,MATCH($A43,Mapping!$A:$A,0)),"")</f>
        <v/>
      </c>
      <c r="I43">
        <f>IF($H43="",0,COUNTIFS('JLR Labour'!$A:$A,$H43,'JLR Labour'!$C:$C,IF(Settings!$B$2="","&lt;&gt;",Settings!$B$2),'JLR Labour'!$D:$D,IF(Settings!$B$3="","&lt;&gt;",Settings!$B$3)))</f>
        <v>0</v>
      </c>
      <c r="J43">
        <f>IF($I43&lt;&gt;1,0,SUMIFS('JLR Labour'!$E:$E,'JLR Labour'!$A:$A,$H43,'JLR Labour'!$C:$C,IF(Settings!$B$2="","&lt;&gt;",Settings!$B$2),'JLR Labour'!$D:$D,IF(Settings!$B$3="","&lt;&gt;",Settings!$B$3)))</f>
        <v>0</v>
      </c>
      <c r="K43">
        <f>IF($H43="",0,IFERROR(AVERAGEIFS('JLR Machines'!$F:$F,'JLR Machines'!$E:$E,$H43,'JLR Machines'!$C:$C,IF(Settings!$B$2="","&lt;&gt;",Settings!$B$2),'JLR Machines'!$D:$D,IF(Settings!$B$3="","&lt;&gt;",Settings!$B$3)),0))</f>
        <v>0</v>
      </c>
      <c r="L43">
        <f>IF($J43&gt;0,$J43,$K43)</f>
        <v>0</v>
      </c>
    </row>
  </sheetData>
  <ignoredErrors>
    <ignoredError numberStoredAsText="1" sqref="A1:L4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cols>
    <col min="1" max="1" width="22.83203125" customWidth="1"/>
    <col min="2" max="2" width="12.83203125" customWidth="1"/>
    <col min="3" max="3" width="18.83203125" customWidth="1"/>
    <col min="4" max="4" width="14.83203125" customWidth="1"/>
    <col min="5" max="5" width="14.83203125" customWidth="1"/>
    <col min="6" max="6" width="36.83203125" customWidth="1"/>
    <col min="7" max="7" width="12.83203125" customWidth="1"/>
  </cols>
  <sheetData>
    <row r="1">
      <c r="A1" t="str">
        <v>id</v>
      </c>
      <c r="B1" t="str">
        <v>region</v>
      </c>
      <c r="C1" t="str">
        <v>electricityPerKwh</v>
      </c>
      <c r="D1" t="str">
        <v>gasPerKwh</v>
      </c>
      <c r="E1" t="str">
        <v>effectiveDate</v>
      </c>
      <c r="F1" t="str">
        <v>sourceNote</v>
      </c>
      <c r="G1" t="str">
        <v>confidence</v>
      </c>
    </row>
    <row r="2">
      <c r="A2" t="str">
        <v>energy-uk</v>
      </c>
      <c r="B2" t="str">
        <v>UK</v>
      </c>
      <c r="C2">
        <v>0.23</v>
      </c>
      <c r="D2">
        <v>0.04</v>
      </c>
      <c r="E2" t="str">
        <v>2026-08-13</v>
      </c>
      <c r="F2" t="str">
        <v>Electricity: Ofgem industrial tariff Q1 2026. Gas CORRECTED 2026-08: DESNZ Quarterly Energy Prices puts manufacturing-sector gas at 3.5-3.7 p/kWh; the previous 6.5 p was a non-industrial figure and over-stated every gas-fired furnace.</v>
      </c>
      <c r="G2" t="str">
        <v>High</v>
      </c>
    </row>
    <row r="3">
      <c r="A3" t="str">
        <v>energy-eu</v>
      </c>
      <c r="B3" t="str">
        <v>EU</v>
      </c>
      <c r="C3">
        <v>0.185</v>
      </c>
      <c r="D3">
        <v>0.045</v>
      </c>
      <c r="E3" t="str">
        <v>2026-06-14</v>
      </c>
      <c r="F3" t="str">
        <v>Eurostat industrial energy Q1 2026</v>
      </c>
      <c r="G3" t="str">
        <v>Medium</v>
      </c>
    </row>
    <row r="4">
      <c r="A4" t="str">
        <v>energy-de</v>
      </c>
      <c r="B4" t="str">
        <v>Germany</v>
      </c>
      <c r="C4">
        <v>0.2</v>
      </c>
      <c r="D4">
        <v>0.047</v>
      </c>
      <c r="E4" t="str">
        <v>2026-06-14</v>
      </c>
      <c r="F4" t="str">
        <v>Bundesnetzagentur industrial tariff Q1 2026</v>
      </c>
      <c r="G4" t="str">
        <v>Medium</v>
      </c>
    </row>
    <row r="5">
      <c r="A5" t="str">
        <v>energy-pl</v>
      </c>
      <c r="B5" t="str">
        <v>Poland</v>
      </c>
      <c r="C5">
        <v>0.12</v>
      </c>
      <c r="D5">
        <v>0.04</v>
      </c>
      <c r="E5" t="str">
        <v>2026-06-14</v>
      </c>
      <c r="F5" t="str">
        <v>URE Poland industrial energy Q1 2026</v>
      </c>
      <c r="G5" t="str">
        <v>Low</v>
      </c>
    </row>
    <row r="6">
      <c r="A6" t="str">
        <v>energy-cn</v>
      </c>
      <c r="B6" t="str">
        <v>China</v>
      </c>
      <c r="C6">
        <v>0.06</v>
      </c>
      <c r="D6">
        <v>0.025</v>
      </c>
      <c r="E6" t="str">
        <v>2026-06-14</v>
      </c>
      <c r="F6" t="str">
        <v>NDRC China industrial electricity benchmark Jun 2026</v>
      </c>
      <c r="G6" t="str">
        <v>Low</v>
      </c>
    </row>
    <row r="7">
      <c r="A7" t="str">
        <v>energy-in</v>
      </c>
      <c r="B7" t="str">
        <v>India</v>
      </c>
      <c r="C7">
        <v>0.08</v>
      </c>
      <c r="D7">
        <v>0.02</v>
      </c>
      <c r="E7" t="str">
        <v>2026-06-14</v>
      </c>
      <c r="F7" t="str">
        <v>India industrial electricity benchmark Jun 2026 (MSEDCL/TNEB avg)</v>
      </c>
      <c r="G7" t="str">
        <v>Low</v>
      </c>
    </row>
    <row r="8">
      <c r="A8" t="str">
        <v>energy-mx</v>
      </c>
      <c r="B8" t="str">
        <v>Mexico</v>
      </c>
      <c r="C8">
        <v>0.09</v>
      </c>
      <c r="D8">
        <v>0.03</v>
      </c>
      <c r="E8" t="str">
        <v>2026-06-14</v>
      </c>
      <c r="F8" t="str">
        <v>CFE Mexico industrial tariff Jun 2026</v>
      </c>
      <c r="G8" t="str">
        <v>Low</v>
      </c>
    </row>
    <row r="9">
      <c r="A9" t="str">
        <v>energy-tr</v>
      </c>
      <c r="B9" t="str">
        <v>Turkey</v>
      </c>
      <c r="C9">
        <v>0.11</v>
      </c>
      <c r="D9">
        <v>0.038</v>
      </c>
      <c r="E9" t="str">
        <v>2026-06-14</v>
      </c>
      <c r="F9" t="str">
        <v>EPDK Turkey industrial tariff Jun 2026</v>
      </c>
      <c r="G9" t="str">
        <v>Low</v>
      </c>
    </row>
    <row r="10">
      <c r="A10" t="str">
        <v>energy-kr</v>
      </c>
      <c r="B10" t="str">
        <v>South Korea</v>
      </c>
      <c r="C10">
        <v>0.09</v>
      </c>
      <c r="D10">
        <v>0.032</v>
      </c>
      <c r="E10" t="str">
        <v>2026-06-14</v>
      </c>
      <c r="F10" t="str">
        <v>KEPCO Korea industrial tariff Jun 2026</v>
      </c>
      <c r="G10" t="str">
        <v>Low</v>
      </c>
    </row>
    <row r="11">
      <c r="A11" t="str">
        <v>energy-vn</v>
      </c>
      <c r="B11" t="str">
        <v>Vietnam</v>
      </c>
      <c r="C11">
        <v>0.07</v>
      </c>
      <c r="D11">
        <v>0.018</v>
      </c>
      <c r="E11" t="str">
        <v>2026-06-14</v>
      </c>
      <c r="F11" t="str">
        <v>EVN Vietnam industrial electricity benchmark Jun 2026</v>
      </c>
      <c r="G11" t="str">
        <v>Low</v>
      </c>
    </row>
    <row r="12">
      <c r="A12" t="str">
        <v>energy-ro</v>
      </c>
      <c r="B12" t="str">
        <v>Romania</v>
      </c>
      <c r="C12">
        <v>0.11</v>
      </c>
      <c r="D12">
        <v>0.042</v>
      </c>
      <c r="E12" t="str">
        <v>2026-06-14</v>
      </c>
      <c r="F12" t="str">
        <v>ANRE Romania industrial tariff Jun 2026</v>
      </c>
      <c r="G12" t="str">
        <v>Low</v>
      </c>
    </row>
  </sheetData>
  <ignoredErrors>
    <ignoredError numberStoredAsText="1" sqref="A1:G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6.83203125" customWidth="1"/>
    <col min="2" max="2" width="14.83203125" customWidth="1"/>
    <col min="3" max="3" width="12.83203125" customWidth="1"/>
    <col min="4" max="4" width="12.83203125" customWidth="1"/>
    <col min="5" max="5" width="14.83203125" customWidth="1"/>
    <col min="6" max="6" width="36.83203125" customWidth="1"/>
  </cols>
  <sheetData>
    <row r="1">
      <c r="A1" t="str">
        <v>id</v>
      </c>
      <c r="B1" t="str">
        <v>fromCurrency</v>
      </c>
      <c r="C1" t="str">
        <v>toCurrency</v>
      </c>
      <c r="D1" t="str">
        <v>rate</v>
      </c>
      <c r="E1" t="str">
        <v>effectiveDate</v>
      </c>
      <c r="F1" t="str">
        <v>sourceNote</v>
      </c>
    </row>
    <row r="2">
      <c r="A2" t="str">
        <v>fx-gbp-eur</v>
      </c>
      <c r="B2" t="str">
        <v>GBP</v>
      </c>
      <c r="C2" t="str">
        <v>EUR</v>
      </c>
      <c r="D2">
        <v>1.16</v>
      </c>
      <c r="E2" t="str">
        <v>2026-06-14</v>
      </c>
      <c r="F2" t="str">
        <v>BOE spot Jun 2026</v>
      </c>
    </row>
    <row r="3">
      <c r="A3" t="str">
        <v>fx-gbp-usd</v>
      </c>
      <c r="B3" t="str">
        <v>GBP</v>
      </c>
      <c r="C3" t="str">
        <v>USD</v>
      </c>
      <c r="D3">
        <v>1.27</v>
      </c>
      <c r="E3" t="str">
        <v>2026-06-14</v>
      </c>
      <c r="F3" t="str">
        <v>BOE spot Jun 2026</v>
      </c>
    </row>
    <row r="4">
      <c r="A4" t="str">
        <v>fx-gbp-inr</v>
      </c>
      <c r="B4" t="str">
        <v>GBP</v>
      </c>
      <c r="C4" t="str">
        <v>INR</v>
      </c>
      <c r="D4">
        <v>109.5</v>
      </c>
      <c r="E4" t="str">
        <v>2026-06-14</v>
      </c>
      <c r="F4" t="str">
        <v>BOE spot Jun 2026</v>
      </c>
    </row>
    <row r="5">
      <c r="A5" t="str">
        <v>fx-gbp-cny</v>
      </c>
      <c r="B5" t="str">
        <v>GBP</v>
      </c>
      <c r="C5" t="str">
        <v>CNY</v>
      </c>
      <c r="D5">
        <v>9.05</v>
      </c>
      <c r="E5" t="str">
        <v>2026-06-14</v>
      </c>
      <c r="F5" t="str">
        <v>BOE spot Jun 2026</v>
      </c>
    </row>
    <row r="6">
      <c r="A6" t="str">
        <v>fx-gbp-mxn</v>
      </c>
      <c r="B6" t="str">
        <v>GBP</v>
      </c>
      <c r="C6" t="str">
        <v>MXN</v>
      </c>
      <c r="D6">
        <v>25.5</v>
      </c>
      <c r="E6" t="str">
        <v>2026-06-14</v>
      </c>
      <c r="F6" t="str">
        <v>BOE spot Jun 2026</v>
      </c>
    </row>
    <row r="7">
      <c r="A7" t="str">
        <v>fx-gbp-thb</v>
      </c>
      <c r="B7" t="str">
        <v>GBP</v>
      </c>
      <c r="C7" t="str">
        <v>THB</v>
      </c>
      <c r="D7">
        <v>45.5</v>
      </c>
      <c r="E7" t="str">
        <v>2026-06-14</v>
      </c>
      <c r="F7" t="str">
        <v>BOE spot Jun 2026</v>
      </c>
    </row>
    <row r="8">
      <c r="A8" t="str">
        <v>fx-gbp-vnd</v>
      </c>
      <c r="B8" t="str">
        <v>GBP</v>
      </c>
      <c r="C8" t="str">
        <v>VND</v>
      </c>
      <c r="D8">
        <v>33800</v>
      </c>
      <c r="E8" t="str">
        <v>2026-06-14</v>
      </c>
      <c r="F8" t="str">
        <v>BOE spot Jun 2026</v>
      </c>
    </row>
    <row r="9">
      <c r="A9" t="str">
        <v>fx-gbp-brl</v>
      </c>
      <c r="B9" t="str">
        <v>GBP</v>
      </c>
      <c r="C9" t="str">
        <v>BRL</v>
      </c>
      <c r="D9">
        <v>6.85</v>
      </c>
      <c r="E9" t="str">
        <v>2026-06-14</v>
      </c>
      <c r="F9" t="str">
        <v>BOE spot Jun 2026</v>
      </c>
    </row>
    <row r="10">
      <c r="A10" t="str">
        <v>fx-gbp-krw</v>
      </c>
      <c r="B10" t="str">
        <v>GBP</v>
      </c>
      <c r="C10" t="str">
        <v>KRW</v>
      </c>
      <c r="D10">
        <v>1790</v>
      </c>
      <c r="E10" t="str">
        <v>2026-06-14</v>
      </c>
      <c r="F10" t="str">
        <v>BOE spot Jun 2026</v>
      </c>
    </row>
  </sheetData>
  <ignoredErrors>
    <ignoredError numberStoredAsText="1" sqref="A1:F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22.83203125" customWidth="1"/>
    <col min="2" max="2" width="20.83203125" customWidth="1"/>
    <col min="3" max="3" width="16.83203125" customWidth="1"/>
    <col min="4" max="4" width="12.83203125" customWidth="1"/>
    <col min="5" max="5" width="12.83203125" customWidth="1"/>
    <col min="6" max="6" width="36.83203125" customWidth="1"/>
  </cols>
  <sheetData>
    <row r="1">
      <c r="A1" t="str">
        <v>id</v>
      </c>
      <c r="B1" t="str">
        <v>commodityType</v>
      </c>
      <c r="C1" t="str">
        <v>supplierTier</v>
      </c>
      <c r="D1" t="str">
        <v>overheadPct</v>
      </c>
      <c r="E1" t="str">
        <v>marginPct</v>
      </c>
      <c r="F1" t="str">
        <v>sourceNote</v>
      </c>
    </row>
    <row r="2">
      <c r="A2" t="str">
        <v>oh-machining-t2</v>
      </c>
      <c r="B2" t="str">
        <v>machining</v>
      </c>
      <c r="C2" t="str">
        <v>Tier 2</v>
      </c>
      <c r="D2">
        <v>0.12</v>
      </c>
      <c r="E2">
        <v>0.08</v>
      </c>
      <c r="F2" t="str">
        <v>Industry benchmark</v>
      </c>
    </row>
    <row r="3">
      <c r="A3" t="str">
        <v>oh-machining-t1</v>
      </c>
      <c r="B3" t="str">
        <v>machining</v>
      </c>
      <c r="C3" t="str">
        <v>Tier 1</v>
      </c>
      <c r="D3">
        <v>0.15</v>
      </c>
      <c r="E3">
        <v>0.1</v>
      </c>
      <c r="F3" t="str">
        <v>Industry benchmark</v>
      </c>
    </row>
    <row r="4">
      <c r="A4" t="str">
        <v>oh-sheet-metal-t2</v>
      </c>
      <c r="B4" t="str">
        <v>sheet_metal</v>
      </c>
      <c r="C4" t="str">
        <v>Tier 2</v>
      </c>
      <c r="D4">
        <v>0.1</v>
      </c>
      <c r="E4">
        <v>0.07</v>
      </c>
      <c r="F4" t="str">
        <v>Industry benchmark</v>
      </c>
    </row>
    <row r="5">
      <c r="A5" t="str">
        <v>oh-injection-moulding-t2</v>
      </c>
      <c r="B5" t="str">
        <v>injection_moulding</v>
      </c>
      <c r="C5" t="str">
        <v>Tier 2</v>
      </c>
      <c r="D5">
        <v>0.11</v>
      </c>
      <c r="E5">
        <v>0.08</v>
      </c>
      <c r="F5" t="str">
        <v>Industry benchmark</v>
      </c>
    </row>
    <row r="6">
      <c r="A6" t="str">
        <v>oh-casting-t2</v>
      </c>
      <c r="B6" t="str">
        <v>casting</v>
      </c>
      <c r="C6" t="str">
        <v>Tier 2</v>
      </c>
      <c r="D6">
        <v>0.1</v>
      </c>
      <c r="E6">
        <v>0.08</v>
      </c>
      <c r="F6" t="str">
        <v>Industry benchmark</v>
      </c>
    </row>
    <row r="7">
      <c r="A7" t="str">
        <v>oh-forging-t2</v>
      </c>
      <c r="B7" t="str">
        <v>forging</v>
      </c>
      <c r="C7" t="str">
        <v>Tier 2</v>
      </c>
      <c r="D7">
        <v>0.12</v>
      </c>
      <c r="E7">
        <v>0.08</v>
      </c>
      <c r="F7" t="str">
        <v>Industry benchmark</v>
      </c>
    </row>
    <row r="8">
      <c r="A8" t="str">
        <v>oh-painting-t2</v>
      </c>
      <c r="B8" t="str">
        <v>painting</v>
      </c>
      <c r="C8" t="str">
        <v>Tier 2</v>
      </c>
      <c r="D8">
        <v>0.08</v>
      </c>
      <c r="E8">
        <v>0.06</v>
      </c>
      <c r="F8" t="str">
        <v>Industry benchmark</v>
      </c>
    </row>
    <row r="9">
      <c r="A9" t="str">
        <v>oh-biw-t2</v>
      </c>
      <c r="B9" t="str">
        <v>biw_assembly</v>
      </c>
      <c r="C9" t="str">
        <v>Tier 2</v>
      </c>
      <c r="D9">
        <v>0.1</v>
      </c>
      <c r="E9">
        <v>0.07</v>
      </c>
      <c r="F9" t="str">
        <v>Industry benchmark</v>
      </c>
    </row>
    <row r="10">
      <c r="A10" t="str">
        <v>oh-pcb-fab-t2</v>
      </c>
      <c r="B10" t="str">
        <v>pcb_fab</v>
      </c>
      <c r="C10" t="str">
        <v>Tier 2</v>
      </c>
      <c r="D10">
        <v>0.08</v>
      </c>
      <c r="E10">
        <v>0.1</v>
      </c>
      <c r="F10" t="str">
        <v>Industry benchmark</v>
      </c>
    </row>
    <row r="11">
      <c r="A11" t="str">
        <v>oh-pcba-t2</v>
      </c>
      <c r="B11" t="str">
        <v>pcba</v>
      </c>
      <c r="C11" t="str">
        <v>Tier 2</v>
      </c>
      <c r="D11">
        <v>0.08</v>
      </c>
      <c r="E11">
        <v>0.1</v>
      </c>
      <c r="F11" t="str">
        <v>Industry benchmark</v>
      </c>
    </row>
    <row r="12">
      <c r="A12" t="str">
        <v>oh-cast-and-machine-t2</v>
      </c>
      <c r="B12" t="str">
        <v>cast_and_machine</v>
      </c>
      <c r="C12" t="str">
        <v>Tier 2</v>
      </c>
      <c r="D12">
        <v>0.12</v>
      </c>
      <c r="E12">
        <v>0.09</v>
      </c>
      <c r="F12" t="str">
        <v>Industry benchmark</v>
      </c>
    </row>
    <row r="13">
      <c r="A13" t="str">
        <v>oh-blow-moulding-t2</v>
      </c>
      <c r="B13" t="str">
        <v>blow_moulding</v>
      </c>
      <c r="C13" t="str">
        <v>Tier 2</v>
      </c>
      <c r="D13">
        <v>0.1</v>
      </c>
      <c r="E13">
        <v>0.08</v>
      </c>
      <c r="F13" t="str">
        <v>Industry benchmark</v>
      </c>
    </row>
    <row r="14">
      <c r="A14" t="str">
        <v>oh-extrusion-t1</v>
      </c>
      <c r="B14" t="str">
        <v>extrusion</v>
      </c>
      <c r="C14" t="str">
        <v>Tier 1</v>
      </c>
      <c r="D14">
        <v>0.12</v>
      </c>
      <c r="E14">
        <v>0.1</v>
      </c>
      <c r="F14" t="str">
        <v>Industry benchmark — Tier-1/OEM in-house extrusion (higher overhead, full validation)</v>
      </c>
    </row>
    <row r="15">
      <c r="A15" t="str">
        <v>oh-extrusion-t2</v>
      </c>
      <c r="B15" t="str">
        <v>extrusion</v>
      </c>
      <c r="C15" t="str">
        <v>Tier 2</v>
      </c>
      <c r="D15">
        <v>0.09</v>
      </c>
      <c r="E15">
        <v>0.07</v>
      </c>
      <c r="F15" t="str">
        <v>Industry benchmark</v>
      </c>
    </row>
    <row r="16">
      <c r="A16" t="str">
        <v>oh-extrusion-t3</v>
      </c>
      <c r="B16" t="str">
        <v>extrusion</v>
      </c>
      <c r="C16" t="str">
        <v>Tier 3</v>
      </c>
      <c r="D16">
        <v>0.07</v>
      </c>
      <c r="E16">
        <v>0.05</v>
      </c>
      <c r="F16" t="str">
        <v>Industry benchmark — high-volume commodity extruder (lean overhead/margin)</v>
      </c>
    </row>
    <row r="17">
      <c r="A17" t="str">
        <v>oh-thermoforming-t1</v>
      </c>
      <c r="B17" t="str">
        <v>thermoforming</v>
      </c>
      <c r="C17" t="str">
        <v>Tier 1</v>
      </c>
      <c r="D17">
        <v>0.13</v>
      </c>
      <c r="E17">
        <v>0.1</v>
      </c>
      <c r="F17" t="str">
        <v>Industry benchmark — Tier-1/OEM thermoforming (automotive interior, full validation/PPAP; higher overhead)</v>
      </c>
    </row>
    <row r="18">
      <c r="A18" t="str">
        <v>oh-thermoforming-t2</v>
      </c>
      <c r="B18" t="str">
        <v>thermoforming</v>
      </c>
      <c r="C18" t="str">
        <v>Tier 2</v>
      </c>
      <c r="D18">
        <v>0.1</v>
      </c>
      <c r="E18">
        <v>0.08</v>
      </c>
      <c r="F18" t="str">
        <v>Industry benchmark</v>
      </c>
    </row>
    <row r="19">
      <c r="A19" t="str">
        <v>oh-thermoforming-t3</v>
      </c>
      <c r="B19" t="str">
        <v>thermoforming</v>
      </c>
      <c r="C19" t="str">
        <v>Tier 3</v>
      </c>
      <c r="D19">
        <v>0.07</v>
      </c>
      <c r="E19">
        <v>0.05</v>
      </c>
      <c r="F19" t="str">
        <v>Industry benchmark — high-volume packaging thermoformer (roll-fed, lean overhead/margin)</v>
      </c>
    </row>
    <row r="20">
      <c r="A20" t="str">
        <v>oh-rotomoulding-t2</v>
      </c>
      <c r="B20" t="str">
        <v>rotational_moulding</v>
      </c>
      <c r="C20" t="str">
        <v>Tier 2</v>
      </c>
      <c r="D20">
        <v>0.11</v>
      </c>
      <c r="E20">
        <v>0.09</v>
      </c>
      <c r="F20" t="str">
        <v>Industry benchmark</v>
      </c>
    </row>
    <row r="21">
      <c r="A21" t="str">
        <v>oh-sheet-metal-fab-t2</v>
      </c>
      <c r="B21" t="str">
        <v>sheet_metal_fab</v>
      </c>
      <c r="C21" t="str">
        <v>Tier 2</v>
      </c>
      <c r="D21">
        <v>0.1</v>
      </c>
      <c r="E21">
        <v>0.08</v>
      </c>
      <c r="F21" t="str">
        <v>Industry benchmark</v>
      </c>
    </row>
    <row r="22">
      <c r="A22" t="str">
        <v>oh-rubber-t2</v>
      </c>
      <c r="B22" t="str">
        <v>rubber</v>
      </c>
      <c r="C22" t="str">
        <v>Tier 2</v>
      </c>
      <c r="D22">
        <v>0.11</v>
      </c>
      <c r="E22">
        <v>0.09</v>
      </c>
      <c r="F22" t="str">
        <v>Industry benchmark</v>
      </c>
    </row>
    <row r="23">
      <c r="A23" t="str">
        <v>oh-composites-t2</v>
      </c>
      <c r="B23" t="str">
        <v>composites</v>
      </c>
      <c r="C23" t="str">
        <v>Tier 2</v>
      </c>
      <c r="D23">
        <v>0.14</v>
      </c>
      <c r="E23">
        <v>0.1</v>
      </c>
      <c r="F23" t="str">
        <v>Industry benchmark</v>
      </c>
    </row>
    <row r="24">
      <c r="A24" t="str">
        <v>oh-wiring-harness-t2</v>
      </c>
      <c r="B24" t="str">
        <v>wiring_harness</v>
      </c>
      <c r="C24" t="str">
        <v>Tier 2</v>
      </c>
      <c r="D24">
        <v>0.1</v>
      </c>
      <c r="E24">
        <v>0.08</v>
      </c>
      <c r="F24" t="str">
        <v>Industry benchmark</v>
      </c>
    </row>
  </sheetData>
  <ignoredErrors>
    <ignoredError numberStoredAsText="1" sqref="A1:F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cols>
    <col min="1" max="1" width="62.83203125" customWidth="1"/>
    <col min="2" max="2" width="16.83203125" customWidth="1"/>
    <col min="3" max="3" width="40.83203125" customWidth="1"/>
  </cols>
  <sheetData>
    <row r="1">
      <c r="A1" t="str">
        <v>Check before you upload</v>
      </c>
    </row>
    <row r="3">
      <c r="A3" t="str">
        <v>What</v>
      </c>
      <c r="B3" t="str">
        <v>Count</v>
      </c>
      <c r="C3" t="str">
        <v>Should be</v>
      </c>
    </row>
    <row r="4">
      <c r="A4" t="str">
        <v>Codes you have filled in on Mapping</v>
      </c>
      <c r="B4">
        <f>COUNTIFS(Mapping!C2:C592,"&lt;&gt;")</f>
        <v>0</v>
      </c>
      <c r="C4" t="str">
        <v>however many you have</v>
      </c>
    </row>
    <row r="5">
      <c r="A5" t="str">
        <v>…of those, codes not found on any JLR tab</v>
      </c>
      <c r="B5">
        <f>COUNTIF(Mapping!D2:D592,"NOT FOUND*")</f>
        <v>0</v>
      </c>
      <c r="C5" t="str">
        <v>0 — the code is wrong</v>
      </c>
    </row>
    <row r="7">
      <c r="A7" t="str">
        <v>Materials taking a JLR price</v>
      </c>
      <c r="B7">
        <f>COUNTIF(Materials!L2:L329,1)</f>
        <v>0</v>
      </c>
      <c r="C7" t="str">
        <v/>
      </c>
    </row>
    <row r="8">
      <c r="A8" t="str">
        <v>Machines taking a JLR rate</v>
      </c>
      <c r="B8">
        <f>COUNTIF(Machines!P2:P179,1)</f>
        <v>0</v>
      </c>
      <c r="C8" t="str">
        <v/>
      </c>
    </row>
    <row r="9">
      <c r="A9" t="str">
        <v>Labour grades taking a JLR rate</v>
      </c>
      <c r="B9">
        <f>COUNTIF(Labour!L2:L43,"&gt;0")</f>
        <v>0</v>
      </c>
      <c r="C9" t="str">
        <v/>
      </c>
    </row>
    <row r="11">
      <c r="A11" t="str">
        <v>Codes matching MORE than one pasted row (country/period not narrowed)</v>
      </c>
      <c r="B11">
        <f>COUNTIF(Materials!L2:L329,"&gt;1")+COUNTIF(Machines!P2:P179,"&gt;1")</f>
        <v>0</v>
      </c>
      <c r="C11" t="str">
        <v>0 — set Country and Period on Settings</v>
      </c>
    </row>
    <row r="12">
      <c r="A12" t="str">
        <v>Machines whose rebuilt £/hr does not equal JLR’s TOTAL_MACHINE_RATE</v>
      </c>
      <c r="B12">
        <f>COUNTIF(Machines!Z2:Z179,"&lt;&gt;0")</f>
        <v>0</v>
      </c>
      <c r="C12" t="str">
        <v>0</v>
      </c>
    </row>
    <row r="13">
      <c r="A13" t="str">
        <v>Pasted machine rows whose 7 elements do not add up to TOTAL_MACHINE_RATE</v>
      </c>
      <c r="B13">
        <f>SUMPRODUCT(('JLR Machines'!$A$2:$A$5000&lt;&gt;"")*(('JLR Machines'!$G$2:$G$5000+'JLR Machines'!$H$2:$H$5000+'JLR Machines'!$I$2:$I$5000+'JLR Machines'!$J$2:$J$5000+'JLR Machines'!$K$2:$K$5000+'JLR Machines'!$L$2:$L$5000+'JLR Machines'!$M$2:$M$5000)&gt;0)*(ABS(('JLR Machines'!$G$2:$G$5000+'JLR Machines'!$H$2:$H$5000+'JLR Machines'!$I$2:$I$5000+'JLR Machines'!$J$2:$J$5000+'JLR Machines'!$K$2:$K$5000+'JLR Machines'!$L$2:$L$5000+'JLR Machines'!$M$2:$M$5000)-'JLR Machines'!$N$2:$N$5000)&gt;0.02))</f>
        <v>0</v>
      </c>
      <c r="C13" t="str">
        <v>0 — otherwise ask about the export</v>
      </c>
    </row>
    <row r="15">
      <c r="A15" t="str">
        <v>Settings in force</v>
      </c>
    </row>
    <row r="16">
      <c r="A16" t="str">
        <v>Country</v>
      </c>
      <c r="B16" t="str">
        <f>IF(Settings!$B$2="","(any)",Settings!$B$2)</f>
        <v>(any)</v>
      </c>
      <c r="C16" t="str">
        <v/>
      </c>
    </row>
    <row r="17">
      <c r="A17" t="str">
        <v>Machine period</v>
      </c>
      <c r="B17" t="str">
        <f>IF(Settings!$B$3="","(any)",Settings!$B$3)</f>
        <v>(any)</v>
      </c>
      <c r="C17" t="str">
        <v/>
      </c>
    </row>
    <row r="18">
      <c r="A18" t="str">
        <v>Material period</v>
      </c>
      <c r="B18" t="str">
        <f>IF(Settings!$B$4="","(any)",Settings!$B$4)</f>
        <v>(any)</v>
      </c>
      <c r="C18" t="str">
        <v/>
      </c>
    </row>
    <row r="19">
      <c r="A19" t="str">
        <v>MATERIAL_RECLAIM read as</v>
      </c>
      <c r="B19" t="str">
        <f>Settings!$B$5</f>
        <v>percent</v>
      </c>
      <c r="C19" t="str">
        <v>confirm this with your rates team</v>
      </c>
    </row>
    <row r="21">
      <c r="A21" t="str">
        <v>Everything you did not map keeps the value the tool ships with. That is fine.</v>
      </c>
    </row>
  </sheetData>
  <ignoredErrors>
    <ignoredError numberStoredAsText="1" sqref="A1:C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 me</vt:lpstr>
      <vt:lpstr>Settings</vt:lpstr>
      <vt:lpstr>JLR Machines</vt:lpstr>
      <vt:lpstr>JLR Materials</vt:lpstr>
      <vt:lpstr>JLR Labour</vt:lpstr>
      <vt:lpstr>Mapping</vt:lpstr>
      <vt:lpstr>Builtin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