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ology &amp; Q&amp;A" sheetId="2" state="visible" r:id="rId2"/>
    <sheet name="Assumptions" sheetId="3" state="visible" r:id="rId3"/>
    <sheet name="Parts Costing" sheetId="4" state="visible" r:id="rId4"/>
    <sheet name="Bought-Out" sheetId="5" state="visible" r:id="rId5"/>
    <sheet name="Assembly &amp; Packing" sheetId="6" state="visible" r:id="rId6"/>
    <sheet name="Too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₹&quot; #,##0.00"/>
    <numFmt numFmtId="165" formatCode="&quot;₹&quot; #,##0"/>
    <numFmt numFmtId="166" formatCode="0.0%"/>
    <numFmt numFmtId="167" formatCode="0.000 &quot;kg&quot;"/>
    <numFmt numFmtId="168" formatCode="0 &quot;s&quot;"/>
    <numFmt numFmtId="169" formatCode="0.00 &quot;Cr&quot;"/>
    <numFmt numFmtId="170" formatCode="#,##0 &quot;veh/yr&quot;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86F7D"/>
      <sz val="10"/>
    </font>
    <font>
      <name val="Calibri"/>
      <b val="1"/>
      <color rgb="001D6FB8"/>
      <sz val="11"/>
    </font>
    <font>
      <name val="Calibri"/>
      <color rgb="003A4356"/>
      <sz val="10"/>
    </font>
    <font>
      <name val="Calibri"/>
      <b val="1"/>
      <color rgb="0016325C"/>
      <sz val="10"/>
    </font>
    <font>
      <name val="Calibri"/>
      <color rgb="00686F7D"/>
      <sz val="9"/>
    </font>
    <font>
      <name val="Calibri"/>
      <b val="1"/>
      <color rgb="00FFFFFF"/>
      <sz val="10"/>
    </font>
    <font>
      <name val="Calibri"/>
      <color rgb="003A4356"/>
      <sz val="9.5"/>
    </font>
    <font>
      <name val="Calibri"/>
      <b val="1"/>
      <color rgb="0016325C"/>
      <sz val="9.5"/>
    </font>
    <font>
      <name val="Calibri"/>
      <i val="1"/>
      <color rgb="00686F7D"/>
      <sz val="9.5"/>
    </font>
    <font>
      <name val="Calibri"/>
      <b val="1"/>
      <color rgb="0016325C"/>
      <sz val="10.5"/>
    </font>
    <font>
      <name val="Calibri"/>
      <b val="1"/>
      <color rgb="00FFFFFF"/>
    </font>
    <font>
      <name val="Calibri"/>
      <b val="1"/>
      <color rgb="0016325C"/>
      <sz val="11"/>
    </font>
    <font>
      <name val="Calibri"/>
      <b val="1"/>
      <color rgb="00FFFFFF"/>
      <sz val="13"/>
    </font>
    <font>
      <name val="Calibri"/>
      <b val="1"/>
      <color rgb="003A4356"/>
      <sz val="10.5"/>
    </font>
    <font>
      <name val="Calibri"/>
      <color rgb="00686F7D"/>
      <sz val="10.5"/>
    </font>
    <font>
      <name val="Calibri"/>
      <i val="1"/>
      <color rgb="00686F7D"/>
      <sz val="9"/>
    </font>
    <font>
      <name val="Calibri"/>
      <b val="1"/>
      <color rgb="00FFFFFF"/>
      <sz val="11"/>
    </font>
    <font>
      <name val="Calibri"/>
      <b val="1"/>
      <color rgb="002A7F50"/>
      <sz val="10"/>
    </font>
    <font>
      <name val="Calibri"/>
      <color rgb="00686F7D"/>
      <sz val="9.5"/>
    </font>
    <font>
      <name val="Calibri"/>
      <b val="1"/>
      <color rgb="002A7F50"/>
      <sz val="9.5"/>
    </font>
    <font>
      <name val="Calibri"/>
      <b val="1"/>
      <color rgb="002A7F50"/>
      <sz val="10.5"/>
    </font>
    <font>
      <name val="Calibri"/>
      <b val="1"/>
      <color rgb="00FFFFFF"/>
      <sz val="12"/>
    </font>
    <font>
      <name val="Calibri"/>
      <b val="1"/>
      <color rgb="001D6FB8"/>
      <sz val="14"/>
    </font>
    <font>
      <name val="Calibri"/>
      <color rgb="00686F7D"/>
      <sz val="8.5"/>
    </font>
    <font>
      <name val="Calibri"/>
      <b val="1"/>
      <color rgb="002A7F50"/>
      <sz val="11"/>
    </font>
    <font>
      <name val="Calibri"/>
      <b val="1"/>
      <color rgb="0099651A"/>
      <sz val="12"/>
    </font>
  </fonts>
  <fills count="8">
    <fill>
      <patternFill/>
    </fill>
    <fill>
      <patternFill patternType="gray125"/>
    </fill>
    <fill>
      <patternFill patternType="solid">
        <fgColor rgb="001D6FB8"/>
      </patternFill>
    </fill>
    <fill>
      <patternFill patternType="solid">
        <fgColor rgb="00E8F1FA"/>
      </patternFill>
    </fill>
    <fill>
      <patternFill patternType="solid">
        <fgColor rgb="00FEF9C3"/>
      </patternFill>
    </fill>
    <fill>
      <patternFill patternType="solid">
        <fgColor rgb="00F4F7FB"/>
      </patternFill>
    </fill>
    <fill>
      <patternFill patternType="solid">
        <fgColor rgb="002A7F50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2" borderId="1" pivotButton="0" quotePrefix="0" xfId="0"/>
    <xf numFmtId="0" fontId="14" fillId="2" borderId="1" pivotButton="0" quotePrefix="0" xfId="0"/>
    <xf numFmtId="164" fontId="14" fillId="2" borderId="1" pivotButton="0" quotePrefix="0" xfId="0"/>
    <xf numFmtId="166" fontId="12" fillId="2" borderId="1" pivotButton="0" quotePrefix="0" xfId="0"/>
    <xf numFmtId="0" fontId="15" fillId="0" borderId="0" pivotButton="0" quotePrefix="0" xfId="0"/>
    <xf numFmtId="164" fontId="15" fillId="0" borderId="0" pivotButton="0" quotePrefix="0" xfId="0"/>
    <xf numFmtId="0" fontId="16" fillId="0" borderId="0" pivotButton="0" quotePrefix="0" xfId="0"/>
    <xf numFmtId="165" fontId="0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0" fontId="18" fillId="2" borderId="0" applyAlignment="1" pivotButton="0" quotePrefix="0" xfId="0">
      <alignment vertical="center" indent="1"/>
    </xf>
    <xf numFmtId="0" fontId="3" fillId="0" borderId="0" pivotButton="0" quotePrefix="0" xfId="0"/>
    <xf numFmtId="0" fontId="5" fillId="0" borderId="0" pivotButton="0" quotePrefix="0" xfId="0"/>
    <xf numFmtId="164" fontId="19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8" fillId="6" borderId="0" applyAlignment="1" pivotButton="0" quotePrefix="0" xfId="0">
      <alignment vertical="center" indent="1"/>
    </xf>
    <xf numFmtId="0" fontId="9" fillId="5" borderId="1" pivotButton="0" quotePrefix="0" xfId="0"/>
    <xf numFmtId="0" fontId="0" fillId="7" borderId="1" pivotButton="0" quotePrefix="0" xfId="0"/>
    <xf numFmtId="0" fontId="8" fillId="7" borderId="1" pivotButton="0" quotePrefix="0" xfId="0"/>
    <xf numFmtId="0" fontId="20" fillId="7" borderId="1" pivotButton="0" quotePrefix="0" xfId="0"/>
    <xf numFmtId="164" fontId="21" fillId="7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20" fillId="0" borderId="1" pivotButton="0" quotePrefix="0" xfId="0"/>
    <xf numFmtId="164" fontId="21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164" fontId="22" fillId="3" borderId="1" pivotButton="0" quotePrefix="0" xfId="0"/>
    <xf numFmtId="0" fontId="17" fillId="0" borderId="0" pivotButton="0" quotePrefix="0" xfId="0"/>
    <xf numFmtId="0" fontId="23" fillId="2" borderId="0" applyAlignment="1" pivotButton="0" quotePrefix="0" xfId="0">
      <alignment vertical="center" indent="1"/>
    </xf>
    <xf numFmtId="0" fontId="2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horizontal="center" vertical="top" wrapText="1"/>
    </xf>
    <xf numFmtId="164" fontId="26" fillId="7" borderId="1" applyAlignment="1" pivotButton="0" quotePrefix="0" xfId="0">
      <alignment horizontal="center" vertical="center"/>
    </xf>
    <xf numFmtId="165" fontId="26" fillId="7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2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0" fillId="5" borderId="1" pivotButton="0" quotePrefix="0" xfId="0"/>
    <xf numFmtId="170" fontId="26" fillId="7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top" wrapText="1"/>
    </xf>
    <xf numFmtId="0" fontId="3" fillId="3" borderId="0" pivotButton="0" quotePrefix="0" xfId="0"/>
    <xf numFmtId="0" fontId="4" fillId="0" borderId="0" pivotButton="0" quotePrefix="0" xfId="0"/>
    <xf numFmtId="3" fontId="5" fillId="4" borderId="1" pivotButton="0" quotePrefix="0" xfId="0"/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1" fontId="5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167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5" fontId="5" fillId="3" borderId="1" pivotButton="0" quotePrefix="0" xfId="0"/>
    <xf numFmtId="164" fontId="5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8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pivotButton="0" quotePrefix="0" xfId="0"/>
    <xf numFmtId="0" fontId="6" fillId="0" borderId="1" pivotButton="0" quotePrefix="0" xfId="0"/>
    <xf numFmtId="164" fontId="0" fillId="4" borderId="1" pivotButton="0" quotePrefix="0" xfId="0"/>
    <xf numFmtId="0" fontId="11" fillId="3" borderId="1" pivotButton="0" quotePrefix="0" xfId="0"/>
    <xf numFmtId="164" fontId="11" fillId="3" borderId="1" pivotButton="0" quotePrefix="0" xfId="0"/>
    <xf numFmtId="165" fontId="0" fillId="0" borderId="1" pivotButton="0" quotePrefix="0" xfId="0"/>
    <xf numFmtId="0" fontId="13" fillId="3" borderId="1" pivotButton="0" quotePrefix="0" xfId="0"/>
    <xf numFmtId="165" fontId="13" fillId="3" borderId="1" pivotButton="0" quotePrefix="0" xfId="0"/>
    <xf numFmtId="0" fontId="2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Mechanical vs Electronics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'Summary'!$A$100:$A$101</f>
            </numRef>
          </cat>
          <val>
            <numRef>
              <f>'Summary'!$B$100:$B$101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52"/>
      </doughnutChart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structure (₹/veh)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'Summary'!$A$103:$A$111</f>
            </numRef>
          </cat>
          <val>
            <numRef>
              <f>'Summary'!$B$103:$B$111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  <holeSize val="52"/>
      </doughnutChart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Part-level breakup — 25 items (see CHART DATA below &amp; cost drivers)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'Summary'!$A$115:$A$139</f>
            </numRef>
          </cat>
          <val>
            <numRef>
              <f>'Summary'!$B$115:$B$139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52"/>
      </doughnutChart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CostVision</author>
  </authors>
  <commentList>
    <comment ref="A15" authorId="0" shapeId="0">
      <text>
        <t>Major cost drivers:
1. Front radar — largest single item (~37% of total)
2. Painted fascia — largest manufactured part (~12%)
3. Front camera (~18%)
4. Parking sensors set (~10%)
5. Steel reinforcement beam (~5%)
Together the top 5 are ~82% of the should-cost — focus negotiation there.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1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Relationship Type="http://schemas.openxmlformats.org/officeDocument/2006/relationships/image" Target="/xl/media/image11.png" Id="rId10" /><Relationship Type="http://schemas.openxmlformats.org/officeDocument/2006/relationships/image" Target="/xl/media/image12.png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3096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15</row>
      <rowOff>0</rowOff>
    </from>
    <ext cx="3780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15</row>
      <rowOff>0</rowOff>
    </from>
    <ext cx="3780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3</row>
      <rowOff>0</rowOff>
    </from>
    <ext cx="4000500" cy="2809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26</col>
      <colOff>0</colOff>
      <row>3</row>
      <rowOff>0</rowOff>
    </from>
    <ext cx="1000125" cy="50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4</row>
      <rowOff>0</rowOff>
    </from>
    <ext cx="1000125" cy="504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5</row>
      <rowOff>0</rowOff>
    </from>
    <ext cx="1000125" cy="390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6</row>
      <rowOff>0</rowOff>
    </from>
    <ext cx="1000125" cy="3905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7</row>
      <rowOff>0</rowOff>
    </from>
    <ext cx="1000125" cy="4476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8</row>
      <rowOff>0</rowOff>
    </from>
    <ext cx="1000125" cy="428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9</row>
      <rowOff>0</rowOff>
    </from>
    <ext cx="1000125" cy="4857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10</row>
      <rowOff>0</rowOff>
    </from>
    <ext cx="1000125" cy="3714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11</row>
      <rowOff>0</rowOff>
    </from>
    <ext cx="1000125" cy="3714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12</row>
      <rowOff>0</rowOff>
    </from>
    <ext cx="1000125" cy="3714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13</row>
      <rowOff>0</rowOff>
    </from>
    <ext cx="1000125" cy="4095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46" customWidth="1" min="3" max="3"/>
    <col width="18" customWidth="1" min="4" max="4"/>
    <col width="11" customWidth="1" min="5" max="5"/>
    <col width="4" customWidth="1" min="6" max="6"/>
  </cols>
  <sheetData>
    <row r="1" ht="30" customHeight="1">
      <c r="A1" s="1" t="inlineStr">
        <is>
          <t>TATA ALTROZ — FRONT BUMPER ASSEMBLY  ·  SHOULD-COST SUMMARY (INDIA)</t>
        </is>
      </c>
    </row>
    <row r="2" ht="18" customHeight="1">
      <c r="A2" s="2" t="inlineStr">
        <is>
          <t>CostVision AI Cost Intelligence  ·  July 2026  ·  Currency: INR, ex-works  ·  Bottom-up physics build-up with live formulas</t>
        </is>
      </c>
    </row>
    <row r="4">
      <c r="A4" s="3" t="inlineStr">
        <is>
          <t>#</t>
        </is>
      </c>
      <c r="B4" s="3" t="inlineStr">
        <is>
          <t>Cost block</t>
        </is>
      </c>
      <c r="C4" s="3" t="inlineStr">
        <is>
          <t>Basis</t>
        </is>
      </c>
      <c r="D4" s="3" t="inlineStr">
        <is>
          <t>₹ / vehicle set</t>
        </is>
      </c>
      <c r="E4" s="3" t="inlineStr">
        <is>
          <t>% of total</t>
        </is>
      </c>
      <c r="F4" t="inlineStr"/>
    </row>
    <row r="5" ht="26" customHeight="1">
      <c r="A5" s="4" t="inlineStr">
        <is>
          <t>1</t>
        </is>
      </c>
      <c r="B5" s="5" t="inlineStr">
        <is>
          <t>Manufactured parts (18 line items)</t>
        </is>
      </c>
      <c r="C5" s="6" t="inlineStr">
        <is>
          <t>Bottom-up: material + process + labour + tooling amort + OH + margin</t>
        </is>
      </c>
      <c r="D5" s="7">
        <f>'Parts Costing'!$Z$22</f>
        <v/>
      </c>
      <c r="E5" s="8">
        <f>D5/$D$8</f>
        <v/>
      </c>
    </row>
    <row r="6" ht="26" customHeight="1">
      <c r="A6" s="4" t="inlineStr">
        <is>
          <t>2</t>
        </is>
      </c>
      <c r="B6" s="5" t="inlineStr">
        <is>
          <t>Bought-out parts &amp; hardware</t>
        </is>
      </c>
      <c r="C6" s="6" t="inlineStr">
        <is>
          <t>Market reference + handling</t>
        </is>
      </c>
      <c r="D6" s="7">
        <f>'Bought-Out'!$G$11</f>
        <v/>
      </c>
      <c r="E6" s="8">
        <f>D6/$D$8</f>
        <v/>
      </c>
    </row>
    <row r="7" ht="26" customHeight="1">
      <c r="A7" s="4" t="inlineStr">
        <is>
          <t>3</t>
        </is>
      </c>
      <c r="B7" s="5" t="inlineStr">
        <is>
          <t>Assembly &amp; packing</t>
        </is>
      </c>
      <c r="C7" s="6" t="inlineStr">
        <is>
          <t>Station labour + fixtures + overhead + dunnage</t>
        </is>
      </c>
      <c r="D7" s="7">
        <f>'Assembly &amp; Packing'!$F$17</f>
        <v/>
      </c>
      <c r="E7" s="8">
        <f>D7/$D$8</f>
        <v/>
      </c>
    </row>
    <row r="8" ht="30" customHeight="1">
      <c r="A8" s="9" t="n"/>
      <c r="B8" s="10" t="inlineStr">
        <is>
          <t>TOTAL SHOULD COST — FRONT BUMPER ASSEMBLY</t>
        </is>
      </c>
      <c r="C8" s="9" t="n"/>
      <c r="D8" s="11">
        <f>SUM(D5:D7)</f>
        <v/>
      </c>
      <c r="E8" s="12" t="n">
        <v>1</v>
      </c>
    </row>
    <row r="10">
      <c r="B10" s="13" t="inlineStr">
        <is>
          <t>Mechanical module only (excl. electronics: sensors, radar, camera, harness)</t>
        </is>
      </c>
      <c r="D10" s="14">
        <f>D8-'Bought-Out'!$G$12</f>
        <v/>
      </c>
    </row>
    <row r="11">
      <c r="B11" s="15" t="inlineStr">
        <is>
          <t>One-time tooling &amp; equipment investment (amortised in the prices above)</t>
        </is>
      </c>
      <c r="D11" s="16">
        <f>Tooling!B7</f>
        <v/>
      </c>
    </row>
    <row r="12">
      <c r="B12" s="15" t="inlineStr">
        <is>
          <t>Annual volume assumption</t>
        </is>
      </c>
      <c r="D12" s="17">
        <f>Assumptions!$B$4</f>
        <v/>
      </c>
    </row>
    <row r="13">
      <c r="B13" s="15" t="inlineStr">
        <is>
          <t>Painted fascia only (compare against fascia-only quotes)</t>
        </is>
      </c>
      <c r="D13" s="18">
        <f>'Parts Costing'!Y4+'Parts Costing'!Y5</f>
        <v/>
      </c>
    </row>
    <row r="15" ht="20" customHeight="1">
      <c r="A15" s="19" t="inlineStr">
        <is>
          <t>COST BREAKDOWN — THREE VIEWS  (1: mechanical vs electronics · 2: cost structure · 3: part-level)</t>
        </is>
      </c>
    </row>
    <row r="34">
      <c r="A34" s="20" t="inlineStr">
        <is>
          <t>TOP COST DRIVERS</t>
        </is>
      </c>
    </row>
    <row r="35">
      <c r="A35" s="21" t="inlineStr">
        <is>
          <t>1. Front radar sensor (bought-out)</t>
        </is>
      </c>
      <c r="D35" s="22">
        <f>'Bought-Out'!G5</f>
        <v/>
      </c>
      <c r="E35" s="23" t="inlineStr">
        <is>
          <t>Largest single item — negotiate LTA with annual step-downs</t>
        </is>
      </c>
    </row>
    <row r="36">
      <c r="A36" s="21" t="inlineStr">
        <is>
          <t>2. Painted fascia (moulding + paint)</t>
        </is>
      </c>
      <c r="D36" s="22">
        <f>'Parts Costing'!Z4+'Parts Costing'!Z5</f>
        <v/>
      </c>
      <c r="E36" s="23" t="inlineStr">
        <is>
          <t>Largest manufactured item — see savings idea #1</t>
        </is>
      </c>
    </row>
    <row r="37">
      <c r="A37" s="21" t="inlineStr">
        <is>
          <t>3. Front camera module (bought-out)</t>
        </is>
      </c>
      <c r="D37" s="22">
        <f>'Bought-Out'!G6</f>
        <v/>
      </c>
      <c r="E37" s="23" t="inlineStr">
        <is>
          <t>Directed part — bundle with radar for leverage</t>
        </is>
      </c>
    </row>
    <row r="38">
      <c r="A38" s="21" t="inlineStr">
        <is>
          <t>4. Parking sensors ×4 (bought-out)</t>
        </is>
      </c>
      <c r="D38" s="22">
        <f>'Bought-Out'!G4</f>
        <v/>
      </c>
      <c r="E38" s="23" t="inlineStr">
        <is>
          <t>Sensor count is trim-dependent (Assumptions B44)</t>
        </is>
      </c>
    </row>
    <row r="39">
      <c r="A39" s="21" t="inlineStr">
        <is>
          <t>5. Reinforcement beam (form + weld)</t>
        </is>
      </c>
      <c r="D39" s="22">
        <f>'Parts Costing'!Z12+'Parts Costing'!Z13</f>
        <v/>
      </c>
      <c r="E39" s="23" t="inlineStr">
        <is>
          <t>Steel mass dominates — gauge optimisation is the lever</t>
        </is>
      </c>
    </row>
    <row r="41">
      <c r="A41" s="20" t="inlineStr">
        <is>
          <t>KEY NOTES &amp; BASIS</t>
        </is>
      </c>
    </row>
    <row r="42">
      <c r="A42" s="24" t="inlineStr">
        <is>
          <t>1.  Basis: ex-works tier-1 supplier, India, 2026 rates. Edit any yellow cell (Assumptions / Parts Costing) — every figure recalculates.</t>
        </is>
      </c>
    </row>
    <row r="43">
      <c r="A43" s="24" t="inlineStr">
        <is>
          <t>2.  Masses &amp; cycle times are engineering estimates from typical B-segment bumper benchmarks — replace with actual CAD/part weights when available.</t>
        </is>
      </c>
    </row>
    <row r="44">
      <c r="A44" s="24" t="inlineStr">
        <is>
          <t>3.  Electronics (radar, camera, sensors, harness) are customer-nominated buy items shown at market reference prices, not bottom-up should-costs.</t>
        </is>
      </c>
    </row>
    <row r="45">
      <c r="A45" s="24" t="inlineStr">
        <is>
          <t>4.  Drawing notes PP for grilles while the part list says ABS — costed as PP (textured black, typical for this segment); switch material price ref on Parts Costing if ABS.</t>
        </is>
      </c>
    </row>
    <row r="46">
      <c r="A46" s="24" t="inlineStr">
        <is>
          <t>5.  Parking sensor count set to 4 (base trim). Part list allows 4–8 — change one cell on Assumptions (B44) for higher trims.</t>
        </is>
      </c>
    </row>
    <row r="47">
      <c r="A47" s="24" t="inlineStr">
        <is>
          <t>6.  Tooling amortised over volume × 5 years into piece price. For tooling paid separately by OEM, set tool costs to 0 on Parts Costing (column S).</t>
        </is>
      </c>
    </row>
    <row r="48">
      <c r="A48" s="24" t="inlineStr">
        <is>
          <t>7.  Paint: fascia costed body-colour painted (material + robotic line). Delete row 5 on Parts Costing if supplied moulded-in-colour.</t>
        </is>
      </c>
    </row>
    <row r="49">
      <c r="A49" s="24" t="inlineStr">
        <is>
          <t>8.  Logistics to OEM plant, warranty and ED/GST excluded (per should-cost convention).</t>
        </is>
      </c>
    </row>
    <row r="50">
      <c r="A50" s="24" t="inlineStr">
        <is>
          <t>9.  COMPARING TO A QUOTE: match the scope first. A bumper supplier quote normally EXCLUDES radar/camera/sensors/harness (directed parts) and often the steel beam — compare it to the mechanical-module or painted-fascia lines above, not the headline total.</t>
        </is>
      </c>
    </row>
    <row r="52" ht="20" customHeight="1">
      <c r="A52" s="25" t="inlineStr">
        <is>
          <t>COST-SAVING IDEAS (VA/VE) — indicative ₹/vehicle, each needs engineering validation</t>
        </is>
      </c>
    </row>
    <row r="53">
      <c r="A53" s="26" t="inlineStr">
        <is>
          <t>#</t>
        </is>
      </c>
      <c r="B53" s="26" t="inlineStr">
        <is>
          <t>Idea</t>
        </is>
      </c>
      <c r="C53" s="26" t="inlineStr">
        <is>
          <t>Area</t>
        </is>
      </c>
      <c r="D53" s="26" t="inlineStr">
        <is>
          <t>Saving ₹/veh</t>
        </is>
      </c>
    </row>
    <row r="54">
      <c r="A54" s="27" t="n">
        <v>1</v>
      </c>
      <c r="B54" s="28" t="inlineStr">
        <is>
          <t>Moulded-in-colour fascia — delete the paint operation entirely</t>
        </is>
      </c>
      <c r="C54" s="29" t="inlineStr">
        <is>
          <t>Fascia</t>
        </is>
      </c>
      <c r="D54" s="30">
        <f>'Parts Costing'!Y5</f>
        <v/>
      </c>
    </row>
    <row r="55">
      <c r="A55" s="31" t="n">
        <v>2</v>
      </c>
      <c r="B55" s="32" t="inlineStr">
        <is>
          <t>TPO resin long-term agreement / price indexing (−₹10/kg)</t>
        </is>
      </c>
      <c r="C55" s="33" t="inlineStr">
        <is>
          <t>Material</t>
        </is>
      </c>
      <c r="D55" s="34">
        <f>'Parts Costing'!F4*(1+'Parts Costing'!G4)*10</f>
        <v/>
      </c>
    </row>
    <row r="56">
      <c r="A56" s="27" t="n">
        <v>3</v>
      </c>
      <c r="B56" s="28" t="inlineStr">
        <is>
          <t>Closed-loop runner regrind reuse instead of selling scrap</t>
        </is>
      </c>
      <c r="C56" s="29" t="inlineStr">
        <is>
          <t>Material</t>
        </is>
      </c>
      <c r="D56" s="30" t="n">
        <v>8</v>
      </c>
    </row>
    <row r="57">
      <c r="A57" s="31" t="n">
        <v>4</v>
      </c>
      <c r="B57" s="32" t="inlineStr">
        <is>
          <t>Conformal-cooled fascia mould — cycle −6 s</t>
        </is>
      </c>
      <c r="C57" s="33" t="inlineStr">
        <is>
          <t>Process</t>
        </is>
      </c>
      <c r="D57" s="34">
        <f>6*Assumptions!$B$21/3600*1.6</f>
        <v/>
      </c>
    </row>
    <row r="58">
      <c r="A58" s="27" t="n">
        <v>5</v>
      </c>
      <c r="B58" s="28" t="inlineStr">
        <is>
          <t>Beam gauge/grade optimisation — take 0.4 kg out of the steel</t>
        </is>
      </c>
      <c r="C58" s="29" t="inlineStr">
        <is>
          <t>Beam</t>
        </is>
      </c>
      <c r="D58" s="30">
        <f>0.4*Assumptions!$B$15*1.3</f>
        <v/>
      </c>
    </row>
    <row r="59">
      <c r="A59" s="31" t="n">
        <v>6</v>
      </c>
      <c r="B59" s="32" t="inlineStr">
        <is>
          <t>Integrate bracket piercing into rollform — fewer weld operations</t>
        </is>
      </c>
      <c r="C59" s="33" t="inlineStr">
        <is>
          <t>Beam</t>
        </is>
      </c>
      <c r="D59" s="34" t="n">
        <v>12</v>
      </c>
    </row>
    <row r="60">
      <c r="A60" s="27" t="n">
        <v>7</v>
      </c>
      <c r="B60" s="28" t="inlineStr">
        <is>
          <t>EPP density 45 → 38 g/l (validated crash performance)</t>
        </is>
      </c>
      <c r="C60" s="29" t="inlineStr">
        <is>
          <t>Energy absorber</t>
        </is>
      </c>
      <c r="D60" s="30">
        <f>0.04*Assumptions!$B$13*1.35</f>
        <v/>
      </c>
    </row>
    <row r="61">
      <c r="A61" s="31" t="n">
        <v>8</v>
      </c>
      <c r="B61" s="32" t="inlineStr">
        <is>
          <t>Mould sensor-holder bosses into fascia — delete 4 parts + 1 tool</t>
        </is>
      </c>
      <c r="C61" s="33" t="inlineStr">
        <is>
          <t>Small parts</t>
        </is>
      </c>
      <c r="D61" s="34">
        <f>'Parts Costing'!Z16</f>
        <v/>
      </c>
    </row>
    <row r="62">
      <c r="A62" s="27" t="n">
        <v>9</v>
      </c>
      <c r="B62" s="28" t="inlineStr">
        <is>
          <t>Family mould: wheel-arch retainers + side supports in one tool</t>
        </is>
      </c>
      <c r="C62" s="29" t="inlineStr">
        <is>
          <t>Tooling</t>
        </is>
      </c>
      <c r="D62" s="30" t="n">
        <v>6</v>
      </c>
    </row>
    <row r="63">
      <c r="A63" s="31" t="n">
        <v>10</v>
      </c>
      <c r="B63" s="32" t="inlineStr">
        <is>
          <t>Snap-fits replace 6 screws (fascia dress parts)</t>
        </is>
      </c>
      <c r="C63" s="33" t="inlineStr">
        <is>
          <t>Fasteners / assembly</t>
        </is>
      </c>
      <c r="D63" s="34" t="n">
        <v>18</v>
      </c>
    </row>
    <row r="64">
      <c r="A64" s="27" t="n">
        <v>11</v>
      </c>
      <c r="B64" s="28" t="inlineStr">
        <is>
          <t>Single-vendor moulding consolidation (−2% conversion overhead)</t>
        </is>
      </c>
      <c r="C64" s="29" t="inlineStr">
        <is>
          <t>All plastics</t>
        </is>
      </c>
      <c r="D64" s="30" t="n">
        <v>9</v>
      </c>
    </row>
    <row r="65">
      <c r="A65" s="31" t="n">
        <v>12</v>
      </c>
      <c r="B65" s="32" t="inlineStr">
        <is>
          <t>Radar + camera LTA with 5% annual step-down</t>
        </is>
      </c>
      <c r="C65" s="33" t="inlineStr">
        <is>
          <t>Electronics</t>
        </is>
      </c>
      <c r="D65" s="34">
        <f>('Bought-Out'!G5+'Bought-Out'!G6)*0.05</f>
        <v/>
      </c>
    </row>
    <row r="66">
      <c r="A66" s="27" t="n">
        <v>13</v>
      </c>
      <c r="B66" s="28" t="inlineStr">
        <is>
          <t>Parking-sensor price negotiation to ₹200 (−₹20 each)</t>
        </is>
      </c>
      <c r="C66" s="29" t="inlineStr">
        <is>
          <t>Electronics</t>
        </is>
      </c>
      <c r="D66" s="30">
        <f>Assumptions!$B$44*20*1.03</f>
        <v/>
      </c>
    </row>
    <row r="67">
      <c r="A67" s="31" t="n">
        <v>14</v>
      </c>
      <c r="B67" s="32" t="inlineStr">
        <is>
          <t>Returnable-packaging pooling across programmes (−25% trip cost)</t>
        </is>
      </c>
      <c r="C67" s="33" t="inlineStr">
        <is>
          <t>Logistics</t>
        </is>
      </c>
      <c r="D67" s="34">
        <f>Assumptions!$B$43*0.25</f>
        <v/>
      </c>
    </row>
    <row r="68">
      <c r="A68" s="27" t="n">
        <v>15</v>
      </c>
      <c r="B68" s="28" t="inlineStr">
        <is>
          <t>Combine assembly stations 4 + 5 (line balancing)</t>
        </is>
      </c>
      <c r="C68" s="29" t="inlineStr">
        <is>
          <t>Assembly</t>
        </is>
      </c>
      <c r="D68" s="30" t="n">
        <v>10</v>
      </c>
    </row>
    <row r="69">
      <c r="A69" s="35" t="n"/>
      <c r="B69" s="36" t="inlineStr">
        <is>
          <t>TOTAL IDENTIFIED POTENTIAL (not all additive — pursue top 5 first)</t>
        </is>
      </c>
      <c r="C69" s="35" t="n"/>
      <c r="D69" s="37">
        <f>SUM(D54:D68)</f>
        <v/>
      </c>
    </row>
    <row r="99">
      <c r="A99" s="38" t="inlineStr">
        <is>
          <t>CHART DATA (live formulas — do not delete)</t>
        </is>
      </c>
    </row>
    <row r="100">
      <c r="A100" t="inlineStr">
        <is>
          <t>Mechanical parts &amp; assembly</t>
        </is>
      </c>
      <c r="B100" s="18">
        <f>D8-'Bought-Out'!$G$12</f>
        <v/>
      </c>
    </row>
    <row r="101">
      <c r="A101" t="inlineStr">
        <is>
          <t>Electronics (radar, camera, sensors, harness)</t>
        </is>
      </c>
      <c r="B101" s="18">
        <f>'Bought-Out'!$G$12</f>
        <v/>
      </c>
    </row>
    <row r="103">
      <c r="A103" t="inlineStr">
        <is>
          <t>Material</t>
        </is>
      </c>
      <c r="B103" s="18">
        <f>SUMPRODUCT('Parts Costing'!$J$4:$J$21,'Parts Costing'!$E$4:$E$21)</f>
        <v/>
      </c>
    </row>
    <row r="104">
      <c r="A104" t="inlineStr">
        <is>
          <t>Process</t>
        </is>
      </c>
      <c r="B104" s="18">
        <f>SUMPRODUCT('Parts Costing'!$O$4:$O$21+'Parts Costing'!$R$4:$R$21,'Parts Costing'!$E$4:$E$21)</f>
        <v/>
      </c>
    </row>
    <row r="105">
      <c r="A105" t="inlineStr">
        <is>
          <t>Tooling</t>
        </is>
      </c>
      <c r="B105" s="18">
        <f>SUMPRODUCT('Parts Costing'!$T$4:$T$21,'Parts Costing'!$E$4:$E$21)</f>
        <v/>
      </c>
    </row>
    <row r="106">
      <c r="A106" t="inlineStr">
        <is>
          <t>Overheads</t>
        </is>
      </c>
      <c r="B106" s="18">
        <f>SUMPRODUCT('Parts Costing'!$U$4:$U$21,'Parts Costing'!$E$4:$E$21)</f>
        <v/>
      </c>
    </row>
    <row r="107">
      <c r="A107" t="inlineStr">
        <is>
          <t>SG&amp;A</t>
        </is>
      </c>
      <c r="B107" s="18">
        <f>SUMPRODUCT('Parts Costing'!$W$4:$W$21,'Parts Costing'!$E$4:$E$21)</f>
        <v/>
      </c>
    </row>
    <row r="108">
      <c r="A108" t="inlineStr">
        <is>
          <t>Profit</t>
        </is>
      </c>
      <c r="B108" s="18">
        <f>SUMPRODUCT('Parts Costing'!$X$4:$X$21,'Parts Costing'!$E$4:$E$21)</f>
        <v/>
      </c>
    </row>
    <row r="109">
      <c r="A109" t="inlineStr">
        <is>
          <t>Bought-out</t>
        </is>
      </c>
      <c r="B109" s="18">
        <f>SUMPRODUCT('Bought-Out'!$E$4:$E$10,'Bought-Out'!$D$4:$D$10)</f>
        <v/>
      </c>
    </row>
    <row r="110">
      <c r="A110" t="inlineStr">
        <is>
          <t>Logistics</t>
        </is>
      </c>
      <c r="B110" s="18">
        <f>SUMPRODUCT('Bought-Out'!$F$4:$F$10,'Bought-Out'!$D$4:$D$10)</f>
        <v/>
      </c>
    </row>
    <row r="111">
      <c r="A111" t="inlineStr">
        <is>
          <t>Assembly</t>
        </is>
      </c>
      <c r="B111" s="18">
        <f>'Assembly &amp; Packing'!$F$17</f>
        <v/>
      </c>
    </row>
    <row r="115">
      <c r="A115">
        <f>'Parts Costing'!B4</f>
        <v/>
      </c>
      <c r="B115" s="18">
        <f>'Parts Costing'!Z4</f>
        <v/>
      </c>
    </row>
    <row r="116">
      <c r="A116">
        <f>'Parts Costing'!B5</f>
        <v/>
      </c>
      <c r="B116" s="18">
        <f>'Parts Costing'!Z5</f>
        <v/>
      </c>
    </row>
    <row r="117">
      <c r="A117">
        <f>'Parts Costing'!B6</f>
        <v/>
      </c>
      <c r="B117" s="18">
        <f>'Parts Costing'!Z6</f>
        <v/>
      </c>
    </row>
    <row r="118">
      <c r="A118">
        <f>'Parts Costing'!B7</f>
        <v/>
      </c>
      <c r="B118" s="18">
        <f>'Parts Costing'!Z7</f>
        <v/>
      </c>
    </row>
    <row r="119">
      <c r="A119">
        <f>'Parts Costing'!B8</f>
        <v/>
      </c>
      <c r="B119" s="18">
        <f>'Parts Costing'!Z8</f>
        <v/>
      </c>
    </row>
    <row r="120">
      <c r="A120">
        <f>'Parts Costing'!B9</f>
        <v/>
      </c>
      <c r="B120" s="18">
        <f>'Parts Costing'!Z9</f>
        <v/>
      </c>
    </row>
    <row r="121">
      <c r="A121">
        <f>'Parts Costing'!B10</f>
        <v/>
      </c>
      <c r="B121" s="18">
        <f>'Parts Costing'!Z10</f>
        <v/>
      </c>
    </row>
    <row r="122">
      <c r="A122">
        <f>'Parts Costing'!B11</f>
        <v/>
      </c>
      <c r="B122" s="18">
        <f>'Parts Costing'!Z11</f>
        <v/>
      </c>
    </row>
    <row r="123">
      <c r="A123">
        <f>'Parts Costing'!B12</f>
        <v/>
      </c>
      <c r="B123" s="18">
        <f>'Parts Costing'!Z12</f>
        <v/>
      </c>
    </row>
    <row r="124">
      <c r="A124">
        <f>'Parts Costing'!B13</f>
        <v/>
      </c>
      <c r="B124" s="18">
        <f>'Parts Costing'!Z13</f>
        <v/>
      </c>
    </row>
    <row r="125">
      <c r="A125">
        <f>'Parts Costing'!B14</f>
        <v/>
      </c>
      <c r="B125" s="18">
        <f>'Parts Costing'!Z14</f>
        <v/>
      </c>
    </row>
    <row r="126">
      <c r="A126">
        <f>'Parts Costing'!B15</f>
        <v/>
      </c>
      <c r="B126" s="18">
        <f>'Parts Costing'!Z15</f>
        <v/>
      </c>
    </row>
    <row r="127">
      <c r="A127">
        <f>'Parts Costing'!B16</f>
        <v/>
      </c>
      <c r="B127" s="18">
        <f>'Parts Costing'!Z16</f>
        <v/>
      </c>
    </row>
    <row r="128">
      <c r="A128">
        <f>'Parts Costing'!B17</f>
        <v/>
      </c>
      <c r="B128" s="18">
        <f>'Parts Costing'!Z17</f>
        <v/>
      </c>
    </row>
    <row r="129">
      <c r="A129">
        <f>'Parts Costing'!B18</f>
        <v/>
      </c>
      <c r="B129" s="18">
        <f>'Parts Costing'!Z18</f>
        <v/>
      </c>
    </row>
    <row r="130">
      <c r="A130">
        <f>'Parts Costing'!B19</f>
        <v/>
      </c>
      <c r="B130" s="18">
        <f>'Parts Costing'!Z19</f>
        <v/>
      </c>
    </row>
    <row r="131">
      <c r="A131">
        <f>'Parts Costing'!B20</f>
        <v/>
      </c>
      <c r="B131" s="18">
        <f>'Parts Costing'!Z20</f>
        <v/>
      </c>
    </row>
    <row r="132">
      <c r="A132">
        <f>'Parts Costing'!B21</f>
        <v/>
      </c>
      <c r="B132" s="18">
        <f>'Parts Costing'!Z21</f>
        <v/>
      </c>
    </row>
    <row r="133">
      <c r="A133">
        <f>'Bought-Out'!B4</f>
        <v/>
      </c>
      <c r="B133" s="18">
        <f>'Bought-Out'!G4</f>
        <v/>
      </c>
    </row>
    <row r="134">
      <c r="A134">
        <f>'Bought-Out'!B5</f>
        <v/>
      </c>
      <c r="B134" s="18">
        <f>'Bought-Out'!G5</f>
        <v/>
      </c>
    </row>
    <row r="135">
      <c r="A135">
        <f>'Bought-Out'!B6</f>
        <v/>
      </c>
      <c r="B135" s="18">
        <f>'Bought-Out'!G6</f>
        <v/>
      </c>
    </row>
    <row r="136">
      <c r="A136">
        <f>'Bought-Out'!B7</f>
        <v/>
      </c>
      <c r="B136" s="18">
        <f>'Bought-Out'!G7</f>
        <v/>
      </c>
    </row>
    <row r="137">
      <c r="A137">
        <f>'Bought-Out'!B8</f>
        <v/>
      </c>
      <c r="B137" s="18">
        <f>'Bought-Out'!G8</f>
        <v/>
      </c>
    </row>
    <row r="138">
      <c r="A138">
        <f>'Bought-Out'!B9</f>
        <v/>
      </c>
      <c r="B138" s="18">
        <f>'Bought-Out'!G9</f>
        <v/>
      </c>
    </row>
    <row r="139">
      <c r="A139">
        <f>'Bought-Out'!B10</f>
        <v/>
      </c>
      <c r="B139" s="18">
        <f>'Bought-Out'!G10</f>
        <v/>
      </c>
    </row>
  </sheetData>
  <mergeCells count="4">
    <mergeCell ref="A2:F2"/>
    <mergeCell ref="A52:F52"/>
    <mergeCell ref="A1:F1"/>
    <mergeCell ref="A15:M15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0" customWidth="1" min="3" max="3"/>
    <col width="20" customWidth="1" min="4" max="4"/>
  </cols>
  <sheetData>
    <row r="1" ht="30" customHeight="1">
      <c r="A1" s="1" t="inlineStr">
        <is>
          <t>How this should-cost was calculated — step by step</t>
        </is>
      </c>
    </row>
    <row r="2" ht="18" customHeight="1">
      <c r="A2" s="2" t="inlineStr">
        <is>
          <t>Read top to bottom. The right-hand column shows LIVE numbers pulled by formula from the costing sheets (worked example: front bumper fascia).</t>
        </is>
      </c>
    </row>
    <row r="3" ht="22" customHeight="1">
      <c r="A3" s="39" t="inlineStr">
        <is>
          <t>THE 8-STEP METHOD  (worked example on the right: Front Bumper Fascia — values are LIVE, they change if you edit inputs)</t>
        </is>
      </c>
    </row>
    <row r="4" ht="50" customHeight="1">
      <c r="A4" s="40" t="inlineStr">
        <is>
          <t>1</t>
        </is>
      </c>
      <c r="B4" s="41" t="inlineStr">
        <is>
          <t>Break the assembly into parts and decide make vs buy</t>
        </is>
      </c>
      <c r="C4" s="42" t="inlineStr">
        <is>
          <t>The 26-line part list from the drawing was split into: 18 MANUFACTURED items (we cost these bottom-up on the Parts Costing sheet) and 7 BOUGHT-OUT items (electronics &amp; standard hardware — no one should-costs a radar chip bottom-up; we use market reference prices + 3% handling on the Bought-Out sheet).</t>
        </is>
      </c>
      <c r="D4" s="43" t="inlineStr">
        <is>
          <t>Manufactured line items</t>
        </is>
      </c>
    </row>
    <row r="5" ht="62" customHeight="1">
      <c r="A5" s="40" t="inlineStr">
        <is>
          <t>2</t>
        </is>
      </c>
      <c r="B5" s="41" t="inlineStr">
        <is>
          <t>Material cost per part</t>
        </is>
      </c>
      <c r="C5" s="42" t="inlineStr">
        <is>
          <t>Net part mass × (1 + scrap%) × material price ₹/kg, minus scrap credit for the recoverable portion.  Formula in words: you buy slightly more plastic/steel than ends up in the part (runners, offal), and sell back what you can.  Excel: =Mass×(1+Scrap)×Price − Mass×Scrap×Credit  →  Fascia: 3.60 kg TPO at ₹155/kg with 4% runner scrap.</t>
        </is>
      </c>
      <c r="D5" s="43" t="inlineStr">
        <is>
          <t>Fascia material ₹</t>
        </is>
      </c>
    </row>
    <row r="6">
      <c r="D6" s="44">
        <f>'Parts Costing'!J4</f>
        <v/>
      </c>
    </row>
    <row r="7" ht="62" customHeight="1">
      <c r="A7" s="40" t="inlineStr">
        <is>
          <t>3</t>
        </is>
      </c>
      <c r="B7" s="41" t="inlineStr">
        <is>
          <t>Process (machine) cost</t>
        </is>
      </c>
      <c r="C7" s="42" t="inlineStr">
        <is>
          <t>Cycle time ÷ 3600 × machine hour rate ÷ cavities.  The machine rate (Assumptions sheet) is a full build-up: depreciation + energy @ ₹8.5/kWh + maintenance + floor space + supervision.  A 1500-tonne press at ₹2,100/hr running a 55 s cycle costs ₹32.08 of machine time per shot — big-ticket machines, small per-part cost, because the hour is shared across every part made in it.</t>
        </is>
      </c>
      <c r="D7" s="43" t="inlineStr">
        <is>
          <t>Fascia process ₹</t>
        </is>
      </c>
    </row>
    <row r="8">
      <c r="D8" s="44">
        <f>'Parts Costing'!O4</f>
        <v/>
      </c>
    </row>
    <row r="9" ht="52" customHeight="1">
      <c r="A9" s="40" t="inlineStr">
        <is>
          <t>4</t>
        </is>
      </c>
      <c r="B9" s="41" t="inlineStr">
        <is>
          <t>Direct labour</t>
        </is>
      </c>
      <c r="C9" s="42" t="inlineStr">
        <is>
          <t>Cycle time × manning × labour rate ÷ 3600 ÷ cavities.  Manning below 1.0 means one operator tends several machines (standard moulding practice — 0.5 = one operator per two presses).  Labour rates are FULLY LOADED: wages + statutory contributions + benefits + supervision share.</t>
        </is>
      </c>
      <c r="D9" s="43" t="inlineStr">
        <is>
          <t>Fascia labour ₹</t>
        </is>
      </c>
    </row>
    <row r="10">
      <c r="D10" s="44">
        <f>'Parts Costing'!R4</f>
        <v/>
      </c>
    </row>
    <row r="11" ht="55" customHeight="1">
      <c r="A11" s="40" t="inlineStr">
        <is>
          <t>5</t>
        </is>
      </c>
      <c r="B11" s="41" t="inlineStr">
        <is>
          <t>Tooling amortisation</t>
        </is>
      </c>
      <c r="C11" s="42" t="inlineStr">
        <is>
          <t>Tool cost ÷ (annual volume × amortisation years × parts per vehicle).  The ₹1.8 Cr fascia mould spread over 72,000 vehicles × 5 years = a per-part charge (₹50/part).  This is the number most sensitive to VOLUME — halve the volume and this line doubles.  If the OEM pays for tooling separately, set column S to zero on Parts Costing.</t>
        </is>
      </c>
      <c r="D11" s="43" t="inlineStr">
        <is>
          <t>Fascia tooling ₹/pc</t>
        </is>
      </c>
    </row>
    <row r="12">
      <c r="D12" s="44">
        <f>'Parts Costing'!T4</f>
        <v/>
      </c>
    </row>
    <row r="13" ht="55" customHeight="1">
      <c r="A13" s="40" t="inlineStr">
        <is>
          <t>6</t>
        </is>
      </c>
      <c r="B13" s="41" t="inlineStr">
        <is>
          <t>Overheads and margin</t>
        </is>
      </c>
      <c r="C13" s="42" t="inlineStr">
        <is>
          <t>Factory overhead (40%) is applied on CONVERSION cost only (process + labour), never on material — a supplier does not "manage" resin price, so it earns no overhead on it.  Then SG&amp;A 8% on manufacturing cost, and 10% profit on top of that.  The result is the ex-works unit price we should expect a competitive tier-1 to quote.</t>
        </is>
      </c>
      <c r="D13" s="43" t="inlineStr">
        <is>
          <t>Fascia unit price ₹</t>
        </is>
      </c>
    </row>
    <row r="14">
      <c r="D14" s="44">
        <f>'Parts Costing'!Y4</f>
        <v/>
      </c>
    </row>
    <row r="15" ht="52" customHeight="1">
      <c r="A15" s="40" t="inlineStr">
        <is>
          <t>7</t>
        </is>
      </c>
      <c r="B15" s="41" t="inlineStr">
        <is>
          <t>Assembly &amp; packing</t>
        </is>
      </c>
      <c r="C15" s="42" t="inlineStr">
        <is>
          <t>Six stations, each = manned seconds × operators × labour rate.  Add fixture and end-of-line equipment amortisation, 45% assembly overhead on the labour, consumables, and the returnable-dunnage trip cost.  Bumper assembly is clip-and-screw work — it is deliberately cheap (~1% of total).</t>
        </is>
      </c>
      <c r="D15" s="43" t="inlineStr">
        <is>
          <t>Assembly &amp; packing ₹</t>
        </is>
      </c>
    </row>
    <row r="16">
      <c r="D16" s="44">
        <f>'Assembly &amp; Packing'!$F$17</f>
        <v/>
      </c>
    </row>
    <row r="17" ht="55" customHeight="1">
      <c r="A17" s="40" t="inlineStr">
        <is>
          <t>8</t>
        </is>
      </c>
      <c r="B17" s="41" t="inlineStr">
        <is>
          <t>Roll up the total</t>
        </is>
      </c>
      <c r="C17" s="42" t="inlineStr">
        <is>
          <t>Total = Σ(manufactured unit price × qty) + Σ(bought-out landed × qty) + assembly &amp; packing.  The Summary sheet also shows the MECHANICAL-ONLY subtotal (excluding radar/camera/sensors/harness) because that is the number to compare against a bumper supplier's quote — the electronics are usually priced separately.</t>
        </is>
      </c>
      <c r="D17" s="43" t="inlineStr">
        <is>
          <t>TOTAL should cost ₹</t>
        </is>
      </c>
    </row>
    <row r="18">
      <c r="D18" s="44">
        <f>Summary!D8</f>
        <v/>
      </c>
    </row>
    <row r="20" ht="22" customHeight="1">
      <c r="A20" s="39" t="inlineStr">
        <is>
          <t>DEEP-DIVE: PAINT COST — how the body-colour paint line item is built (all values LIVE)</t>
        </is>
      </c>
    </row>
    <row r="21" ht="52" customHeight="1">
      <c r="A21" s="40" t="inlineStr">
        <is>
          <t>P1</t>
        </is>
      </c>
      <c r="B21" s="41" t="inlineStr">
        <is>
          <t>Paint material — ₹160/bumper</t>
        </is>
      </c>
      <c r="C21" s="42" t="inlineStr">
        <is>
          <t>Primer + basecoat + clearcoat + thinners, materials only. Basis: ~0.40 litre of mixed paint per bumper at OEM robotic transfer efficiency, ~₹400/litre blended across the three coats. This is an input (Assumptions B18) — put in our paint shop's actual chemical cost per unit if we have it.</t>
        </is>
      </c>
      <c r="D21" s="43" t="inlineStr">
        <is>
          <t>Paint material ₹</t>
        </is>
      </c>
    </row>
    <row r="22">
      <c r="D22" s="44">
        <f>Assumptions!$B$18</f>
        <v/>
      </c>
    </row>
    <row r="23" ht="55" customHeight="1">
      <c r="A23" s="40" t="inlineStr">
        <is>
          <t>P2</t>
        </is>
      </c>
      <c r="B23" s="41" t="inlineStr">
        <is>
          <t>Paint line time — the biggest piece</t>
        </is>
      </c>
      <c r="C23" s="42" t="inlineStr">
        <is>
          <t>A conveyorised robotic bumper paint line costs ₹2,400/hr all-in: booth depreciation, ventilation and booth energy (the big consumers), robots, sludge/filter handling. At ~110 s effective takt per bumper: 110 ÷ 3600 × 2,400. Painting is a PROCESS cost — the booth hour, not the paint, is what you pay for.</t>
        </is>
      </c>
      <c r="D23" s="43" t="inlineStr">
        <is>
          <t>Line cost ₹/bumper</t>
        </is>
      </c>
    </row>
    <row r="24">
      <c r="D24" s="44">
        <f>'Parts Costing'!O5</f>
        <v/>
      </c>
    </row>
    <row r="25" ht="42" customHeight="1">
      <c r="A25" s="40" t="inlineStr">
        <is>
          <t>P3</t>
        </is>
      </c>
      <c r="B25" s="41" t="inlineStr">
        <is>
          <t>Labour — small by design</t>
        </is>
      </c>
      <c r="C25" s="42" t="inlineStr">
        <is>
          <t>Robotic line: 0.5 manning (loader/unloader shared) × skilled rate ₹260/hr × 110 s. Manual painting would triple this and hurt quality consistency.</t>
        </is>
      </c>
      <c r="D25" s="43" t="inlineStr">
        <is>
          <t>Paint labour ₹</t>
        </is>
      </c>
    </row>
    <row r="26">
      <c r="D26" s="44">
        <f>'Parts Costing'!R5</f>
        <v/>
      </c>
    </row>
    <row r="27" ht="42" customHeight="1">
      <c r="A27" s="40" t="inlineStr">
        <is>
          <t>P4</t>
        </is>
      </c>
      <c r="B27" s="41" t="inlineStr">
        <is>
          <t>Paint jigs &amp; masks — ₹60 L amortised</t>
        </is>
      </c>
      <c r="C27" s="42" t="inlineStr">
        <is>
          <t>Bumper-specific carriers, masking jigs and skids, spread over volume × years like any tool: ₹60 L ÷ 360,000 bumpers.</t>
        </is>
      </c>
      <c r="D27" s="43" t="inlineStr">
        <is>
          <t>Jig amortisation ₹</t>
        </is>
      </c>
    </row>
    <row r="28">
      <c r="D28" s="44">
        <f>'Parts Costing'!T5</f>
        <v/>
      </c>
    </row>
    <row r="29" ht="42" customHeight="1">
      <c r="A29" s="40" t="inlineStr">
        <is>
          <t>P5</t>
        </is>
      </c>
      <c r="B29" s="41" t="inlineStr">
        <is>
          <t>Overhead + markups</t>
        </is>
      </c>
      <c r="C29" s="42" t="inlineStr">
        <is>
          <t>Factory overhead 40% on the conversion (line + labour, NOT on paint material), then SG&amp;A 8% and profit 10% like every other line.</t>
        </is>
      </c>
      <c r="D29" s="43" t="inlineStr">
        <is>
          <t>Paint line item ₹</t>
        </is>
      </c>
    </row>
    <row r="30">
      <c r="D30" s="44">
        <f>'Parts Costing'!Y5</f>
        <v/>
      </c>
    </row>
    <row r="31" ht="50" customHeight="1">
      <c r="A31" s="40" t="inlineStr">
        <is>
          <t>P6</t>
        </is>
      </c>
      <c r="B31" s="41" t="inlineStr">
        <is>
          <t>Sanity checks &amp; the lever</t>
        </is>
      </c>
      <c r="C31" s="42" t="inlineStr">
        <is>
          <t>Checks: India tier-1 bumper paint jobs benchmark at ₹280–₹380 all-in — we sit mid-range. First-run yield ~92–95% is assumed inside the line rate. The lever: if the fascia can be moulded-in-colour (masterbatch), this entire line item disappears — savings idea #1.</t>
        </is>
      </c>
      <c r="D31" s="31" t="n"/>
    </row>
    <row r="33" ht="22" customHeight="1">
      <c r="A33" s="39" t="inlineStr">
        <is>
          <t>DEEP-DIVE: TOOLING — what is in the investment and how it reaches the piece price (all values LIVE)</t>
        </is>
      </c>
    </row>
    <row r="34" ht="52" customHeight="1">
      <c r="A34" s="40" t="inlineStr">
        <is>
          <t>T1</t>
        </is>
      </c>
      <c r="B34" s="41" t="inlineStr">
        <is>
          <t>What the investment covers</t>
        </is>
      </c>
      <c r="C34" s="42" t="inlineStr">
        <is>
          <t>Injection moulds for every plastic part, the EPP shape mould, rollform tooling for the beam, the progressive die for crash-box brackets, weld fixtures, paint jigs, assembly fixtures and end-of-line equipment. Parts tooling ₹6.28 Cr + assembly fixtures ₹0.40 Cr + EOL equipment ₹0.60 Cr.</t>
        </is>
      </c>
      <c r="D34" s="43" t="inlineStr">
        <is>
          <t>Total investment ₹</t>
        </is>
      </c>
    </row>
    <row r="35">
      <c r="D35" s="45">
        <f>Tooling!B7</f>
        <v/>
      </c>
    </row>
    <row r="36" ht="52" customHeight="1">
      <c r="A36" s="40" t="inlineStr">
        <is>
          <t>T2</t>
        </is>
      </c>
      <c r="B36" s="41" t="inlineStr">
        <is>
          <t>The biggest tool — fascia mould ₹1.8 Cr</t>
        </is>
      </c>
      <c r="C36" s="42" t="inlineStr">
        <is>
          <t>A single-cavity hot-runner mould for a 1500-tonne press, ~3.6 kg part with texture and complex shut-offs. India toolroom benchmark: ₹1.5–2.5 Cr (the same tool imported from Japan/Korea would be 2–3×). Next: paint jigs ₹60 L, grille moulds ₹50 L each, beam rollform set ₹50 L, EPP mould ₹35 L.</t>
        </is>
      </c>
      <c r="D36" s="43" t="inlineStr">
        <is>
          <t>Fascia mould ₹</t>
        </is>
      </c>
    </row>
    <row r="37">
      <c r="D37" s="45">
        <f>'Parts Costing'!S4</f>
        <v/>
      </c>
    </row>
    <row r="38" ht="46" customHeight="1">
      <c r="A38" s="40" t="inlineStr">
        <is>
          <t>T3</t>
        </is>
      </c>
      <c r="B38" s="41" t="inlineStr">
        <is>
          <t>The amortisation formula</t>
        </is>
      </c>
      <c r="C38" s="42" t="inlineStr">
        <is>
          <t>Tool ÷ (annual volume × years × parts per vehicle). Fascia: ₹1.8 Cr ÷ (72,000 × 5 × 1) = ₹50.00 per part. Every tool row uses the same formula — column T on Parts Costing.</t>
        </is>
      </c>
      <c r="D38" s="43" t="inlineStr">
        <is>
          <t>Fascia amort ₹/pc</t>
        </is>
      </c>
    </row>
    <row r="39">
      <c r="D39" s="44">
        <f>'Parts Costing'!T4</f>
        <v/>
      </c>
    </row>
    <row r="40" ht="46" customHeight="1">
      <c r="A40" s="40" t="inlineStr">
        <is>
          <t>T4</t>
        </is>
      </c>
      <c r="B40" s="41" t="inlineStr">
        <is>
          <t>Family tools cost less per piece</t>
        </is>
      </c>
      <c r="C40" s="42" t="inlineStr">
        <is>
          <t>LH+RH parts share one mould and come out in the same shot, so the tool spreads over twice the pieces: side brackets ₹18 L ÷ (72,000 × 5 × 2) = ₹2.50/pc. The sensor holder runs 4 cavities for the same reason.</t>
        </is>
      </c>
      <c r="D40" s="43" t="inlineStr">
        <is>
          <t>Side-bracket amort ₹/pc</t>
        </is>
      </c>
    </row>
    <row r="41">
      <c r="D41" s="44">
        <f>'Parts Costing'!T8</f>
        <v/>
      </c>
    </row>
    <row r="42" ht="46" customHeight="1">
      <c r="A42" s="40" t="inlineStr">
        <is>
          <t>T5</t>
        </is>
      </c>
      <c r="B42" s="41" t="inlineStr">
        <is>
          <t>Tool life check — why 5 years is safe</t>
        </is>
      </c>
      <c r="C42" s="42" t="inlineStr">
        <is>
          <t>5 years × 72,000 = 360,000 shots on the fascia mould. A hardened hot-runner bumper mould is good for 500k–1M shots, so life does not limit the amortisation period; small tools are specified hardened (H13/P20) for the same duty.</t>
        </is>
      </c>
      <c r="D42" s="31" t="n"/>
    </row>
    <row r="43" ht="52" customHeight="1">
      <c r="A43" s="40" t="inlineStr">
        <is>
          <t>T6</t>
        </is>
      </c>
      <c r="B43" s="41" t="inlineStr">
        <is>
          <t>What tooling adds to each vehicle — and who pays</t>
        </is>
      </c>
      <c r="C43" s="42" t="inlineStr">
        <is>
          <t>Summing column T × qty across all parts: the tooling inside the piece prices. If the OEM pays tooling up-front instead (common for dedicated moulds), zero column S — piece prices drop by this amount and the ₹7.28 Cr becomes a separate one-time negotiation with tool-ownership rights.</t>
        </is>
      </c>
      <c r="D43" s="43" t="inlineStr">
        <is>
          <t>Tooling ₹/vehicle</t>
        </is>
      </c>
    </row>
    <row r="44">
      <c r="D44" s="44">
        <f>Summary!B105</f>
        <v/>
      </c>
    </row>
    <row r="46" ht="22" customHeight="1">
      <c r="A46" s="39" t="inlineStr">
        <is>
          <t>MANAGER Q&amp;A — the questions you will get, and the answers (live numbers in the right column)</t>
        </is>
      </c>
    </row>
    <row r="47" ht="66" customHeight="1">
      <c r="A47" s="46" t="inlineStr">
        <is>
          <t>Q</t>
        </is>
      </c>
      <c r="B47" s="47" t="inlineStr">
        <is>
          <t>“Why should I trust these numbers?”</t>
        </is>
      </c>
      <c r="C47" s="48" t="inlineStr">
        <is>
          <t>Because nothing is a black box. Every figure is built bottom-up from physics and visible inputs: mass × material price, cycle × machine rate, tool ÷ volume. Every input sits in a yellow cell you can challenge and change — and the whole workbook recalculates. A supplier quote can be compared against this line by line.</t>
        </is>
      </c>
      <c r="D47" s="31" t="n"/>
    </row>
    <row r="48" ht="66" customHeight="1">
      <c r="A48" s="49" t="inlineStr">
        <is>
          <t>Q</t>
        </is>
      </c>
      <c r="B48" s="50" t="inlineStr">
        <is>
          <t>“Where do the rates come from?”</t>
        </is>
      </c>
      <c r="C48" s="51" t="inlineStr">
        <is>
          <t>India tier-1 benchmarks, July 2026: delivered polymer/steel contract prices, machine-hour build-ups at Indian energy (₹8.5/kWh) and wage levels, fully-loaded labour. They are on the Assumptions sheet with a note per line. If purchasing has better contract rates, type them in — that makes the model MORE accurate, not broken.</t>
        </is>
      </c>
      <c r="D48" s="52" t="n"/>
    </row>
    <row r="49" ht="66" customHeight="1">
      <c r="A49" s="46" t="inlineStr">
        <is>
          <t>Q</t>
        </is>
      </c>
      <c r="B49" s="47" t="inlineStr">
        <is>
          <t>“₹13,000 for a bumper? The aftermarket part is ₹5,000!”</t>
        </is>
      </c>
      <c r="C49" s="48" t="inlineStr">
        <is>
          <t>Two different things. The ₹9.0k total includes the ADAS electronics — radar, camera, 4 parking sensors, harness — which are ~69% of the total and are usually on separate commodity contracts. The mechanical bumper module (what a bumper supplier actually quotes) is the number on the right. Aftermarket MRP is also a retail price with distribution margins — not comparable to an OEM ex-works piece price.</t>
        </is>
      </c>
      <c r="D49" s="43" t="inlineStr">
        <is>
          <t>Mechanical module ₹</t>
        </is>
      </c>
    </row>
    <row r="50">
      <c r="D50" s="44">
        <f>Summary!D10</f>
        <v/>
      </c>
    </row>
    <row r="51" ht="66" customHeight="1">
      <c r="A51" s="46" t="inlineStr">
        <is>
          <t>Q</t>
        </is>
      </c>
      <c r="B51" s="47" t="inlineStr">
        <is>
          <t>“What happens if the volume assumption is wrong?”</t>
        </is>
      </c>
      <c r="C51" s="48" t="inlineStr">
        <is>
          <t>One cell: Assumptions B4. Volume only touches amortisation (tooling, fixtures, equipment) — material, process and labour are per-piece and unaffected. At 72k/yr the fascia carries ₹50 of tooling; at 36k/yr it would carry ₹100. Test any scenario in seconds by editing the cell.</t>
        </is>
      </c>
      <c r="D51" s="43" t="inlineStr">
        <is>
          <t>Current volume</t>
        </is>
      </c>
    </row>
    <row r="52">
      <c r="D52" s="53">
        <f>Assumptions!$B$4</f>
        <v/>
      </c>
    </row>
    <row r="53" ht="66" customHeight="1">
      <c r="A53" s="46" t="inlineStr">
        <is>
          <t>Q</t>
        </is>
      </c>
      <c r="B53" s="47" t="inlineStr">
        <is>
          <t>“Why is tooling inside the piece price?”</t>
        </is>
      </c>
      <c r="C53" s="48" t="inlineStr">
        <is>
          <t>Convention for should-cost comparisons — most Indian RFQs quote amortised piece price. If our programme pays tooling as a separate one-time invoice, zero out column S on Parts Costing; the piece prices drop and the Tooling sheet still shows the ₹ Cr investment to negotiate separately.</t>
        </is>
      </c>
      <c r="D53" s="43" t="inlineStr">
        <is>
          <t>Tooling investment ₹</t>
        </is>
      </c>
    </row>
    <row r="54">
      <c r="D54" s="44">
        <f>Tooling!B7</f>
        <v/>
      </c>
    </row>
    <row r="55" ht="66" customHeight="1">
      <c r="A55" s="46" t="inlineStr">
        <is>
          <t>Q</t>
        </is>
      </c>
      <c r="B55" s="47" t="inlineStr">
        <is>
          <t>“Are the part weights real?”</t>
        </is>
      </c>
      <c r="C55" s="48" t="inlineStr">
        <is>
          <t>They are engineering estimates from typical B-segment bumper benchmarks (fascia 4.2 kg, beam 4.8 kg…). They sit in yellow cells on Parts Costing — replace them with CAD or weighed actuals and the model tightens immediately. Until then treat the result as a ±15–20% class estimate.</t>
        </is>
      </c>
      <c r="D55" s="31" t="n"/>
    </row>
    <row r="56" ht="66" customHeight="1">
      <c r="A56" s="49" t="inlineStr">
        <is>
          <t>Q</t>
        </is>
      </c>
      <c r="B56" s="50" t="inlineStr">
        <is>
          <t>“The part list says ABS for the grilles but you costed PP?”</t>
        </is>
      </c>
      <c r="C56" s="51" t="inlineStr">
        <is>
          <t>The exploded drawing says PP, the part list says ABS — a genuine document conflict, flagged rather than hidden. PP (textured black) is typical for this segment, so PP was used. To switch: change the material price reference on the two grille rows to the ABS cell — roughly +₹50/kg on ~1.2 kg of parts.</t>
        </is>
      </c>
      <c r="D56" s="52" t="n"/>
    </row>
    <row r="57" ht="66" customHeight="1">
      <c r="A57" s="46" t="inlineStr">
        <is>
          <t>Q</t>
        </is>
      </c>
      <c r="B57" s="47" t="inlineStr">
        <is>
          <t>“What is included and what is not?”</t>
        </is>
      </c>
      <c r="C57" s="48" t="inlineStr">
        <is>
          <t>Included: material, process, labour, tooling amortisation, factory overhead, SG&amp;A, profit, assembly, returnable packaging — ex-works supplier. Excluded (by should-cost convention): freight to OEM plant, GST/duties, warranty provisions, ED&amp;D. Add a logistics line if you need landed cost.</t>
        </is>
      </c>
      <c r="D57" s="31" t="n"/>
    </row>
    <row r="58" ht="66" customHeight="1">
      <c r="A58" s="49" t="inlineStr">
        <is>
          <t>Q</t>
        </is>
      </c>
      <c r="B58" s="50" t="inlineStr">
        <is>
          <t>“Isn't 40% overhead too high (or too low)?”</t>
        </is>
      </c>
      <c r="C58" s="51" t="inlineStr">
        <is>
          <t>It is applied on conversion only (process + labour), NOT on material — so it is a much smaller ₹ than it sounds. 35–50% on conversion is the normal band for Indian tier-1 plastics/stamping plants. It is one editable cell (Assumptions B38) if our benchmark differs.</t>
        </is>
      </c>
      <c r="D58" s="52" t="n"/>
    </row>
    <row r="59" ht="66" customHeight="1">
      <c r="A59" s="46" t="inlineStr">
        <is>
          <t>Q</t>
        </is>
      </c>
      <c r="B59" s="47" t="inlineStr">
        <is>
          <t>“How much margin did we allow the supplier?”</t>
        </is>
      </c>
      <c r="C59" s="48" t="inlineStr">
        <is>
          <t>SG&amp;A 8% + profit 10%, both visible and editable. Together they are the negotiation band: a quote at our number ±5% is honest; a quote 25% above it needs a line-by-line conversation — and this workbook is exactly the agenda for that conversation.</t>
        </is>
      </c>
      <c r="D59" s="31" t="n"/>
    </row>
    <row r="60" ht="66" customHeight="1">
      <c r="A60" s="49" t="inlineStr">
        <is>
          <t>Q</t>
        </is>
      </c>
      <c r="B60" s="50" t="inlineStr">
        <is>
          <t>“Which parts carry the most cost?”</t>
        </is>
      </c>
      <c r="C60" s="51" t="inlineStr">
        <is>
          <t>Painted fascia (~₹1,136 = moulding + body-colour paint), then the steel reinforcement beam (~₹442), then the energy absorber (EPP is a premium imported material). Everything else is small brackets and covers below ₹120. In bought-out: the radar alone is more than the entire painted fascia.</t>
        </is>
      </c>
      <c r="D60" s="54" t="inlineStr">
        <is>
          <t>Painted fascia ₹</t>
        </is>
      </c>
    </row>
    <row r="61">
      <c r="D61" s="44">
        <f>'Parts Costing'!Y4+'Parts Costing'!Y5</f>
        <v/>
      </c>
    </row>
    <row r="62" ht="66" customHeight="1">
      <c r="A62" s="49" t="inlineStr">
        <is>
          <t>Q</t>
        </is>
      </c>
      <c r="B62" s="50" t="inlineStr">
        <is>
          <t>“Can we use this in a supplier negotiation?”</t>
        </is>
      </c>
      <c r="C62" s="51" t="inlineStr">
        <is>
          <t>Yes — that is its purpose. Hand the supplier the same structure and ask them to fill THEIR numbers: where their material price, cycle time or overhead differs from ours, that specific cell becomes the discussion. Suppliers concede far more against a bottom-up model than against “please give 5% discount”.</t>
        </is>
      </c>
      <c r="D62" s="52" t="n"/>
    </row>
    <row r="63" ht="66" customHeight="1">
      <c r="A63" s="46" t="inlineStr">
        <is>
          <t>Q</t>
        </is>
      </c>
      <c r="B63" s="47" t="inlineStr">
        <is>
          <t>“Why does paint cost ₹338 when the paint material is only ₹160?”</t>
        </is>
      </c>
      <c r="C63" s="48" t="inlineStr">
        <is>
          <t>Body-colour painting is a process cost, not a material cost: a robotic paint line at ₹2,400/hr with booth energy and ventilation, ~110 s per bumper, plus overhead and margin on that conversion. If the fascia is supplied moulded-in-colour, delete the paint row — the model drops it cleanly.</t>
        </is>
      </c>
      <c r="D63" s="43" t="inlineStr">
        <is>
          <t>Paint line item ₹</t>
        </is>
      </c>
    </row>
    <row r="64">
      <c r="D64" s="44">
        <f>'Parts Costing'!Y5</f>
        <v/>
      </c>
    </row>
    <row r="65" ht="66" customHeight="1">
      <c r="A65" s="46" t="inlineStr">
        <is>
          <t>Q</t>
        </is>
      </c>
      <c r="B65" s="47" t="inlineStr">
        <is>
          <t>“4 parking sensors or 8?”</t>
        </is>
      </c>
      <c r="C65" s="48" t="inlineStr">
        <is>
          <t>Base trim = 4 (assumed), top trim = 8. One cell — Assumptions B44 — drives the sensor count, the holder count and the bought-out total together.</t>
        </is>
      </c>
      <c r="D65" s="31" t="n"/>
    </row>
    <row r="66" ht="66" customHeight="1">
      <c r="A66" s="49" t="inlineStr">
        <is>
          <t>Q</t>
        </is>
      </c>
      <c r="B66" s="50" t="inlineStr">
        <is>
          <t>“How would we make this part cheaper?”</t>
        </is>
      </c>
      <c r="C66" s="51" t="inlineStr">
        <is>
          <t>The levers, in order of size: (1) delete/reduce paint (moulded-in-colour saves ~₹338), (2) resin contract price — every ₹10/kg on TPO is ~₹37 on the fascia, (3) volume pooling to spread tooling, (4) runner regrind reuse instead of selling scrap, (5) beam gauge/grade optimisation. All 15 ideas are quantified in the green COST-SAVING IDEAS table on the Summary sheet — the total indicative potential is shown live on the right.</t>
        </is>
      </c>
      <c r="D66" s="54" t="inlineStr">
        <is>
          <t>Savings potential ₹/veh</t>
        </is>
      </c>
    </row>
    <row r="67">
      <c r="D67" s="44">
        <f>Summary!D69</f>
        <v/>
      </c>
    </row>
  </sheetData>
  <mergeCells count="6">
    <mergeCell ref="A1:D1"/>
    <mergeCell ref="A20:D20"/>
    <mergeCell ref="A3:D3"/>
    <mergeCell ref="A2:D2"/>
    <mergeCell ref="A33:D33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78" customWidth="1" min="4" max="4"/>
  </cols>
  <sheetData>
    <row r="1" ht="30" customHeight="1">
      <c r="A1" s="1" t="inlineStr">
        <is>
          <t>CostVision — Should-Cost Assumptions &amp; Rate Card (India, 2026)</t>
        </is>
      </c>
    </row>
    <row r="2" ht="18" customHeight="1">
      <c r="A2" s="2" t="inlineStr">
        <is>
          <t>Every figure below is an input — edit any cell and the whole workbook recalculates. Sources: India tier-1 benchmarks, July 2026.</t>
        </is>
      </c>
    </row>
    <row r="3">
      <c r="A3" s="55" t="inlineStr">
        <is>
          <t>PROGRAMME</t>
        </is>
      </c>
    </row>
    <row r="4">
      <c r="A4" s="56" t="inlineStr">
        <is>
          <t>Annual vehicle volume</t>
        </is>
      </c>
      <c r="B4" s="57" t="n">
        <v>72000</v>
      </c>
      <c r="C4" s="23" t="inlineStr">
        <is>
          <t>veh/yr</t>
        </is>
      </c>
      <c r="D4" s="23" t="inlineStr">
        <is>
          <t>Altroz-class volume assumption — EDIT to your programme volume; all amortisation recalculates.</t>
        </is>
      </c>
    </row>
    <row r="5">
      <c r="A5" s="56" t="inlineStr">
        <is>
          <t>Tooling amortisation period</t>
        </is>
      </c>
      <c r="B5" s="58" t="n">
        <v>5</v>
      </c>
      <c r="C5" s="23" t="inlineStr">
        <is>
          <t>years</t>
        </is>
      </c>
      <c r="D5" s="23" t="inlineStr">
        <is>
          <t>Tooling amortised into piece price over volume × years (standard should-cost practice).</t>
        </is>
      </c>
    </row>
    <row r="6">
      <c r="A6" s="56" t="inlineStr">
        <is>
          <t>Currency</t>
        </is>
      </c>
      <c r="B6" s="58" t="inlineStr">
        <is>
          <t>INR</t>
        </is>
      </c>
      <c r="C6" s="23" t="inlineStr"/>
      <c r="D6" s="23" t="inlineStr">
        <is>
          <t>All values in Indian Rupees, ex-works supplier (logistics to OEM excluded).</t>
        </is>
      </c>
    </row>
    <row r="7">
      <c r="A7" s="56" t="inlineStr">
        <is>
          <t>FX reference</t>
        </is>
      </c>
      <c r="B7" s="57" t="n">
        <v>106</v>
      </c>
      <c r="C7" s="23" t="inlineStr">
        <is>
          <t>INR/GBP</t>
        </is>
      </c>
      <c r="D7" s="23" t="inlineStr">
        <is>
          <t>Reference only — no conversion applied in this workbook.</t>
        </is>
      </c>
    </row>
    <row r="9">
      <c r="A9" s="55" t="inlineStr">
        <is>
          <t>MATERIAL PRICES  (₹/kg, delivered India plant)</t>
        </is>
      </c>
    </row>
    <row r="10">
      <c r="A10" s="56" t="inlineStr">
        <is>
          <t>PP (black, textured grade)</t>
        </is>
      </c>
      <c r="B10" s="59" t="n">
        <v>112</v>
      </c>
      <c r="C10" s="23" t="inlineStr">
        <is>
          <t>₹/kg</t>
        </is>
      </c>
      <c r="D10" s="23" t="inlineStr">
        <is>
          <t>PP copolymer ₹110–120/kg India spot (OfBusiness, Jul 2026); OEM contract mid-range.</t>
        </is>
      </c>
    </row>
    <row r="11">
      <c r="A11" s="56" t="inlineStr">
        <is>
          <t>PP+EPDM (TPO bumper grade)</t>
        </is>
      </c>
      <c r="B11" s="59" t="n">
        <v>155</v>
      </c>
      <c r="C11" s="23" t="inlineStr">
        <is>
          <t>₹/kg</t>
        </is>
      </c>
      <c r="D11" s="23" t="inlineStr">
        <is>
          <t>PP copolymer + EPDM/talc compounding premium ~₹35–45/kg; paintable bumper grade.</t>
        </is>
      </c>
    </row>
    <row r="12">
      <c r="A12" s="56" t="inlineStr">
        <is>
          <t>ABS (plating/paint grade)</t>
        </is>
      </c>
      <c r="B12" s="59" t="n">
        <v>158</v>
      </c>
      <c r="C12" s="23" t="inlineStr">
        <is>
          <t>₹/kg</t>
        </is>
      </c>
      <c r="D12" s="23" t="inlineStr">
        <is>
          <t>ABS coloured/auto grade ₹155–170/kg India (OfBusiness, Jul 2026).</t>
        </is>
      </c>
    </row>
    <row r="13">
      <c r="A13" s="56" t="inlineStr">
        <is>
          <t>EPP beads (45 g/l)</t>
        </is>
      </c>
      <c r="B13" s="59" t="n">
        <v>700</v>
      </c>
      <c r="C13" s="23" t="inlineStr">
        <is>
          <t>₹/kg</t>
        </is>
      </c>
      <c r="D13" s="23" t="inlineStr">
        <is>
          <t>Delivered India automotive grade (imported beads + duty + freight); FOB China ~₹330 — corrected per procurement input.</t>
        </is>
      </c>
    </row>
    <row r="14">
      <c r="A14" s="56" t="inlineStr">
        <is>
          <t>POM (clips)</t>
        </is>
      </c>
      <c r="B14" s="59" t="n">
        <v>210</v>
      </c>
      <c r="C14" s="23" t="inlineStr">
        <is>
          <t>₹/kg</t>
        </is>
      </c>
      <c r="D14" s="23" t="inlineStr">
        <is>
          <t>Reference for clip costing (bought-out set used instead).</t>
        </is>
      </c>
    </row>
    <row r="15">
      <c r="A15" s="56" t="inlineStr">
        <is>
          <t>High-strength steel sheet (HR, 590+)</t>
        </is>
      </c>
      <c r="B15" s="59" t="n">
        <v>68</v>
      </c>
      <c r="C15" s="23" t="inlineStr">
        <is>
          <t>₹/kg</t>
        </is>
      </c>
      <c r="D15" s="23" t="inlineStr">
        <is>
          <t>For reinforcement beam &amp; steel brackets.</t>
        </is>
      </c>
    </row>
    <row r="16">
      <c r="A16" s="56" t="inlineStr">
        <is>
          <t>Steel scrap credit</t>
        </is>
      </c>
      <c r="B16" s="59" t="n">
        <v>32</v>
      </c>
      <c r="C16" s="23" t="inlineStr">
        <is>
          <t>₹/kg</t>
        </is>
      </c>
      <c r="D16" s="23" t="inlineStr">
        <is>
          <t>Offal / engineered scrap sold back.</t>
        </is>
      </c>
    </row>
    <row r="17">
      <c r="A17" s="56" t="inlineStr">
        <is>
          <t>Plastic regrind credit</t>
        </is>
      </c>
      <c r="B17" s="59" t="n">
        <v>40</v>
      </c>
      <c r="C17" s="23" t="inlineStr">
        <is>
          <t>₹/kg</t>
        </is>
      </c>
      <c r="D17" s="23" t="inlineStr">
        <is>
          <t>Runner/sprue regrind value (where not reused).</t>
        </is>
      </c>
    </row>
    <row r="18">
      <c r="A18" s="56" t="inlineStr">
        <is>
          <t>Paint material per bumper (primer+base+clear)</t>
        </is>
      </c>
      <c r="B18" s="59" t="n">
        <v>160</v>
      </c>
      <c r="C18" s="23" t="inlineStr">
        <is>
          <t>₹/unit</t>
        </is>
      </c>
      <c r="D18" s="23" t="inlineStr">
        <is>
          <t>Body-colour robotic paint, material only.</t>
        </is>
      </c>
    </row>
    <row r="20">
      <c r="A20" s="55" t="inlineStr">
        <is>
          <t>MACHINE RATES  (₹/hr — includes depreciation, energy @ ₹8.5/kWh, maintenance, floor space, supervision)</t>
        </is>
      </c>
    </row>
    <row r="21">
      <c r="A21" s="56" t="inlineStr">
        <is>
          <t>Injection moulding 1500T</t>
        </is>
      </c>
      <c r="B21" s="60" t="n">
        <v>2100</v>
      </c>
      <c r="C21" s="23" t="inlineStr">
        <is>
          <t>₹/hr</t>
        </is>
      </c>
      <c r="D21" s="23" t="inlineStr">
        <is>
          <t>For bumper fascia.</t>
        </is>
      </c>
    </row>
    <row r="22">
      <c r="A22" s="56" t="inlineStr">
        <is>
          <t>Injection moulding 800T</t>
        </is>
      </c>
      <c r="B22" s="60" t="n">
        <v>1150</v>
      </c>
      <c r="C22" s="23" t="inlineStr">
        <is>
          <t>₹/hr</t>
        </is>
      </c>
      <c r="D22" s="23" t="inlineStr">
        <is>
          <t>Spare class (unused by default).</t>
        </is>
      </c>
    </row>
    <row r="23">
      <c r="A23" s="56" t="inlineStr">
        <is>
          <t>Injection moulding 450T</t>
        </is>
      </c>
      <c r="B23" s="60" t="n">
        <v>700</v>
      </c>
      <c r="C23" s="23" t="inlineStr">
        <is>
          <t>₹/hr</t>
        </is>
      </c>
      <c r="D23" s="23" t="inlineStr">
        <is>
          <t>Grilles, air deflector.</t>
        </is>
      </c>
    </row>
    <row r="24">
      <c r="A24" s="56" t="inlineStr">
        <is>
          <t>Injection moulding 250T</t>
        </is>
      </c>
      <c r="B24" s="60" t="n">
        <v>520</v>
      </c>
      <c r="C24" s="23" t="inlineStr">
        <is>
          <t>₹/hr</t>
        </is>
      </c>
      <c r="D24" s="23" t="inlineStr">
        <is>
          <t>Bezels, wheel-arch retainers.</t>
        </is>
      </c>
    </row>
    <row r="25">
      <c r="A25" s="56" t="inlineStr">
        <is>
          <t>Injection moulding 150T</t>
        </is>
      </c>
      <c r="B25" s="60" t="n">
        <v>400</v>
      </c>
      <c r="C25" s="23" t="inlineStr">
        <is>
          <t>₹/hr</t>
        </is>
      </c>
      <c r="D25" s="23" t="inlineStr">
        <is>
          <t>Small brackets, holders, covers.</t>
        </is>
      </c>
    </row>
    <row r="26">
      <c r="A26" s="56" t="inlineStr">
        <is>
          <t>EPP shape-moulding machine</t>
        </is>
      </c>
      <c r="B26" s="60" t="n">
        <v>650</v>
      </c>
      <c r="C26" s="23" t="inlineStr">
        <is>
          <t>₹/hr</t>
        </is>
      </c>
      <c r="D26" s="23" t="inlineStr">
        <is>
          <t>Steam-chest moulding for energy absorber.</t>
        </is>
      </c>
    </row>
    <row r="27">
      <c r="A27" s="56" t="inlineStr">
        <is>
          <t>Progressive press 250T (with feeder)</t>
        </is>
      </c>
      <c r="B27" s="60" t="n">
        <v>900</v>
      </c>
      <c r="C27" s="23" t="inlineStr">
        <is>
          <t>₹/hr</t>
        </is>
      </c>
      <c r="D27" s="23" t="inlineStr">
        <is>
          <t>Steel beam brackets.</t>
        </is>
      </c>
    </row>
    <row r="28">
      <c r="A28" s="56" t="inlineStr">
        <is>
          <t>Rollform + pierce + sweep line</t>
        </is>
      </c>
      <c r="B28" s="60" t="n">
        <v>1600</v>
      </c>
      <c r="C28" s="23" t="inlineStr">
        <is>
          <t>₹/hr</t>
        </is>
      </c>
      <c r="D28" s="23" t="inlineStr">
        <is>
          <t>Reinforcement beam forming.</t>
        </is>
      </c>
    </row>
    <row r="29">
      <c r="A29" s="56" t="inlineStr">
        <is>
          <t>MIG/spot weld cell</t>
        </is>
      </c>
      <c r="B29" s="60" t="n">
        <v>800</v>
      </c>
      <c r="C29" s="23" t="inlineStr">
        <is>
          <t>₹/hr</t>
        </is>
      </c>
      <c r="D29" s="23" t="inlineStr">
        <is>
          <t>Beam bracket welding.</t>
        </is>
      </c>
    </row>
    <row r="30">
      <c r="A30" s="56" t="inlineStr">
        <is>
          <t>Robotic paint line (bumper)</t>
        </is>
      </c>
      <c r="B30" s="60" t="n">
        <v>2400</v>
      </c>
      <c r="C30" s="23" t="inlineStr">
        <is>
          <t>₹/hr</t>
        </is>
      </c>
      <c r="D30" s="23" t="inlineStr">
        <is>
          <t>Conveyorised, incl. booth energy &amp; ventilation.</t>
        </is>
      </c>
    </row>
    <row r="32">
      <c r="A32" s="55" t="inlineStr">
        <is>
          <t>LABOUR RATES  (₹/hr, fully loaded — wages + statutory + benefits + supervision share)</t>
        </is>
      </c>
    </row>
    <row r="33">
      <c r="A33" s="56" t="inlineStr">
        <is>
          <t>Operator (semi-skilled)</t>
        </is>
      </c>
      <c r="B33" s="60" t="n">
        <v>190</v>
      </c>
      <c r="C33" s="23" t="inlineStr">
        <is>
          <t>₹/hr</t>
        </is>
      </c>
      <c r="D33" s="23" t="inlineStr">
        <is>
          <t>Press/moulding/assembly operator.</t>
        </is>
      </c>
    </row>
    <row r="34">
      <c r="A34" s="56" t="inlineStr">
        <is>
          <t>Skilled (setter / welder / painter)</t>
        </is>
      </c>
      <c r="B34" s="60" t="n">
        <v>260</v>
      </c>
      <c r="C34" s="23" t="inlineStr">
        <is>
          <t>₹/hr</t>
        </is>
      </c>
      <c r="D34" s="23" t="inlineStr"/>
    </row>
    <row r="35">
      <c r="A35" s="56" t="inlineStr">
        <is>
          <t>Quality inspector</t>
        </is>
      </c>
      <c r="B35" s="60" t="n">
        <v>230</v>
      </c>
      <c r="C35" s="23" t="inlineStr">
        <is>
          <t>₹/hr</t>
        </is>
      </c>
      <c r="D35" s="23" t="inlineStr">
        <is>
          <t>End-of-line checks.</t>
        </is>
      </c>
    </row>
    <row r="37">
      <c r="A37" s="55" t="inlineStr">
        <is>
          <t>COMMERCIAL FACTORS</t>
        </is>
      </c>
    </row>
    <row r="38">
      <c r="A38" s="56" t="inlineStr">
        <is>
          <t>Factory overhead (on conversion cost)</t>
        </is>
      </c>
      <c r="B38" s="61" t="n">
        <v>0.4</v>
      </c>
      <c r="C38" s="23" t="inlineStr">
        <is>
          <t>%</t>
        </is>
      </c>
      <c r="D38" s="23" t="inlineStr">
        <is>
          <t>Indirect staff, utilities, quality system, maintenance overheads.</t>
        </is>
      </c>
    </row>
    <row r="39">
      <c r="A39" s="56" t="inlineStr">
        <is>
          <t>SG&amp;A</t>
        </is>
      </c>
      <c r="B39" s="61" t="n">
        <v>0.08</v>
      </c>
      <c r="C39" s="23" t="inlineStr">
        <is>
          <t>%</t>
        </is>
      </c>
      <c r="D39" s="23" t="inlineStr">
        <is>
          <t>Sales, general &amp; administrative on manufacturing cost.</t>
        </is>
      </c>
    </row>
    <row r="40">
      <c r="A40" s="56" t="inlineStr">
        <is>
          <t>Profit</t>
        </is>
      </c>
      <c r="B40" s="61" t="n">
        <v>0.1</v>
      </c>
      <c r="C40" s="23" t="inlineStr">
        <is>
          <t>%</t>
        </is>
      </c>
      <c r="D40" s="23" t="inlineStr">
        <is>
          <t>Supplier margin on manufacturing cost + SG&amp;A.</t>
        </is>
      </c>
    </row>
    <row r="41">
      <c r="A41" s="56" t="inlineStr">
        <is>
          <t>Bought-out handling &amp; inbound</t>
        </is>
      </c>
      <c r="B41" s="61" t="n">
        <v>0.03</v>
      </c>
      <c r="C41" s="23" t="inlineStr">
        <is>
          <t>%</t>
        </is>
      </c>
      <c r="D41" s="23" t="inlineStr">
        <is>
          <t>Applied to bought-out (pass-through) items.</t>
        </is>
      </c>
    </row>
    <row r="42">
      <c r="A42" s="56" t="inlineStr">
        <is>
          <t>Assembly overhead (on assembly conversion)</t>
        </is>
      </c>
      <c r="B42" s="61" t="n">
        <v>0.45</v>
      </c>
      <c r="C42" s="23" t="inlineStr">
        <is>
          <t>%</t>
        </is>
      </c>
      <c r="D42" s="23" t="inlineStr">
        <is>
          <t>Line management, MHE, utilities at assembly plant.</t>
        </is>
      </c>
    </row>
    <row r="43">
      <c r="A43" s="56" t="inlineStr">
        <is>
          <t>Packaging per finished assembly</t>
        </is>
      </c>
      <c r="B43" s="59" t="n">
        <v>55</v>
      </c>
      <c r="C43" s="23" t="inlineStr">
        <is>
          <t>₹/unit</t>
        </is>
      </c>
      <c r="D43" s="23" t="inlineStr">
        <is>
          <t>Returnable dunnage trip cost, amortised.</t>
        </is>
      </c>
    </row>
    <row r="44">
      <c r="A44" s="56" t="inlineStr">
        <is>
          <t>Parking sensors fitted</t>
        </is>
      </c>
      <c r="B44" s="62" t="n">
        <v>4</v>
      </c>
      <c r="C44" s="23" t="inlineStr">
        <is>
          <t>pcs</t>
        </is>
      </c>
      <c r="D44" s="23" t="inlineStr">
        <is>
          <t>Part list says 4–8 — set 4 (base) to 8 (top trim); sensors, holders &amp; BOM recalc.</t>
        </is>
      </c>
    </row>
  </sheetData>
  <mergeCells count="7">
    <mergeCell ref="A1:D1"/>
    <mergeCell ref="A37:D37"/>
    <mergeCell ref="A9:D9"/>
    <mergeCell ref="A20:D20"/>
    <mergeCell ref="A3:D3"/>
    <mergeCell ref="A2:D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7" customWidth="1" min="4" max="4"/>
    <col width="7" customWidth="1" min="5" max="5"/>
    <col width="10" customWidth="1" min="6" max="6"/>
    <col width="8" customWidth="1" min="7" max="7"/>
    <col width="11" customWidth="1" min="8" max="8"/>
    <col width="11" customWidth="1" min="9" max="9"/>
    <col width="11" customWidth="1" min="10" max="10"/>
    <col width="15" customWidth="1" min="11" max="11"/>
    <col width="11" customWidth="1" min="12" max="12"/>
    <col width="8" customWidth="1" min="13" max="13"/>
    <col width="6" customWidth="1" min="14" max="14"/>
    <col width="11" customWidth="1" min="15" max="15"/>
    <col width="8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1" customWidth="1" min="22" max="22"/>
    <col width="9" customWidth="1" min="23" max="23"/>
    <col width="9" customWidth="1" min="24" max="24"/>
    <col width="12" customWidth="1" min="25" max="25"/>
    <col width="12" customWidth="1" min="26" max="26"/>
    <col width="16" customWidth="1" min="27" max="27"/>
  </cols>
  <sheetData>
    <row r="1" ht="30" customHeight="1">
      <c r="A1" s="1" t="inlineStr">
        <is>
          <t>Parts Costing — bottom-up build-up per manufactured part</t>
        </is>
      </c>
    </row>
    <row r="2" ht="18" customHeight="1">
      <c r="A2" s="2" t="inlineStr">
        <is>
          <t>Yellow cells are inputs (masses/cycles are engineering estimates — replace with actuals when available). All ₹ columns are live formulas.</t>
        </is>
      </c>
    </row>
    <row r="3" ht="30" customHeight="1">
      <c r="A3" s="3" t="inlineStr">
        <is>
          <t>Sr</t>
        </is>
      </c>
      <c r="B3" s="3" t="inlineStr">
        <is>
          <t>Part / Operation</t>
        </is>
      </c>
      <c r="C3" s="3" t="inlineStr">
        <is>
          <t>Process</t>
        </is>
      </c>
      <c r="D3" s="3" t="inlineStr">
        <is>
          <t>Material</t>
        </is>
      </c>
      <c r="E3" s="3" t="inlineStr">
        <is>
          <t>Qty/veh</t>
        </is>
      </c>
      <c r="F3" s="3" t="inlineStr">
        <is>
          <t>Net mass (kg)</t>
        </is>
      </c>
      <c r="G3" s="3" t="inlineStr">
        <is>
          <t>Scrap %</t>
        </is>
      </c>
      <c r="H3" s="3" t="inlineStr">
        <is>
          <t>Mat. price (₹/kg)</t>
        </is>
      </c>
      <c r="I3" s="3" t="inlineStr">
        <is>
          <t>Scrap credit (₹/kg)</t>
        </is>
      </c>
      <c r="J3" s="3" t="inlineStr">
        <is>
          <t>Material ₹</t>
        </is>
      </c>
      <c r="K3" s="3" t="inlineStr">
        <is>
          <t>Machine / Line</t>
        </is>
      </c>
      <c r="L3" s="3" t="inlineStr">
        <is>
          <t>Machine rate (₹/hr)</t>
        </is>
      </c>
      <c r="M3" s="3" t="inlineStr">
        <is>
          <t>Cycle (s)</t>
        </is>
      </c>
      <c r="N3" s="3" t="inlineStr">
        <is>
          <t>Cav.</t>
        </is>
      </c>
      <c r="O3" s="3" t="inlineStr">
        <is>
          <t>Process ₹</t>
        </is>
      </c>
      <c r="P3" s="3" t="inlineStr">
        <is>
          <t>Manning</t>
        </is>
      </c>
      <c r="Q3" s="3" t="inlineStr">
        <is>
          <t>Labour rate (₹/hr)</t>
        </is>
      </c>
      <c r="R3" s="3" t="inlineStr">
        <is>
          <t>Labour ₹</t>
        </is>
      </c>
      <c r="S3" s="3" t="inlineStr">
        <is>
          <t>Tool cost ₹ (total)</t>
        </is>
      </c>
      <c r="T3" s="3" t="inlineStr">
        <is>
          <t>Tool amort ₹/pc</t>
        </is>
      </c>
      <c r="U3" s="3" t="inlineStr">
        <is>
          <t>Overhead ₹</t>
        </is>
      </c>
      <c r="V3" s="3" t="inlineStr">
        <is>
          <t>Mfg cost ₹</t>
        </is>
      </c>
      <c r="W3" s="3" t="inlineStr">
        <is>
          <t>SG&amp;A ₹</t>
        </is>
      </c>
      <c r="X3" s="3" t="inlineStr">
        <is>
          <t>Profit ₹</t>
        </is>
      </c>
      <c r="Y3" s="3" t="inlineStr">
        <is>
          <t>Unit price ₹</t>
        </is>
      </c>
      <c r="Z3" s="3" t="inlineStr">
        <is>
          <t>Extended ₹/veh</t>
        </is>
      </c>
      <c r="AA3" s="3" t="inlineStr">
        <is>
          <t>Photo</t>
        </is>
      </c>
    </row>
    <row r="4" ht="44" customHeight="1">
      <c r="A4" s="63" t="n">
        <v>1</v>
      </c>
      <c r="B4" s="64" t="inlineStr">
        <is>
          <t>Front bumper fascia</t>
        </is>
      </c>
      <c r="C4" s="65" t="inlineStr">
        <is>
          <t>Injection moulding</t>
        </is>
      </c>
      <c r="D4" s="65" t="inlineStr">
        <is>
          <t>PP+EPDM (TPO)</t>
        </is>
      </c>
      <c r="E4" s="63" t="n">
        <v>1</v>
      </c>
      <c r="F4" s="66" t="n">
        <v>3.6</v>
      </c>
      <c r="G4" s="67" t="n">
        <v>0.04</v>
      </c>
      <c r="H4" s="68">
        <f>Assumptions!$B$11</f>
        <v/>
      </c>
      <c r="I4" s="68">
        <f>Assumptions!$B$17</f>
        <v/>
      </c>
      <c r="J4" s="68">
        <f>F4*(1+G4)*H4-F4*G4*I4</f>
        <v/>
      </c>
      <c r="K4" s="65" t="inlineStr">
        <is>
          <t>IMM 1500T</t>
        </is>
      </c>
      <c r="L4" s="69">
        <f>Assumptions!$B$21</f>
        <v/>
      </c>
      <c r="M4" s="70" t="n">
        <v>55</v>
      </c>
      <c r="N4" s="71" t="n">
        <v>1</v>
      </c>
      <c r="O4" s="68">
        <f>M4*L4/3600/N4</f>
        <v/>
      </c>
      <c r="P4" s="71" t="n">
        <v>0.5</v>
      </c>
      <c r="Q4" s="69">
        <f>Assumptions!$B$33</f>
        <v/>
      </c>
      <c r="R4" s="68">
        <f>M4*P4*Q4/3600/N4</f>
        <v/>
      </c>
      <c r="S4" s="72" t="n">
        <v>18000000</v>
      </c>
      <c r="T4" s="68">
        <f>S4/(Assumptions!$B$4*Assumptions!$B$5*E4)</f>
        <v/>
      </c>
      <c r="U4" s="68">
        <f>(O4+R4)*Assumptions!$B$38</f>
        <v/>
      </c>
      <c r="V4" s="68">
        <f>J4+O4+R4+T4+U4</f>
        <v/>
      </c>
      <c r="W4" s="68">
        <f>V4*Assumptions!$B$39</f>
        <v/>
      </c>
      <c r="X4" s="68">
        <f>(V4+W4)*Assumptions!$B$40</f>
        <v/>
      </c>
      <c r="Y4" s="73">
        <f>V4+W4+X4</f>
        <v/>
      </c>
      <c r="Z4" s="73">
        <f>Y4*E4</f>
        <v/>
      </c>
    </row>
    <row r="5" ht="44" customHeight="1">
      <c r="A5" s="74" t="n">
        <v>2</v>
      </c>
      <c r="B5" s="75" t="inlineStr">
        <is>
          <t>Painting — fascia, body colour</t>
        </is>
      </c>
      <c r="C5" s="76" t="inlineStr">
        <is>
          <t>Robotic paint (P+B+C)</t>
        </is>
      </c>
      <c r="D5" s="76" t="inlineStr">
        <is>
          <t>Paint system</t>
        </is>
      </c>
      <c r="E5" s="74" t="n">
        <v>1</v>
      </c>
      <c r="F5" s="74" t="n"/>
      <c r="G5" s="74" t="n"/>
      <c r="H5" s="74" t="n"/>
      <c r="I5" s="74" t="n"/>
      <c r="J5" s="77">
        <f>Assumptions!$B$18</f>
        <v/>
      </c>
      <c r="K5" s="76" t="inlineStr">
        <is>
          <t>Paint line</t>
        </is>
      </c>
      <c r="L5" s="78">
        <f>Assumptions!$B$30</f>
        <v/>
      </c>
      <c r="M5" s="70" t="n">
        <v>110</v>
      </c>
      <c r="N5" s="71" t="n">
        <v>1</v>
      </c>
      <c r="O5" s="77">
        <f>M5*L5/3600/N5</f>
        <v/>
      </c>
      <c r="P5" s="71" t="n">
        <v>0.5</v>
      </c>
      <c r="Q5" s="78">
        <f>Assumptions!$B$34</f>
        <v/>
      </c>
      <c r="R5" s="77">
        <f>M5*P5*Q5/3600/N5</f>
        <v/>
      </c>
      <c r="S5" s="72" t="n">
        <v>6000000</v>
      </c>
      <c r="T5" s="77">
        <f>S5/(Assumptions!$B$4*Assumptions!$B$5*E5)</f>
        <v/>
      </c>
      <c r="U5" s="77">
        <f>(O5+R5)*Assumptions!$B$38</f>
        <v/>
      </c>
      <c r="V5" s="77">
        <f>J5+O5+R5+T5+U5</f>
        <v/>
      </c>
      <c r="W5" s="77">
        <f>V5*Assumptions!$B$39</f>
        <v/>
      </c>
      <c r="X5" s="77">
        <f>(V5+W5)*Assumptions!$B$40</f>
        <v/>
      </c>
      <c r="Y5" s="79">
        <f>V5+W5+X5</f>
        <v/>
      </c>
      <c r="Z5" s="79">
        <f>Y5*E5</f>
        <v/>
      </c>
    </row>
    <row r="6" ht="44" customHeight="1">
      <c r="A6" s="63" t="n">
        <v>3</v>
      </c>
      <c r="B6" s="64" t="inlineStr">
        <is>
          <t>Upper grille</t>
        </is>
      </c>
      <c r="C6" s="65" t="inlineStr">
        <is>
          <t>Injection moulding</t>
        </is>
      </c>
      <c r="D6" s="65" t="inlineStr">
        <is>
          <t>PP (textured)</t>
        </is>
      </c>
      <c r="E6" s="63" t="n">
        <v>1</v>
      </c>
      <c r="F6" s="66" t="n">
        <v>0.45</v>
      </c>
      <c r="G6" s="67" t="n">
        <v>0.05</v>
      </c>
      <c r="H6" s="68">
        <f>Assumptions!$B$10</f>
        <v/>
      </c>
      <c r="I6" s="68">
        <f>Assumptions!$B$17</f>
        <v/>
      </c>
      <c r="J6" s="68">
        <f>F6*(1+G6)*H6-F6*G6*I6</f>
        <v/>
      </c>
      <c r="K6" s="65" t="inlineStr">
        <is>
          <t>IMM 450T</t>
        </is>
      </c>
      <c r="L6" s="69">
        <f>Assumptions!$B$23</f>
        <v/>
      </c>
      <c r="M6" s="70" t="n">
        <v>32</v>
      </c>
      <c r="N6" s="71" t="n">
        <v>1</v>
      </c>
      <c r="O6" s="68">
        <f>M6*L6/3600/N6</f>
        <v/>
      </c>
      <c r="P6" s="71" t="n">
        <v>0.33</v>
      </c>
      <c r="Q6" s="69">
        <f>Assumptions!$B$33</f>
        <v/>
      </c>
      <c r="R6" s="68">
        <f>M6*P6*Q6/3600/N6</f>
        <v/>
      </c>
      <c r="S6" s="72" t="n">
        <v>5000000</v>
      </c>
      <c r="T6" s="68">
        <f>S6/(Assumptions!$B$4*Assumptions!$B$5*E6)</f>
        <v/>
      </c>
      <c r="U6" s="68">
        <f>(O6+R6)*Assumptions!$B$38</f>
        <v/>
      </c>
      <c r="V6" s="68">
        <f>J6+O6+R6+T6+U6</f>
        <v/>
      </c>
      <c r="W6" s="68">
        <f>V6*Assumptions!$B$39</f>
        <v/>
      </c>
      <c r="X6" s="68">
        <f>(V6+W6)*Assumptions!$B$40</f>
        <v/>
      </c>
      <c r="Y6" s="73">
        <f>V6+W6+X6</f>
        <v/>
      </c>
      <c r="Z6" s="73">
        <f>Y6*E6</f>
        <v/>
      </c>
    </row>
    <row r="7" ht="44" customHeight="1">
      <c r="A7" s="74" t="n">
        <v>4</v>
      </c>
      <c r="B7" s="75" t="inlineStr">
        <is>
          <t>Lower grille</t>
        </is>
      </c>
      <c r="C7" s="76" t="inlineStr">
        <is>
          <t>Injection moulding</t>
        </is>
      </c>
      <c r="D7" s="76" t="inlineStr">
        <is>
          <t>PP (textured)</t>
        </is>
      </c>
      <c r="E7" s="74" t="n">
        <v>1</v>
      </c>
      <c r="F7" s="66" t="n">
        <v>0.55</v>
      </c>
      <c r="G7" s="67" t="n">
        <v>0.05</v>
      </c>
      <c r="H7" s="77">
        <f>Assumptions!$B$10</f>
        <v/>
      </c>
      <c r="I7" s="77">
        <f>Assumptions!$B$17</f>
        <v/>
      </c>
      <c r="J7" s="77">
        <f>F7*(1+G7)*H7-F7*G7*I7</f>
        <v/>
      </c>
      <c r="K7" s="76" t="inlineStr">
        <is>
          <t>IMM 450T</t>
        </is>
      </c>
      <c r="L7" s="78">
        <f>Assumptions!$B$23</f>
        <v/>
      </c>
      <c r="M7" s="70" t="n">
        <v>38</v>
      </c>
      <c r="N7" s="71" t="n">
        <v>1</v>
      </c>
      <c r="O7" s="77">
        <f>M7*L7/3600/N7</f>
        <v/>
      </c>
      <c r="P7" s="71" t="n">
        <v>0.33</v>
      </c>
      <c r="Q7" s="78">
        <f>Assumptions!$B$33</f>
        <v/>
      </c>
      <c r="R7" s="77">
        <f>M7*P7*Q7/3600/N7</f>
        <v/>
      </c>
      <c r="S7" s="72" t="n">
        <v>5000000</v>
      </c>
      <c r="T7" s="77">
        <f>S7/(Assumptions!$B$4*Assumptions!$B$5*E7)</f>
        <v/>
      </c>
      <c r="U7" s="77">
        <f>(O7+R7)*Assumptions!$B$38</f>
        <v/>
      </c>
      <c r="V7" s="77">
        <f>J7+O7+R7+T7+U7</f>
        <v/>
      </c>
      <c r="W7" s="77">
        <f>V7*Assumptions!$B$39</f>
        <v/>
      </c>
      <c r="X7" s="77">
        <f>(V7+W7)*Assumptions!$B$40</f>
        <v/>
      </c>
      <c r="Y7" s="79">
        <f>V7+W7+X7</f>
        <v/>
      </c>
      <c r="Z7" s="79">
        <f>Y7*E7</f>
        <v/>
      </c>
    </row>
    <row r="8" ht="44" customHeight="1">
      <c r="A8" s="63" t="n">
        <v>5</v>
      </c>
      <c r="B8" s="64" t="inlineStr">
        <is>
          <t>Side bracket LH+RH (fascia)</t>
        </is>
      </c>
      <c r="C8" s="65" t="inlineStr">
        <is>
          <t>Injection moulding</t>
        </is>
      </c>
      <c r="D8" s="65" t="inlineStr">
        <is>
          <t>PP</t>
        </is>
      </c>
      <c r="E8" s="63" t="n">
        <v>2</v>
      </c>
      <c r="F8" s="66" t="n">
        <v>0.12</v>
      </c>
      <c r="G8" s="67" t="n">
        <v>0.04</v>
      </c>
      <c r="H8" s="68">
        <f>Assumptions!$B$10</f>
        <v/>
      </c>
      <c r="I8" s="68">
        <f>Assumptions!$B$17</f>
        <v/>
      </c>
      <c r="J8" s="68">
        <f>F8*(1+G8)*H8-F8*G8*I8</f>
        <v/>
      </c>
      <c r="K8" s="65" t="inlineStr">
        <is>
          <t>IMM 150T</t>
        </is>
      </c>
      <c r="L8" s="69">
        <f>Assumptions!$B$25</f>
        <v/>
      </c>
      <c r="M8" s="70" t="n">
        <v>26</v>
      </c>
      <c r="N8" s="71" t="n">
        <v>2</v>
      </c>
      <c r="O8" s="68">
        <f>M8*L8/3600/N8</f>
        <v/>
      </c>
      <c r="P8" s="71" t="n">
        <v>0.25</v>
      </c>
      <c r="Q8" s="69">
        <f>Assumptions!$B$33</f>
        <v/>
      </c>
      <c r="R8" s="68">
        <f>M8*P8*Q8/3600/N8</f>
        <v/>
      </c>
      <c r="S8" s="72" t="n">
        <v>1800000</v>
      </c>
      <c r="T8" s="68">
        <f>S8/(Assumptions!$B$4*Assumptions!$B$5*E8)</f>
        <v/>
      </c>
      <c r="U8" s="68">
        <f>(O8+R8)*Assumptions!$B$38</f>
        <v/>
      </c>
      <c r="V8" s="68">
        <f>J8+O8+R8+T8+U8</f>
        <v/>
      </c>
      <c r="W8" s="68">
        <f>V8*Assumptions!$B$39</f>
        <v/>
      </c>
      <c r="X8" s="68">
        <f>(V8+W8)*Assumptions!$B$40</f>
        <v/>
      </c>
      <c r="Y8" s="73">
        <f>V8+W8+X8</f>
        <v/>
      </c>
      <c r="Z8" s="73">
        <f>Y8*E8</f>
        <v/>
      </c>
    </row>
    <row r="9" ht="44" customHeight="1">
      <c r="A9" s="74" t="n">
        <v>6</v>
      </c>
      <c r="B9" s="75" t="inlineStr">
        <is>
          <t>Number / licence plate bracket</t>
        </is>
      </c>
      <c r="C9" s="76" t="inlineStr">
        <is>
          <t>Injection moulding</t>
        </is>
      </c>
      <c r="D9" s="76" t="inlineStr">
        <is>
          <t>PP</t>
        </is>
      </c>
      <c r="E9" s="74" t="n">
        <v>1</v>
      </c>
      <c r="F9" s="66" t="n">
        <v>0.18</v>
      </c>
      <c r="G9" s="67" t="n">
        <v>0.04</v>
      </c>
      <c r="H9" s="77">
        <f>Assumptions!$B$10</f>
        <v/>
      </c>
      <c r="I9" s="77">
        <f>Assumptions!$B$17</f>
        <v/>
      </c>
      <c r="J9" s="77">
        <f>F9*(1+G9)*H9-F9*G9*I9</f>
        <v/>
      </c>
      <c r="K9" s="76" t="inlineStr">
        <is>
          <t>IMM 150T</t>
        </is>
      </c>
      <c r="L9" s="78">
        <f>Assumptions!$B$25</f>
        <v/>
      </c>
      <c r="M9" s="70" t="n">
        <v>28</v>
      </c>
      <c r="N9" s="71" t="n">
        <v>1</v>
      </c>
      <c r="O9" s="77">
        <f>M9*L9/3600/N9</f>
        <v/>
      </c>
      <c r="P9" s="71" t="n">
        <v>0.25</v>
      </c>
      <c r="Q9" s="78">
        <f>Assumptions!$B$33</f>
        <v/>
      </c>
      <c r="R9" s="77">
        <f>M9*P9*Q9/3600/N9</f>
        <v/>
      </c>
      <c r="S9" s="72" t="n">
        <v>1200000</v>
      </c>
      <c r="T9" s="77">
        <f>S9/(Assumptions!$B$4*Assumptions!$B$5*E9)</f>
        <v/>
      </c>
      <c r="U9" s="77">
        <f>(O9+R9)*Assumptions!$B$38</f>
        <v/>
      </c>
      <c r="V9" s="77">
        <f>J9+O9+R9+T9+U9</f>
        <v/>
      </c>
      <c r="W9" s="77">
        <f>V9*Assumptions!$B$39</f>
        <v/>
      </c>
      <c r="X9" s="77">
        <f>(V9+W9)*Assumptions!$B$40</f>
        <v/>
      </c>
      <c r="Y9" s="79">
        <f>V9+W9+X9</f>
        <v/>
      </c>
      <c r="Z9" s="79">
        <f>Y9*E9</f>
        <v/>
      </c>
    </row>
    <row r="10" ht="44" customHeight="1">
      <c r="A10" s="63" t="n">
        <v>7</v>
      </c>
      <c r="B10" s="64" t="inlineStr">
        <is>
          <t>Fog lamp bezel / DRL housing LH+RH</t>
        </is>
      </c>
      <c r="C10" s="65" t="inlineStr">
        <is>
          <t>Injection moulding</t>
        </is>
      </c>
      <c r="D10" s="65" t="inlineStr">
        <is>
          <t>ABS</t>
        </is>
      </c>
      <c r="E10" s="63" t="n">
        <v>2</v>
      </c>
      <c r="F10" s="66" t="n">
        <v>0.15</v>
      </c>
      <c r="G10" s="67" t="n">
        <v>0.05</v>
      </c>
      <c r="H10" s="68">
        <f>Assumptions!$B$12</f>
        <v/>
      </c>
      <c r="I10" s="68">
        <f>Assumptions!$B$17</f>
        <v/>
      </c>
      <c r="J10" s="68">
        <f>F10*(1+G10)*H10-F10*G10*I10</f>
        <v/>
      </c>
      <c r="K10" s="65" t="inlineStr">
        <is>
          <t>IMM 250T</t>
        </is>
      </c>
      <c r="L10" s="69">
        <f>Assumptions!$B$24</f>
        <v/>
      </c>
      <c r="M10" s="70" t="n">
        <v>34</v>
      </c>
      <c r="N10" s="71" t="n">
        <v>2</v>
      </c>
      <c r="O10" s="68">
        <f>M10*L10/3600/N10</f>
        <v/>
      </c>
      <c r="P10" s="71" t="n">
        <v>0.33</v>
      </c>
      <c r="Q10" s="69">
        <f>Assumptions!$B$33</f>
        <v/>
      </c>
      <c r="R10" s="68">
        <f>M10*P10*Q10/3600/N10</f>
        <v/>
      </c>
      <c r="S10" s="72" t="n">
        <v>2800000</v>
      </c>
      <c r="T10" s="68">
        <f>S10/(Assumptions!$B$4*Assumptions!$B$5*E10)</f>
        <v/>
      </c>
      <c r="U10" s="68">
        <f>(O10+R10)*Assumptions!$B$38</f>
        <v/>
      </c>
      <c r="V10" s="68">
        <f>J10+O10+R10+T10+U10</f>
        <v/>
      </c>
      <c r="W10" s="68">
        <f>V10*Assumptions!$B$39</f>
        <v/>
      </c>
      <c r="X10" s="68">
        <f>(V10+W10)*Assumptions!$B$40</f>
        <v/>
      </c>
      <c r="Y10" s="73">
        <f>V10+W10+X10</f>
        <v/>
      </c>
      <c r="Z10" s="73">
        <f>Y10*E10</f>
        <v/>
      </c>
    </row>
    <row r="11" ht="44" customHeight="1">
      <c r="A11" s="74" t="n">
        <v>8</v>
      </c>
      <c r="B11" s="75" t="inlineStr">
        <is>
          <t>Energy absorber</t>
        </is>
      </c>
      <c r="C11" s="76" t="inlineStr">
        <is>
          <t>EPP shape moulding</t>
        </is>
      </c>
      <c r="D11" s="76" t="inlineStr">
        <is>
          <t>EPP foam 45 g/l</t>
        </is>
      </c>
      <c r="E11" s="74" t="n">
        <v>1</v>
      </c>
      <c r="F11" s="66" t="n">
        <v>0.25</v>
      </c>
      <c r="G11" s="67" t="n">
        <v>0.02</v>
      </c>
      <c r="H11" s="77">
        <f>Assumptions!$B$13</f>
        <v/>
      </c>
      <c r="I11" s="77">
        <f>Assumptions!$B$17</f>
        <v/>
      </c>
      <c r="J11" s="77">
        <f>F11*(1+G11)*H11-F11*G11*I11</f>
        <v/>
      </c>
      <c r="K11" s="76" t="inlineStr">
        <is>
          <t>EPP moulder</t>
        </is>
      </c>
      <c r="L11" s="78">
        <f>Assumptions!$B$26</f>
        <v/>
      </c>
      <c r="M11" s="70" t="n">
        <v>90</v>
      </c>
      <c r="N11" s="71" t="n">
        <v>1</v>
      </c>
      <c r="O11" s="77">
        <f>M11*L11/3600/N11</f>
        <v/>
      </c>
      <c r="P11" s="71" t="n">
        <v>0.5</v>
      </c>
      <c r="Q11" s="78">
        <f>Assumptions!$B$33</f>
        <v/>
      </c>
      <c r="R11" s="77">
        <f>M11*P11*Q11/3600/N11</f>
        <v/>
      </c>
      <c r="S11" s="72" t="n">
        <v>3500000</v>
      </c>
      <c r="T11" s="77">
        <f>S11/(Assumptions!$B$4*Assumptions!$B$5*E11)</f>
        <v/>
      </c>
      <c r="U11" s="77">
        <f>(O11+R11)*Assumptions!$B$38</f>
        <v/>
      </c>
      <c r="V11" s="77">
        <f>J11+O11+R11+T11+U11</f>
        <v/>
      </c>
      <c r="W11" s="77">
        <f>V11*Assumptions!$B$39</f>
        <v/>
      </c>
      <c r="X11" s="77">
        <f>(V11+W11)*Assumptions!$B$40</f>
        <v/>
      </c>
      <c r="Y11" s="79">
        <f>V11+W11+X11</f>
        <v/>
      </c>
      <c r="Z11" s="79">
        <f>Y11*E11</f>
        <v/>
      </c>
    </row>
    <row r="12" ht="44" customHeight="1">
      <c r="A12" s="63" t="n">
        <v>9</v>
      </c>
      <c r="B12" s="64" t="inlineStr">
        <is>
          <t>Reinforcement beam — form &amp; pierce</t>
        </is>
      </c>
      <c r="C12" s="65" t="inlineStr">
        <is>
          <t>Rollform + sweep</t>
        </is>
      </c>
      <c r="D12" s="65" t="inlineStr">
        <is>
          <t>HSS 590 sheet</t>
        </is>
      </c>
      <c r="E12" s="63" t="n">
        <v>1</v>
      </c>
      <c r="F12" s="66" t="n">
        <v>4.2</v>
      </c>
      <c r="G12" s="67" t="n">
        <v>0.08</v>
      </c>
      <c r="H12" s="68">
        <f>Assumptions!$B$15</f>
        <v/>
      </c>
      <c r="I12" s="68">
        <f>Assumptions!$B$16</f>
        <v/>
      </c>
      <c r="J12" s="68">
        <f>F12*(1+G12)*H12-F12*G12*I12</f>
        <v/>
      </c>
      <c r="K12" s="65" t="inlineStr">
        <is>
          <t>Rollform line</t>
        </is>
      </c>
      <c r="L12" s="69">
        <f>Assumptions!$B$28</f>
        <v/>
      </c>
      <c r="M12" s="70" t="n">
        <v>45</v>
      </c>
      <c r="N12" s="71" t="n">
        <v>1</v>
      </c>
      <c r="O12" s="68">
        <f>M12*L12/3600/N12</f>
        <v/>
      </c>
      <c r="P12" s="71" t="n">
        <v>1</v>
      </c>
      <c r="Q12" s="69">
        <f>Assumptions!$B$33</f>
        <v/>
      </c>
      <c r="R12" s="68">
        <f>M12*P12*Q12/3600/N12</f>
        <v/>
      </c>
      <c r="S12" s="72" t="n">
        <v>5000000</v>
      </c>
      <c r="T12" s="68">
        <f>S12/(Assumptions!$B$4*Assumptions!$B$5*E12)</f>
        <v/>
      </c>
      <c r="U12" s="68">
        <f>(O12+R12)*Assumptions!$B$38</f>
        <v/>
      </c>
      <c r="V12" s="68">
        <f>J12+O12+R12+T12+U12</f>
        <v/>
      </c>
      <c r="W12" s="68">
        <f>V12*Assumptions!$B$39</f>
        <v/>
      </c>
      <c r="X12" s="68">
        <f>(V12+W12)*Assumptions!$B$40</f>
        <v/>
      </c>
      <c r="Y12" s="73">
        <f>V12+W12+X12</f>
        <v/>
      </c>
      <c r="Z12" s="73">
        <f>Y12*E12</f>
        <v/>
      </c>
    </row>
    <row r="13" ht="44" customHeight="1">
      <c r="A13" s="74" t="n">
        <v>10</v>
      </c>
      <c r="B13" s="75" t="inlineStr">
        <is>
          <t>Reinforcement beam — bracket welding</t>
        </is>
      </c>
      <c r="C13" s="76" t="inlineStr">
        <is>
          <t>MIG weld op</t>
        </is>
      </c>
      <c r="D13" s="76" t="inlineStr">
        <is>
          <t>(consumables in rate)</t>
        </is>
      </c>
      <c r="E13" s="74" t="n">
        <v>1</v>
      </c>
      <c r="F13" s="74" t="n"/>
      <c r="G13" s="74" t="n"/>
      <c r="H13" s="74" t="n"/>
      <c r="I13" s="74" t="n"/>
      <c r="J13" s="77" t="n">
        <v>0</v>
      </c>
      <c r="K13" s="76" t="inlineStr">
        <is>
          <t>Weld cell</t>
        </is>
      </c>
      <c r="L13" s="78">
        <f>Assumptions!$B$29</f>
        <v/>
      </c>
      <c r="M13" s="70" t="n">
        <v>60</v>
      </c>
      <c r="N13" s="71" t="n">
        <v>1</v>
      </c>
      <c r="O13" s="77">
        <f>M13*L13/3600/N13</f>
        <v/>
      </c>
      <c r="P13" s="71" t="n">
        <v>1</v>
      </c>
      <c r="Q13" s="78">
        <f>Assumptions!$B$34</f>
        <v/>
      </c>
      <c r="R13" s="77">
        <f>M13*P13*Q13/3600/N13</f>
        <v/>
      </c>
      <c r="S13" s="72" t="n">
        <v>1500000</v>
      </c>
      <c r="T13" s="77">
        <f>S13/(Assumptions!$B$4*Assumptions!$B$5*E13)</f>
        <v/>
      </c>
      <c r="U13" s="77">
        <f>(O13+R13)*Assumptions!$B$38</f>
        <v/>
      </c>
      <c r="V13" s="77">
        <f>J13+O13+R13+T13+U13</f>
        <v/>
      </c>
      <c r="W13" s="77">
        <f>V13*Assumptions!$B$39</f>
        <v/>
      </c>
      <c r="X13" s="77">
        <f>(V13+W13)*Assumptions!$B$40</f>
        <v/>
      </c>
      <c r="Y13" s="79">
        <f>V13+W13+X13</f>
        <v/>
      </c>
      <c r="Z13" s="79">
        <f>Y13*E13</f>
        <v/>
      </c>
    </row>
    <row r="14" ht="44" customHeight="1">
      <c r="A14" s="63" t="n">
        <v>11</v>
      </c>
      <c r="B14" s="64" t="inlineStr">
        <is>
          <t>Side beam bracket LH+RH (crash-box)</t>
        </is>
      </c>
      <c r="C14" s="65" t="inlineStr">
        <is>
          <t>Progressive stamping</t>
        </is>
      </c>
      <c r="D14" s="65" t="inlineStr">
        <is>
          <t>HSS 590 sheet</t>
        </is>
      </c>
      <c r="E14" s="63" t="n">
        <v>2</v>
      </c>
      <c r="F14" s="66" t="n">
        <v>0.35</v>
      </c>
      <c r="G14" s="67" t="n">
        <v>0.12</v>
      </c>
      <c r="H14" s="68">
        <f>Assumptions!$B$15</f>
        <v/>
      </c>
      <c r="I14" s="68">
        <f>Assumptions!$B$16</f>
        <v/>
      </c>
      <c r="J14" s="68">
        <f>F14*(1+G14)*H14-F14*G14*I14</f>
        <v/>
      </c>
      <c r="K14" s="65" t="inlineStr">
        <is>
          <t>Press 250T prog</t>
        </is>
      </c>
      <c r="L14" s="69">
        <f>Assumptions!$B$27</f>
        <v/>
      </c>
      <c r="M14" s="70" t="n">
        <v>12</v>
      </c>
      <c r="N14" s="71" t="n">
        <v>2</v>
      </c>
      <c r="O14" s="68">
        <f>M14*L14/3600/N14</f>
        <v/>
      </c>
      <c r="P14" s="71" t="n">
        <v>0.5</v>
      </c>
      <c r="Q14" s="69">
        <f>Assumptions!$B$33</f>
        <v/>
      </c>
      <c r="R14" s="68">
        <f>M14*P14*Q14/3600/N14</f>
        <v/>
      </c>
      <c r="S14" s="72" t="n">
        <v>2500000</v>
      </c>
      <c r="T14" s="68">
        <f>S14/(Assumptions!$B$4*Assumptions!$B$5*E14)</f>
        <v/>
      </c>
      <c r="U14" s="68">
        <f>(O14+R14)*Assumptions!$B$38</f>
        <v/>
      </c>
      <c r="V14" s="68">
        <f>J14+O14+R14+T14+U14</f>
        <v/>
      </c>
      <c r="W14" s="68">
        <f>V14*Assumptions!$B$39</f>
        <v/>
      </c>
      <c r="X14" s="68">
        <f>(V14+W14)*Assumptions!$B$40</f>
        <v/>
      </c>
      <c r="Y14" s="73">
        <f>V14+W14+X14</f>
        <v/>
      </c>
      <c r="Z14" s="73">
        <f>Y14*E14</f>
        <v/>
      </c>
    </row>
    <row r="15" ht="24" customHeight="1">
      <c r="A15" s="74" t="n">
        <v>12</v>
      </c>
      <c r="B15" s="75" t="inlineStr">
        <is>
          <t>Tow hook cover</t>
        </is>
      </c>
      <c r="C15" s="76" t="inlineStr">
        <is>
          <t>Injection moulding</t>
        </is>
      </c>
      <c r="D15" s="76" t="inlineStr">
        <is>
          <t>PP</t>
        </is>
      </c>
      <c r="E15" s="74" t="n">
        <v>1</v>
      </c>
      <c r="F15" s="66" t="n">
        <v>0.05</v>
      </c>
      <c r="G15" s="67" t="n">
        <v>0.04</v>
      </c>
      <c r="H15" s="77">
        <f>Assumptions!$B$10</f>
        <v/>
      </c>
      <c r="I15" s="77">
        <f>Assumptions!$B$17</f>
        <v/>
      </c>
      <c r="J15" s="77">
        <f>F15*(1+G15)*H15-F15*G15*I15</f>
        <v/>
      </c>
      <c r="K15" s="76" t="inlineStr">
        <is>
          <t>IMM 150T</t>
        </is>
      </c>
      <c r="L15" s="78">
        <f>Assumptions!$B$25</f>
        <v/>
      </c>
      <c r="M15" s="70" t="n">
        <v>22</v>
      </c>
      <c r="N15" s="71" t="n">
        <v>2</v>
      </c>
      <c r="O15" s="77">
        <f>M15*L15/3600/N15</f>
        <v/>
      </c>
      <c r="P15" s="71" t="n">
        <v>0.25</v>
      </c>
      <c r="Q15" s="78">
        <f>Assumptions!$B$33</f>
        <v/>
      </c>
      <c r="R15" s="77">
        <f>M15*P15*Q15/3600/N15</f>
        <v/>
      </c>
      <c r="S15" s="72" t="n">
        <v>900000</v>
      </c>
      <c r="T15" s="77">
        <f>S15/(Assumptions!$B$4*Assumptions!$B$5*E15)</f>
        <v/>
      </c>
      <c r="U15" s="77">
        <f>(O15+R15)*Assumptions!$B$38</f>
        <v/>
      </c>
      <c r="V15" s="77">
        <f>J15+O15+R15+T15+U15</f>
        <v/>
      </c>
      <c r="W15" s="77">
        <f>V15*Assumptions!$B$39</f>
        <v/>
      </c>
      <c r="X15" s="77">
        <f>(V15+W15)*Assumptions!$B$40</f>
        <v/>
      </c>
      <c r="Y15" s="79">
        <f>V15+W15+X15</f>
        <v/>
      </c>
      <c r="Z15" s="79">
        <f>Y15*E15</f>
        <v/>
      </c>
    </row>
    <row r="16" ht="24" customHeight="1">
      <c r="A16" s="63" t="n">
        <v>13</v>
      </c>
      <c r="B16" s="64" t="inlineStr">
        <is>
          <t>Parking sensor holder</t>
        </is>
      </c>
      <c r="C16" s="65" t="inlineStr">
        <is>
          <t>Injection moulding</t>
        </is>
      </c>
      <c r="D16" s="65" t="inlineStr">
        <is>
          <t>PP</t>
        </is>
      </c>
      <c r="E16" s="63">
        <f>Assumptions!$B$44</f>
        <v/>
      </c>
      <c r="F16" s="66" t="n">
        <v>0.02</v>
      </c>
      <c r="G16" s="67" t="n">
        <v>0.04</v>
      </c>
      <c r="H16" s="68">
        <f>Assumptions!$B$10</f>
        <v/>
      </c>
      <c r="I16" s="68">
        <f>Assumptions!$B$17</f>
        <v/>
      </c>
      <c r="J16" s="68">
        <f>F16*(1+G16)*H16-F16*G16*I16</f>
        <v/>
      </c>
      <c r="K16" s="65" t="inlineStr">
        <is>
          <t>IMM 150T</t>
        </is>
      </c>
      <c r="L16" s="69">
        <f>Assumptions!$B$25</f>
        <v/>
      </c>
      <c r="M16" s="70" t="n">
        <v>20</v>
      </c>
      <c r="N16" s="71" t="n">
        <v>4</v>
      </c>
      <c r="O16" s="68">
        <f>M16*L16/3600/N16</f>
        <v/>
      </c>
      <c r="P16" s="71" t="n">
        <v>0.25</v>
      </c>
      <c r="Q16" s="69">
        <f>Assumptions!$B$33</f>
        <v/>
      </c>
      <c r="R16" s="68">
        <f>M16*P16*Q16/3600/N16</f>
        <v/>
      </c>
      <c r="S16" s="72" t="n">
        <v>1400000</v>
      </c>
      <c r="T16" s="68">
        <f>S16/(Assumptions!$B$4*Assumptions!$B$5*E16)</f>
        <v/>
      </c>
      <c r="U16" s="68">
        <f>(O16+R16)*Assumptions!$B$38</f>
        <v/>
      </c>
      <c r="V16" s="68">
        <f>J16+O16+R16+T16+U16</f>
        <v/>
      </c>
      <c r="W16" s="68">
        <f>V16*Assumptions!$B$39</f>
        <v/>
      </c>
      <c r="X16" s="68">
        <f>(V16+W16)*Assumptions!$B$40</f>
        <v/>
      </c>
      <c r="Y16" s="73">
        <f>V16+W16+X16</f>
        <v/>
      </c>
      <c r="Z16" s="73">
        <f>Y16*E16</f>
        <v/>
      </c>
    </row>
    <row r="17" ht="24" customHeight="1">
      <c r="A17" s="74" t="n">
        <v>14</v>
      </c>
      <c r="B17" s="75" t="inlineStr">
        <is>
          <t>Radar sensor bracket</t>
        </is>
      </c>
      <c r="C17" s="76" t="inlineStr">
        <is>
          <t>Injection moulding</t>
        </is>
      </c>
      <c r="D17" s="76" t="inlineStr">
        <is>
          <t>PP</t>
        </is>
      </c>
      <c r="E17" s="74" t="n">
        <v>1</v>
      </c>
      <c r="F17" s="66" t="n">
        <v>0.08</v>
      </c>
      <c r="G17" s="67" t="n">
        <v>0.04</v>
      </c>
      <c r="H17" s="77">
        <f>Assumptions!$B$10</f>
        <v/>
      </c>
      <c r="I17" s="77">
        <f>Assumptions!$B$17</f>
        <v/>
      </c>
      <c r="J17" s="77">
        <f>F17*(1+G17)*H17-F17*G17*I17</f>
        <v/>
      </c>
      <c r="K17" s="76" t="inlineStr">
        <is>
          <t>IMM 150T</t>
        </is>
      </c>
      <c r="L17" s="78">
        <f>Assumptions!$B$25</f>
        <v/>
      </c>
      <c r="M17" s="70" t="n">
        <v>25</v>
      </c>
      <c r="N17" s="71" t="n">
        <v>2</v>
      </c>
      <c r="O17" s="77">
        <f>M17*L17/3600/N17</f>
        <v/>
      </c>
      <c r="P17" s="71" t="n">
        <v>0.25</v>
      </c>
      <c r="Q17" s="78">
        <f>Assumptions!$B$33</f>
        <v/>
      </c>
      <c r="R17" s="77">
        <f>M17*P17*Q17/3600/N17</f>
        <v/>
      </c>
      <c r="S17" s="72" t="n">
        <v>1100000</v>
      </c>
      <c r="T17" s="77">
        <f>S17/(Assumptions!$B$4*Assumptions!$B$5*E17)</f>
        <v/>
      </c>
      <c r="U17" s="77">
        <f>(O17+R17)*Assumptions!$B$38</f>
        <v/>
      </c>
      <c r="V17" s="77">
        <f>J17+O17+R17+T17+U17</f>
        <v/>
      </c>
      <c r="W17" s="77">
        <f>V17*Assumptions!$B$39</f>
        <v/>
      </c>
      <c r="X17" s="77">
        <f>(V17+W17)*Assumptions!$B$40</f>
        <v/>
      </c>
      <c r="Y17" s="79">
        <f>V17+W17+X17</f>
        <v/>
      </c>
      <c r="Z17" s="79">
        <f>Y17*E17</f>
        <v/>
      </c>
    </row>
    <row r="18" ht="24" customHeight="1">
      <c r="A18" s="63" t="n">
        <v>15</v>
      </c>
      <c r="B18" s="64" t="inlineStr">
        <is>
          <t>Camera mount bracket</t>
        </is>
      </c>
      <c r="C18" s="65" t="inlineStr">
        <is>
          <t>Injection moulding</t>
        </is>
      </c>
      <c r="D18" s="65" t="inlineStr">
        <is>
          <t>PP</t>
        </is>
      </c>
      <c r="E18" s="63" t="n">
        <v>1</v>
      </c>
      <c r="F18" s="66" t="n">
        <v>0.05</v>
      </c>
      <c r="G18" s="67" t="n">
        <v>0.04</v>
      </c>
      <c r="H18" s="68">
        <f>Assumptions!$B$10</f>
        <v/>
      </c>
      <c r="I18" s="68">
        <f>Assumptions!$B$17</f>
        <v/>
      </c>
      <c r="J18" s="68">
        <f>F18*(1+G18)*H18-F18*G18*I18</f>
        <v/>
      </c>
      <c r="K18" s="65" t="inlineStr">
        <is>
          <t>IMM 150T</t>
        </is>
      </c>
      <c r="L18" s="69">
        <f>Assumptions!$B$25</f>
        <v/>
      </c>
      <c r="M18" s="70" t="n">
        <v>22</v>
      </c>
      <c r="N18" s="71" t="n">
        <v>2</v>
      </c>
      <c r="O18" s="68">
        <f>M18*L18/3600/N18</f>
        <v/>
      </c>
      <c r="P18" s="71" t="n">
        <v>0.25</v>
      </c>
      <c r="Q18" s="69">
        <f>Assumptions!$B$33</f>
        <v/>
      </c>
      <c r="R18" s="68">
        <f>M18*P18*Q18/3600/N18</f>
        <v/>
      </c>
      <c r="S18" s="72" t="n">
        <v>900000</v>
      </c>
      <c r="T18" s="68">
        <f>S18/(Assumptions!$B$4*Assumptions!$B$5*E18)</f>
        <v/>
      </c>
      <c r="U18" s="68">
        <f>(O18+R18)*Assumptions!$B$38</f>
        <v/>
      </c>
      <c r="V18" s="68">
        <f>J18+O18+R18+T18+U18</f>
        <v/>
      </c>
      <c r="W18" s="68">
        <f>V18*Assumptions!$B$39</f>
        <v/>
      </c>
      <c r="X18" s="68">
        <f>(V18+W18)*Assumptions!$B$40</f>
        <v/>
      </c>
      <c r="Y18" s="73">
        <f>V18+W18+X18</f>
        <v/>
      </c>
      <c r="Z18" s="73">
        <f>Y18*E18</f>
        <v/>
      </c>
    </row>
    <row r="19" ht="24" customHeight="1">
      <c r="A19" s="74" t="n">
        <v>16</v>
      </c>
      <c r="B19" s="75" t="inlineStr">
        <is>
          <t>Air deflector</t>
        </is>
      </c>
      <c r="C19" s="76" t="inlineStr">
        <is>
          <t>Injection moulding</t>
        </is>
      </c>
      <c r="D19" s="76" t="inlineStr">
        <is>
          <t>PP</t>
        </is>
      </c>
      <c r="E19" s="74" t="n">
        <v>1</v>
      </c>
      <c r="F19" s="66" t="n">
        <v>0.35</v>
      </c>
      <c r="G19" s="67" t="n">
        <v>0.05</v>
      </c>
      <c r="H19" s="77">
        <f>Assumptions!$B$10</f>
        <v/>
      </c>
      <c r="I19" s="77">
        <f>Assumptions!$B$17</f>
        <v/>
      </c>
      <c r="J19" s="77">
        <f>F19*(1+G19)*H19-F19*G19*I19</f>
        <v/>
      </c>
      <c r="K19" s="76" t="inlineStr">
        <is>
          <t>IMM 450T</t>
        </is>
      </c>
      <c r="L19" s="78">
        <f>Assumptions!$B$23</f>
        <v/>
      </c>
      <c r="M19" s="70" t="n">
        <v>33</v>
      </c>
      <c r="N19" s="71" t="n">
        <v>1</v>
      </c>
      <c r="O19" s="77">
        <f>M19*L19/3600/N19</f>
        <v/>
      </c>
      <c r="P19" s="71" t="n">
        <v>0.33</v>
      </c>
      <c r="Q19" s="78">
        <f>Assumptions!$B$33</f>
        <v/>
      </c>
      <c r="R19" s="77">
        <f>M19*P19*Q19/3600/N19</f>
        <v/>
      </c>
      <c r="S19" s="72" t="n">
        <v>3000000</v>
      </c>
      <c r="T19" s="77">
        <f>S19/(Assumptions!$B$4*Assumptions!$B$5*E19)</f>
        <v/>
      </c>
      <c r="U19" s="77">
        <f>(O19+R19)*Assumptions!$B$38</f>
        <v/>
      </c>
      <c r="V19" s="77">
        <f>J19+O19+R19+T19+U19</f>
        <v/>
      </c>
      <c r="W19" s="77">
        <f>V19*Assumptions!$B$39</f>
        <v/>
      </c>
      <c r="X19" s="77">
        <f>(V19+W19)*Assumptions!$B$40</f>
        <v/>
      </c>
      <c r="Y19" s="79">
        <f>V19+W19+X19</f>
        <v/>
      </c>
      <c r="Z19" s="79">
        <f>Y19*E19</f>
        <v/>
      </c>
    </row>
    <row r="20" ht="24" customHeight="1">
      <c r="A20" s="63" t="n">
        <v>17</v>
      </c>
      <c r="B20" s="64" t="inlineStr">
        <is>
          <t>Wheel-arch retainer LH+RH</t>
        </is>
      </c>
      <c r="C20" s="65" t="inlineStr">
        <is>
          <t>Injection moulding</t>
        </is>
      </c>
      <c r="D20" s="65" t="inlineStr">
        <is>
          <t>PP</t>
        </is>
      </c>
      <c r="E20" s="63" t="n">
        <v>2</v>
      </c>
      <c r="F20" s="66" t="n">
        <v>0.15</v>
      </c>
      <c r="G20" s="67" t="n">
        <v>0.04</v>
      </c>
      <c r="H20" s="68">
        <f>Assumptions!$B$10</f>
        <v/>
      </c>
      <c r="I20" s="68">
        <f>Assumptions!$B$17</f>
        <v/>
      </c>
      <c r="J20" s="68">
        <f>F20*(1+G20)*H20-F20*G20*I20</f>
        <v/>
      </c>
      <c r="K20" s="65" t="inlineStr">
        <is>
          <t>IMM 250T</t>
        </is>
      </c>
      <c r="L20" s="69">
        <f>Assumptions!$B$24</f>
        <v/>
      </c>
      <c r="M20" s="70" t="n">
        <v>30</v>
      </c>
      <c r="N20" s="71" t="n">
        <v>2</v>
      </c>
      <c r="O20" s="68">
        <f>M20*L20/3600/N20</f>
        <v/>
      </c>
      <c r="P20" s="71" t="n">
        <v>0.33</v>
      </c>
      <c r="Q20" s="69">
        <f>Assumptions!$B$33</f>
        <v/>
      </c>
      <c r="R20" s="68">
        <f>M20*P20*Q20/3600/N20</f>
        <v/>
      </c>
      <c r="S20" s="72" t="n">
        <v>1600000</v>
      </c>
      <c r="T20" s="68">
        <f>S20/(Assumptions!$B$4*Assumptions!$B$5*E20)</f>
        <v/>
      </c>
      <c r="U20" s="68">
        <f>(O20+R20)*Assumptions!$B$38</f>
        <v/>
      </c>
      <c r="V20" s="68">
        <f>J20+O20+R20+T20+U20</f>
        <v/>
      </c>
      <c r="W20" s="68">
        <f>V20*Assumptions!$B$39</f>
        <v/>
      </c>
      <c r="X20" s="68">
        <f>(V20+W20)*Assumptions!$B$40</f>
        <v/>
      </c>
      <c r="Y20" s="73">
        <f>V20+W20+X20</f>
        <v/>
      </c>
      <c r="Z20" s="73">
        <f>Y20*E20</f>
        <v/>
      </c>
    </row>
    <row r="21" ht="24" customHeight="1">
      <c r="A21" s="74" t="n">
        <v>18</v>
      </c>
      <c r="B21" s="75" t="inlineStr">
        <is>
          <t>Side support bracket LH+RH</t>
        </is>
      </c>
      <c r="C21" s="76" t="inlineStr">
        <is>
          <t>Injection moulding</t>
        </is>
      </c>
      <c r="D21" s="76" t="inlineStr">
        <is>
          <t>PP</t>
        </is>
      </c>
      <c r="E21" s="74" t="n">
        <v>2</v>
      </c>
      <c r="F21" s="66" t="n">
        <v>0.15</v>
      </c>
      <c r="G21" s="67" t="n">
        <v>0.04</v>
      </c>
      <c r="H21" s="77">
        <f>Assumptions!$B$10</f>
        <v/>
      </c>
      <c r="I21" s="77">
        <f>Assumptions!$B$17</f>
        <v/>
      </c>
      <c r="J21" s="77">
        <f>F21*(1+G21)*H21-F21*G21*I21</f>
        <v/>
      </c>
      <c r="K21" s="76" t="inlineStr">
        <is>
          <t>IMM 250T</t>
        </is>
      </c>
      <c r="L21" s="78">
        <f>Assumptions!$B$24</f>
        <v/>
      </c>
      <c r="M21" s="70" t="n">
        <v>30</v>
      </c>
      <c r="N21" s="71" t="n">
        <v>2</v>
      </c>
      <c r="O21" s="77">
        <f>M21*L21/3600/N21</f>
        <v/>
      </c>
      <c r="P21" s="71" t="n">
        <v>0.33</v>
      </c>
      <c r="Q21" s="78">
        <f>Assumptions!$B$33</f>
        <v/>
      </c>
      <c r="R21" s="77">
        <f>M21*P21*Q21/3600/N21</f>
        <v/>
      </c>
      <c r="S21" s="72" t="n">
        <v>1600000</v>
      </c>
      <c r="T21" s="77">
        <f>S21/(Assumptions!$B$4*Assumptions!$B$5*E21)</f>
        <v/>
      </c>
      <c r="U21" s="77">
        <f>(O21+R21)*Assumptions!$B$38</f>
        <v/>
      </c>
      <c r="V21" s="77">
        <f>J21+O21+R21+T21+U21</f>
        <v/>
      </c>
      <c r="W21" s="77">
        <f>V21*Assumptions!$B$39</f>
        <v/>
      </c>
      <c r="X21" s="77">
        <f>(V21+W21)*Assumptions!$B$40</f>
        <v/>
      </c>
      <c r="Y21" s="79">
        <f>V21+W21+X21</f>
        <v/>
      </c>
      <c r="Z21" s="79">
        <f>Y21*E21</f>
        <v/>
      </c>
    </row>
    <row r="22">
      <c r="A22" s="36" t="n"/>
      <c r="B22" s="36" t="inlineStr">
        <is>
          <t>MANUFACTURED PARTS — TOTAL PER VEHICLE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80">
        <f>SUM(S4:S21)</f>
        <v/>
      </c>
      <c r="T22" s="36" t="n"/>
      <c r="U22" s="36" t="n"/>
      <c r="V22" s="36" t="n"/>
      <c r="W22" s="36" t="n"/>
      <c r="X22" s="36" t="n"/>
      <c r="Y22" s="36" t="n"/>
      <c r="Z22" s="81">
        <f>SUM(Z4:Z21)</f>
        <v/>
      </c>
    </row>
  </sheetData>
  <mergeCells count="2">
    <mergeCell ref="A1:Z1"/>
    <mergeCell ref="A2:Z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3" customWidth="1" min="3" max="3"/>
    <col width="9" customWidth="1" min="4" max="4"/>
    <col width="13" customWidth="1" min="5" max="5"/>
    <col width="11" customWidth="1" min="6" max="6"/>
    <col width="14" customWidth="1" min="7" max="7"/>
  </cols>
  <sheetData>
    <row r="1" ht="30" customHeight="1">
      <c r="A1" s="1" t="inlineStr">
        <is>
          <t>Bought-Out / Directed Parts — market reference prices (India OEM volumes)</t>
        </is>
      </c>
    </row>
    <row r="2" ht="18" customHeight="1">
      <c r="A2" s="2" t="inlineStr">
        <is>
          <t>Electronics are typically customer-nominated buy items — prices are market references for completeness, not bottom-up should-costs.</t>
        </is>
      </c>
    </row>
    <row r="3">
      <c r="A3" s="3" t="inlineStr">
        <is>
          <t>Sr</t>
        </is>
      </c>
      <c r="B3" s="3" t="inlineStr">
        <is>
          <t>Item</t>
        </is>
      </c>
      <c r="C3" s="3" t="inlineStr">
        <is>
          <t>Category</t>
        </is>
      </c>
      <c r="D3" s="3" t="inlineStr">
        <is>
          <t>Qty/veh</t>
        </is>
      </c>
      <c r="E3" s="3" t="inlineStr">
        <is>
          <t>Unit price ₹</t>
        </is>
      </c>
      <c r="F3" s="3" t="inlineStr">
        <is>
          <t>Handling ₹</t>
        </is>
      </c>
      <c r="G3" s="3" t="inlineStr">
        <is>
          <t>Landed ₹/veh</t>
        </is>
      </c>
    </row>
    <row r="4">
      <c r="A4" s="82" t="n">
        <v>1</v>
      </c>
      <c r="B4" s="83" t="inlineStr">
        <is>
          <t>Ultrasonic parking sensor</t>
        </is>
      </c>
      <c r="C4" s="83" t="inlineStr">
        <is>
          <t>Electronics</t>
        </is>
      </c>
      <c r="D4" s="82">
        <f>Assumptions!$B$44</f>
        <v/>
      </c>
      <c r="E4" s="84" t="n">
        <v>220</v>
      </c>
      <c r="F4" s="85">
        <f>E4*Assumptions!$B$41</f>
        <v/>
      </c>
      <c r="G4" s="85">
        <f>(E4+F4)*D4</f>
        <v/>
      </c>
    </row>
    <row r="5">
      <c r="A5" s="82" t="n">
        <v>2</v>
      </c>
      <c r="B5" s="83" t="inlineStr">
        <is>
          <t>Front radar sensor (77 GHz)</t>
        </is>
      </c>
      <c r="C5" s="83" t="inlineStr">
        <is>
          <t>Electronics</t>
        </is>
      </c>
      <c r="D5" s="82" t="n">
        <v>1</v>
      </c>
      <c r="E5" s="84" t="n">
        <v>3200</v>
      </c>
      <c r="F5" s="85">
        <f>E5*Assumptions!$B$41</f>
        <v/>
      </c>
      <c r="G5" s="85">
        <f>(E5+F5)*D5</f>
        <v/>
      </c>
    </row>
    <row r="6">
      <c r="A6" s="82" t="n">
        <v>3</v>
      </c>
      <c r="B6" s="83" t="inlineStr">
        <is>
          <t>Front camera module</t>
        </is>
      </c>
      <c r="C6" s="83" t="inlineStr">
        <is>
          <t>Electronics</t>
        </is>
      </c>
      <c r="D6" s="82" t="n">
        <v>1</v>
      </c>
      <c r="E6" s="84" t="n">
        <v>1500</v>
      </c>
      <c r="F6" s="85">
        <f>E6*Assumptions!$B$41</f>
        <v/>
      </c>
      <c r="G6" s="85">
        <f>(E6+F6)*D6</f>
        <v/>
      </c>
    </row>
    <row r="7">
      <c r="A7" s="82" t="n">
        <v>4</v>
      </c>
      <c r="B7" s="83" t="inlineStr">
        <is>
          <t>Bumper wiring harness</t>
        </is>
      </c>
      <c r="C7" s="83" t="inlineStr">
        <is>
          <t>Electrical</t>
        </is>
      </c>
      <c r="D7" s="82" t="n">
        <v>1</v>
      </c>
      <c r="E7" s="84" t="n">
        <v>420</v>
      </c>
      <c r="F7" s="85">
        <f>E7*Assumptions!$B$41</f>
        <v/>
      </c>
      <c r="G7" s="85">
        <f>(E7+F7)*D7</f>
        <v/>
      </c>
    </row>
    <row r="8">
      <c r="A8" s="82" t="n">
        <v>5</v>
      </c>
      <c r="B8" s="83" t="inlineStr">
        <is>
          <t>Clips &amp; fasteners set (push clips, u-nuts, spring nuts)</t>
        </is>
      </c>
      <c r="C8" s="83" t="inlineStr">
        <is>
          <t>Hardware</t>
        </is>
      </c>
      <c r="D8" s="82" t="n">
        <v>1</v>
      </c>
      <c r="E8" s="84" t="n">
        <v>95</v>
      </c>
      <c r="F8" s="85">
        <f>E8*Assumptions!$B$41</f>
        <v/>
      </c>
      <c r="G8" s="85">
        <f>(E8+F8)*D8</f>
        <v/>
      </c>
    </row>
    <row r="9">
      <c r="A9" s="82" t="n">
        <v>6</v>
      </c>
      <c r="B9" s="83" t="inlineStr">
        <is>
          <t>Bolts M8/M10 set</t>
        </is>
      </c>
      <c r="C9" s="83" t="inlineStr">
        <is>
          <t>Hardware</t>
        </is>
      </c>
      <c r="D9" s="82" t="n">
        <v>1</v>
      </c>
      <c r="E9" s="84" t="n">
        <v>28</v>
      </c>
      <c r="F9" s="85">
        <f>E9*Assumptions!$B$41</f>
        <v/>
      </c>
      <c r="G9" s="85">
        <f>(E9+F9)*D9</f>
        <v/>
      </c>
    </row>
    <row r="10">
      <c r="A10" s="82" t="n">
        <v>7</v>
      </c>
      <c r="B10" s="83" t="inlineStr">
        <is>
          <t>Nuts &amp; washers set</t>
        </is>
      </c>
      <c r="C10" s="83" t="inlineStr">
        <is>
          <t>Hardware</t>
        </is>
      </c>
      <c r="D10" s="82" t="n">
        <v>1</v>
      </c>
      <c r="E10" s="84" t="n">
        <v>20</v>
      </c>
      <c r="F10" s="85">
        <f>E10*Assumptions!$B$41</f>
        <v/>
      </c>
      <c r="G10" s="85">
        <f>(E10+F10)*D10</f>
        <v/>
      </c>
    </row>
    <row r="11">
      <c r="A11" s="36" t="n"/>
      <c r="B11" s="36" t="inlineStr">
        <is>
          <t>BOUGHT-OUT — TOTAL PER VEHICLE</t>
        </is>
      </c>
      <c r="C11" s="36" t="n"/>
      <c r="D11" s="36" t="n"/>
      <c r="E11" s="36" t="n"/>
      <c r="F11" s="36" t="n"/>
      <c r="G11" s="81">
        <f>SUM(G4:G10)</f>
        <v/>
      </c>
    </row>
    <row r="12">
      <c r="B12" s="86" t="inlineStr">
        <is>
          <t xml:space="preserve">   of which electronics (sensors + radar + camera + harness)</t>
        </is>
      </c>
      <c r="G12" s="18">
        <f>SUM(G4:G7)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10" customWidth="1" min="4" max="4"/>
    <col width="13" customWidth="1" min="5" max="5"/>
    <col width="13" customWidth="1" min="6" max="6"/>
    <col width="34" customWidth="1" min="7" max="7"/>
  </cols>
  <sheetData>
    <row r="1" ht="30" customHeight="1">
      <c r="A1" s="1" t="inlineStr">
        <is>
          <t>Assembly &amp; Packing — station-by-station conversion cost</t>
        </is>
      </c>
    </row>
    <row r="2" ht="18" customHeight="1">
      <c r="A2" s="2" t="inlineStr">
        <is>
          <t>Manned time per station × fully-loaded labour rate + fixture/equipment amortisation + overhead + returnable packaging.</t>
        </is>
      </c>
    </row>
    <row r="3">
      <c r="A3" s="3" t="inlineStr">
        <is>
          <t>St.</t>
        </is>
      </c>
      <c r="B3" s="3" t="inlineStr">
        <is>
          <t>Station / Operation</t>
        </is>
      </c>
      <c r="C3" s="3" t="inlineStr">
        <is>
          <t>Time (s)</t>
        </is>
      </c>
      <c r="D3" s="3" t="inlineStr">
        <is>
          <t>Operators</t>
        </is>
      </c>
      <c r="E3" s="3" t="inlineStr">
        <is>
          <t>Labour rate (₹/hr)</t>
        </is>
      </c>
      <c r="F3" s="3" t="inlineStr">
        <is>
          <t>Labour ₹/unit</t>
        </is>
      </c>
      <c r="G3" s="3" t="inlineStr">
        <is>
          <t>Notes</t>
        </is>
      </c>
    </row>
    <row r="4" ht="24" customHeight="1">
      <c r="A4" s="87" t="n">
        <v>1</v>
      </c>
      <c r="B4" s="88" t="inlineStr">
        <is>
          <t>Beam sub-assembly: energy absorber + crash brackets to beam</t>
        </is>
      </c>
      <c r="C4" s="89" t="n">
        <v>60</v>
      </c>
      <c r="D4" s="90" t="n">
        <v>1</v>
      </c>
      <c r="E4" s="91">
        <f>Assumptions!$B$33</f>
        <v/>
      </c>
      <c r="F4" s="92">
        <f>C4*D4*E4/3600</f>
        <v/>
      </c>
      <c r="G4" s="88" t="inlineStr">
        <is>
          <t>Bolted, torque-monitored</t>
        </is>
      </c>
    </row>
    <row r="5" ht="24" customHeight="1">
      <c r="A5" s="87" t="n">
        <v>2</v>
      </c>
      <c r="B5" s="88" t="inlineStr">
        <is>
          <t>Fascia dress: grilles, bezels, number-plate bracket, tow cover</t>
        </is>
      </c>
      <c r="C5" s="89" t="n">
        <v>120</v>
      </c>
      <c r="D5" s="90" t="n">
        <v>2</v>
      </c>
      <c r="E5" s="91">
        <f>Assumptions!$B$33</f>
        <v/>
      </c>
      <c r="F5" s="92">
        <f>C5*D5*E5/3600</f>
        <v/>
      </c>
      <c r="G5" s="88" t="inlineStr">
        <is>
          <t>Clip-fit + screw stations</t>
        </is>
      </c>
    </row>
    <row r="6" ht="24" customHeight="1">
      <c r="A6" s="87" t="n">
        <v>3</v>
      </c>
      <c r="B6" s="88" t="inlineStr">
        <is>
          <t>Harness routing, parking sensors, radar &amp; camera fit</t>
        </is>
      </c>
      <c r="C6" s="89" t="n">
        <v>150</v>
      </c>
      <c r="D6" s="90" t="n">
        <v>1.5</v>
      </c>
      <c r="E6" s="91">
        <f>Assumptions!$B$33</f>
        <v/>
      </c>
      <c r="F6" s="92">
        <f>C6*D6*E6/3600</f>
        <v/>
      </c>
      <c r="G6" s="88" t="inlineStr">
        <is>
          <t>Connector click-checks</t>
        </is>
      </c>
    </row>
    <row r="7" ht="24" customHeight="1">
      <c r="A7" s="87" t="n">
        <v>4</v>
      </c>
      <c r="B7" s="88" t="inlineStr">
        <is>
          <t>Air deflector, wheel-arch retainers, side supports</t>
        </is>
      </c>
      <c r="C7" s="89" t="n">
        <v>75</v>
      </c>
      <c r="D7" s="90" t="n">
        <v>1</v>
      </c>
      <c r="E7" s="91">
        <f>Assumptions!$B$33</f>
        <v/>
      </c>
      <c r="F7" s="92">
        <f>C7*D7*E7/3600</f>
        <v/>
      </c>
      <c r="G7" s="88" t="inlineStr"/>
    </row>
    <row r="8" ht="24" customHeight="1">
      <c r="A8" s="87" t="n">
        <v>5</v>
      </c>
      <c r="B8" s="88" t="inlineStr">
        <is>
          <t>End-of-line inspection &amp; torque verification</t>
        </is>
      </c>
      <c r="C8" s="89" t="n">
        <v>60</v>
      </c>
      <c r="D8" s="90" t="n">
        <v>1</v>
      </c>
      <c r="E8" s="91">
        <f>Assumptions!$B$35</f>
        <v/>
      </c>
      <c r="F8" s="92">
        <f>C8*D8*E8/3600</f>
        <v/>
      </c>
      <c r="G8" s="88" t="inlineStr">
        <is>
          <t>Poka-yoke checklist</t>
        </is>
      </c>
    </row>
    <row r="9" ht="24" customHeight="1">
      <c r="A9" s="87" t="n">
        <v>6</v>
      </c>
      <c r="B9" s="88" t="inlineStr">
        <is>
          <t>Pack into returnable dunnage</t>
        </is>
      </c>
      <c r="C9" s="89" t="n">
        <v>45</v>
      </c>
      <c r="D9" s="90" t="n">
        <v>1</v>
      </c>
      <c r="E9" s="91">
        <f>Assumptions!$B$33</f>
        <v/>
      </c>
      <c r="F9" s="92">
        <f>C9*D9*E9/3600</f>
        <v/>
      </c>
      <c r="G9" s="88" t="inlineStr"/>
    </row>
    <row r="11">
      <c r="B11" s="93" t="inlineStr">
        <is>
          <t>Assembly labour subtotal</t>
        </is>
      </c>
      <c r="C11" s="31" t="n"/>
      <c r="D11" s="31" t="n"/>
      <c r="E11" s="31" t="n"/>
      <c r="F11" s="94">
        <f>SUM(F4:F9)</f>
        <v/>
      </c>
      <c r="G11" s="95" t="inlineStr"/>
    </row>
    <row r="12">
      <c r="B12" s="93" t="inlineStr">
        <is>
          <t>Fixtures &amp; jigs amortisation (₹40 L over volume × years)</t>
        </is>
      </c>
      <c r="C12" s="31" t="n"/>
      <c r="D12" s="31" t="n"/>
      <c r="E12" s="31" t="n"/>
      <c r="F12" s="94">
        <f>4000000/(Assumptions!$B$4*Assumptions!$B$5)</f>
        <v/>
      </c>
      <c r="G12" s="95" t="inlineStr">
        <is>
          <t>Assembly fixtures, torque tools mounting</t>
        </is>
      </c>
    </row>
    <row r="13">
      <c r="B13" s="93" t="inlineStr">
        <is>
          <t>Equipment amortisation (EOL tester, torque tools — ₹60 L)</t>
        </is>
      </c>
      <c r="C13" s="31" t="n"/>
      <c r="D13" s="31" t="n"/>
      <c r="E13" s="31" t="n"/>
      <c r="F13" s="94">
        <f>6000000/(Assumptions!$B$4*Assumptions!$B$5)</f>
        <v/>
      </c>
      <c r="G13" s="95" t="inlineStr"/>
    </row>
    <row r="14">
      <c r="B14" s="93" t="inlineStr">
        <is>
          <t>Consumables per unit</t>
        </is>
      </c>
      <c r="C14" s="31" t="n"/>
      <c r="D14" s="31" t="n"/>
      <c r="E14" s="31" t="n"/>
      <c r="F14" s="96" t="n">
        <v>6</v>
      </c>
      <c r="G14" s="95" t="inlineStr">
        <is>
          <t>Tapes, primers, gloves</t>
        </is>
      </c>
    </row>
    <row r="15">
      <c r="B15" s="93" t="inlineStr">
        <is>
          <t>Assembly overhead</t>
        </is>
      </c>
      <c r="C15" s="31" t="n"/>
      <c r="D15" s="31" t="n"/>
      <c r="E15" s="31" t="n"/>
      <c r="F15" s="94">
        <f>F11*Assumptions!$B$42</f>
        <v/>
      </c>
      <c r="G15" s="95" t="inlineStr">
        <is>
          <t>On labour subtotal — rate from Assumptions</t>
        </is>
      </c>
    </row>
    <row r="16">
      <c r="B16" s="93" t="inlineStr">
        <is>
          <t>Packaging (returnable dunnage trip cost)</t>
        </is>
      </c>
      <c r="C16" s="31" t="n"/>
      <c r="D16" s="31" t="n"/>
      <c r="E16" s="31" t="n"/>
      <c r="F16" s="94">
        <f>Assumptions!$B$43</f>
        <v/>
      </c>
      <c r="G16" s="95" t="inlineStr"/>
    </row>
    <row r="17">
      <c r="B17" s="97" t="inlineStr">
        <is>
          <t>ASSEMBLY &amp; PACKING — TOTAL PER VEHICLE</t>
        </is>
      </c>
      <c r="C17" s="97" t="n"/>
      <c r="D17" s="97" t="n"/>
      <c r="E17" s="97" t="n"/>
      <c r="F17" s="98">
        <f>SUM(F11:F16)</f>
        <v/>
      </c>
      <c r="G17" s="97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 ht="30" customHeight="1">
      <c r="A1" s="1" t="inlineStr">
        <is>
          <t>Tooling &amp; Investment Summary</t>
        </is>
      </c>
    </row>
    <row r="2" ht="18" customHeight="1">
      <c r="A2" s="2" t="inlineStr">
        <is>
          <t>One-time investment; amortised into piece price over volume × years (see Assumptions). Change any tool cost on Parts Costing.</t>
        </is>
      </c>
    </row>
    <row r="3">
      <c r="A3" s="3" t="inlineStr">
        <is>
          <t>Item</t>
        </is>
      </c>
      <c r="B3" s="3" t="inlineStr">
        <is>
          <t>Value</t>
        </is>
      </c>
    </row>
    <row r="4">
      <c r="A4" s="31" t="inlineStr">
        <is>
          <t>Part tooling total (moulds, dies, fixtures)</t>
        </is>
      </c>
      <c r="B4" s="99">
        <f>'Parts Costing'!S22</f>
        <v/>
      </c>
    </row>
    <row r="5">
      <c r="A5" s="31" t="inlineStr">
        <is>
          <t>Assembly fixtures &amp; jigs</t>
        </is>
      </c>
      <c r="B5" s="99" t="n">
        <v>4000000</v>
      </c>
    </row>
    <row r="6">
      <c r="A6" s="31" t="inlineStr">
        <is>
          <t>Assembly equipment (EOL, torque)</t>
        </is>
      </c>
      <c r="B6" s="99" t="n">
        <v>6000000</v>
      </c>
    </row>
    <row r="7">
      <c r="A7" s="100" t="inlineStr">
        <is>
          <t>TOTAL ONE-TIME INVESTMENT</t>
        </is>
      </c>
      <c r="B7" s="101">
        <f>SUM(B4:B6)</f>
        <v/>
      </c>
    </row>
    <row r="9">
      <c r="A9" s="102" t="inlineStr">
        <is>
          <t>In ₹ Crore</t>
        </is>
      </c>
      <c r="B9" s="103">
        <f>B7/10000000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2026-09-28T15:42:45Z</dcterms:created>
  <dcterms:modified xsi:type="dcterms:W3CDTF">2026-09-28T15:42:45Z</dcterms:modified>
</cp:coreProperties>
</file>