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Old-Windows\Excel Files\Excel 103\"/>
    </mc:Choice>
  </mc:AlternateContent>
  <xr:revisionPtr revIDLastSave="0" documentId="13_ncr:1_{693EDA2F-E11F-4A02-8885-E60D4FEC660F}" xr6:coauthVersionLast="47" xr6:coauthVersionMax="47" xr10:uidLastSave="{00000000-0000-0000-0000-000000000000}"/>
  <bookViews>
    <workbookView xWindow="-120" yWindow="-120" windowWidth="20730" windowHeight="11160" firstSheet="13" activeTab="18" xr2:uid="{00000000-000D-0000-FFFF-FFFF00000000}"/>
  </bookViews>
  <sheets>
    <sheet name="IF Function" sheetId="4" r:id="rId1"/>
    <sheet name="SUMIF Function" sheetId="17" r:id="rId2"/>
    <sheet name="VLOOKUP Function" sheetId="1" r:id="rId3"/>
    <sheet name="VLOOKUP Function (2)" sheetId="36" r:id="rId4"/>
    <sheet name="Master Emp List" sheetId="35" r:id="rId5"/>
    <sheet name="HLOOKUP Function" sheetId="22" r:id="rId6"/>
    <sheet name="Master Inventory List" sheetId="23" r:id="rId7"/>
    <sheet name="INDEX MATCH Functions" sheetId="34" r:id="rId8"/>
    <sheet name="INDEX MATCH Master Emp List" sheetId="5" r:id="rId9"/>
    <sheet name="LEFT RIGHT MID Functions" sheetId="21" r:id="rId10"/>
    <sheet name="SEARCH Function" sheetId="24" r:id="rId11"/>
    <sheet name="CONCATENATE" sheetId="20" r:id="rId12"/>
    <sheet name="Formula Auditing" sheetId="25" r:id="rId13"/>
    <sheet name="Watch Window" sheetId="27" r:id="rId14"/>
    <sheet name="Worksheet Protection" sheetId="26" r:id="rId15"/>
    <sheet name="Goal Seek" sheetId="31" r:id="rId16"/>
    <sheet name="Solver" sheetId="30" r:id="rId17"/>
    <sheet name="Data Table" sheetId="28" r:id="rId18"/>
    <sheet name="Scenarios" sheetId="29" r:id="rId19"/>
    <sheet name="Macro" sheetId="32" r:id="rId20"/>
    <sheet name="Test Macro" sheetId="33" r:id="rId21"/>
  </sheets>
  <definedNames>
    <definedName name="_xlnm._FilterDatabase" localSheetId="8" hidden="1">'INDEX MATCH Master Emp List'!$A$1:$I$38</definedName>
    <definedName name="_xlnm._FilterDatabase" localSheetId="4" hidden="1">'Master Emp List'!$B$1:$I$38</definedName>
    <definedName name="_xlnm._FilterDatabase" localSheetId="1" hidden="1">'SUMIF Function'!$A$2:$E$272</definedName>
    <definedName name="goal">'IF Function'!$I$2</definedName>
    <definedName name="solver_adj" localSheetId="16" hidden="1">Solver!$B$5:$E$7</definedName>
    <definedName name="solver_cvg" localSheetId="16" hidden="1">0.0001</definedName>
    <definedName name="solver_drv" localSheetId="16" hidden="1">1</definedName>
    <definedName name="solver_eng" localSheetId="0" hidden="1">1</definedName>
    <definedName name="solver_eng" localSheetId="16" hidden="1">1</definedName>
    <definedName name="solver_est" localSheetId="16" hidden="1">1</definedName>
    <definedName name="solver_itr" localSheetId="16" hidden="1">100</definedName>
    <definedName name="solver_lhs1" localSheetId="16" hidden="1">Solver!$B$5:$E$5</definedName>
    <definedName name="solver_lhs2" localSheetId="16" hidden="1">Solver!$B$5:$E$7</definedName>
    <definedName name="solver_lhs3" localSheetId="16" hidden="1">Solver!$B$6:$E$6</definedName>
    <definedName name="solver_lhs4" localSheetId="16" hidden="1">Solver!$B$7:$E$7</definedName>
    <definedName name="solver_lhs5" localSheetId="16" hidden="1">Solver!$B$8:$E$8</definedName>
    <definedName name="solver_lhs6" localSheetId="16" hidden="1">Solver!$E$8</definedName>
    <definedName name="solver_lhs7" localSheetId="16" hidden="1">Solver!$E$8</definedName>
    <definedName name="solver_lhs8" localSheetId="16" hidden="1">Solver!$E$8</definedName>
    <definedName name="solver_lin" localSheetId="16" hidden="1">0</definedName>
    <definedName name="solver_mip" localSheetId="16" hidden="1">2147483647</definedName>
    <definedName name="solver_mni" localSheetId="16" hidden="1">30</definedName>
    <definedName name="solver_mrt" localSheetId="16" hidden="1">0.075</definedName>
    <definedName name="solver_msl" localSheetId="16" hidden="1">2</definedName>
    <definedName name="solver_neg" localSheetId="0" hidden="1">1</definedName>
    <definedName name="solver_neg" localSheetId="16" hidden="1">1</definedName>
    <definedName name="solver_nod" localSheetId="16" hidden="1">2147483647</definedName>
    <definedName name="solver_num" localSheetId="0" hidden="1">0</definedName>
    <definedName name="solver_num" localSheetId="16" hidden="1">5</definedName>
    <definedName name="solver_nwt" localSheetId="16" hidden="1">1</definedName>
    <definedName name="solver_opt" localSheetId="0" hidden="1">'IF Function'!$I$2</definedName>
    <definedName name="solver_opt" localSheetId="16" hidden="1">Solver!$H$8</definedName>
    <definedName name="solver_pre" localSheetId="16" hidden="1">0.000001</definedName>
    <definedName name="solver_rbv" localSheetId="16" hidden="1">1</definedName>
    <definedName name="solver_rel1" localSheetId="16" hidden="1">1</definedName>
    <definedName name="solver_rel2" localSheetId="16" hidden="1">3</definedName>
    <definedName name="solver_rel3" localSheetId="16" hidden="1">1</definedName>
    <definedName name="solver_rel4" localSheetId="16" hidden="1">1</definedName>
    <definedName name="solver_rel5" localSheetId="16" hidden="1">2</definedName>
    <definedName name="solver_rel6" localSheetId="16" hidden="1">2</definedName>
    <definedName name="solver_rel7" localSheetId="16" hidden="1">2</definedName>
    <definedName name="solver_rel8" localSheetId="16" hidden="1">2</definedName>
    <definedName name="solver_rhs1" localSheetId="16" hidden="1">92</definedName>
    <definedName name="solver_rhs2" localSheetId="16" hidden="1">20</definedName>
    <definedName name="solver_rhs3" localSheetId="16" hidden="1">45</definedName>
    <definedName name="solver_rhs4" localSheetId="16" hidden="1">55</definedName>
    <definedName name="solver_rhs5" localSheetId="16" hidden="1">Solver!$B$10:$E$10</definedName>
    <definedName name="solver_rhs6" localSheetId="16" hidden="1">Solver!$E$10</definedName>
    <definedName name="solver_rhs7" localSheetId="16" hidden="1">Solver!$E$10</definedName>
    <definedName name="solver_rhs8" localSheetId="16" hidden="1">Solver!$E$10</definedName>
    <definedName name="solver_rlx" localSheetId="16" hidden="1">1</definedName>
    <definedName name="solver_rsd" localSheetId="16" hidden="1">0</definedName>
    <definedName name="solver_scl" localSheetId="16" hidden="1">2</definedName>
    <definedName name="solver_sho" localSheetId="16" hidden="1">2</definedName>
    <definedName name="solver_ssz" localSheetId="16" hidden="1">100</definedName>
    <definedName name="solver_tim" localSheetId="16" hidden="1">100</definedName>
    <definedName name="solver_tol" localSheetId="16" hidden="1">0.05</definedName>
    <definedName name="solver_typ" localSheetId="0" hidden="1">1</definedName>
    <definedName name="solver_typ" localSheetId="16" hidden="1">2</definedName>
    <definedName name="solver_val" localSheetId="0" hidden="1">0</definedName>
    <definedName name="solver_val" localSheetId="16" hidden="1">0</definedName>
    <definedName name="solver_ver" localSheetId="0" hidden="1">3</definedName>
    <definedName name="solver_ver" localSheetId="16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8" l="1"/>
  <c r="D3" i="31"/>
  <c r="F9" i="26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C3" i="24"/>
  <c r="C4" i="24"/>
  <c r="C5" i="24"/>
  <c r="C6" i="24"/>
  <c r="C2" i="24"/>
  <c r="B3" i="24"/>
  <c r="B4" i="24"/>
  <c r="B5" i="24"/>
  <c r="B6" i="24"/>
  <c r="B2" i="24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4" i="21"/>
  <c r="B5" i="22"/>
  <c r="B6" i="22"/>
  <c r="B7" i="22"/>
  <c r="D3" i="36"/>
  <c r="C3" i="36"/>
  <c r="C4" i="36"/>
  <c r="C11" i="36"/>
  <c r="D11" i="36"/>
  <c r="E11" i="36"/>
  <c r="F11" i="36"/>
  <c r="C12" i="36"/>
  <c r="D12" i="36"/>
  <c r="E12" i="36"/>
  <c r="F12" i="36"/>
  <c r="C13" i="36"/>
  <c r="D13" i="36"/>
  <c r="E13" i="36"/>
  <c r="F13" i="36"/>
  <c r="C14" i="36"/>
  <c r="D14" i="36"/>
  <c r="E14" i="36"/>
  <c r="F14" i="36"/>
  <c r="C15" i="36"/>
  <c r="D15" i="36"/>
  <c r="E15" i="36"/>
  <c r="F15" i="36"/>
  <c r="C16" i="36"/>
  <c r="D16" i="36"/>
  <c r="E16" i="36"/>
  <c r="F16" i="36"/>
  <c r="C17" i="36"/>
  <c r="D17" i="36"/>
  <c r="E17" i="36"/>
  <c r="F17" i="36"/>
  <c r="C18" i="36"/>
  <c r="D18" i="36"/>
  <c r="E18" i="36"/>
  <c r="F18" i="36"/>
  <c r="C5" i="36"/>
  <c r="D5" i="36"/>
  <c r="E5" i="36"/>
  <c r="F5" i="36"/>
  <c r="C6" i="36"/>
  <c r="D6" i="36"/>
  <c r="E6" i="36"/>
  <c r="F6" i="36"/>
  <c r="C7" i="36"/>
  <c r="D7" i="36"/>
  <c r="E7" i="36"/>
  <c r="F7" i="36"/>
  <c r="C8" i="36"/>
  <c r="D8" i="36"/>
  <c r="E8" i="36"/>
  <c r="F8" i="36"/>
  <c r="C9" i="36"/>
  <c r="D9" i="36"/>
  <c r="E9" i="36"/>
  <c r="F9" i="36"/>
  <c r="C10" i="36"/>
  <c r="D10" i="36"/>
  <c r="E10" i="36"/>
  <c r="F10" i="36"/>
  <c r="F4" i="36"/>
  <c r="D4" i="36"/>
  <c r="E4" i="36"/>
  <c r="E3" i="36"/>
  <c r="F3" i="36"/>
  <c r="F5" i="34"/>
  <c r="F6" i="34"/>
  <c r="F7" i="34"/>
  <c r="F8" i="34"/>
  <c r="F9" i="34"/>
  <c r="F4" i="34"/>
  <c r="D5" i="34"/>
  <c r="D6" i="34"/>
  <c r="D7" i="34"/>
  <c r="D8" i="34"/>
  <c r="D9" i="34"/>
  <c r="D4" i="34"/>
  <c r="C5" i="34"/>
  <c r="C6" i="34"/>
  <c r="C7" i="34"/>
  <c r="C8" i="34"/>
  <c r="C9" i="34"/>
  <c r="C4" i="34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3" i="1"/>
  <c r="H6" i="17"/>
  <c r="I6" i="17"/>
  <c r="I5" i="17"/>
  <c r="H5" i="17"/>
  <c r="I3" i="17"/>
  <c r="H3" i="17"/>
  <c r="F12" i="4"/>
  <c r="I9" i="4"/>
  <c r="H6" i="4"/>
  <c r="I6" i="4" s="1"/>
  <c r="H7" i="4"/>
  <c r="I7" i="4" s="1"/>
  <c r="H8" i="4"/>
  <c r="I8" i="4" s="1"/>
  <c r="H9" i="4"/>
  <c r="H5" i="4"/>
  <c r="I5" i="4" s="1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H9" i="26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<sst xmlns="http://schemas.openxmlformats.org/spreadsheetml/2006/main" count="1536" uniqueCount="287">
  <si>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</si>
  <si>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</si>
  <si>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</si>
  <si>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</si>
  <si>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</si>
  <si>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</si>
  <si>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</si>
  <si>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</si>
  <si>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</si>
  <si>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</si>
  <si>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</si>
  <si>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</si>
  <si>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</si>
  <si>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</si>
  <si>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</si>
  <si>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</si>
  <si>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</si>
  <si>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</si>
  <si>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</si>
  <si>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</si>
  <si>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</si>
  <si>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</si>
  <si>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</si>
  <si>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</si>
  <si>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</si>
  <si>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</si>
  <si>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</si>
  <si>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</si>
  <si>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</si>
  <si>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</si>
  <si>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</si>
  <si>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</si>
  <si>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</si>
  <si>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</si>
  <si>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</si>
  <si>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</si>
  <si>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</si>
  <si>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</si>
  <si>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</si>
  <si>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</si>
  <si>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</si>
  <si>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</si>
  <si>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</si>
  <si>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</si>
  <si>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</si>
  <si>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</si>
  <si>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</si>
  <si>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</si>
  <si>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</si>
  <si>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</si>
  <si>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</si>
  <si>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</si>
  <si>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</si>
  <si>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</si>
  <si>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</si>
  <si>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</si>
  <si>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</si>
  <si>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</si>
  <si>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</si>
  <si>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</si>
  <si>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</si>
  <si>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</si>
  <si>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</si>
  <si>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</si>
  <si>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</si>
  <si>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</si>
  <si>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</si>
  <si>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</si>
  <si>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</si>
  <si>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</si>
  <si>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</si>
  <si>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</si>
  <si>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</si>
  <si>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</si>
  <si>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</si>
  <si>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</si>
  <si>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</si>
  <si>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</si>
  <si>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</si>
  <si>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</si>
  <si>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</si>
  <si>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</si>
  <si>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</si>
  <si>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</si>
  <si>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</si>
  <si>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</si>
  <si>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</si>
  <si>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</si>
  <si>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</si>
  <si>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</si>
  <si>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</si>
  <si>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</si>
  <si>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</si>
  <si>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</si>
  <si>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</si>
  <si>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</si>
  <si>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</si>
  <si>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</si>
  <si>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</si>
  <si>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</si>
  <si>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</si>
  <si>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</si>
  <si>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</si>
  <si>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</si>
  <si>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</si>
  <si>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</si>
  <si>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</si>
  <si>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</si>
  <si>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</si>
  <si>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</si>
  <si>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</si>
  <si>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</si>
  <si>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</si>
  <si>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</si>
  <si>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</si>
  <si>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</si>
  <si>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</si>
  <si>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</si>
  <si>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</si>
  <si>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</si>
  <si>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</si>
  <si>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</si>
  <si>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</si>
  <si>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</si>
  <si>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</si>
  <si>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</si>
  <si>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</si>
  <si>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</si>
  <si>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</si>
  <si>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</si>
  <si>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</si>
  <si>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</si>
  <si>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</si>
  <si>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</si>
  <si>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</si>
  <si>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</si>
  <si>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</si>
  <si>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</si>
  <si>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</si>
  <si>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</si>
  <si>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</si>
  <si>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</si>
  <si>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</si>
  <si>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</si>
  <si>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</si>
  <si>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</si>
  <si>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</si>
  <si>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</si>
  <si>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</si>
  <si>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</si>
  <si>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</si>
  <si>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</si>
  <si>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</si>
  <si>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</si>
  <si>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</si>
  <si>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</si>
  <si>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</si>
  <si>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</si>
  <si>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</si>
  <si>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</si>
  <si>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</si>
  <si>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</si>
  <si>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</si>
  <si>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</si>
  <si>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</si>
  <si>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</si>
  <si>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</si>
  <si>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</si>
  <si>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</si>
  <si>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</si>
  <si>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</si>
  <si>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</si>
  <si>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</si>
  <si>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</si>
  <si>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</si>
  <si>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</si>
  <si>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</si>
  <si>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</si>
  <si>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</si>
  <si>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</si>
  <si>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</si>
  <si>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</si>
  <si>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</si>
  <si>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</si>
  <si>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</si>
  <si>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</si>
  <si>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</si>
  <si>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</si>
  <si>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</si>
  <si>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</si>
  <si>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</si>
  <si>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</si>
  <si>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</si>
  <si>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</si>
  <si>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</si>
  <si>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</si>
  <si>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</si>
  <si>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</si>
  <si>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</si>
  <si>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</si>
  <si>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</si>
  <si>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</si>
  <si>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</si>
  <si>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</si>
  <si>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</si>
  <si>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</si>
  <si>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</si>
  <si>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</si>
  <si>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</si>
  <si>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</si>
  <si>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</si>
  <si>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</si>
  <si>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</si>
  <si>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</si>
  <si>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</si>
  <si>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</si>
  <si>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</si>
  <si>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</si>
  <si>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</si>
  <si>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</si>
  <si>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</si>
  <si>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</si>
  <si>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</si>
  <si>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</si>
  <si>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</si>
  <si>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</si>
  <si>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</si>
  <si>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</si>
  <si>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</si>
  <si>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</si>
  <si>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</si>
  <si>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</si>
  <si>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</si>
  <si>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</si>
  <si>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</si>
  <si>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</si>
  <si>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</si>
  <si>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</si>
  <si>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</si>
  <si>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</si>
  <si>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</si>
  <si>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</si>
  <si>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</si>
  <si>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</si>
  <si>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</si>
  <si>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</si>
  <si>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</si>
  <si>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</si>
  <si>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</si>
  <si>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</si>
  <si>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</si>
  <si>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</si>
  <si>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</si>
  <si>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</si>
  <si>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</si>
  <si>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</si>
  <si>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</si>
  <si>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</si>
  <si>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</si>
  <si>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</si>
  <si>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</si>
  <si>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</si>
  <si>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</si>
  <si>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</si>
  <si>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</si>
  <si>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</si>
  <si>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</si>
  <si>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</si>
  <si>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</si>
  <si>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</si>
  <si>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</si>
  <si>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</si>
  <si>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</si>
  <si>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</si>
  <si>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</si>
  <si>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</si>
  <si>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</si>
  <si>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</si>
  <si>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</si>
  <si>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</si>
  <si>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</si>
  <si>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</si>
  <si>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</si>
  <si>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DSUM</t>
  </si>
  <si>
    <t>SUMIF</t>
  </si>
  <si>
    <t xml:space="preserve">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</si>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</sst>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₹&quot;\ #,##0.00;[Red]&quot;₹&quot;\ \-#,##0.00"/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8" fontId="1" fillId="0" borderId="0" xfId="9" applyNumberFormat="1"/>
    <xf numFmtId="168" fontId="1" fillId="11" borderId="0" xfId="1" applyNumberFormat="1" applyFont="1" applyFill="1" applyBorder="1" applyAlignment="1">
      <alignment horizontal="center"/>
    </xf>
    <xf numFmtId="9" fontId="1" fillId="11" borderId="0" xfId="9" applyNumberFormat="1" applyFont="1" applyFill="1" applyBorder="1" applyAlignment="1">
      <alignment horizontal="center"/>
    </xf>
    <xf numFmtId="0" fontId="1" fillId="11" borderId="0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5" zoomScaleNormal="145" workbookViewId="0">
      <selection activeCell="B14" sqref="B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279</v>
      </c>
      <c r="B2" s="126"/>
      <c r="C2" s="126"/>
      <c r="D2" s="126"/>
      <c r="E2" s="126"/>
      <c r="F2" s="126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IF(AND(H5="YES",MIN(B5:E5)&gt;8000),"BONUS","NO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IF(AND(H6="YES",MIN(B6:E6)&gt;8000),"BONUS","NO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.5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5">
      <c r="A10" s="48" t="s">
        <v>222</v>
      </c>
      <c r="B10" s="54">
        <f>SUM(week_1)</f>
        <v>40402</v>
      </c>
      <c r="C10" s="54"/>
      <c r="D10" s="54"/>
      <c r="E10" s="54"/>
      <c r="F10" s="54"/>
    </row>
    <row r="11" spans="1:9" s="50" customFormat="1" ht="15">
      <c r="A11" s="49"/>
    </row>
    <row r="12" spans="1:9" ht="16.5" customHeight="1">
      <c r="A12" s="123" t="s">
        <v>13</v>
      </c>
      <c r="B12" s="124"/>
      <c r="C12" s="124"/>
      <c r="D12" s="124"/>
      <c r="E12" s="125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J272"/>
  <sheetViews>
    <sheetView zoomScale="130" zoomScaleNormal="130" workbookViewId="0">
      <selection activeCell="J8" sqref="J8"/>
    </sheetView>
  </sheetViews>
  <sheetFormatPr defaultRowHeight="12.75"/>
  <cols>
    <col min="1" max="1" width="13.28515625" style="18" bestFit="1" customWidth="1"/>
    <col min="2" max="2" width="14.5703125" style="18" bestFit="1" customWidth="1"/>
    <col min="3" max="3" width="12" style="18" customWidth="1"/>
    <col min="4" max="4" width="12.5703125" style="18" bestFit="1" customWidth="1"/>
    <col min="5" max="5" width="12.140625" style="18" bestFit="1" customWidth="1"/>
    <col min="6" max="6" width="9.140625" style="18"/>
    <col min="7" max="7" width="13.7109375" style="18" customWidth="1"/>
    <col min="8" max="9" width="12.7109375" style="18" bestFit="1" customWidth="1"/>
    <col min="10" max="16384" width="9.140625" style="18"/>
  </cols>
  <sheetData>
    <row r="2" spans="1:10" ht="15.7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220</v>
      </c>
      <c r="I2" s="31" t="s">
        <v>142</v>
      </c>
    </row>
    <row r="3" spans="1:10" ht="15.7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6">
        <f>SUMIF(B3:B272,G3,D3:D272)</f>
        <v>491064</v>
      </c>
      <c r="J3" s="18" t="s">
        <v>284</v>
      </c>
    </row>
    <row r="4" spans="1:10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144</v>
      </c>
      <c r="H4" s="31" t="s">
        <v>220</v>
      </c>
      <c r="I4" s="31" t="s">
        <v>142</v>
      </c>
    </row>
    <row r="5" spans="1:10" ht="15.7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10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  <c r="H6" s="18">
        <f>DSUM(A2:E272,E2,G4:G5)</f>
        <v>7357</v>
      </c>
      <c r="I6" s="18">
        <f>DSUM(A2:E272,D2,G4:G5)</f>
        <v>205996</v>
      </c>
      <c r="J6" s="18" t="s">
        <v>283</v>
      </c>
    </row>
    <row r="7" spans="1:10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10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10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10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10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10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10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10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10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10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L10" sqref="L10:M10"/>
    </sheetView>
  </sheetViews>
  <sheetFormatPr defaultRowHeight="12.75"/>
  <cols>
    <col min="1" max="1" width="3.42578125" customWidth="1"/>
    <col min="2" max="3" width="13.85546875" customWidth="1"/>
    <col min="4" max="4" width="18.5703125" customWidth="1"/>
    <col min="5" max="6" width="13.85546875" customWidth="1"/>
    <col min="7" max="7" width="3.140625" customWidth="1"/>
  </cols>
  <sheetData>
    <row r="1" spans="2:7" ht="13.5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2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7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7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7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7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7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7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7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7"/>
    </row>
    <row r="11" spans="2:7">
      <c r="B11" s="10"/>
      <c r="C11" s="11" t="s">
        <v>285</v>
      </c>
      <c r="D11" s="11" t="e">
        <f>VLOOKUP($B11,'Master Emp List'!$A$1:$I$38,2,FALSE)</f>
        <v>#N/A</v>
      </c>
      <c r="E11" s="11" t="e">
        <f>VLOOKUP($B11,'Master Emp List'!$A$1:$I$38,4,FALSE)</f>
        <v>#N/A</v>
      </c>
      <c r="F11" s="11" t="e">
        <f>VLOOKUP($B11,'Master Emp List'!$A$1:$I$38,9,FALSE)</f>
        <v>#N/A</v>
      </c>
      <c r="G11" s="67"/>
    </row>
    <row r="12" spans="2:7">
      <c r="B12" s="10"/>
      <c r="C12" s="11" t="str">
        <f>IFERROR(VLOOKUP($B12,'Master Emp List'!$A$1:$I$38,3,FALSE),"EMP ID NOT FOUND")</f>
        <v>EMP ID NOT FOUND</v>
      </c>
      <c r="D12" s="11" t="e">
        <f>VLOOKUP($B12,'Master Emp List'!$A$1:$I$38,2,FALSE)</f>
        <v>#N/A</v>
      </c>
      <c r="E12" s="11" t="e">
        <f>VLOOKUP($B12,'Master Emp List'!$A$1:$I$38,4,FALSE)</f>
        <v>#N/A</v>
      </c>
      <c r="F12" s="11" t="e">
        <f>VLOOKUP($B12,'Master Emp List'!$A$1:$I$38,9,FALSE)</f>
        <v>#N/A</v>
      </c>
      <c r="G12" s="67"/>
    </row>
    <row r="13" spans="2:7">
      <c r="B13" s="10"/>
      <c r="C13" s="11" t="str">
        <f>IFERROR(VLOOKUP($B13,'Master Emp List'!$A$1:$I$38,3,FALSE),"EMP ID NOT FOUND")</f>
        <v>EMP ID NOT FOUND</v>
      </c>
      <c r="D13" s="11" t="e">
        <f>VLOOKUP($B13,'Master Emp List'!$A$1:$I$38,2,FALSE)</f>
        <v>#N/A</v>
      </c>
      <c r="E13" s="11" t="e">
        <f>VLOOKUP($B13,'Master Emp List'!$A$1:$I$38,4,FALSE)</f>
        <v>#N/A</v>
      </c>
      <c r="F13" s="11" t="e">
        <f>VLOOKUP($B13,'Master Emp List'!$A$1:$I$38,9,FALSE)</f>
        <v>#N/A</v>
      </c>
      <c r="G13" s="67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7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7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7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7"/>
    </row>
    <row r="18" spans="2:7" ht="13.5" thickBot="1">
      <c r="B18" s="13">
        <v>1368</v>
      </c>
      <c r="C18" s="11" t="str">
        <f>IFERROR(VLOOKUP($B18,'Master Emp List'!$A$1:$I$38,3,FALSE),"EMP ID NOT FOUND")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9567-2069-4A91-B031-5CA7CF8BAFB6}">
  <sheetPr codeName="Sheet19"/>
  <dimension ref="B1:G18"/>
  <sheetViews>
    <sheetView showGridLines="0" zoomScale="130" zoomScaleNormal="130" workbookViewId="0">
      <selection activeCell="C3" sqref="C3"/>
    </sheetView>
  </sheetViews>
  <sheetFormatPr defaultRowHeight="12.75"/>
  <cols>
    <col min="1" max="1" width="3.42578125" customWidth="1"/>
    <col min="2" max="3" width="13.85546875" customWidth="1"/>
    <col min="4" max="4" width="18.5703125" customWidth="1"/>
    <col min="5" max="6" width="13.85546875" customWidth="1"/>
    <col min="7" max="7" width="3.140625" customWidth="1"/>
  </cols>
  <sheetData>
    <row r="1" spans="2:7" ht="13.5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2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7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7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7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7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7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7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7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7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7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7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7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7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7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7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7"/>
    </row>
    <row r="18" spans="2:7" ht="13.5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7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20"/>
  <dimension ref="A1:I38"/>
  <sheetViews>
    <sheetView zoomScale="115" zoomScaleNormal="115" workbookViewId="0">
      <selection activeCell="I1" sqref="I1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C9" sqref="C9"/>
    </sheetView>
  </sheetViews>
  <sheetFormatPr defaultRowHeight="12.75"/>
  <cols>
    <col min="1" max="1" width="30.140625" style="55" bestFit="1" customWidth="1"/>
    <col min="2" max="2" width="18.7109375" style="55" customWidth="1"/>
    <col min="3" max="3" width="16.85546875" style="55" customWidth="1"/>
    <col min="4" max="4" width="8.140625" style="55" customWidth="1"/>
    <col min="5" max="5" width="7.28515625" style="55" customWidth="1"/>
    <col min="6" max="6" width="10.5703125" style="55" bestFit="1" customWidth="1"/>
    <col min="7" max="7" width="12.7109375" style="55" bestFit="1" customWidth="1"/>
    <col min="8" max="16384" width="9.140625" style="55"/>
  </cols>
  <sheetData>
    <row r="1" spans="1:2" ht="13.5" thickBot="1"/>
    <row r="2" spans="1:2" ht="22.5" customHeight="1" thickBot="1">
      <c r="A2" s="127" t="s">
        <v>230</v>
      </c>
      <c r="B2" s="128"/>
    </row>
    <row r="3" spans="1:2" ht="17.25" thickTop="1" thickBot="1">
      <c r="A3" s="61" t="s">
        <v>229</v>
      </c>
      <c r="B3" s="60" t="s">
        <v>225</v>
      </c>
    </row>
    <row r="4" spans="1:2" ht="7.5" customHeight="1" thickTop="1">
      <c r="A4" s="59"/>
      <c r="B4" s="58"/>
    </row>
    <row r="5" spans="1:2">
      <c r="A5" s="62" t="s">
        <v>228</v>
      </c>
      <c r="B5" s="57">
        <f>HLOOKUP($B$3,'Master Inventory List'!$A$2:$G$5,MATCH(LEFT($A5,11),'Master Inventory List'!$A$2:$A$5,0),FALSE)</f>
        <v>150</v>
      </c>
    </row>
    <row r="6" spans="1:2">
      <c r="A6" s="62" t="s">
        <v>227</v>
      </c>
      <c r="B6" s="57">
        <f>HLOOKUP($B$3,'Master Inventory List'!$A$2:$G$5,MATCH(LEFT($A6,11),'Master Inventory List'!$A$2:$A$5,0))</f>
        <v>110</v>
      </c>
    </row>
    <row r="7" spans="1:2" ht="13.5" thickBot="1">
      <c r="A7" s="63" t="s">
        <v>226</v>
      </c>
      <c r="B7" s="57">
        <f>HLOOKUP($B$3,'Master Inventory List'!$A$2:$G$5,MATCH(LEFT($A7,11),'Master Inventory List'!$A$2:$A$5,0))</f>
        <v>115</v>
      </c>
    </row>
  </sheetData>
  <mergeCells count="1">
    <mergeCell ref="A2:B2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defaultRowHeight="12.75"/>
  <cols>
    <col min="1" max="1" width="14.85546875" style="55" customWidth="1"/>
    <col min="2" max="16384" width="9.140625" style="55"/>
  </cols>
  <sheetData>
    <row r="2" spans="1:7">
      <c r="A2" s="64" t="s">
        <v>237</v>
      </c>
      <c r="B2" s="65" t="s">
        <v>223</v>
      </c>
      <c r="C2" s="65" t="s">
        <v>225</v>
      </c>
      <c r="D2" s="65" t="s">
        <v>236</v>
      </c>
      <c r="E2" s="65" t="s">
        <v>235</v>
      </c>
      <c r="F2" s="65" t="s">
        <v>234</v>
      </c>
      <c r="G2" s="65" t="s">
        <v>224</v>
      </c>
    </row>
    <row r="3" spans="1:7">
      <c r="A3" s="66" t="s">
        <v>233</v>
      </c>
      <c r="B3" s="56">
        <v>120</v>
      </c>
      <c r="C3" s="56">
        <v>150</v>
      </c>
      <c r="D3" s="56">
        <v>135</v>
      </c>
      <c r="E3" s="56">
        <v>90</v>
      </c>
      <c r="F3" s="56">
        <v>95</v>
      </c>
      <c r="G3" s="56">
        <v>140</v>
      </c>
    </row>
    <row r="4" spans="1:7">
      <c r="A4" s="66" t="s">
        <v>232</v>
      </c>
      <c r="B4" s="56">
        <v>55</v>
      </c>
      <c r="C4" s="56">
        <v>110</v>
      </c>
      <c r="D4" s="56">
        <v>75</v>
      </c>
      <c r="E4" s="56">
        <v>95</v>
      </c>
      <c r="F4" s="56">
        <v>75</v>
      </c>
      <c r="G4" s="56">
        <v>55</v>
      </c>
    </row>
    <row r="5" spans="1:7">
      <c r="A5" s="66" t="s">
        <v>231</v>
      </c>
      <c r="B5" s="56">
        <v>70</v>
      </c>
      <c r="C5" s="56">
        <v>115</v>
      </c>
      <c r="D5" s="56">
        <v>65</v>
      </c>
      <c r="E5" s="56">
        <v>55</v>
      </c>
      <c r="F5" s="56">
        <v>85</v>
      </c>
      <c r="G5" s="56">
        <v>65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1"/>
  <dimension ref="B2:F19"/>
  <sheetViews>
    <sheetView zoomScale="130" zoomScaleNormal="130" workbookViewId="0">
      <selection activeCell="C4" sqref="C4"/>
    </sheetView>
  </sheetViews>
  <sheetFormatPr defaultRowHeight="12.75"/>
  <cols>
    <col min="1" max="1" width="3.140625" customWidth="1"/>
    <col min="2" max="2" width="10" customWidth="1"/>
    <col min="3" max="3" width="16" customWidth="1"/>
    <col min="4" max="4" width="19" bestFit="1" customWidth="1"/>
    <col min="5" max="5" width="5.140625" customWidth="1"/>
    <col min="6" max="6" width="18.28515625" bestFit="1" customWidth="1"/>
  </cols>
  <sheetData>
    <row r="2" spans="2:6" ht="41.25" customHeight="1" thickBot="1">
      <c r="C2" s="118" t="s">
        <v>280</v>
      </c>
      <c r="D2" s="121" t="s">
        <v>281</v>
      </c>
    </row>
    <row r="3" spans="2:6" ht="15">
      <c r="B3" s="117" t="s">
        <v>282</v>
      </c>
      <c r="C3" s="119" t="s">
        <v>239</v>
      </c>
      <c r="D3" s="34" t="s">
        <v>240</v>
      </c>
      <c r="F3" s="120" t="s">
        <v>238</v>
      </c>
    </row>
    <row r="4" spans="2:6">
      <c r="B4" s="68">
        <v>1054</v>
      </c>
      <c r="C4" s="68" t="str">
        <f>INDEX('INDEX MATCH Master Emp List'!$A$1:$I$38,12,5)</f>
        <v>sandraes</v>
      </c>
      <c r="D4" s="68">
        <f>MATCH(B4,'INDEX MATCH Master Emp List'!A1:A38,0)</f>
        <v>2</v>
      </c>
      <c r="F4" s="69" t="str">
        <f>INDEX('INDEX MATCH Master Emp List'!$D$1:$D$38,MATCH(B4,'INDEX MATCH Master Emp List'!$A$1:$A$38,0))</f>
        <v>AT</v>
      </c>
    </row>
    <row r="5" spans="2:6">
      <c r="B5" s="68">
        <v>1078</v>
      </c>
      <c r="C5" s="68" t="str">
        <f>INDEX('INDEX MATCH Master Emp List'!$A$1:$I$38,12,5)</f>
        <v>sandraes</v>
      </c>
      <c r="D5" s="68">
        <f>MATCH(B5,'INDEX MATCH Master Emp List'!A2:A39,0)</f>
        <v>5</v>
      </c>
      <c r="F5" s="69" t="str">
        <f>INDEX('INDEX MATCH Master Emp List'!$D$1:$D$38,MATCH(B5,'INDEX MATCH Master Emp List'!$A$1:$A$38,0))</f>
        <v>AC</v>
      </c>
    </row>
    <row r="6" spans="2:6">
      <c r="B6" s="68">
        <v>1284</v>
      </c>
      <c r="C6" s="68" t="str">
        <f>INDEX('INDEX MATCH Master Emp List'!$A$1:$I$38,12,5)</f>
        <v>sandraes</v>
      </c>
      <c r="D6" s="68">
        <f>MATCH(B6,'INDEX MATCH Master Emp List'!A3:A40,0)</f>
        <v>7</v>
      </c>
      <c r="F6" s="69" t="str">
        <f>INDEX('INDEX MATCH Master Emp List'!$D$1:$D$38,MATCH(B6,'INDEX MATCH Master Emp List'!$A$1:$A$38,0))</f>
        <v>MK</v>
      </c>
    </row>
    <row r="7" spans="2:6">
      <c r="B7" s="68">
        <v>1299</v>
      </c>
      <c r="C7" s="68" t="str">
        <f>INDEX('INDEX MATCH Master Emp List'!$A$1:$I$38,12,5)</f>
        <v>sandraes</v>
      </c>
      <c r="D7" s="68">
        <f>MATCH(B7,'INDEX MATCH Master Emp List'!A4:A41,0)</f>
        <v>9</v>
      </c>
      <c r="F7" s="69" t="str">
        <f>INDEX('INDEX MATCH Master Emp List'!$D$1:$D$38,MATCH(B7,'INDEX MATCH Master Emp List'!$A$1:$A$38,0))</f>
        <v>MF</v>
      </c>
    </row>
    <row r="8" spans="2:6">
      <c r="B8" s="68">
        <v>1329</v>
      </c>
      <c r="C8" s="68" t="str">
        <f>INDEX('INDEX MATCH Master Emp List'!$A$1:$I$38,12,5)</f>
        <v>sandraes</v>
      </c>
      <c r="D8" s="68">
        <f>MATCH(B8,'INDEX MATCH Master Emp List'!A5:A42,0)</f>
        <v>11</v>
      </c>
      <c r="F8" s="69" t="str">
        <f>INDEX('INDEX MATCH Master Emp List'!$D$1:$D$38,MATCH(B8,'INDEX MATCH Master Emp List'!$A$1:$A$38,0))</f>
        <v>AC</v>
      </c>
    </row>
    <row r="9" spans="2:6">
      <c r="B9" s="68">
        <v>1509</v>
      </c>
      <c r="C9" s="68" t="str">
        <f>INDEX('INDEX MATCH Master Emp List'!$A$1:$I$38,12,5)</f>
        <v>sandraes</v>
      </c>
      <c r="D9" s="68">
        <f>MATCH(B9,'INDEX MATCH Master Emp List'!A6:A43,0)</f>
        <v>13</v>
      </c>
      <c r="F9" s="69" t="str">
        <f>INDEX('INDEX MATCH Master Emp List'!$D$1:$D$38,MATCH(B9,'INDEX MATCH Master Emp List'!$A$1:$A$38,0))</f>
        <v>AT</v>
      </c>
    </row>
    <row r="10" spans="2:6">
      <c r="C10" s="68"/>
      <c r="D10" s="68"/>
      <c r="F10" s="69"/>
    </row>
    <row r="11" spans="2:6">
      <c r="C11" s="68"/>
      <c r="D11" s="68"/>
      <c r="F11" s="69"/>
    </row>
    <row r="12" spans="2:6">
      <c r="C12" s="68"/>
      <c r="D12" s="68"/>
      <c r="F12" s="69"/>
    </row>
    <row r="13" spans="2:6">
      <c r="C13" s="68"/>
      <c r="D13" s="68"/>
      <c r="F13" s="69"/>
    </row>
    <row r="14" spans="2:6">
      <c r="C14" s="68"/>
      <c r="D14" s="68"/>
      <c r="F14" s="69"/>
    </row>
    <row r="15" spans="2:6">
      <c r="C15" s="68"/>
      <c r="D15" s="68"/>
      <c r="F15" s="69"/>
    </row>
    <row r="16" spans="2:6">
      <c r="C16" s="68"/>
      <c r="D16" s="68"/>
      <c r="F16" s="69"/>
    </row>
    <row r="17" spans="3:6">
      <c r="C17" s="68"/>
      <c r="D17" s="68"/>
      <c r="F17" s="69"/>
    </row>
    <row r="18" spans="3:6">
      <c r="C18" s="68"/>
      <c r="D18" s="68"/>
      <c r="F18" s="69"/>
    </row>
    <row r="19" spans="3:6">
      <c r="C19" s="68"/>
      <c r="D19" s="68"/>
      <c r="F19" s="6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A2" sqref="A2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10" zoomScale="160" zoomScaleNormal="160" workbookViewId="0">
      <selection activeCell="I7" sqref="I7"/>
    </sheetView>
  </sheetViews>
  <sheetFormatPr defaultRowHeight="12.75"/>
  <cols>
    <col min="1" max="1" width="14.42578125" customWidth="1"/>
    <col min="2" max="2" width="27.85546875" bestFit="1" customWidth="1"/>
    <col min="3" max="3" width="12.5703125" customWidth="1"/>
    <col min="4" max="4" width="3.1406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5" t="s">
        <v>167</v>
      </c>
      <c r="B2" s="35" t="s">
        <v>178</v>
      </c>
      <c r="C2" s="35" t="s">
        <v>202</v>
      </c>
      <c r="D2" s="39"/>
      <c r="E2" s="38" t="s">
        <v>166</v>
      </c>
      <c r="F2" s="38" t="s">
        <v>219</v>
      </c>
      <c r="G2" s="38" t="s">
        <v>218</v>
      </c>
      <c r="H2" s="36" t="s">
        <v>247</v>
      </c>
    </row>
    <row r="3" spans="1:8">
      <c r="A3" s="22" t="s">
        <v>168</v>
      </c>
      <c r="B3" s="23" t="s">
        <v>179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IF(LEN($A3)&gt;8, RIGHT($A3,LEN($A3)-6),RIGHT($A3,2))</f>
        <v>WW</v>
      </c>
      <c r="H3">
        <f>LEN($A3)</f>
        <v>8</v>
      </c>
    </row>
    <row r="4" spans="1:8">
      <c r="A4" s="22" t="s">
        <v>169</v>
      </c>
      <c r="B4" s="23" t="s">
        <v>180</v>
      </c>
      <c r="C4" s="24">
        <v>12.19</v>
      </c>
      <c r="D4" s="37"/>
      <c r="E4" s="17" t="str">
        <f>LEFT($A4,3)</f>
        <v>ACM</v>
      </c>
      <c r="F4" s="17" t="str">
        <f>MID($A4,4,3)</f>
        <v>111</v>
      </c>
      <c r="G4" s="17" t="str">
        <f t="shared" ref="G4:G26" si="0">IF(LEN($A4)&gt;8, RIGHT($A4,LEN($A4)-6),RIGHT($A4,2))</f>
        <v>WW</v>
      </c>
      <c r="H4">
        <f t="shared" ref="H4:H26" si="1">LEN($A4)</f>
        <v>8</v>
      </c>
    </row>
    <row r="5" spans="1:8">
      <c r="A5" s="22" t="s">
        <v>170</v>
      </c>
      <c r="B5" s="23" t="s">
        <v>181</v>
      </c>
      <c r="C5" s="24">
        <v>10.89</v>
      </c>
      <c r="D5" s="37"/>
      <c r="E5" s="17" t="str">
        <f t="shared" ref="E5:E26" si="2">LEFT($A5,3)</f>
        <v>ACM</v>
      </c>
      <c r="F5" s="17" t="str">
        <f t="shared" ref="F5:F26" si="3">MID($A5,4,3)</f>
        <v>150</v>
      </c>
      <c r="G5" s="17" t="str">
        <f t="shared" si="0"/>
        <v>WW</v>
      </c>
      <c r="H5">
        <f t="shared" si="1"/>
        <v>8</v>
      </c>
    </row>
    <row r="6" spans="1:8">
      <c r="A6" s="22" t="s">
        <v>171</v>
      </c>
      <c r="B6" s="23" t="s">
        <v>182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>
      <c r="A7" s="22" t="s">
        <v>172</v>
      </c>
      <c r="B7" s="23" t="s">
        <v>183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>
      <c r="A8" s="22" t="s">
        <v>173</v>
      </c>
      <c r="B8" s="23" t="s">
        <v>184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>
      <c r="A9" s="22" t="s">
        <v>174</v>
      </c>
      <c r="B9" s="23" t="s">
        <v>185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>
      <c r="A10" s="22" t="s">
        <v>175</v>
      </c>
      <c r="B10" s="23" t="s">
        <v>186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>
      <c r="A11" s="22" t="s">
        <v>176</v>
      </c>
      <c r="B11" s="23" t="s">
        <v>187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>
      <c r="A12" s="22" t="s">
        <v>203</v>
      </c>
      <c r="B12" s="23" t="s">
        <v>188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>
      <c r="A13" s="22" t="s">
        <v>204</v>
      </c>
      <c r="B13" s="23" t="s">
        <v>189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>
      <c r="A14" s="22" t="s">
        <v>205</v>
      </c>
      <c r="B14" s="23" t="s">
        <v>190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>
      <c r="A15" s="22" t="s">
        <v>206</v>
      </c>
      <c r="B15" s="23" t="s">
        <v>191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>
      <c r="A16" s="22" t="s">
        <v>207</v>
      </c>
      <c r="B16" s="23" t="s">
        <v>192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>
      <c r="A17" s="22" t="s">
        <v>208</v>
      </c>
      <c r="B17" s="23" t="s">
        <v>193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>
      <c r="A18" s="22" t="s">
        <v>209</v>
      </c>
      <c r="B18" s="23" t="s">
        <v>194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>
      <c r="A19" s="22" t="s">
        <v>177</v>
      </c>
      <c r="B19" s="23" t="s">
        <v>195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>
      <c r="A20" s="22" t="s">
        <v>210</v>
      </c>
      <c r="B20" s="23" t="s">
        <v>196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>
        <f t="shared" si="1"/>
        <v>8</v>
      </c>
    </row>
    <row r="21" spans="1:8">
      <c r="A21" s="22" t="s">
        <v>211</v>
      </c>
      <c r="B21" s="23" t="s">
        <v>212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>
      <c r="A22" s="22" t="s">
        <v>216</v>
      </c>
      <c r="B22" s="23" t="s">
        <v>197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>
      <c r="A23" s="22" t="s">
        <v>217</v>
      </c>
      <c r="B23" s="23" t="s">
        <v>198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>
      <c r="A24" s="22" t="s">
        <v>213</v>
      </c>
      <c r="B24" s="23" t="s">
        <v>199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>
        <f t="shared" si="1"/>
        <v>8</v>
      </c>
    </row>
    <row r="25" spans="1:8">
      <c r="A25" s="22" t="s">
        <v>214</v>
      </c>
      <c r="B25" s="23" t="s">
        <v>200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>
      <c r="A26" s="22" t="s">
        <v>215</v>
      </c>
      <c r="B26" s="23" t="s">
        <v>201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:C6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1" t="s">
        <v>241</v>
      </c>
      <c r="B1" s="71" t="s">
        <v>18</v>
      </c>
      <c r="C1" s="71" t="s">
        <v>17</v>
      </c>
    </row>
    <row r="2" spans="1:3">
      <c r="A2" t="s">
        <v>242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243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244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245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246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topLeftCell="A7" zoomScale="145" zoomScaleNormal="145" workbookViewId="0">
      <selection activeCell="I7" sqref="I7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0" t="s">
        <v>17</v>
      </c>
      <c r="C2" s="40" t="s">
        <v>18</v>
      </c>
      <c r="E2" s="131" t="s">
        <v>165</v>
      </c>
      <c r="F2" s="131"/>
    </row>
    <row r="3" spans="2:6">
      <c r="B3" s="25" t="s">
        <v>25</v>
      </c>
      <c r="C3" s="25" t="s">
        <v>26</v>
      </c>
      <c r="E3" s="129" t="str">
        <f>CONCATENATE(C3," ",B3)</f>
        <v>Howard Smith</v>
      </c>
      <c r="F3" s="130"/>
    </row>
    <row r="4" spans="2:6">
      <c r="B4" s="25" t="s">
        <v>30</v>
      </c>
      <c r="C4" s="25" t="s">
        <v>31</v>
      </c>
      <c r="E4" s="129" t="str">
        <f t="shared" ref="E4:E18" si="0">CONCATENATE(C4," ",B4)</f>
        <v>Joe Gonzales</v>
      </c>
      <c r="F4" s="130"/>
    </row>
    <row r="5" spans="2:6">
      <c r="B5" s="25" t="s">
        <v>33</v>
      </c>
      <c r="C5" s="25" t="s">
        <v>34</v>
      </c>
      <c r="E5" s="129" t="str">
        <f t="shared" si="0"/>
        <v>Gail Scote</v>
      </c>
      <c r="F5" s="130"/>
    </row>
    <row r="6" spans="2:6">
      <c r="B6" s="25" t="s">
        <v>36</v>
      </c>
      <c r="C6" s="25" t="s">
        <v>37</v>
      </c>
      <c r="E6" s="129" t="str">
        <f t="shared" si="0"/>
        <v>Sheryl Kane</v>
      </c>
      <c r="F6" s="130"/>
    </row>
    <row r="7" spans="2:6">
      <c r="B7" s="25" t="s">
        <v>41</v>
      </c>
      <c r="C7" s="25" t="s">
        <v>42</v>
      </c>
      <c r="E7" s="129" t="str">
        <f t="shared" si="0"/>
        <v>Kendrick Hapsbuch</v>
      </c>
      <c r="F7" s="130"/>
    </row>
    <row r="8" spans="2:6">
      <c r="B8" s="25" t="s">
        <v>45</v>
      </c>
      <c r="C8" s="25" t="s">
        <v>46</v>
      </c>
      <c r="E8" s="129" t="str">
        <f t="shared" si="0"/>
        <v>Mark Henders</v>
      </c>
      <c r="F8" s="130"/>
    </row>
    <row r="9" spans="2:6">
      <c r="B9" s="25" t="s">
        <v>48</v>
      </c>
      <c r="C9" s="25" t="s">
        <v>49</v>
      </c>
      <c r="E9" s="129" t="str">
        <f t="shared" si="0"/>
        <v>Katie Atherton</v>
      </c>
      <c r="F9" s="130"/>
    </row>
    <row r="10" spans="2:6">
      <c r="B10" s="25" t="s">
        <v>52</v>
      </c>
      <c r="C10" s="25" t="s">
        <v>53</v>
      </c>
      <c r="E10" s="129" t="str">
        <f t="shared" si="0"/>
        <v>Frank Bellwood</v>
      </c>
      <c r="F10" s="130"/>
    </row>
    <row r="11" spans="2:6">
      <c r="B11" s="25" t="s">
        <v>56</v>
      </c>
      <c r="C11" s="25" t="s">
        <v>57</v>
      </c>
      <c r="E11" s="129" t="str">
        <f t="shared" si="0"/>
        <v>Linda Cooper</v>
      </c>
      <c r="F11" s="130"/>
    </row>
    <row r="12" spans="2:6">
      <c r="B12" s="25" t="s">
        <v>59</v>
      </c>
      <c r="C12" s="25" t="s">
        <v>60</v>
      </c>
      <c r="E12" s="129" t="str">
        <f t="shared" si="0"/>
        <v>Brent Cronwith</v>
      </c>
      <c r="F12" s="130"/>
    </row>
    <row r="13" spans="2:6">
      <c r="B13" s="25" t="s">
        <v>62</v>
      </c>
      <c r="C13" s="25" t="s">
        <v>63</v>
      </c>
      <c r="E13" s="129" t="str">
        <f t="shared" si="0"/>
        <v>Sandrae Simpson</v>
      </c>
      <c r="F13" s="130"/>
    </row>
    <row r="14" spans="2:6">
      <c r="B14" s="25" t="s">
        <v>66</v>
      </c>
      <c r="C14" s="25" t="s">
        <v>67</v>
      </c>
      <c r="E14" s="129" t="str">
        <f t="shared" si="0"/>
        <v>Randy Sindole</v>
      </c>
      <c r="F14" s="130"/>
    </row>
    <row r="15" spans="2:6">
      <c r="B15" s="25" t="s">
        <v>25</v>
      </c>
      <c r="C15" s="25" t="s">
        <v>69</v>
      </c>
      <c r="E15" s="129" t="str">
        <f t="shared" si="0"/>
        <v>Ellen Smith</v>
      </c>
      <c r="F15" s="130"/>
    </row>
    <row r="16" spans="2:6">
      <c r="B16" s="25" t="s">
        <v>71</v>
      </c>
      <c r="C16" s="25" t="s">
        <v>72</v>
      </c>
      <c r="E16" s="129" t="str">
        <f t="shared" si="0"/>
        <v>Tuome Vuanuo</v>
      </c>
      <c r="F16" s="130"/>
    </row>
    <row r="17" spans="2:6">
      <c r="B17" s="25" t="s">
        <v>74</v>
      </c>
      <c r="C17" s="25" t="s">
        <v>75</v>
      </c>
      <c r="E17" s="129" t="str">
        <f t="shared" si="0"/>
        <v>Tadeuz Szcznyck</v>
      </c>
      <c r="F17" s="130"/>
    </row>
    <row r="18" spans="2:6">
      <c r="B18" s="25" t="s">
        <v>77</v>
      </c>
      <c r="C18" s="25" t="s">
        <v>78</v>
      </c>
      <c r="E18" s="129" t="str">
        <f t="shared" si="0"/>
        <v>Tammy Wu</v>
      </c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221</v>
      </c>
      <c r="B2" s="126"/>
      <c r="C2" s="126"/>
      <c r="D2" s="126"/>
      <c r="E2" s="126"/>
      <c r="F2" s="126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222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2.75"/>
  <cols>
    <col min="1" max="1" width="20.28515625" bestFit="1" customWidth="1"/>
    <col min="2" max="2" width="16.7109375" customWidth="1"/>
  </cols>
  <sheetData>
    <row r="2" spans="1:2">
      <c r="A2" s="70" t="s">
        <v>248</v>
      </c>
      <c r="B2" s="9">
        <f>'Formula Auditing'!F10</f>
        <v>176211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I14" sqref="I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221</v>
      </c>
      <c r="B2" s="126"/>
      <c r="C2" s="126"/>
      <c r="D2" s="126"/>
      <c r="E2" s="126"/>
      <c r="F2" s="126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222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4.140625" customWidth="1"/>
    <col min="4" max="4" width="12.28515625" bestFit="1" customWidth="1"/>
  </cols>
  <sheetData>
    <row r="1" spans="1:4" ht="13.5" thickBot="1"/>
    <row r="2" spans="1:4">
      <c r="A2" s="96" t="s">
        <v>253</v>
      </c>
      <c r="B2" s="91">
        <v>220000</v>
      </c>
      <c r="C2" s="74"/>
      <c r="D2" s="95" t="s">
        <v>252</v>
      </c>
    </row>
    <row r="3" spans="1:4" ht="13.5" thickBot="1">
      <c r="A3" s="96" t="s">
        <v>251</v>
      </c>
      <c r="B3" s="92">
        <v>0.08</v>
      </c>
      <c r="C3" s="74"/>
      <c r="D3" s="94">
        <f>-PMT(B3/12,B4,B2)</f>
        <v>1697.9956826206067</v>
      </c>
    </row>
    <row r="4" spans="1:4">
      <c r="A4" s="96" t="s">
        <v>250</v>
      </c>
      <c r="B4" s="93">
        <v>300</v>
      </c>
      <c r="C4" s="74"/>
      <c r="D4" s="7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K10" sqref="K10"/>
    </sheetView>
  </sheetViews>
  <sheetFormatPr defaultRowHeight="12.75"/>
  <cols>
    <col min="1" max="1" width="25.42578125" style="77" customWidth="1"/>
    <col min="2" max="2" width="10.140625" style="77" customWidth="1"/>
    <col min="3" max="3" width="10.5703125" style="77" customWidth="1"/>
    <col min="4" max="4" width="10.28515625" style="77" customWidth="1"/>
    <col min="5" max="5" width="9.28515625" style="77" customWidth="1"/>
    <col min="6" max="6" width="8.85546875" style="77" customWidth="1"/>
    <col min="7" max="7" width="11.28515625" style="77" customWidth="1"/>
    <col min="8" max="8" width="15.7109375" style="77" customWidth="1"/>
    <col min="9" max="16384" width="9.14062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271</v>
      </c>
      <c r="H3" s="101" t="s">
        <v>278</v>
      </c>
    </row>
    <row r="4" spans="1:8" ht="16.5" thickBot="1">
      <c r="A4" s="88" t="s">
        <v>277</v>
      </c>
      <c r="B4" s="99" t="s">
        <v>276</v>
      </c>
      <c r="C4" s="99" t="s">
        <v>275</v>
      </c>
      <c r="D4" s="99" t="s">
        <v>274</v>
      </c>
      <c r="E4" s="99" t="s">
        <v>273</v>
      </c>
      <c r="F4" s="74"/>
      <c r="G4" s="102" t="s">
        <v>272</v>
      </c>
      <c r="H4" s="103" t="s">
        <v>271</v>
      </c>
    </row>
    <row r="5" spans="1:8" ht="15.75">
      <c r="A5" s="86" t="s">
        <v>270</v>
      </c>
      <c r="B5" s="85">
        <v>92</v>
      </c>
      <c r="C5" s="85">
        <v>39.999999999999993</v>
      </c>
      <c r="D5" s="85">
        <v>92</v>
      </c>
      <c r="E5" s="85">
        <v>92</v>
      </c>
      <c r="F5" s="74"/>
      <c r="G5" s="84">
        <v>1.25</v>
      </c>
      <c r="H5" s="83">
        <f>G5*(B5+C5+D5+E5)</f>
        <v>395</v>
      </c>
    </row>
    <row r="6" spans="1:8" ht="15.75">
      <c r="A6" s="86" t="s">
        <v>269</v>
      </c>
      <c r="B6" s="87">
        <v>32.999999999999986</v>
      </c>
      <c r="C6" s="85">
        <v>20</v>
      </c>
      <c r="D6" s="85">
        <v>43.000000000000007</v>
      </c>
      <c r="E6" s="85">
        <v>20</v>
      </c>
      <c r="F6" s="74"/>
      <c r="G6" s="84">
        <v>1.84</v>
      </c>
      <c r="H6" s="83">
        <f>G6*(B6+C6+D6+E6)</f>
        <v>213.44</v>
      </c>
    </row>
    <row r="7" spans="1:8" ht="15.75">
      <c r="A7" s="86" t="s">
        <v>268</v>
      </c>
      <c r="B7" s="85">
        <v>55</v>
      </c>
      <c r="C7" s="85">
        <v>20</v>
      </c>
      <c r="D7" s="85">
        <v>55</v>
      </c>
      <c r="E7" s="85">
        <v>48</v>
      </c>
      <c r="F7" s="74"/>
      <c r="G7" s="84">
        <v>1.45</v>
      </c>
      <c r="H7" s="83">
        <f>G7*(B7+C7+D7+E7)</f>
        <v>258.09999999999997</v>
      </c>
    </row>
    <row r="8" spans="1:8" ht="15.75">
      <c r="A8" s="97" t="s">
        <v>267</v>
      </c>
      <c r="B8" s="82">
        <f>SUM(B5:B7)</f>
        <v>180</v>
      </c>
      <c r="C8" s="82">
        <f>SUM(C5:C7)</f>
        <v>80</v>
      </c>
      <c r="D8" s="82">
        <f>SUM(D5:D7)</f>
        <v>190</v>
      </c>
      <c r="E8" s="82">
        <f>SUM(E5:E7)</f>
        <v>160</v>
      </c>
      <c r="F8" s="74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4"/>
    </row>
    <row r="10" spans="1:8" ht="15.75">
      <c r="A10" s="98" t="s">
        <v>266</v>
      </c>
      <c r="B10" s="105">
        <v>180</v>
      </c>
      <c r="C10" s="105">
        <v>80</v>
      </c>
      <c r="D10" s="105">
        <v>190</v>
      </c>
      <c r="E10" s="105">
        <v>160</v>
      </c>
      <c r="F10" s="74"/>
    </row>
    <row r="11" spans="1:8" ht="15.75">
      <c r="A11" s="78"/>
      <c r="F11" s="74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K14"/>
  <sheetViews>
    <sheetView zoomScale="145" zoomScaleNormal="145" workbookViewId="0">
      <selection activeCell="E7" sqref="E7:K8"/>
    </sheetView>
  </sheetViews>
  <sheetFormatPr defaultRowHeight="12.75"/>
  <cols>
    <col min="1" max="1" width="9.140625" style="74"/>
    <col min="2" max="2" width="17.42578125" style="74" bestFit="1" customWidth="1"/>
    <col min="3" max="3" width="12.42578125" style="74" customWidth="1"/>
    <col min="4" max="4" width="8.42578125" style="74" customWidth="1"/>
    <col min="5" max="7" width="12.42578125" style="74" customWidth="1"/>
    <col min="8" max="11" width="10.7109375" style="74" bestFit="1" customWidth="1"/>
    <col min="12" max="16384" width="9.140625" style="74"/>
  </cols>
  <sheetData>
    <row r="2" spans="2:11">
      <c r="B2" s="96" t="s">
        <v>253</v>
      </c>
      <c r="C2" s="106">
        <v>220000</v>
      </c>
      <c r="D2" s="134"/>
    </row>
    <row r="3" spans="2:11">
      <c r="B3" s="96" t="s">
        <v>251</v>
      </c>
      <c r="C3" s="107">
        <v>0.08</v>
      </c>
      <c r="D3" s="135"/>
    </row>
    <row r="4" spans="2:11">
      <c r="B4" s="96" t="s">
        <v>250</v>
      </c>
      <c r="C4" s="108">
        <f>25*12</f>
        <v>300</v>
      </c>
      <c r="D4" s="136"/>
    </row>
    <row r="7" spans="2:11" ht="15.75">
      <c r="B7" s="109" t="s">
        <v>249</v>
      </c>
      <c r="C7" s="133">
        <f>-PMT(C3/12,C4,C2)</f>
        <v>1697.9956826206067</v>
      </c>
      <c r="D7" s="133"/>
      <c r="E7" s="74" t="s">
        <v>286</v>
      </c>
      <c r="F7" s="106">
        <v>200000</v>
      </c>
      <c r="G7" s="106">
        <v>210000</v>
      </c>
      <c r="H7" s="106">
        <v>215000</v>
      </c>
      <c r="I7" s="106">
        <v>225000</v>
      </c>
      <c r="J7" s="106">
        <v>230000</v>
      </c>
      <c r="K7" s="106">
        <v>240000</v>
      </c>
    </row>
    <row r="8" spans="2:11" ht="15.75">
      <c r="B8" s="75">
        <v>7.2499999999999995E-2</v>
      </c>
      <c r="C8" s="12">
        <f t="dataTable" ref="C8:C14" dt2D="0" dtr="0" r1="C3" ca="1"/>
        <v>1590.1751010137643</v>
      </c>
      <c r="D8" s="67"/>
      <c r="E8" s="133">
        <f>-PMT(C3/12,C4,C2)</f>
        <v>1697.9956826206067</v>
      </c>
      <c r="F8" s="74">
        <f t="dataTable" ref="F8:K8" dt2D="0" dtr="1" r1="C2"/>
        <v>1543.6324387460061</v>
      </c>
      <c r="G8" s="74">
        <v>1620.8140606833065</v>
      </c>
      <c r="H8" s="74">
        <v>1659.4048716519567</v>
      </c>
      <c r="I8" s="74">
        <v>1736.5864935892569</v>
      </c>
      <c r="J8" s="74">
        <v>1775.1773045579071</v>
      </c>
      <c r="K8" s="74">
        <v>1852.3589264952075</v>
      </c>
    </row>
    <row r="9" spans="2:11" ht="15.75">
      <c r="B9" s="75">
        <v>7.4999999999999997E-2</v>
      </c>
      <c r="C9" s="12">
        <v>1625.7805911544106</v>
      </c>
      <c r="D9" s="67"/>
    </row>
    <row r="10" spans="2:11" ht="15.75">
      <c r="B10" s="75">
        <v>7.7499999999999999E-2</v>
      </c>
      <c r="C10" s="12">
        <v>1661.7232770342728</v>
      </c>
      <c r="D10" s="67"/>
    </row>
    <row r="11" spans="2:11" ht="15.75">
      <c r="B11" s="75">
        <v>8.2500000000000004E-2</v>
      </c>
      <c r="C11" s="12">
        <v>1734.5902963096128</v>
      </c>
      <c r="D11" s="67"/>
    </row>
    <row r="12" spans="2:11" ht="15.75">
      <c r="B12" s="75">
        <v>8.5000000000000006E-2</v>
      </c>
      <c r="C12" s="12">
        <v>1771.4995836166886</v>
      </c>
      <c r="D12" s="67"/>
    </row>
    <row r="13" spans="2:11" ht="15.75">
      <c r="B13" s="75">
        <v>8.7499999999999994E-2</v>
      </c>
      <c r="C13" s="12">
        <v>1808.7159994580018</v>
      </c>
      <c r="D13" s="67"/>
    </row>
    <row r="14" spans="2:11" ht="15.75">
      <c r="B14" s="75">
        <v>0.09</v>
      </c>
      <c r="C14" s="12">
        <v>1846.2319999966555</v>
      </c>
      <c r="D14" s="67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tabSelected="1" zoomScale="145" zoomScaleNormal="145" workbookViewId="0">
      <selection activeCell="H13" sqref="H13"/>
    </sheetView>
  </sheetViews>
  <sheetFormatPr defaultRowHeight="12.75"/>
  <cols>
    <col min="1" max="1" width="9.140625" style="74"/>
    <col min="2" max="2" width="11.5703125" style="74" customWidth="1"/>
    <col min="3" max="6" width="15.42578125" style="74" bestFit="1" customWidth="1"/>
    <col min="7" max="7" width="16.7109375" style="74" bestFit="1" customWidth="1"/>
    <col min="8" max="16384" width="9.140625" style="74"/>
  </cols>
  <sheetData>
    <row r="2" spans="2:7" ht="15.75">
      <c r="B2" s="109" t="s">
        <v>265</v>
      </c>
      <c r="C2" s="109" t="s">
        <v>264</v>
      </c>
      <c r="D2" s="109" t="s">
        <v>263</v>
      </c>
      <c r="E2" s="109" t="s">
        <v>262</v>
      </c>
      <c r="F2" s="109" t="s">
        <v>261</v>
      </c>
      <c r="G2" s="109" t="s">
        <v>260</v>
      </c>
    </row>
    <row r="3" spans="2:7">
      <c r="B3" s="110" t="s">
        <v>257</v>
      </c>
      <c r="C3" s="111">
        <v>85292.25</v>
      </c>
      <c r="D3" s="111">
        <f>C3*C11+C3</f>
        <v>88106.894249999998</v>
      </c>
      <c r="E3" s="111">
        <f>D3*C11+D3</f>
        <v>91014.421760249999</v>
      </c>
      <c r="F3" s="111">
        <f>E3*C11+E3</f>
        <v>94017.897678338253</v>
      </c>
      <c r="G3" s="111">
        <f>SUM(C3:F3)</f>
        <v>358431.46368858824</v>
      </c>
    </row>
    <row r="4" spans="2:7">
      <c r="B4" s="110" t="s">
        <v>256</v>
      </c>
      <c r="C4" s="111">
        <v>75891.25</v>
      </c>
      <c r="D4" s="111">
        <f>C4*C12+C4</f>
        <v>77636.748749999999</v>
      </c>
      <c r="E4" s="111">
        <f>D4*C12+D4</f>
        <v>79422.39397125</v>
      </c>
      <c r="F4" s="111">
        <f>E4*C12+E4</f>
        <v>81249.109032588749</v>
      </c>
      <c r="G4" s="111">
        <f>SUM(C4:F4)</f>
        <v>314199.50175383873</v>
      </c>
    </row>
    <row r="5" spans="2:7">
      <c r="B5" s="110" t="s">
        <v>255</v>
      </c>
      <c r="C5" s="111">
        <v>90568.34</v>
      </c>
      <c r="D5" s="111">
        <f>C5*C13+C5</f>
        <v>94462.778619999997</v>
      </c>
      <c r="E5" s="111">
        <f>D5*C13+D5</f>
        <v>98524.678100659992</v>
      </c>
      <c r="F5" s="111">
        <f>E5*C13+E5</f>
        <v>102761.23925898837</v>
      </c>
      <c r="G5" s="111">
        <f>SUM(C5:F5)</f>
        <v>386317.03597964835</v>
      </c>
    </row>
    <row r="6" spans="2:7">
      <c r="B6" s="110" t="s">
        <v>254</v>
      </c>
      <c r="C6" s="111">
        <v>65897.25</v>
      </c>
      <c r="D6" s="111">
        <f>C6*C14+C6</f>
        <v>66622.119749999998</v>
      </c>
      <c r="E6" s="111">
        <f>D6*C14+D6</f>
        <v>67354.963067249992</v>
      </c>
      <c r="F6" s="111">
        <f>E6*C14+E6</f>
        <v>68095.867660989737</v>
      </c>
      <c r="G6" s="111">
        <f>SUM(C6:F6)</f>
        <v>267970.20047823974</v>
      </c>
    </row>
    <row r="7" spans="2:7" ht="15.75">
      <c r="B7" s="99" t="s">
        <v>259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>
      <c r="B10" s="132" t="s">
        <v>258</v>
      </c>
      <c r="C10" s="132"/>
    </row>
    <row r="11" spans="2:7">
      <c r="B11" s="112" t="s">
        <v>257</v>
      </c>
      <c r="C11" s="113">
        <v>3.3000000000000002E-2</v>
      </c>
    </row>
    <row r="12" spans="2:7">
      <c r="B12" s="112" t="s">
        <v>256</v>
      </c>
      <c r="C12" s="113">
        <v>2.3E-2</v>
      </c>
    </row>
    <row r="13" spans="2:7">
      <c r="B13" s="112" t="s">
        <v>255</v>
      </c>
      <c r="C13" s="113">
        <v>4.2999999999999997E-2</v>
      </c>
    </row>
    <row r="14" spans="2:7">
      <c r="B14" s="112" t="s">
        <v>254</v>
      </c>
      <c r="C14" s="113">
        <v>1.0999999999999999E-2</v>
      </c>
    </row>
  </sheetData>
  <scenarios current="0" show="0">
    <scenario name="Default Case" locked="1" count="4" user="bhupesh" comment="Created by bhupesh on 16-11-2021">
      <inputCells r="C11" val="0.033" numFmtId="10"/>
      <inputCells r="C12" val="0.023" numFmtId="10"/>
      <inputCells r="C13" val="0.043" numFmtId="10"/>
      <inputCells r="C14" val="0.011" numFmtId="10"/>
    </scenario>
    <scenario name="Best Case" locked="1" count="4" user="bhupesh" comment="Created by bhupesh on 16-11-2021">
      <inputCells r="C11" val="0.05" numFmtId="10"/>
      <inputCells r="C12" val="0.05" numFmtId="10"/>
      <inputCells r="C13" val="0.05" numFmtId="10"/>
      <inputCells r="C14" val="0.05" numFmtId="10"/>
    </scenario>
    <scenario name="Worst Case" locked="1" count="4" user="bhupesh" comment="Created by bhupesh on 16-11-2021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16" customWidth="1"/>
    <col min="9" max="9" width="9.140625" style="114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5">
        <v>33344</v>
      </c>
      <c r="I1" s="114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5">
        <v>29153</v>
      </c>
      <c r="I2" s="114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5">
        <v>32040</v>
      </c>
      <c r="I3" s="114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5">
        <v>33823</v>
      </c>
      <c r="I4" s="114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5">
        <v>31503</v>
      </c>
      <c r="I5" s="114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5">
        <v>32894</v>
      </c>
      <c r="I6" s="114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5">
        <v>35886</v>
      </c>
      <c r="I7" s="114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5">
        <v>31051</v>
      </c>
      <c r="I8" s="114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5">
        <v>31050</v>
      </c>
      <c r="I9" s="114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5">
        <v>30939</v>
      </c>
      <c r="I10" s="114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5">
        <v>32863</v>
      </c>
      <c r="I11" s="114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5">
        <v>30900</v>
      </c>
      <c r="I12" s="114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5">
        <v>31689</v>
      </c>
      <c r="I13" s="114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5">
        <v>32561</v>
      </c>
      <c r="I14" s="114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5">
        <v>32979</v>
      </c>
      <c r="I15" s="114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5">
        <v>30386</v>
      </c>
      <c r="I16" s="114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5">
        <v>31217</v>
      </c>
      <c r="I17" s="114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5">
        <v>31112</v>
      </c>
      <c r="I18" s="114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5">
        <v>31805</v>
      </c>
      <c r="I19" s="114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5">
        <v>32125</v>
      </c>
      <c r="I20" s="114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5">
        <v>32979</v>
      </c>
      <c r="I21" s="114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5">
        <v>33688</v>
      </c>
      <c r="I22" s="114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5">
        <v>29885</v>
      </c>
      <c r="I23" s="114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5">
        <v>33091</v>
      </c>
      <c r="I24" s="114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5">
        <v>28531</v>
      </c>
      <c r="I25" s="114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5">
        <v>30028</v>
      </c>
      <c r="I26" s="114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5">
        <v>33231</v>
      </c>
      <c r="I27" s="114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5">
        <v>32571</v>
      </c>
      <c r="I28" s="114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5">
        <v>30817</v>
      </c>
      <c r="I29" s="114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5">
        <v>32679</v>
      </c>
      <c r="I30" s="114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5">
        <v>31729</v>
      </c>
      <c r="I31" s="114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5">
        <v>33559</v>
      </c>
      <c r="I32" s="114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5">
        <v>35125</v>
      </c>
      <c r="I33" s="114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5">
        <v>35609</v>
      </c>
      <c r="I34" s="114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5">
        <v>35840</v>
      </c>
      <c r="I35" s="114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5">
        <v>35855</v>
      </c>
      <c r="I36" s="114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5">
        <v>35981</v>
      </c>
      <c r="I37" s="114">
        <v>10.15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16" bestFit="1" customWidth="1"/>
    <col min="9" max="9" width="9.140625" style="114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5">
        <v>33344</v>
      </c>
      <c r="I1" s="114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5">
        <v>29153</v>
      </c>
      <c r="I2" s="114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5">
        <v>32040</v>
      </c>
      <c r="I3" s="114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5">
        <v>33823</v>
      </c>
      <c r="I4" s="114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5">
        <v>31503</v>
      </c>
      <c r="I5" s="114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5">
        <v>32894</v>
      </c>
      <c r="I6" s="114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5">
        <v>35886</v>
      </c>
      <c r="I7" s="114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5">
        <v>31051</v>
      </c>
      <c r="I8" s="114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5">
        <v>31050</v>
      </c>
      <c r="I9" s="114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5">
        <v>30939</v>
      </c>
      <c r="I10" s="114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5">
        <v>32863</v>
      </c>
      <c r="I11" s="114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5">
        <v>30900</v>
      </c>
      <c r="I12" s="114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5">
        <v>31689</v>
      </c>
      <c r="I13" s="114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5">
        <v>32561</v>
      </c>
      <c r="I14" s="114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5">
        <v>32979</v>
      </c>
      <c r="I15" s="114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5">
        <v>30386</v>
      </c>
      <c r="I16" s="114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5">
        <v>31217</v>
      </c>
      <c r="I17" s="114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5">
        <v>31112</v>
      </c>
      <c r="I18" s="114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5">
        <v>31805</v>
      </c>
      <c r="I19" s="114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5">
        <v>32125</v>
      </c>
      <c r="I20" s="114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5">
        <v>32979</v>
      </c>
      <c r="I21" s="114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5">
        <v>33688</v>
      </c>
      <c r="I22" s="114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5">
        <v>29885</v>
      </c>
      <c r="I23" s="114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5">
        <v>33091</v>
      </c>
      <c r="I24" s="114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5">
        <v>28531</v>
      </c>
      <c r="I25" s="114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5">
        <v>30028</v>
      </c>
      <c r="I26" s="114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5">
        <v>33231</v>
      </c>
      <c r="I27" s="114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5">
        <v>32571</v>
      </c>
      <c r="I28" s="114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5">
        <v>30817</v>
      </c>
      <c r="I29" s="114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5">
        <v>32679</v>
      </c>
      <c r="I30" s="114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5">
        <v>31729</v>
      </c>
      <c r="I31" s="114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5">
        <v>33559</v>
      </c>
      <c r="I32" s="114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5">
        <v>35125</v>
      </c>
      <c r="I33" s="114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5">
        <v>35609</v>
      </c>
      <c r="I34" s="114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5">
        <v>35840</v>
      </c>
      <c r="I35" s="114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5">
        <v>35855</v>
      </c>
      <c r="I36" s="114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5">
        <v>35981</v>
      </c>
      <c r="I37" s="114">
        <v>10.15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IF Function</vt:lpstr>
      <vt:lpstr>SUMIF Function</vt:lpstr>
      <vt:lpstr>VLOOKUP Function</vt:lpstr>
      <vt:lpstr>VLOOKUP Function (2)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bhupesh</cp:lastModifiedBy>
  <cp:lastPrinted>2021-11-12T08:15:21Z</cp:lastPrinted>
  <dcterms:created xsi:type="dcterms:W3CDTF">2001-09-07T21:10:35Z</dcterms:created>
  <dcterms:modified xsi:type="dcterms:W3CDTF">2021-11-16T09:07:30Z</dcterms:modified>
</cp:coreProperties>
</file>