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\\fregata\Harsha_Hebbar\1.India Payroll\FY 2021-22\"/>
    </mc:Choice>
  </mc:AlternateContent>
  <xr:revisionPtr revIDLastSave="0" documentId="13_ncr:1_{462A1C31-2E05-493E-8CB3-0EC5C1C3C704}" xr6:coauthVersionLast="46" xr6:coauthVersionMax="46" xr10:uidLastSave="{00000000-0000-0000-0000-000000000000}"/>
  <bookViews>
    <workbookView xWindow="690" yWindow="30" windowWidth="15360" windowHeight="10890" xr2:uid="{AACFBEF4-5254-4A9D-8F94-C83E6ECA6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  <c r="D20" i="1"/>
  <c r="E20" i="1" s="1"/>
  <c r="D46" i="1"/>
  <c r="D47" i="1"/>
  <c r="D63" i="1"/>
  <c r="D59" i="1" l="1"/>
  <c r="D58" i="1"/>
  <c r="D57" i="1"/>
  <c r="D56" i="1" l="1"/>
  <c r="D55" i="1"/>
  <c r="D54" i="1"/>
  <c r="D53" i="1"/>
  <c r="D44" i="1"/>
  <c r="D36" i="1" l="1"/>
  <c r="D16" i="1" l="1" a="1"/>
  <c r="D16" i="1" s="1"/>
  <c r="E16" i="1" s="1"/>
  <c r="D38" i="1" s="1"/>
  <c r="D14" i="1" a="1"/>
  <c r="D14" i="1" s="1"/>
  <c r="E14" i="1" s="1"/>
  <c r="D37" i="1" s="1"/>
  <c r="D15" i="1" a="1"/>
  <c r="D15" i="1" s="1"/>
  <c r="E15" i="1" s="1"/>
  <c r="D39" i="1" s="1"/>
  <c r="E10" i="1" l="1"/>
  <c r="D51" i="1" s="1"/>
  <c r="E52" i="1" s="1"/>
  <c r="D52" i="1" s="1"/>
  <c r="D60" i="1" s="1"/>
  <c r="K9" i="1" l="1"/>
  <c r="K22" i="1"/>
  <c r="D41" i="1"/>
  <c r="E50" i="1" l="1"/>
  <c r="D9" i="1" l="1"/>
  <c r="E12" i="1"/>
  <c r="D12" i="1" l="1"/>
  <c r="K14" i="1"/>
  <c r="K13" i="1"/>
  <c r="E13" i="1"/>
  <c r="G18" i="1" l="1"/>
  <c r="G21" i="1" s="1"/>
  <c r="G22" i="1" s="1"/>
  <c r="D19" i="1"/>
  <c r="K12" i="1"/>
  <c r="K16" i="1" s="1"/>
  <c r="D33" i="1" s="1"/>
  <c r="F65" i="1" s="1"/>
  <c r="D13" i="1"/>
  <c r="D22" i="1" l="1"/>
  <c r="E19" i="1"/>
  <c r="E22" i="1" s="1"/>
  <c r="E17" i="1" s="1"/>
  <c r="D17" i="1" s="1"/>
  <c r="D18" i="1" s="1"/>
  <c r="D24" i="1" s="1"/>
  <c r="E18" i="1" l="1"/>
  <c r="E24" i="1" l="1"/>
  <c r="E25" i="1" s="1"/>
  <c r="E31" i="1"/>
  <c r="F67" i="1" s="1"/>
  <c r="L21" i="1" s="1"/>
  <c r="R21" i="1" l="1"/>
  <c r="R28" i="1" s="1"/>
  <c r="Q28" i="1" s="1"/>
  <c r="L23" i="1"/>
  <c r="L24" i="1" s="1"/>
  <c r="K24" i="1" s="1"/>
  <c r="L25" i="1"/>
  <c r="K25" i="1" s="1"/>
  <c r="R23" i="1" l="1"/>
  <c r="R24" i="1" s="1"/>
  <c r="Q24" i="1" s="1"/>
  <c r="K23" i="1"/>
  <c r="K29" i="1" s="1"/>
  <c r="K30" i="1" s="1"/>
  <c r="K31" i="1" s="1"/>
  <c r="L31" i="1"/>
  <c r="Q23" i="1" l="1"/>
  <c r="R25" i="1"/>
  <c r="R26" i="1" s="1"/>
  <c r="Q26" i="1" s="1"/>
  <c r="Q25" i="1" l="1"/>
  <c r="R27" i="1"/>
  <c r="Q27" i="1" s="1"/>
  <c r="Q29" i="1" l="1"/>
  <c r="Q30" i="1" s="1"/>
  <c r="Q31" i="1" s="1"/>
  <c r="I34" i="1" s="1"/>
  <c r="R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Suneel Kumar Kuncham Varadarajulu</author>
  </authors>
  <commentList>
    <comment ref="E7" authorId="0" shapeId="0" xr:uid="{1730E92E-8A4B-42AA-BEA7-6A7D31B4BF3B}">
      <text>
        <r>
          <rPr>
            <b/>
            <sz val="9"/>
            <color indexed="81"/>
            <rFont val="Tahoma"/>
            <family val="2"/>
          </rPr>
          <t>Make sure to Select Your Employee Level</t>
        </r>
      </text>
    </comment>
    <comment ref="D9" authorId="0" shapeId="0" xr:uid="{B8A933CA-FEB2-491C-AA52-7A91E07B0D01}">
      <text>
        <r>
          <rPr>
            <b/>
            <sz val="9"/>
            <color indexed="81"/>
            <rFont val="Tahoma"/>
            <family val="2"/>
          </rPr>
          <t>Please entter Gross Salary or Monthly Pay slip componet (A)</t>
        </r>
      </text>
    </comment>
    <comment ref="J9" authorId="0" shapeId="0" xr:uid="{3324A53A-0944-4566-9DF6-7736B4EDB1E0}">
      <text>
        <r>
          <rPr>
            <b/>
            <sz val="9"/>
            <color indexed="81"/>
            <rFont val="Tahoma"/>
            <family val="2"/>
          </rPr>
          <t>Monthly Rent payment</t>
        </r>
      </text>
    </comment>
    <comment ref="D10" authorId="0" shapeId="0" xr:uid="{78817C10-090A-4A2A-83AB-A6236765EF30}">
      <text>
        <r>
          <rPr>
            <b/>
            <sz val="9"/>
            <color indexed="81"/>
            <rFont val="Tahoma"/>
            <family val="2"/>
          </rPr>
          <t>Monthly PF contribution (Kindly refer CTC letter or Payslip)</t>
        </r>
      </text>
    </comment>
    <comment ref="B52" authorId="0" shapeId="0" xr:uid="{F853EB4C-541D-4708-9229-1B21DB1CEECC}">
      <text>
        <r>
          <rPr>
            <b/>
            <sz val="9"/>
            <color indexed="81"/>
            <rFont val="Tahoma"/>
            <family val="2"/>
          </rPr>
          <t xml:space="preserve">80C- Max limit is Rs.1,50,000/-
</t>
        </r>
        <r>
          <rPr>
            <sz val="9"/>
            <color indexed="81"/>
            <rFont val="Tahoma"/>
            <family val="2"/>
          </rPr>
          <t>Below are the details:
LIC
Mutual funds
Fixed deposits
PPF
Housing loan Principle
Expensiture on chidren education.
SSY
NSC purchase.
PF</t>
        </r>
      </text>
    </comment>
    <comment ref="B57" authorId="0" shapeId="0" xr:uid="{773B4416-CD3A-48DA-A3C6-DFB55BD4E4C2}">
      <text>
        <r>
          <rPr>
            <b/>
            <u/>
            <sz val="9"/>
            <color indexed="81"/>
            <rFont val="Tahoma"/>
            <family val="2"/>
          </rPr>
          <t xml:space="preserve">Additional Benefit For First Time Home Owners
</t>
        </r>
        <r>
          <rPr>
            <b/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Tahoma"/>
            <family val="2"/>
          </rPr>
          <t xml:space="preserve">The value of residential house does not exceed Rs. 50 Lakhs
</t>
        </r>
        <r>
          <rPr>
            <b/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Tahoma"/>
            <family val="2"/>
          </rPr>
          <t xml:space="preserve">The loan is sanctioned between the FY 1/4/2016-31/3/2017
</t>
        </r>
        <r>
          <rPr>
            <b/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Tahoma"/>
            <family val="2"/>
          </rPr>
          <t xml:space="preserve">The loan sanctioned does not exceed Rs. 35 Lakh
</t>
        </r>
        <r>
          <rPr>
            <b/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Tahoma"/>
            <family val="2"/>
          </rPr>
          <t xml:space="preserve">The assesse is a first time home buyer
</t>
        </r>
        <r>
          <rPr>
            <b/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Tahoma"/>
            <family val="2"/>
          </rPr>
          <t>The assesse does not own any other residential           house as on the date of sanction of the loan.</t>
        </r>
      </text>
    </comment>
    <comment ref="B58" authorId="0" shapeId="0" xr:uid="{C085006E-55F4-4344-999C-1DEA757049F0}">
      <text>
        <r>
          <rPr>
            <b/>
            <u/>
            <sz val="9"/>
            <color indexed="81"/>
            <rFont val="Tahoma"/>
            <family val="2"/>
          </rPr>
          <t>80EEA – Deduction for interest paid on home loan for affordable housing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Tahoma"/>
            <family val="2"/>
          </rPr>
          <t xml:space="preserve">Loan taken during FY 2019-2020.
</t>
        </r>
        <r>
          <rPr>
            <b/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Tahoma"/>
            <family val="2"/>
          </rPr>
          <t xml:space="preserve">A deduction for interest payments up to Rs 1,50,000 is available.
</t>
        </r>
        <r>
          <rPr>
            <b/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Tahoma"/>
            <family val="2"/>
          </rPr>
          <t xml:space="preserve">Stamp duty value of the house property should be Rs 45 lakhs or less.
</t>
        </r>
        <r>
          <rPr>
            <b/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Tahoma"/>
            <family val="2"/>
          </rPr>
          <t xml:space="preserve">The individual taxpayer should not be eligible to claim deduction under the existing Section 80EE.
</t>
        </r>
        <r>
          <rPr>
            <b/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Tahoma"/>
            <family val="2"/>
          </rPr>
          <t>The taxpayer should be a first-time home buyer. The taxpayer should not own any residential house property as on the date of sanction of the loan.</t>
        </r>
      </text>
    </comment>
    <comment ref="B59" authorId="0" shapeId="0" xr:uid="{F351FFED-C2F2-473D-825C-541E55608E9C}">
      <text>
        <r>
          <rPr>
            <b/>
            <u/>
            <sz val="9"/>
            <color indexed="81"/>
            <rFont val="Tahoma"/>
            <family val="2"/>
          </rPr>
          <t>80EEB – Deduction in respect of interest paid on loan taken for the purchase of electric vehicle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Tahoma"/>
            <family val="2"/>
          </rPr>
          <t xml:space="preserve">The loan must be sanctioned anytime during the period starting from </t>
        </r>
        <r>
          <rPr>
            <b/>
            <sz val="9"/>
            <color indexed="81"/>
            <rFont val="Tahoma"/>
            <family val="2"/>
          </rPr>
          <t>1 April 2019 till 31 March 2023.
2.</t>
        </r>
        <r>
          <rPr>
            <sz val="9"/>
            <color indexed="81"/>
            <rFont val="Tahoma"/>
            <family val="2"/>
          </rPr>
          <t xml:space="preserve">The maximum amount of deduction available under section 80EEB is </t>
        </r>
        <r>
          <rPr>
            <b/>
            <sz val="9"/>
            <color indexed="81"/>
            <rFont val="Tahoma"/>
            <family val="2"/>
          </rPr>
          <t>INR 1.50 Lakhs.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<sst xmlns="http://schemas.openxmlformats.org/spreadsheetml/2006/main" count="95" uniqueCount="82">
  <si>
    <t>Basic salary</t>
  </si>
  <si>
    <t>HRA</t>
  </si>
  <si>
    <t>Monthly</t>
  </si>
  <si>
    <t>Per Annual</t>
  </si>
  <si>
    <t>Total</t>
  </si>
  <si>
    <t>Sec10 Deduction</t>
  </si>
  <si>
    <t>LTA</t>
  </si>
  <si>
    <t>Telephone</t>
  </si>
  <si>
    <t>Edu Allowance</t>
  </si>
  <si>
    <t>Meal</t>
  </si>
  <si>
    <t>Total exemption</t>
  </si>
  <si>
    <t>VIA deduction</t>
  </si>
  <si>
    <t>PF</t>
  </si>
  <si>
    <t>Housing Loan</t>
  </si>
  <si>
    <t>Sec 24 Interest on Housing loan</t>
  </si>
  <si>
    <t>HRA Exemption</t>
  </si>
  <si>
    <t>HRA Calculation</t>
  </si>
  <si>
    <t>Total Exemption</t>
  </si>
  <si>
    <t>Total taxable income</t>
  </si>
  <si>
    <t>Investment details</t>
  </si>
  <si>
    <t>Above 10L</t>
  </si>
  <si>
    <t>Add:Cess@4%</t>
  </si>
  <si>
    <t>Total taxable amount</t>
  </si>
  <si>
    <t>Above 15L</t>
  </si>
  <si>
    <t>Total Tax</t>
  </si>
  <si>
    <t>Meal allowance</t>
  </si>
  <si>
    <t>1.Actual HRA in Salary componets</t>
  </si>
  <si>
    <t>2. Rent paid - 10% Basic salary</t>
  </si>
  <si>
    <t>3.40% Basic salary</t>
  </si>
  <si>
    <t>Rent Paid</t>
  </si>
  <si>
    <t>Annually</t>
  </si>
  <si>
    <t>Least of above is exempt</t>
  </si>
  <si>
    <t>Total VIA</t>
  </si>
  <si>
    <t>Old - Regime</t>
  </si>
  <si>
    <t>New-Regime</t>
  </si>
  <si>
    <t>Edu allowance</t>
  </si>
  <si>
    <t>Standard Deduction</t>
  </si>
  <si>
    <t>Professional Tax</t>
  </si>
  <si>
    <t>NPS (Max Rs.50K)</t>
  </si>
  <si>
    <t>Leave Encashment</t>
  </si>
  <si>
    <t>Bonus</t>
  </si>
  <si>
    <t>Annual</t>
  </si>
  <si>
    <t>80C ( Max 1,50,000/- exemption)</t>
  </si>
  <si>
    <t>80D (Max 25,000/- exemption)</t>
  </si>
  <si>
    <t>80D-Parents (Max 50k exemption)</t>
  </si>
  <si>
    <t>Emp Level</t>
  </si>
  <si>
    <t>Please select Employee Level</t>
  </si>
  <si>
    <t>D0</t>
  </si>
  <si>
    <t>D1</t>
  </si>
  <si>
    <t>D2</t>
  </si>
  <si>
    <t>D3</t>
  </si>
  <si>
    <t>D4</t>
  </si>
  <si>
    <t>D5</t>
  </si>
  <si>
    <t>M1</t>
  </si>
  <si>
    <t>M2</t>
  </si>
  <si>
    <t>T1</t>
  </si>
  <si>
    <t>A1</t>
  </si>
  <si>
    <t>Details</t>
  </si>
  <si>
    <t>Max-Exemptions</t>
  </si>
  <si>
    <t>Torry Harris Business Solutions Pvt Ltd.,</t>
  </si>
  <si>
    <t>80EE</t>
  </si>
  <si>
    <t>80EEA</t>
  </si>
  <si>
    <t>80EEB</t>
  </si>
  <si>
    <t>80E-Interest in Education Loan</t>
  </si>
  <si>
    <t>Tax Benefit</t>
  </si>
  <si>
    <t xml:space="preserve">Supplementary Allowance </t>
  </si>
  <si>
    <t>Gratuity</t>
  </si>
  <si>
    <t>Medical</t>
  </si>
  <si>
    <t>PA</t>
  </si>
  <si>
    <t>CTC</t>
  </si>
  <si>
    <t>Income tax calculator for FY 2021-2022</t>
  </si>
  <si>
    <t>GIFT</t>
  </si>
  <si>
    <t>D</t>
  </si>
  <si>
    <t>NPS 80CCD (Opted in THBS)</t>
  </si>
  <si>
    <t>Medical insurance</t>
  </si>
  <si>
    <t>Payslip Component (A)</t>
  </si>
  <si>
    <t>Retiral &amp; Other Benefits (B)</t>
  </si>
  <si>
    <t>Total (A)</t>
  </si>
  <si>
    <t>Total CTC ( A+B)</t>
  </si>
  <si>
    <t>CPY/Incentive</t>
  </si>
  <si>
    <t>Other Salary Income ( C )</t>
  </si>
  <si>
    <t>Total Gross Salary (A+C)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</si>
</sst>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n">
        <color auto="1"/>
      </left>
      <right style="thick">
        <color rgb="FF0070C0"/>
      </right>
      <top style="thin">
        <color auto="1"/>
      </top>
      <bottom style="thin">
        <color auto="1"/>
      </bottom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164" fontId="0" fillId="0" borderId="1" xfId="1" applyNumberFormat="1" applyFont="1" applyBorder="1" applyProtection="1">
      <protection hidden="1"/>
    </xf>
    <xf numFmtId="0" fontId="0" fillId="0" borderId="1" xfId="0" applyBorder="1" applyProtection="1">
      <protection hidden="1"/>
    </xf>
    <xf numFmtId="9" fontId="0" fillId="0" borderId="1" xfId="0" applyNumberFormat="1" applyBorder="1" applyProtection="1">
      <protection hidden="1"/>
    </xf>
    <xf numFmtId="164" fontId="0" fillId="0" borderId="1" xfId="1" quotePrefix="1" applyNumberFormat="1" applyFont="1" applyBorder="1" applyProtection="1">
      <protection hidden="1"/>
    </xf>
    <xf numFmtId="164" fontId="0" fillId="2" borderId="1" xfId="1" applyNumberFormat="1" applyFont="1" applyFill="1" applyBorder="1" applyProtection="1">
      <protection hidden="1"/>
    </xf>
    <xf numFmtId="0" fontId="2" fillId="0" borderId="1" xfId="0" applyFont="1" applyBorder="1" applyProtection="1">
      <protection hidden="1"/>
    </xf>
    <xf numFmtId="164" fontId="2" fillId="0" borderId="1" xfId="1" applyNumberFormat="1" applyFont="1" applyBorder="1" applyProtection="1">
      <protection hidden="1"/>
    </xf>
    <xf numFmtId="164" fontId="2" fillId="3" borderId="1" xfId="0" applyNumberFormat="1" applyFont="1" applyFill="1" applyBorder="1" applyProtection="1">
      <protection hidden="1"/>
    </xf>
    <xf numFmtId="164" fontId="2" fillId="2" borderId="1" xfId="1" applyNumberFormat="1" applyFont="1" applyFill="1" applyBorder="1" applyProtection="1">
      <protection hidden="1"/>
    </xf>
    <xf numFmtId="0" fontId="0" fillId="0" borderId="0" xfId="0" applyBorder="1" applyProtection="1">
      <protection hidden="1"/>
    </xf>
    <xf numFmtId="0" fontId="0" fillId="0" borderId="0" xfId="0" applyBorder="1"/>
    <xf numFmtId="0" fontId="0" fillId="3" borderId="0" xfId="0" applyFill="1" applyBorder="1" applyProtection="1">
      <protection hidden="1"/>
    </xf>
    <xf numFmtId="0" fontId="0" fillId="5" borderId="0" xfId="0" applyFill="1" applyBorder="1" applyAlignment="1" applyProtection="1">
      <alignment horizontal="center"/>
      <protection hidden="1"/>
    </xf>
    <xf numFmtId="0" fontId="3" fillId="0" borderId="0" xfId="0" applyFont="1" applyBorder="1"/>
    <xf numFmtId="0" fontId="2" fillId="2" borderId="0" xfId="0" applyFont="1" applyFill="1" applyBorder="1" applyAlignment="1" applyProtection="1">
      <alignment horizontal="center" vertical="center"/>
      <protection hidden="1"/>
    </xf>
    <xf numFmtId="164" fontId="2" fillId="2" borderId="0" xfId="0" applyNumberFormat="1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Border="1" applyAlignment="1">
      <alignment horizontal="center" vertical="center"/>
    </xf>
    <xf numFmtId="164" fontId="0" fillId="5" borderId="0" xfId="1" applyNumberFormat="1" applyFont="1" applyFill="1" applyBorder="1" applyProtection="1">
      <protection hidden="1"/>
    </xf>
    <xf numFmtId="164" fontId="0" fillId="3" borderId="0" xfId="1" applyNumberFormat="1" applyFont="1" applyFill="1" applyBorder="1" applyProtection="1">
      <protection hidden="1"/>
    </xf>
    <xf numFmtId="0" fontId="0" fillId="2" borderId="0" xfId="0" applyFill="1" applyBorder="1"/>
    <xf numFmtId="0" fontId="2" fillId="2" borderId="0" xfId="0" applyFont="1" applyFill="1" applyBorder="1" applyProtection="1">
      <protection hidden="1"/>
    </xf>
    <xf numFmtId="164" fontId="0" fillId="0" borderId="0" xfId="1" applyNumberFormat="1" applyFont="1" applyBorder="1" applyProtection="1">
      <protection hidden="1"/>
    </xf>
    <xf numFmtId="0" fontId="2" fillId="2" borderId="0" xfId="0" applyFont="1" applyFill="1" applyBorder="1"/>
    <xf numFmtId="164" fontId="2" fillId="2" borderId="0" xfId="1" applyNumberFormat="1" applyFont="1" applyFill="1" applyBorder="1" applyProtection="1">
      <protection hidden="1"/>
    </xf>
    <xf numFmtId="164" fontId="4" fillId="3" borderId="0" xfId="1" applyNumberFormat="1" applyFont="1" applyFill="1" applyBorder="1" applyAlignment="1" applyProtection="1">
      <alignment horizontal="center" vertical="center" wrapText="1"/>
      <protection hidden="1"/>
    </xf>
    <xf numFmtId="43" fontId="0" fillId="0" borderId="0" xfId="1" applyFont="1" applyBorder="1"/>
    <xf numFmtId="0" fontId="8" fillId="3" borderId="0" xfId="0" applyFont="1" applyFill="1" applyBorder="1"/>
    <xf numFmtId="164" fontId="3" fillId="0" borderId="0" xfId="1" applyNumberFormat="1" applyFont="1" applyBorder="1" applyProtection="1">
      <protection hidden="1"/>
    </xf>
    <xf numFmtId="164" fontId="0" fillId="0" borderId="0" xfId="1" quotePrefix="1" applyNumberFormat="1" applyFont="1" applyBorder="1" applyProtection="1">
      <protection hidden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 applyProtection="1">
      <protection hidden="1"/>
    </xf>
    <xf numFmtId="0" fontId="2" fillId="2" borderId="8" xfId="0" applyFont="1" applyFill="1" applyBorder="1" applyProtection="1">
      <protection hidden="1"/>
    </xf>
    <xf numFmtId="164" fontId="0" fillId="0" borderId="8" xfId="1" applyNumberFormat="1" applyFont="1" applyBorder="1" applyProtection="1">
      <protection hidden="1"/>
    </xf>
    <xf numFmtId="164" fontId="2" fillId="2" borderId="8" xfId="1" applyNumberFormat="1" applyFont="1" applyFill="1" applyBorder="1" applyProtection="1">
      <protection hidden="1"/>
    </xf>
    <xf numFmtId="164" fontId="2" fillId="3" borderId="10" xfId="1" applyNumberFormat="1" applyFont="1" applyFill="1" applyBorder="1" applyProtection="1">
      <protection hidden="1"/>
    </xf>
    <xf numFmtId="164" fontId="0" fillId="0" borderId="10" xfId="1" applyNumberFormat="1" applyFont="1" applyBorder="1" applyProtection="1">
      <protection hidden="1"/>
    </xf>
    <xf numFmtId="164" fontId="0" fillId="0" borderId="10" xfId="1" quotePrefix="1" applyNumberFormat="1" applyFont="1" applyBorder="1" applyProtection="1">
      <protection hidden="1"/>
    </xf>
    <xf numFmtId="0" fontId="2" fillId="3" borderId="8" xfId="0" applyFont="1" applyFill="1" applyBorder="1" applyProtection="1">
      <protection hidden="1"/>
    </xf>
    <xf numFmtId="164" fontId="0" fillId="2" borderId="10" xfId="1" applyNumberFormat="1" applyFont="1" applyFill="1" applyBorder="1" applyProtection="1">
      <protection hidden="1"/>
    </xf>
    <xf numFmtId="0" fontId="0" fillId="0" borderId="8" xfId="0" applyFont="1" applyBorder="1" applyProtection="1">
      <protection hidden="1"/>
    </xf>
    <xf numFmtId="0" fontId="0" fillId="3" borderId="8" xfId="0" applyFill="1" applyBorder="1" applyProtection="1">
      <protection hidden="1"/>
    </xf>
    <xf numFmtId="0" fontId="2" fillId="2" borderId="11" xfId="0" applyFont="1" applyFill="1" applyBorder="1" applyProtection="1">
      <protection hidden="1"/>
    </xf>
    <xf numFmtId="164" fontId="2" fillId="0" borderId="12" xfId="1" applyNumberFormat="1" applyFont="1" applyBorder="1" applyProtection="1">
      <protection hidden="1"/>
    </xf>
    <xf numFmtId="164" fontId="2" fillId="2" borderId="12" xfId="0" applyNumberFormat="1" applyFont="1" applyFill="1" applyBorder="1" applyProtection="1">
      <protection hidden="1"/>
    </xf>
    <xf numFmtId="0" fontId="0" fillId="0" borderId="12" xfId="0" applyBorder="1"/>
    <xf numFmtId="0" fontId="3" fillId="0" borderId="0" xfId="0" applyFont="1"/>
    <xf numFmtId="0" fontId="3" fillId="0" borderId="6" xfId="0" applyFont="1" applyBorder="1" applyProtection="1">
      <protection hidden="1"/>
    </xf>
    <xf numFmtId="0" fontId="3" fillId="0" borderId="6" xfId="0" applyFont="1" applyBorder="1"/>
    <xf numFmtId="0" fontId="3" fillId="0" borderId="0" xfId="0" applyFont="1" applyBorder="1" applyProtection="1">
      <protection hidden="1"/>
    </xf>
    <xf numFmtId="0" fontId="3" fillId="0" borderId="12" xfId="0" applyFont="1" applyBorder="1"/>
    <xf numFmtId="0" fontId="0" fillId="0" borderId="0" xfId="0" applyFont="1"/>
    <xf numFmtId="164" fontId="9" fillId="0" borderId="0" xfId="1" applyNumberFormat="1" applyFont="1" applyBorder="1" applyProtection="1">
      <protection hidden="1"/>
    </xf>
    <xf numFmtId="164" fontId="0" fillId="0" borderId="1" xfId="1" applyNumberFormat="1" applyFont="1" applyFill="1" applyBorder="1" applyProtection="1">
      <protection hidden="1"/>
    </xf>
    <xf numFmtId="164" fontId="10" fillId="3" borderId="0" xfId="0" applyNumberFormat="1" applyFont="1" applyFill="1" applyBorder="1" applyProtection="1">
      <protection hidden="1"/>
    </xf>
    <xf numFmtId="0" fontId="10" fillId="0" borderId="0" xfId="0" applyFont="1" applyBorder="1"/>
    <xf numFmtId="0" fontId="2" fillId="4" borderId="0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3" borderId="1" xfId="0" applyFont="1" applyFill="1" applyBorder="1" applyAlignment="1" applyProtection="1">
      <alignment horizontal="center"/>
      <protection hidden="1"/>
    </xf>
    <xf numFmtId="0" fontId="2" fillId="0" borderId="5" xfId="0" applyFont="1" applyBorder="1" applyAlignment="1" applyProtection="1">
      <alignment horizontal="center"/>
      <protection hidden="1"/>
    </xf>
    <xf numFmtId="0" fontId="2" fillId="0" borderId="6" xfId="0" applyFont="1" applyBorder="1" applyAlignment="1" applyProtection="1">
      <alignment horizontal="center"/>
      <protection hidden="1"/>
    </xf>
    <xf numFmtId="0" fontId="2" fillId="0" borderId="8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4" borderId="8" xfId="0" applyFill="1" applyBorder="1" applyAlignment="1" applyProtection="1">
      <alignment horizontal="center"/>
      <protection hidden="1"/>
    </xf>
    <xf numFmtId="0" fontId="0" fillId="4" borderId="0" xfId="0" applyFill="1" applyBorder="1" applyAlignment="1" applyProtection="1">
      <alignment horizontal="center"/>
      <protection hidden="1"/>
    </xf>
    <xf numFmtId="0" fontId="2" fillId="3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center"/>
      <protection hidden="1"/>
    </xf>
    <xf numFmtId="0" fontId="2" fillId="2" borderId="3" xfId="0" applyFont="1" applyFill="1" applyBorder="1" applyAlignment="1" applyProtection="1">
      <alignment horizontal="center"/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5BF-86F3-417D-B0E3-C8F852663D11}">
  <dimension ref="A1:S68"/>
  <sheetViews>
    <sheetView tabSelected="1" topLeftCell="A4" zoomScaleNormal="100" workbookViewId="0">
      <selection activeCell="B6" sqref="B6:E6"/>
    </sheetView>
  </sheetViews>
  <sheetFormatPr defaultColWidth="0" defaultRowHeight="15" x14ac:dyDescent="0.25"/>
  <cols>
    <col min="1" max="1" width="1.42578125" style="53" customWidth="1"/>
    <col min="2" max="2" width="29" style="53" bestFit="1" customWidth="1"/>
    <col min="3" max="3" width="18" style="53" bestFit="1" customWidth="1"/>
    <col min="4" max="4" width="10.5703125" style="53" customWidth="1"/>
    <col min="5" max="5" width="12.5703125" style="53" bestFit="1" customWidth="1"/>
    <col min="6" max="6" width="11.5703125" style="53" bestFit="1" customWidth="1"/>
    <col min="7" max="7" width="9.140625" style="53" customWidth="1"/>
    <col min="8" max="8" width="14.28515625" style="53" customWidth="1"/>
    <col min="9" max="9" width="17.7109375" style="53" customWidth="1"/>
    <col min="10" max="10" width="10" style="53" bestFit="1" customWidth="1"/>
    <col min="11" max="12" width="11.5703125" style="53" bestFit="1" customWidth="1"/>
    <col min="13" max="13" width="9.140625" style="53" customWidth="1"/>
    <col min="14" max="14" width="18.5703125" style="53" customWidth="1"/>
    <col min="15" max="15" width="12.5703125" style="53" bestFit="1" customWidth="1"/>
    <col min="16" max="16" width="13.7109375" style="53" bestFit="1" customWidth="1"/>
    <col min="17" max="17" width="11.5703125" style="53" bestFit="1" customWidth="1"/>
    <col min="18" max="18" width="12.5703125" style="53" bestFit="1" customWidth="1"/>
    <col min="19" max="19" width="9.140625" style="53" customWidth="1"/>
    <col min="20" max="16384" width="9.140625" style="53" hidden="1"/>
  </cols>
  <sheetData>
    <row r="1" spans="2:18" customFormat="1" hidden="1" x14ac:dyDescent="0.25">
      <c r="F1" s="48"/>
      <c r="G1" s="48"/>
    </row>
    <row r="2" spans="2:18" customFormat="1" hidden="1" x14ac:dyDescent="0.25">
      <c r="F2" s="48"/>
      <c r="G2" s="48"/>
    </row>
    <row r="3" spans="2:18" customFormat="1" hidden="1" x14ac:dyDescent="0.25">
      <c r="F3" s="48"/>
      <c r="G3" s="48"/>
    </row>
    <row r="4" spans="2:18" customFormat="1" ht="4.5" customHeight="1" thickBot="1" x14ac:dyDescent="0.3">
      <c r="F4" s="48"/>
      <c r="G4" s="48"/>
    </row>
    <row r="5" spans="2:18" customFormat="1" ht="15.75" thickTop="1" x14ac:dyDescent="0.25">
      <c r="B5" s="61" t="s">
        <v>59</v>
      </c>
      <c r="C5" s="62"/>
      <c r="D5" s="62"/>
      <c r="E5" s="62"/>
      <c r="F5" s="49"/>
      <c r="G5" s="50"/>
      <c r="H5" s="30"/>
      <c r="I5" s="30"/>
      <c r="J5" s="30"/>
      <c r="K5" s="30"/>
      <c r="L5" s="30"/>
      <c r="M5" s="30"/>
      <c r="N5" s="30"/>
      <c r="O5" s="30"/>
      <c r="P5" s="30"/>
      <c r="Q5" s="30"/>
      <c r="R5" s="31"/>
    </row>
    <row r="6" spans="2:18" customFormat="1" x14ac:dyDescent="0.25">
      <c r="B6" s="63" t="s">
        <v>70</v>
      </c>
      <c r="C6" s="64"/>
      <c r="D6" s="64"/>
      <c r="E6" s="64"/>
      <c r="F6" s="51"/>
      <c r="G6" s="14"/>
      <c r="H6" s="11"/>
      <c r="I6" s="11"/>
      <c r="J6" s="11"/>
      <c r="K6" s="11"/>
      <c r="L6" s="11"/>
      <c r="M6" s="11"/>
      <c r="N6" s="11"/>
      <c r="O6" s="11"/>
      <c r="P6" s="11"/>
      <c r="Q6" s="11"/>
      <c r="R6" s="32"/>
    </row>
    <row r="7" spans="2:18" customFormat="1" x14ac:dyDescent="0.25">
      <c r="B7" s="67" t="s">
        <v>46</v>
      </c>
      <c r="C7" s="68"/>
      <c r="D7" s="12" t="s">
        <v>45</v>
      </c>
      <c r="E7" s="13"/>
      <c r="F7" s="14" t="s">
        <v>47</v>
      </c>
      <c r="G7" s="57"/>
      <c r="H7" s="11"/>
      <c r="I7" s="11"/>
      <c r="J7" s="11"/>
      <c r="K7" s="11"/>
      <c r="L7" s="11"/>
      <c r="M7" s="11"/>
      <c r="N7" s="11"/>
      <c r="O7" s="11"/>
      <c r="P7" s="11"/>
      <c r="Q7" s="11"/>
      <c r="R7" s="32"/>
    </row>
    <row r="8" spans="2:18" customFormat="1" x14ac:dyDescent="0.25">
      <c r="B8" s="33"/>
      <c r="C8" s="15" t="s">
        <v>57</v>
      </c>
      <c r="D8" s="15" t="s">
        <v>2</v>
      </c>
      <c r="E8" s="16" t="s">
        <v>41</v>
      </c>
      <c r="F8" s="14" t="s">
        <v>48</v>
      </c>
      <c r="G8" s="57"/>
      <c r="H8" s="11"/>
      <c r="I8" s="11"/>
      <c r="J8" s="17" t="s">
        <v>2</v>
      </c>
      <c r="K8" s="17" t="s">
        <v>30</v>
      </c>
      <c r="L8" s="11"/>
      <c r="M8" s="11"/>
      <c r="N8" s="11"/>
      <c r="O8" s="11"/>
      <c r="P8" s="11"/>
      <c r="Q8" s="11"/>
      <c r="R8" s="32"/>
    </row>
    <row r="9" spans="2:18" customFormat="1" x14ac:dyDescent="0.25">
      <c r="B9" s="33"/>
      <c r="C9" s="10" t="s">
        <v>69</v>
      </c>
      <c r="D9" s="19">
        <f>+E9/12</f>
        <v>0</v>
      </c>
      <c r="E9" s="18"/>
      <c r="F9" s="14" t="s">
        <v>49</v>
      </c>
      <c r="G9" s="57"/>
      <c r="H9" s="11"/>
      <c r="I9" s="20" t="s">
        <v>29</v>
      </c>
      <c r="J9" s="18"/>
      <c r="K9" s="19">
        <f>+J9*12</f>
        <v>0</v>
      </c>
      <c r="L9" s="11"/>
      <c r="M9" s="11"/>
      <c r="N9" s="11"/>
      <c r="O9" s="11"/>
      <c r="P9" s="11"/>
      <c r="Q9" s="11"/>
      <c r="R9" s="32"/>
    </row>
    <row r="10" spans="2:18" customFormat="1" x14ac:dyDescent="0.25">
      <c r="B10" s="33"/>
      <c r="C10" s="10" t="s">
        <v>12</v>
      </c>
      <c r="D10" s="18"/>
      <c r="E10" s="19">
        <f>+D10*12</f>
        <v>0</v>
      </c>
      <c r="F10" s="14" t="s">
        <v>50</v>
      </c>
      <c r="G10" s="57"/>
      <c r="H10" s="11"/>
      <c r="I10" s="11"/>
      <c r="J10" s="11">
        <v>0</v>
      </c>
      <c r="K10" s="10"/>
      <c r="L10" s="11"/>
      <c r="M10" s="11"/>
      <c r="N10" s="11"/>
      <c r="O10" s="11"/>
      <c r="P10" s="11"/>
      <c r="Q10" s="11"/>
      <c r="R10" s="32"/>
    </row>
    <row r="11" spans="2:18" customFormat="1" x14ac:dyDescent="0.25">
      <c r="B11" s="34" t="s">
        <v>75</v>
      </c>
      <c r="C11" s="21" t="s">
        <v>19</v>
      </c>
      <c r="D11" s="21" t="s">
        <v>2</v>
      </c>
      <c r="E11" s="21" t="s">
        <v>3</v>
      </c>
      <c r="F11" s="14" t="s">
        <v>51</v>
      </c>
      <c r="G11" s="57"/>
      <c r="H11" s="65" t="s">
        <v>16</v>
      </c>
      <c r="I11" s="65"/>
      <c r="J11" s="11"/>
      <c r="K11" s="10"/>
      <c r="L11" s="11"/>
      <c r="M11" s="11"/>
      <c r="N11" s="11"/>
      <c r="O11" s="11"/>
      <c r="P11" s="11"/>
      <c r="Q11" s="11"/>
      <c r="R11" s="32"/>
    </row>
    <row r="12" spans="2:18" customFormat="1" x14ac:dyDescent="0.25">
      <c r="B12" s="33" t="s">
        <v>0</v>
      </c>
      <c r="C12" s="22"/>
      <c r="D12" s="22">
        <f t="shared" ref="D12:D17" si="0">+E12/12</f>
        <v>0</v>
      </c>
      <c r="E12" s="22">
        <f>ROUND(E9*40%,0)</f>
        <v>0</v>
      </c>
      <c r="F12" s="14" t="s">
        <v>52</v>
      </c>
      <c r="G12" s="57"/>
      <c r="H12" s="66" t="s">
        <v>26</v>
      </c>
      <c r="I12" s="66"/>
      <c r="J12" s="11"/>
      <c r="K12" s="19">
        <f>+E13</f>
        <v>0</v>
      </c>
      <c r="L12" s="11"/>
      <c r="M12" s="11"/>
      <c r="N12" s="11"/>
      <c r="O12" s="11"/>
      <c r="P12" s="11"/>
      <c r="Q12" s="11"/>
      <c r="R12" s="32"/>
    </row>
    <row r="13" spans="2:18" customFormat="1" x14ac:dyDescent="0.25">
      <c r="B13" s="33" t="s">
        <v>1</v>
      </c>
      <c r="C13" s="22"/>
      <c r="D13" s="22">
        <f t="shared" si="0"/>
        <v>0</v>
      </c>
      <c r="E13" s="22">
        <f>ROUND(E12*40%,0)</f>
        <v>0</v>
      </c>
      <c r="F13" s="14" t="s">
        <v>53</v>
      </c>
      <c r="G13" s="57"/>
      <c r="H13" s="66" t="s">
        <v>27</v>
      </c>
      <c r="I13" s="66"/>
      <c r="J13" s="11"/>
      <c r="K13" s="19">
        <f>IF(K9&lt;=100,0,(K9-E12*10%))</f>
        <v>0</v>
      </c>
      <c r="L13" s="11"/>
      <c r="M13" s="11"/>
      <c r="N13" s="11"/>
      <c r="O13" s="11"/>
      <c r="P13" s="11"/>
      <c r="Q13" s="11"/>
      <c r="R13" s="32"/>
    </row>
    <row r="14" spans="2:18" customFormat="1" x14ac:dyDescent="0.25">
      <c r="B14" s="33" t="s">
        <v>7</v>
      </c>
      <c r="C14" s="22"/>
      <c r="D14" s="22" t="e" cm="1">
        <f t="array" ref="D14">_xlfn.IFS(E7="D0",0,E7="D1",0,E7="D2",0,E7="D3",1000,E7="D4",1000,E7="D5",1000,E7="A1",2000,E7="T1",2000,E7="M1",2000,E7="M2",2000,E7="Consultant",0)</f>
        <v>#N/A</v>
      </c>
      <c r="E14" s="22" t="e">
        <f>+D14*12</f>
        <v>#N/A</v>
      </c>
      <c r="F14" s="14" t="s">
        <v>54</v>
      </c>
      <c r="G14" s="57"/>
      <c r="H14" s="66" t="s">
        <v>28</v>
      </c>
      <c r="I14" s="66"/>
      <c r="J14" s="11"/>
      <c r="K14" s="19">
        <f>ROUND(E12*40%,0)</f>
        <v>0</v>
      </c>
      <c r="L14" s="11"/>
      <c r="M14" s="11"/>
      <c r="N14" s="11"/>
      <c r="O14" s="11"/>
      <c r="P14" s="11"/>
      <c r="Q14" s="11"/>
      <c r="R14" s="32"/>
    </row>
    <row r="15" spans="2:18" customFormat="1" x14ac:dyDescent="0.25">
      <c r="B15" s="33" t="s">
        <v>25</v>
      </c>
      <c r="C15" s="22"/>
      <c r="D15" s="22" t="e" cm="1">
        <f t="array" ref="D15">_xlfn.IFS(E7="D0",1000,E7="D1",1000,E7="D2",1000,E7="D3",2000,E7="D4",2000,E7="D5",2000,E7="A1",2000,E7="T1",2000,E7="M1",2000,E7="M2",2000,E7="Consultant",0)</f>
        <v>#N/A</v>
      </c>
      <c r="E15" s="22" t="e">
        <f>+D15*12</f>
        <v>#N/A</v>
      </c>
      <c r="F15" s="14" t="s">
        <v>56</v>
      </c>
      <c r="G15" s="57"/>
      <c r="H15" s="11"/>
      <c r="I15" s="11"/>
      <c r="J15" s="11"/>
      <c r="K15" s="22"/>
      <c r="L15" s="11"/>
      <c r="M15" s="11"/>
      <c r="N15" s="11"/>
      <c r="O15" s="11"/>
      <c r="P15" s="11"/>
      <c r="Q15" s="11"/>
      <c r="R15" s="32"/>
    </row>
    <row r="16" spans="2:18" customFormat="1" x14ac:dyDescent="0.25">
      <c r="B16" s="33" t="s">
        <v>35</v>
      </c>
      <c r="C16" s="22"/>
      <c r="D16" s="22" t="e" cm="1">
        <f t="array" ref="D16">_xlfn.IFS(E7="D0",200,E7="D1",200,E7="D2",200,E7="D3",200,E7="D4",200,E7="D5",200,E7="A1",200,E7="T1",200,E7="M1",200,E7="M2",200,E7="Consultant",0)</f>
        <v>#N/A</v>
      </c>
      <c r="E16" s="22" t="e">
        <f>+D16*12</f>
        <v>#N/A</v>
      </c>
      <c r="F16" s="14" t="s">
        <v>55</v>
      </c>
      <c r="G16" s="57"/>
      <c r="H16" s="74" t="s">
        <v>31</v>
      </c>
      <c r="I16" s="74"/>
      <c r="J16" s="23"/>
      <c r="K16" s="24">
        <f>MIN(K12:K14)</f>
        <v>0</v>
      </c>
      <c r="L16" s="11"/>
      <c r="M16" s="11"/>
      <c r="N16" s="11"/>
      <c r="O16" s="11"/>
      <c r="P16" s="11"/>
      <c r="Q16" s="11"/>
      <c r="R16" s="32"/>
    </row>
    <row r="17" spans="2:18" customFormat="1" x14ac:dyDescent="0.25">
      <c r="B17" s="33" t="s">
        <v>65</v>
      </c>
      <c r="C17" s="22"/>
      <c r="D17" s="22" t="e">
        <f t="shared" si="0"/>
        <v>#N/A</v>
      </c>
      <c r="E17" s="22" t="e">
        <f>+E9-E12-E13-E14-E15-E16-E22</f>
        <v>#N/A</v>
      </c>
      <c r="F17" s="57"/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32"/>
    </row>
    <row r="18" spans="2:18" customFormat="1" x14ac:dyDescent="0.25">
      <c r="B18" s="34" t="s">
        <v>77</v>
      </c>
      <c r="C18" s="24"/>
      <c r="D18" s="24" t="e">
        <f>SUM(D12:D17)</f>
        <v>#N/A</v>
      </c>
      <c r="E18" s="24" t="e">
        <f>SUM(E12:E17)</f>
        <v>#N/A</v>
      </c>
      <c r="F18" s="51" t="s">
        <v>66</v>
      </c>
      <c r="G18" s="14">
        <f>ROUND(D12*15/26/12,0)</f>
        <v>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32"/>
    </row>
    <row r="19" spans="2:18" customFormat="1" x14ac:dyDescent="0.25">
      <c r="B19" s="35" t="s">
        <v>66</v>
      </c>
      <c r="C19" s="22"/>
      <c r="D19" s="22">
        <f>ROUND(D12*15/26/12,0)</f>
        <v>0</v>
      </c>
      <c r="E19" s="22">
        <f>+D19*12</f>
        <v>0</v>
      </c>
      <c r="F19" s="51" t="s">
        <v>67</v>
      </c>
      <c r="G19" s="14">
        <v>300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2"/>
    </row>
    <row r="20" spans="2:18" customFormat="1" x14ac:dyDescent="0.25">
      <c r="B20" s="35" t="s">
        <v>12</v>
      </c>
      <c r="C20" s="22"/>
      <c r="D20" s="22">
        <f>+D10</f>
        <v>0</v>
      </c>
      <c r="E20" s="22">
        <f>+D20*12</f>
        <v>0</v>
      </c>
      <c r="F20" s="51" t="s">
        <v>12</v>
      </c>
      <c r="G20" s="14">
        <v>1800</v>
      </c>
      <c r="H20" s="60" t="s">
        <v>33</v>
      </c>
      <c r="I20" s="60"/>
      <c r="J20" s="60"/>
      <c r="K20" s="60"/>
      <c r="L20" s="60"/>
      <c r="M20" s="11"/>
      <c r="N20" s="69" t="s">
        <v>34</v>
      </c>
      <c r="O20" s="69"/>
      <c r="P20" s="69"/>
      <c r="Q20" s="69"/>
      <c r="R20" s="70"/>
    </row>
    <row r="21" spans="2:18" customFormat="1" x14ac:dyDescent="0.25">
      <c r="B21" s="35" t="s">
        <v>74</v>
      </c>
      <c r="C21" s="22"/>
      <c r="D21" s="22">
        <v>300</v>
      </c>
      <c r="E21" s="22">
        <f>+D21*12</f>
        <v>3600</v>
      </c>
      <c r="F21" s="51" t="s">
        <v>4</v>
      </c>
      <c r="G21" s="14">
        <f>SUM(G18:G20)</f>
        <v>2100</v>
      </c>
      <c r="H21" s="71" t="s">
        <v>18</v>
      </c>
      <c r="I21" s="72"/>
      <c r="J21" s="72"/>
      <c r="K21" s="73"/>
      <c r="L21" s="8" t="e">
        <f>+F67</f>
        <v>#N/A</v>
      </c>
      <c r="M21" s="11"/>
      <c r="N21" s="71" t="s">
        <v>18</v>
      </c>
      <c r="O21" s="72"/>
      <c r="P21" s="72"/>
      <c r="Q21" s="73"/>
      <c r="R21" s="37" t="e">
        <f>+E31</f>
        <v>#N/A</v>
      </c>
    </row>
    <row r="22" spans="2:18" customFormat="1" ht="16.5" customHeight="1" x14ac:dyDescent="0.25">
      <c r="B22" s="36" t="s">
        <v>76</v>
      </c>
      <c r="C22" s="24"/>
      <c r="D22" s="24">
        <f>SUM(D19:D21)</f>
        <v>300</v>
      </c>
      <c r="E22" s="24">
        <f>SUM(E19:E21)</f>
        <v>3600</v>
      </c>
      <c r="F22" s="51" t="s">
        <v>68</v>
      </c>
      <c r="G22" s="14">
        <f>+G21*12</f>
        <v>25200</v>
      </c>
      <c r="H22" s="1">
        <v>0</v>
      </c>
      <c r="I22" s="1">
        <v>250000</v>
      </c>
      <c r="J22" s="2">
        <v>0</v>
      </c>
      <c r="K22" s="1">
        <f>ROUND(L22*0%,0)</f>
        <v>0</v>
      </c>
      <c r="L22" s="1">
        <v>250000</v>
      </c>
      <c r="M22" s="11"/>
      <c r="N22" s="1">
        <v>0</v>
      </c>
      <c r="O22" s="1">
        <v>250000</v>
      </c>
      <c r="P22" s="2">
        <v>0</v>
      </c>
      <c r="Q22" s="2">
        <v>0</v>
      </c>
      <c r="R22" s="38">
        <v>250000</v>
      </c>
    </row>
    <row r="23" spans="2:18" customFormat="1" x14ac:dyDescent="0.25">
      <c r="B23" s="35"/>
      <c r="C23" s="22"/>
      <c r="D23" s="22"/>
      <c r="E23" s="22"/>
      <c r="F23" s="51"/>
      <c r="G23" s="14"/>
      <c r="H23" s="1">
        <v>250001</v>
      </c>
      <c r="I23" s="1">
        <v>500000</v>
      </c>
      <c r="J23" s="3">
        <v>0.05</v>
      </c>
      <c r="K23" s="1" t="e">
        <f>ROUNDUP(IF(L21&lt;=500000,0,(L23*J23)),0)</f>
        <v>#N/A</v>
      </c>
      <c r="L23" s="4" t="e">
        <f>IF($L$21-$L$22&gt;=250000,250000,($L$21-$L$22))</f>
        <v>#N/A</v>
      </c>
      <c r="M23" s="11"/>
      <c r="N23" s="1">
        <v>250001</v>
      </c>
      <c r="O23" s="1">
        <v>500000</v>
      </c>
      <c r="P23" s="3">
        <v>0.05</v>
      </c>
      <c r="Q23" s="1" t="e">
        <f t="shared" ref="Q23:Q28" si="1">+R23*P23</f>
        <v>#N/A</v>
      </c>
      <c r="R23" s="39" t="e">
        <f>IF($R$21-$R$22&gt;=250000,250000,($R$21-$R$22))</f>
        <v>#N/A</v>
      </c>
    </row>
    <row r="24" spans="2:18" customFormat="1" x14ac:dyDescent="0.25">
      <c r="B24" s="36" t="s">
        <v>78</v>
      </c>
      <c r="C24" s="24"/>
      <c r="D24" s="24" t="e">
        <f>+D18+D22</f>
        <v>#N/A</v>
      </c>
      <c r="E24" s="24" t="e">
        <f>+E18+E22</f>
        <v>#N/A</v>
      </c>
      <c r="F24" s="51"/>
      <c r="G24" s="14"/>
      <c r="H24" s="1">
        <v>500001</v>
      </c>
      <c r="I24" s="1">
        <v>1000000</v>
      </c>
      <c r="J24" s="3">
        <v>0.2</v>
      </c>
      <c r="K24" s="1" t="e">
        <f>ROUND(L24*20%,0)</f>
        <v>#N/A</v>
      </c>
      <c r="L24" s="4" t="e">
        <f>IF($L$21-$L$22-$L$23&gt;=500000,500000,($L$21-$L$22-$L$23))</f>
        <v>#N/A</v>
      </c>
      <c r="M24" s="11"/>
      <c r="N24" s="1">
        <v>500001</v>
      </c>
      <c r="O24" s="1">
        <v>750000</v>
      </c>
      <c r="P24" s="3">
        <v>0.1</v>
      </c>
      <c r="Q24" s="1" t="e">
        <f t="shared" si="1"/>
        <v>#N/A</v>
      </c>
      <c r="R24" s="38" t="e">
        <f>IF($R$21-$R$22-$R$23&gt;=500000,250000,($R$21-$R$22-$R$23))</f>
        <v>#N/A</v>
      </c>
    </row>
    <row r="25" spans="2:18" customFormat="1" x14ac:dyDescent="0.25">
      <c r="B25" s="35"/>
      <c r="C25" s="22"/>
      <c r="D25" s="22"/>
      <c r="E25" s="22" t="e">
        <f>+E24-E9</f>
        <v>#N/A</v>
      </c>
      <c r="F25" s="51"/>
      <c r="G25" s="14"/>
      <c r="H25" s="2" t="s">
        <v>20</v>
      </c>
      <c r="I25" s="2"/>
      <c r="J25" s="3">
        <v>0.3</v>
      </c>
      <c r="K25" s="1" t="e">
        <f>ROUND(L25*30%,0)</f>
        <v>#N/A</v>
      </c>
      <c r="L25" s="1" t="e">
        <f>IF(L21&lt;=1000000,0,(L21-1000000))</f>
        <v>#N/A</v>
      </c>
      <c r="M25" s="11"/>
      <c r="N25" s="1">
        <v>750001</v>
      </c>
      <c r="O25" s="55">
        <v>1000000</v>
      </c>
      <c r="P25" s="3">
        <v>0.15</v>
      </c>
      <c r="Q25" s="1" t="e">
        <f t="shared" si="1"/>
        <v>#N/A</v>
      </c>
      <c r="R25" s="38" t="e">
        <f>IF($R$21-$R$22-$R$23-$R$24&gt;=750000,250000,($R$21-$R$22-$R$23-$R$24))</f>
        <v>#N/A</v>
      </c>
    </row>
    <row r="26" spans="2:18" customFormat="1" x14ac:dyDescent="0.25">
      <c r="B26" s="36" t="s">
        <v>80</v>
      </c>
      <c r="C26" s="24"/>
      <c r="D26" s="24"/>
      <c r="E26" s="24" t="s">
        <v>41</v>
      </c>
      <c r="F26" s="51"/>
      <c r="G26" s="14"/>
      <c r="H26" s="2"/>
      <c r="I26" s="2"/>
      <c r="J26" s="3"/>
      <c r="K26" s="1"/>
      <c r="L26" s="1"/>
      <c r="M26" s="11"/>
      <c r="N26" s="55">
        <v>1000001</v>
      </c>
      <c r="O26" s="55">
        <v>1250000</v>
      </c>
      <c r="P26" s="3">
        <v>0.2</v>
      </c>
      <c r="Q26" s="1" t="e">
        <f t="shared" si="1"/>
        <v>#N/A</v>
      </c>
      <c r="R26" s="38" t="e">
        <f>IF($R$21-$R$22-$R$23-$R$24-$R$25&gt;=1000000,250000,($R$21-$R$22-$R$23-$R$24-$R$25))</f>
        <v>#N/A</v>
      </c>
    </row>
    <row r="27" spans="2:18" customFormat="1" x14ac:dyDescent="0.25">
      <c r="B27" s="35" t="s">
        <v>79</v>
      </c>
      <c r="C27" s="22"/>
      <c r="D27" s="22"/>
      <c r="E27" s="18">
        <v>0</v>
      </c>
      <c r="F27" s="28"/>
      <c r="G27" s="14"/>
      <c r="H27" s="2"/>
      <c r="I27" s="2"/>
      <c r="J27" s="3"/>
      <c r="K27" s="1"/>
      <c r="L27" s="1"/>
      <c r="M27" s="11"/>
      <c r="N27" s="55">
        <v>1250001</v>
      </c>
      <c r="O27" s="55">
        <v>1500000</v>
      </c>
      <c r="P27" s="3">
        <v>0.25</v>
      </c>
      <c r="Q27" s="1" t="e">
        <f t="shared" si="1"/>
        <v>#N/A</v>
      </c>
      <c r="R27" s="38" t="e">
        <f>IF($R$21-$R$22-$R$23-$R$24-$R$25-$R$26&gt;=125000,250000,($R$21-$R$22-$R$23-$R$24-$R$25-$R$26))</f>
        <v>#N/A</v>
      </c>
    </row>
    <row r="28" spans="2:18" customFormat="1" x14ac:dyDescent="0.25">
      <c r="B28" s="35" t="s">
        <v>39</v>
      </c>
      <c r="C28" s="22"/>
      <c r="D28" s="22"/>
      <c r="E28" s="18">
        <v>0</v>
      </c>
      <c r="F28" s="28"/>
      <c r="G28" s="14"/>
      <c r="H28" s="2"/>
      <c r="I28" s="2"/>
      <c r="J28" s="3"/>
      <c r="K28" s="1"/>
      <c r="L28" s="1"/>
      <c r="M28" s="11"/>
      <c r="N28" s="2" t="s">
        <v>23</v>
      </c>
      <c r="O28" s="2"/>
      <c r="P28" s="3">
        <v>0.3</v>
      </c>
      <c r="Q28" s="1" t="e">
        <f t="shared" si="1"/>
        <v>#N/A</v>
      </c>
      <c r="R28" s="38" t="e">
        <f>IF(R21&lt;1500000,0,(R21-1500000))</f>
        <v>#N/A</v>
      </c>
    </row>
    <row r="29" spans="2:18" customFormat="1" x14ac:dyDescent="0.25">
      <c r="B29" s="35" t="s">
        <v>40</v>
      </c>
      <c r="C29" s="22"/>
      <c r="D29" s="22"/>
      <c r="E29" s="18">
        <v>0</v>
      </c>
      <c r="F29" s="28"/>
      <c r="G29" s="14"/>
      <c r="H29" s="2"/>
      <c r="I29" s="2"/>
      <c r="J29" s="6" t="s">
        <v>4</v>
      </c>
      <c r="K29" s="7" t="e">
        <f>SUM(K22:K25)</f>
        <v>#N/A</v>
      </c>
      <c r="L29" s="1"/>
      <c r="M29" s="11"/>
      <c r="N29" s="2"/>
      <c r="O29" s="2"/>
      <c r="P29" s="2" t="s">
        <v>24</v>
      </c>
      <c r="Q29" s="1" t="e">
        <f>SUM(Q22:Q28)</f>
        <v>#N/A</v>
      </c>
      <c r="R29" s="38"/>
    </row>
    <row r="30" spans="2:18" customFormat="1" ht="18" customHeight="1" x14ac:dyDescent="0.25">
      <c r="B30" s="35"/>
      <c r="C30" s="22"/>
      <c r="D30" s="22"/>
      <c r="E30" s="22"/>
      <c r="F30" s="28"/>
      <c r="G30" s="14"/>
      <c r="H30" s="2"/>
      <c r="I30" s="2" t="s">
        <v>21</v>
      </c>
      <c r="J30" s="2"/>
      <c r="K30" s="1" t="e">
        <f>ROUND(K29*4%,0)</f>
        <v>#N/A</v>
      </c>
      <c r="L30" s="1"/>
      <c r="M30" s="11"/>
      <c r="N30" s="2"/>
      <c r="O30" s="2"/>
      <c r="P30" s="2" t="s">
        <v>21</v>
      </c>
      <c r="Q30" s="1" t="e">
        <f>+Q29*4%</f>
        <v>#N/A</v>
      </c>
      <c r="R30" s="38"/>
    </row>
    <row r="31" spans="2:18" customFormat="1" x14ac:dyDescent="0.25">
      <c r="B31" s="36" t="s">
        <v>81</v>
      </c>
      <c r="C31" s="24"/>
      <c r="D31" s="24"/>
      <c r="E31" s="24" t="e">
        <f>SUM(E27:E29)+E18</f>
        <v>#N/A</v>
      </c>
      <c r="F31" s="28"/>
      <c r="G31" s="14"/>
      <c r="H31" s="59" t="s">
        <v>22</v>
      </c>
      <c r="I31" s="59"/>
      <c r="J31" s="59"/>
      <c r="K31" s="9" t="e">
        <f>+K29+K30</f>
        <v>#N/A</v>
      </c>
      <c r="L31" s="5" t="e">
        <f>SUM(L22:L25)-L21</f>
        <v>#N/A</v>
      </c>
      <c r="M31" s="11"/>
      <c r="N31" s="59" t="s">
        <v>22</v>
      </c>
      <c r="O31" s="59"/>
      <c r="P31" s="59"/>
      <c r="Q31" s="9" t="e">
        <f>+Q29+Q30</f>
        <v>#N/A</v>
      </c>
      <c r="R31" s="41" t="e">
        <f>SUM(R22:R28)-R21</f>
        <v>#N/A</v>
      </c>
    </row>
    <row r="32" spans="2:18" customFormat="1" x14ac:dyDescent="0.25">
      <c r="B32" s="33"/>
      <c r="C32" s="22"/>
      <c r="D32" s="22"/>
      <c r="E32" s="22"/>
      <c r="F32" s="28"/>
      <c r="G32" s="1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32"/>
    </row>
    <row r="33" spans="2:18" customFormat="1" x14ac:dyDescent="0.25">
      <c r="B33" s="40" t="s">
        <v>15</v>
      </c>
      <c r="C33" s="19"/>
      <c r="D33" s="19">
        <f>+K16</f>
        <v>0</v>
      </c>
      <c r="E33" s="22"/>
      <c r="F33" s="28"/>
      <c r="G33" s="14"/>
      <c r="H33" s="11"/>
      <c r="I33" s="11"/>
      <c r="J33" s="11"/>
      <c r="K33" s="26"/>
      <c r="L33" s="11"/>
      <c r="M33" s="11"/>
      <c r="N33" s="11"/>
      <c r="O33" s="11"/>
      <c r="P33" s="11"/>
      <c r="Q33" s="11"/>
      <c r="R33" s="32"/>
    </row>
    <row r="34" spans="2:18" customFormat="1" x14ac:dyDescent="0.25">
      <c r="B34" s="33"/>
      <c r="C34" s="22"/>
      <c r="D34" s="22"/>
      <c r="E34" s="22"/>
      <c r="F34" s="28"/>
      <c r="G34" s="14"/>
      <c r="H34" s="27" t="s">
        <v>64</v>
      </c>
      <c r="I34" s="58" t="e">
        <f>IF(K31&gt;=Q31,"NEW TAX REGIME IS BENEFICIARY","OLD TAX REGIME IS BENEFICIARY")</f>
        <v>#N/A</v>
      </c>
      <c r="J34" s="58"/>
      <c r="K34" s="58"/>
      <c r="L34" s="58"/>
      <c r="M34" s="11"/>
      <c r="N34" s="11"/>
      <c r="O34" s="11"/>
      <c r="P34" s="11"/>
      <c r="Q34" s="11"/>
      <c r="R34" s="32"/>
    </row>
    <row r="35" spans="2:18" customFormat="1" ht="25.5" x14ac:dyDescent="0.25">
      <c r="B35" s="40" t="s">
        <v>5</v>
      </c>
      <c r="C35" s="22"/>
      <c r="D35" s="25" t="s">
        <v>58</v>
      </c>
      <c r="E35" s="22"/>
      <c r="F35" s="28"/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32"/>
    </row>
    <row r="36" spans="2:18" customFormat="1" x14ac:dyDescent="0.25">
      <c r="B36" s="33" t="s">
        <v>6</v>
      </c>
      <c r="C36" s="18">
        <v>0</v>
      </c>
      <c r="D36" s="19">
        <f>IF(C36&gt;=20000,20000,C36)</f>
        <v>0</v>
      </c>
      <c r="E36" s="22"/>
      <c r="F36" s="28"/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32"/>
    </row>
    <row r="37" spans="2:18" customFormat="1" x14ac:dyDescent="0.25">
      <c r="B37" s="33" t="s">
        <v>7</v>
      </c>
      <c r="C37" s="18">
        <v>0</v>
      </c>
      <c r="D37" s="19" t="e">
        <f>IF(C37&gt;=$E$14,$E$14,$C$37)</f>
        <v>#N/A</v>
      </c>
      <c r="E37" s="22"/>
      <c r="F37" s="28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32"/>
    </row>
    <row r="38" spans="2:18" customFormat="1" x14ac:dyDescent="0.25">
      <c r="B38" s="33" t="s">
        <v>8</v>
      </c>
      <c r="C38" s="18">
        <v>0</v>
      </c>
      <c r="D38" s="19" t="e">
        <f>IF(C38&gt;=$E$16,$E$16,$C$38)</f>
        <v>#N/A</v>
      </c>
      <c r="E38" s="22"/>
      <c r="F38" s="28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32"/>
    </row>
    <row r="39" spans="2:18" customFormat="1" x14ac:dyDescent="0.25">
      <c r="B39" s="33" t="s">
        <v>9</v>
      </c>
      <c r="C39" s="18">
        <v>0</v>
      </c>
      <c r="D39" s="19" t="e">
        <f>IF(C39&gt;=$E$15,$E$15,$C$39)</f>
        <v>#N/A</v>
      </c>
      <c r="E39" s="22"/>
      <c r="F39" s="28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32"/>
    </row>
    <row r="40" spans="2:18" customFormat="1" x14ac:dyDescent="0.25">
      <c r="B40" s="33"/>
      <c r="C40" s="22"/>
      <c r="D40" s="22"/>
      <c r="E40" s="22"/>
      <c r="F40" s="28"/>
      <c r="G40" s="1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32"/>
    </row>
    <row r="41" spans="2:18" customFormat="1" x14ac:dyDescent="0.25">
      <c r="B41" s="40" t="s">
        <v>10</v>
      </c>
      <c r="C41" s="22"/>
      <c r="D41" s="19">
        <f>SUM(C36:C39)</f>
        <v>0</v>
      </c>
      <c r="E41" s="22"/>
      <c r="F41" s="28"/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32"/>
    </row>
    <row r="42" spans="2:18" customFormat="1" x14ac:dyDescent="0.25">
      <c r="B42" s="33"/>
      <c r="C42" s="22"/>
      <c r="D42" s="22"/>
      <c r="E42" s="22"/>
      <c r="F42" s="28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32"/>
    </row>
    <row r="43" spans="2:18" customFormat="1" x14ac:dyDescent="0.25">
      <c r="B43" s="40" t="s">
        <v>13</v>
      </c>
      <c r="C43" s="22"/>
      <c r="D43" s="22"/>
      <c r="E43" s="22"/>
      <c r="F43" s="28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32"/>
    </row>
    <row r="44" spans="2:18" customFormat="1" x14ac:dyDescent="0.25">
      <c r="B44" s="33" t="s">
        <v>14</v>
      </c>
      <c r="C44" s="18">
        <v>0</v>
      </c>
      <c r="D44" s="19">
        <f>IF(C44&gt;=200000,200000,C44)</f>
        <v>0</v>
      </c>
      <c r="E44" s="22"/>
      <c r="F44" s="28"/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32"/>
    </row>
    <row r="45" spans="2:18" customFormat="1" x14ac:dyDescent="0.25">
      <c r="B45" s="33"/>
      <c r="C45" s="22"/>
      <c r="D45" s="22"/>
      <c r="E45" s="22"/>
      <c r="F45" s="28"/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32"/>
    </row>
    <row r="46" spans="2:18" customFormat="1" x14ac:dyDescent="0.25">
      <c r="B46" s="33" t="s">
        <v>73</v>
      </c>
      <c r="C46" s="18">
        <v>0</v>
      </c>
      <c r="D46" s="19">
        <f>+C46</f>
        <v>0</v>
      </c>
      <c r="E46" s="22"/>
      <c r="F46" s="28"/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32"/>
    </row>
    <row r="47" spans="2:18" customFormat="1" x14ac:dyDescent="0.25">
      <c r="B47" s="33" t="s">
        <v>71</v>
      </c>
      <c r="C47" s="18">
        <v>0</v>
      </c>
      <c r="D47" s="19">
        <f>IF(C47&gt;=5000,5000,C47)</f>
        <v>0</v>
      </c>
      <c r="E47" s="22"/>
      <c r="F47" s="28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32"/>
    </row>
    <row r="48" spans="2:18" customFormat="1" x14ac:dyDescent="0.25">
      <c r="B48" s="53"/>
      <c r="C48" s="53"/>
      <c r="D48" s="53"/>
      <c r="E48" s="22"/>
      <c r="F48" s="28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32"/>
    </row>
    <row r="49" spans="2:18" customFormat="1" x14ac:dyDescent="0.25">
      <c r="B49" s="40" t="s">
        <v>11</v>
      </c>
      <c r="C49" s="22"/>
      <c r="D49" s="22"/>
      <c r="E49" s="22"/>
      <c r="F49" s="28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32"/>
    </row>
    <row r="50" spans="2:18" customFormat="1" x14ac:dyDescent="0.25">
      <c r="B50" s="33"/>
      <c r="C50" s="22"/>
      <c r="D50" s="22"/>
      <c r="E50" s="28">
        <f>IF(C52&gt;=150000,150000,D52)</f>
        <v>0</v>
      </c>
      <c r="F50" s="28"/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32"/>
    </row>
    <row r="51" spans="2:18" customFormat="1" x14ac:dyDescent="0.25">
      <c r="B51" s="42" t="s">
        <v>12</v>
      </c>
      <c r="C51" s="22"/>
      <c r="D51" s="19">
        <f>+E10</f>
        <v>0</v>
      </c>
      <c r="E51" s="54"/>
      <c r="F51" s="28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32"/>
    </row>
    <row r="52" spans="2:18" customFormat="1" x14ac:dyDescent="0.25">
      <c r="B52" s="33" t="s">
        <v>42</v>
      </c>
      <c r="C52" s="18">
        <v>0</v>
      </c>
      <c r="D52" s="19">
        <f>IF(E52&gt;=150000,150000,E52)</f>
        <v>0</v>
      </c>
      <c r="E52" s="28">
        <f>+D51+C52</f>
        <v>0</v>
      </c>
      <c r="F52" s="28"/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32"/>
    </row>
    <row r="53" spans="2:18" customFormat="1" x14ac:dyDescent="0.25">
      <c r="B53" s="33" t="s">
        <v>43</v>
      </c>
      <c r="C53" s="18">
        <v>0</v>
      </c>
      <c r="D53" s="19">
        <f>IF(C53&gt;=25000,25000,C53)</f>
        <v>0</v>
      </c>
      <c r="E53" s="54"/>
      <c r="F53" s="28"/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32"/>
    </row>
    <row r="54" spans="2:18" customFormat="1" x14ac:dyDescent="0.25">
      <c r="B54" s="33" t="s">
        <v>44</v>
      </c>
      <c r="C54" s="18">
        <v>0</v>
      </c>
      <c r="D54" s="19">
        <f>IF(C54&gt;=50000,50000,C54)</f>
        <v>0</v>
      </c>
      <c r="E54" s="22"/>
      <c r="F54" s="51"/>
      <c r="G54" s="1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32"/>
    </row>
    <row r="55" spans="2:18" customFormat="1" x14ac:dyDescent="0.25">
      <c r="B55" s="33" t="s">
        <v>63</v>
      </c>
      <c r="C55" s="18">
        <v>0</v>
      </c>
      <c r="D55" s="19">
        <f>+C55</f>
        <v>0</v>
      </c>
      <c r="E55" s="22"/>
      <c r="F55" s="51"/>
      <c r="G55" s="1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32"/>
    </row>
    <row r="56" spans="2:18" customFormat="1" x14ac:dyDescent="0.25">
      <c r="B56" s="33" t="s">
        <v>38</v>
      </c>
      <c r="C56" s="18">
        <v>0</v>
      </c>
      <c r="D56" s="19">
        <f>IF(C56&gt;=50000,50000,C56)</f>
        <v>0</v>
      </c>
      <c r="E56" s="29"/>
      <c r="F56" s="51"/>
      <c r="G56" s="1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32"/>
    </row>
    <row r="57" spans="2:18" customFormat="1" x14ac:dyDescent="0.25">
      <c r="B57" s="33" t="s">
        <v>60</v>
      </c>
      <c r="C57" s="18">
        <v>0</v>
      </c>
      <c r="D57" s="19">
        <f>IF(C57&gt;=50000,50000,C57)</f>
        <v>0</v>
      </c>
      <c r="E57" s="22"/>
      <c r="F57" s="51"/>
      <c r="G57" s="1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32"/>
    </row>
    <row r="58" spans="2:18" customFormat="1" x14ac:dyDescent="0.25">
      <c r="B58" s="33" t="s">
        <v>61</v>
      </c>
      <c r="C58" s="18">
        <v>0</v>
      </c>
      <c r="D58" s="19">
        <f>IF(C58&gt;=150000,150000,C58)</f>
        <v>0</v>
      </c>
      <c r="E58" s="22"/>
      <c r="F58" s="51"/>
      <c r="G58" s="1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32"/>
    </row>
    <row r="59" spans="2:18" customFormat="1" x14ac:dyDescent="0.25">
      <c r="B59" s="33" t="s">
        <v>62</v>
      </c>
      <c r="C59" s="18">
        <v>0</v>
      </c>
      <c r="D59" s="19">
        <f>IF(C59&gt;=150000,150000,C59)</f>
        <v>0</v>
      </c>
      <c r="E59" s="22"/>
      <c r="F59" s="51"/>
      <c r="G59" s="1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32"/>
    </row>
    <row r="60" spans="2:18" customFormat="1" x14ac:dyDescent="0.25">
      <c r="B60" s="40" t="s">
        <v>32</v>
      </c>
      <c r="C60" s="22"/>
      <c r="D60" s="19">
        <f>SUM(D52:D59)</f>
        <v>0</v>
      </c>
      <c r="E60" s="22"/>
      <c r="F60" s="51"/>
      <c r="G60" s="1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32"/>
    </row>
    <row r="61" spans="2:18" customFormat="1" x14ac:dyDescent="0.25">
      <c r="B61" s="33"/>
      <c r="C61" s="22"/>
      <c r="D61" s="22"/>
      <c r="E61" s="22"/>
      <c r="F61" s="51"/>
      <c r="G61" s="1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32"/>
    </row>
    <row r="62" spans="2:18" x14ac:dyDescent="0.25">
      <c r="B62" s="33" t="s">
        <v>36</v>
      </c>
      <c r="C62" s="22">
        <v>50000</v>
      </c>
      <c r="D62" s="22"/>
      <c r="E62" s="22"/>
      <c r="F62" s="51"/>
      <c r="G62" s="1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32"/>
    </row>
    <row r="63" spans="2:18" x14ac:dyDescent="0.25">
      <c r="B63" s="33" t="s">
        <v>37</v>
      </c>
      <c r="C63" s="22">
        <v>2400</v>
      </c>
      <c r="D63" s="19">
        <f>+C62+C63</f>
        <v>52400</v>
      </c>
      <c r="E63" s="22"/>
      <c r="F63" s="51"/>
      <c r="G63" s="1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32"/>
    </row>
    <row r="64" spans="2:18" x14ac:dyDescent="0.25">
      <c r="B64" s="33"/>
      <c r="C64" s="22"/>
      <c r="D64" s="22"/>
      <c r="E64" s="22"/>
      <c r="F64" s="51"/>
      <c r="G64" s="14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32"/>
    </row>
    <row r="65" spans="2:18" x14ac:dyDescent="0.25">
      <c r="B65" s="43" t="s">
        <v>17</v>
      </c>
      <c r="C65" s="22"/>
      <c r="D65" s="22"/>
      <c r="E65" s="22"/>
      <c r="F65" s="56">
        <f>+D63+D60+D46+D47+D41+D33+D44</f>
        <v>52400</v>
      </c>
      <c r="G65" s="1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32"/>
    </row>
    <row r="66" spans="2:18" ht="15.75" thickBot="1" x14ac:dyDescent="0.3">
      <c r="B66" s="33"/>
      <c r="C66" s="22"/>
      <c r="D66" s="22"/>
      <c r="E66" s="22"/>
      <c r="F66" s="48"/>
      <c r="G66" s="52"/>
      <c r="H66"/>
      <c r="I66"/>
      <c r="J66"/>
      <c r="K66"/>
      <c r="L66"/>
      <c r="M66"/>
      <c r="N66"/>
      <c r="O66"/>
      <c r="P66"/>
      <c r="Q66"/>
      <c r="R66" s="32"/>
    </row>
    <row r="67" spans="2:18" ht="16.5" thickTop="1" thickBot="1" x14ac:dyDescent="0.3">
      <c r="B67" s="44" t="s">
        <v>18</v>
      </c>
      <c r="C67" s="45"/>
      <c r="D67" s="45"/>
      <c r="E67" s="45" t="s">
        <v>72</v>
      </c>
      <c r="F67" s="46" t="e">
        <f>+E31-F65</f>
        <v>#N/A</v>
      </c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47"/>
    </row>
    <row r="68" spans="2:18" ht="15.75" thickTop="1" x14ac:dyDescent="0.25">
      <c r="B68"/>
      <c r="C68"/>
      <c r="D68"/>
    </row>
  </sheetData>
  <sheetProtection algorithmName="SHA-512" hashValue="KjPGEu/+nIR5G9Brl9nMgwiv2Z4NhPECRgh4B9dS42iuO0PkVHxoM+UsqVq3J5XF3xA0v5HFvJCn/E9a5spWFQ==" saltValue="kjT+fLTLHUmBmWmRGY9rfA==" spinCount="100000" sheet="1" formatCells="0" formatColumns="0" formatRows="0" insertColumns="0" insertRows="0" insertHyperlinks="0" deleteColumns="0" deleteRows="0" sort="0" autoFilter="0" pivotTables="0"/>
  <protectedRanges>
    <protectedRange sqref="C52:C59" name="VIA"/>
    <protectedRange sqref="C44:C47" name="npsgifthousing loan"/>
    <protectedRange sqref="C36:C39" name="Sec 10"/>
    <protectedRange sqref="E27:E29" name="Other salary"/>
    <protectedRange sqref="J9" name="Rent"/>
    <protectedRange sqref="D10" name="PF"/>
    <protectedRange sqref="E7" name="Level"/>
    <protectedRange sqref="E9" name="CTC"/>
  </protectedRanges>
  <mergeCells count="15">
    <mergeCell ref="N20:R20"/>
    <mergeCell ref="N21:Q21"/>
    <mergeCell ref="H21:K21"/>
    <mergeCell ref="N31:P31"/>
    <mergeCell ref="H14:I14"/>
    <mergeCell ref="H16:I16"/>
    <mergeCell ref="I34:L34"/>
    <mergeCell ref="H31:J31"/>
    <mergeCell ref="H20:L20"/>
    <mergeCell ref="B5:E5"/>
    <mergeCell ref="B6:E6"/>
    <mergeCell ref="H11:I11"/>
    <mergeCell ref="H12:I12"/>
    <mergeCell ref="H13:I13"/>
    <mergeCell ref="B7:C7"/>
  </mergeCells>
  <dataValidations count="2">
    <dataValidation type="custom" allowBlank="1" showInputMessage="1" showErrorMessage="1" sqref="L35" xr:uid="{015238C4-3D70-423C-8E5D-0DFC16256B72}">
      <formula1>IF(L31&gt;=Q31,"OLD","NEW")</formula1>
    </dataValidation>
    <dataValidation type="list" allowBlank="1" showInputMessage="1" showErrorMessage="1" sqref="E7" xr:uid="{A1940D6A-0E02-4A2E-BE8D-E5E3AED8562A}">
      <formula1>$F$7:$F$16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Kumar Kuncham Varadarajulu</dc:creator>
  <cp:lastModifiedBy>Suneel Kumar Kuncham Varadarajulu</cp:lastModifiedBy>
  <cp:lastPrinted>2020-05-29T09:59:35Z</cp:lastPrinted>
  <dcterms:created xsi:type="dcterms:W3CDTF">2020-02-10T10:03:48Z</dcterms:created>
  <dcterms:modified xsi:type="dcterms:W3CDTF">2021-04-14T11:11:13Z</dcterms:modified>
</cp:coreProperties>
</file>