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10" fontId="2" fillId="0" borderId="2"/>
    <xf numFmtId="16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  <xf numFmtId="164" fontId="2" fillId="0" borderId="2" pivotButton="0" quotePrefix="0" xfId="2"/>
  </cellXfs>
  <cellStyles count="3">
    <cellStyle name="Normal" xfId="0" builtinId="0"/>
    <cellStyle name="percentage" xfId="1" hidden="0"/>
    <cellStyle name="currency_forma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30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02/19/24</t>
        </is>
      </c>
      <c r="B1" t="inlineStr">
        <is>
          <t>03/01/24</t>
        </is>
      </c>
      <c r="C1" t="inlineStr">
        <is>
          <t>Open Positions</t>
        </is>
      </c>
      <c r="D1" t="inlineStr">
        <is>
          <t>Total</t>
        </is>
      </c>
      <c r="AJ1" t="inlineStr">
        <is>
          <t>2/23/24</t>
        </is>
      </c>
      <c r="AK1" t="inlineStr">
        <is>
          <t>3/01/24</t>
        </is>
      </c>
      <c r="AL1" t="inlineStr">
        <is>
          <t>3/08/24</t>
        </is>
      </c>
      <c r="AM1" t="inlineStr">
        <is>
          <t>3/15/24</t>
        </is>
      </c>
      <c r="AN1" t="inlineStr">
        <is>
          <t>3/22/24</t>
        </is>
      </c>
      <c r="AO1" t="inlineStr">
        <is>
          <t>3/29/24</t>
        </is>
      </c>
      <c r="AP1" t="inlineStr">
        <is>
          <t>4/05/24</t>
        </is>
      </c>
      <c r="AQ1" t="inlineStr">
        <is>
          <t>4/12/24</t>
        </is>
      </c>
      <c r="AR1" t="inlineStr">
        <is>
          <t>4/19/24</t>
        </is>
      </c>
      <c r="AS1" t="inlineStr">
        <is>
          <t>4/26/24</t>
        </is>
      </c>
      <c r="AT1" t="inlineStr">
        <is>
          <t>5/03/24</t>
        </is>
      </c>
    </row>
    <row r="2">
      <c r="A2" s="1" t="inlineStr">
        <is>
          <t>check date &gt;&gt;</t>
        </is>
      </c>
      <c r="B2" s="1" t="inlineStr">
        <is>
          <t>02/19/24</t>
        </is>
      </c>
      <c r="C2" s="1" t="inlineStr">
        <is>
          <t>trade date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px*contracts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November</t>
        </is>
      </c>
      <c r="AE2" s="1" t="inlineStr">
        <is>
          <t>contracted in December</t>
        </is>
      </c>
      <c r="AF2" s="1" t="inlineStr">
        <is>
          <t>contracted in January</t>
        </is>
      </c>
      <c r="AG2" s="1" t="inlineStr">
        <is>
          <t>contracted in February</t>
        </is>
      </c>
      <c r="AH2" s="1" t="inlineStr">
        <is>
          <t>cash if exercised</t>
        </is>
      </c>
      <c r="AI2" s="1" t="inlineStr">
        <is>
          <t>days &gt;&gt;</t>
        </is>
      </c>
      <c r="AJ2" s="1">
        <f>AK1-A1</f>
        <v/>
      </c>
      <c r="AK2" s="1">
        <f>AL1-A1</f>
        <v/>
      </c>
      <c r="AL2" s="1">
        <f>AM1-A1</f>
        <v/>
      </c>
      <c r="AM2" s="1">
        <f>AN1-A1</f>
        <v/>
      </c>
      <c r="AN2" s="1">
        <f>AO1-A1</f>
        <v/>
      </c>
      <c r="AO2" s="1">
        <f>AP1-A1</f>
        <v/>
      </c>
      <c r="AP2" s="1">
        <f>AQ1-A1</f>
        <v/>
      </c>
      <c r="AQ2" s="1">
        <f>AR1-A1</f>
        <v/>
      </c>
      <c r="AR2" s="1">
        <f>AS1-A1</f>
        <v/>
      </c>
      <c r="AS2" s="1">
        <f>AT1-A1</f>
        <v/>
      </c>
      <c r="AT2" s="1">
        <f>AU1-A1</f>
        <v/>
      </c>
    </row>
    <row r="3">
      <c r="C3" t="inlineStr">
        <is>
          <t>1/29/24</t>
        </is>
      </c>
      <c r="D3" t="inlineStr">
        <is>
          <t>3/15/24</t>
        </is>
      </c>
      <c r="E3">
        <f>D3-C3</f>
        <v/>
      </c>
      <c r="F3">
        <f>D3-$BE$1</f>
        <v/>
      </c>
      <c r="I3" t="n">
        <v>32</v>
      </c>
      <c r="J3" t="inlineStr">
        <is>
          <t>BAC</t>
        </is>
      </c>
      <c r="K3" t="inlineStr">
        <is>
          <t>33.92</t>
        </is>
      </c>
      <c r="L3" s="2">
        <f>(I3-K3)/K3</f>
        <v/>
      </c>
      <c r="M3">
        <f>IFERROR(GOOGLEFINANCE("BAC"), 59.06)</f>
        <v/>
      </c>
      <c r="N3" s="2">
        <f>IF(S3= "Call", (I3-M3)/M3, (M3-I3)/M3)</f>
        <v/>
      </c>
      <c r="O3">
        <f>IF(AND(LOWER(S3)="call",N3&lt;0), I3*100*U3, 0)</f>
        <v/>
      </c>
      <c r="P3">
        <f>U3*I3</f>
        <v/>
      </c>
      <c r="Q3" s="2">
        <f>U3*N3*I3</f>
        <v/>
      </c>
      <c r="R3" t="inlineStr">
        <is>
          <t>1.40</t>
        </is>
      </c>
      <c r="S3" t="inlineStr">
        <is>
          <t>Put</t>
        </is>
      </c>
      <c r="T3" s="3">
        <f>R3*M3*U3</f>
        <v/>
      </c>
      <c r="U3" t="n">
        <v>-1</v>
      </c>
      <c r="V3" s="3">
        <f>U3*M3</f>
        <v/>
      </c>
      <c r="W3" t="n">
        <v>0.5</v>
      </c>
      <c r="X3" s="2">
        <f>-AC3/AH3</f>
        <v/>
      </c>
      <c r="Y3" s="2">
        <f>W3*(365/E3)/I3</f>
        <v/>
      </c>
      <c r="AB3" s="2">
        <f>X3*(365/F3)/L3</f>
        <v/>
      </c>
      <c r="AC3" t="n">
        <v>49.44</v>
      </c>
      <c r="AF3">
        <f>AC3</f>
        <v/>
      </c>
      <c r="AH3">
        <f>IF(LOWER(S3)="put", U3*I3*100,-U3*I3*100)</f>
        <v/>
      </c>
      <c r="AI3" s="3" t="n"/>
      <c r="AK3" s="3" t="n"/>
      <c r="AL3" s="3" t="n"/>
      <c r="AM3" s="3">
        <f>AH3</f>
        <v/>
      </c>
      <c r="AN3" s="3" t="n"/>
      <c r="AO3" s="3" t="n"/>
      <c r="AP3" s="3" t="n"/>
      <c r="AQ3" s="3" t="n"/>
      <c r="AR3" s="3" t="n"/>
      <c r="AS3" s="3" t="n"/>
    </row>
    <row r="4">
      <c r="C4" t="inlineStr">
        <is>
          <t>1/29/24</t>
        </is>
      </c>
      <c r="D4" t="inlineStr">
        <is>
          <t>2/02/24</t>
        </is>
      </c>
      <c r="E4">
        <f>D4-C4</f>
        <v/>
      </c>
      <c r="F4">
        <f>D4-$BE$1</f>
        <v/>
      </c>
      <c r="I4" t="n">
        <v>32</v>
      </c>
      <c r="J4" t="inlineStr">
        <is>
          <t>BAC</t>
        </is>
      </c>
      <c r="K4" t="inlineStr">
        <is>
          <t>33.92</t>
        </is>
      </c>
      <c r="L4" s="2">
        <f>(I4-K4)/K4</f>
        <v/>
      </c>
      <c r="M4">
        <f>IFERROR(GOOGLEFINANCE("BAC"), 59.06)</f>
        <v/>
      </c>
      <c r="N4" s="2">
        <f>IF(S4= "Call", (I4-M4)/M4, (M4-I4)/M4)</f>
        <v/>
      </c>
      <c r="O4">
        <f>IF(AND(LOWER(S4)="call",N4&lt;0), I4*100*U4, 0)</f>
        <v/>
      </c>
      <c r="P4">
        <f>U4*I4</f>
        <v/>
      </c>
      <c r="Q4" s="2">
        <f>U4*N4*I4</f>
        <v/>
      </c>
      <c r="R4" t="inlineStr">
        <is>
          <t>1.40</t>
        </is>
      </c>
      <c r="S4" t="inlineStr">
        <is>
          <t>Put</t>
        </is>
      </c>
      <c r="T4" s="3">
        <f>R4*M4*U4</f>
        <v/>
      </c>
      <c r="U4" t="n">
        <v>1</v>
      </c>
      <c r="V4" s="3">
        <f>U4*M4</f>
        <v/>
      </c>
      <c r="W4" t="n">
        <v>0.04</v>
      </c>
      <c r="X4" s="2">
        <f>-AC4/AH4</f>
        <v/>
      </c>
      <c r="Y4" s="2">
        <f>W4*(365/E4)/I4</f>
        <v/>
      </c>
      <c r="AB4" s="2">
        <f>X4*(365/F4)/L4</f>
        <v/>
      </c>
      <c r="AC4" t="n">
        <v>-4.56</v>
      </c>
      <c r="AF4">
        <f>AC4</f>
        <v/>
      </c>
      <c r="AH4">
        <f>IF(LOWER(S4)="put", U4*I4*100,-U4*I4*100)</f>
        <v/>
      </c>
      <c r="AI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</row>
    <row r="5">
      <c r="C5" t="inlineStr">
        <is>
          <t>1/29/24</t>
        </is>
      </c>
      <c r="D5" t="inlineStr">
        <is>
          <t>3/15/24</t>
        </is>
      </c>
      <c r="E5">
        <f>D5-C5</f>
        <v/>
      </c>
      <c r="F5">
        <f>D5-$BE$1</f>
        <v/>
      </c>
      <c r="I5" t="n">
        <v>55</v>
      </c>
      <c r="J5" t="inlineStr">
        <is>
          <t>WFC</t>
        </is>
      </c>
      <c r="K5" t="inlineStr">
        <is>
          <t>51.94</t>
        </is>
      </c>
      <c r="L5" s="2">
        <f>(I5-K5)/K5</f>
        <v/>
      </c>
      <c r="M5">
        <f>IFERROR(GOOGLEFINANCE("WFC"), 59.06)</f>
        <v/>
      </c>
      <c r="N5" s="2">
        <f>IF(S5= "Call", (I5-M5)/M5, (M5-I5)/M5)</f>
        <v/>
      </c>
      <c r="O5">
        <f>IF(AND(LOWER(S5)="call",N5&lt;0), I5*100*U5, 0)</f>
        <v/>
      </c>
      <c r="P5">
        <f>U5*I5</f>
        <v/>
      </c>
      <c r="Q5" s="2">
        <f>U5*N5*I5</f>
        <v/>
      </c>
      <c r="R5" t="inlineStr">
        <is>
          <t>1.18</t>
        </is>
      </c>
      <c r="S5" t="inlineStr">
        <is>
          <t>Call</t>
        </is>
      </c>
      <c r="T5" s="3">
        <f>R5*M5*U5</f>
        <v/>
      </c>
      <c r="U5" t="n">
        <v>-2</v>
      </c>
      <c r="V5" s="3">
        <f>U5*M5</f>
        <v/>
      </c>
      <c r="W5" t="n">
        <v>0.25</v>
      </c>
      <c r="X5" s="2">
        <f>-AC5/AH5</f>
        <v/>
      </c>
      <c r="Y5" s="2">
        <f>W5*(365/E5)/I5</f>
        <v/>
      </c>
      <c r="AB5" s="2">
        <f>X5*(365/F5)/L5</f>
        <v/>
      </c>
      <c r="AC5" t="n">
        <v>48.87</v>
      </c>
      <c r="AF5">
        <f>AC5</f>
        <v/>
      </c>
      <c r="AH5">
        <f>IF(LOWER(S5)="put", U5*I5*100,-U5*I5*100)</f>
        <v/>
      </c>
      <c r="AI5" s="3" t="n"/>
      <c r="AK5" s="3" t="n"/>
      <c r="AL5" s="3" t="n"/>
      <c r="AM5" s="3">
        <f>AH5</f>
        <v/>
      </c>
      <c r="AN5" s="3" t="n"/>
      <c r="AO5" s="3" t="n"/>
      <c r="AP5" s="3" t="n"/>
      <c r="AQ5" s="3" t="n"/>
      <c r="AR5" s="3" t="n"/>
      <c r="AS5" s="3" t="n"/>
    </row>
    <row r="6">
      <c r="C6" t="inlineStr">
        <is>
          <t>1/29/24</t>
        </is>
      </c>
      <c r="D6" t="inlineStr">
        <is>
          <t>2/16/24</t>
        </is>
      </c>
      <c r="E6">
        <f>D6-C6</f>
        <v/>
      </c>
      <c r="F6">
        <f>D6-$BE$1</f>
        <v/>
      </c>
      <c r="I6" t="n">
        <v>10</v>
      </c>
      <c r="J6" t="inlineStr">
        <is>
          <t>WBD</t>
        </is>
      </c>
      <c r="K6" t="inlineStr">
        <is>
          <t>10.02</t>
        </is>
      </c>
      <c r="L6" s="2">
        <f>(I6-K6)/K6</f>
        <v/>
      </c>
      <c r="M6">
        <f>IFERROR(GOOGLEFINANCE("WBD"), 59.06)</f>
        <v/>
      </c>
      <c r="N6" s="2">
        <f>IF(S6= "Call", (I6-M6)/M6, (M6-I6)/M6)</f>
        <v/>
      </c>
      <c r="O6">
        <f>IF(AND(LOWER(S6)="call",N6&lt;0), I6*100*U6, 0)</f>
        <v/>
      </c>
      <c r="P6">
        <f>U6*I6</f>
        <v/>
      </c>
      <c r="Q6" s="2">
        <f>U6*N6*I6</f>
        <v/>
      </c>
      <c r="R6" t="inlineStr">
        <is>
          <t>1.55</t>
        </is>
      </c>
      <c r="S6" t="inlineStr">
        <is>
          <t>Put</t>
        </is>
      </c>
      <c r="T6" s="3">
        <f>R6*M6*U6</f>
        <v/>
      </c>
      <c r="U6" t="n">
        <v>-4</v>
      </c>
      <c r="V6" s="3">
        <f>U6*M6</f>
        <v/>
      </c>
      <c r="W6" t="n">
        <v>0.24</v>
      </c>
      <c r="X6" s="2">
        <f>-AC6/AH6</f>
        <v/>
      </c>
      <c r="Y6" s="2">
        <f>W6*(365/E6)/I6</f>
        <v/>
      </c>
      <c r="AB6" s="2">
        <f>X6*(365/F6)/L6</f>
        <v/>
      </c>
      <c r="AC6" t="n">
        <v>93.75</v>
      </c>
      <c r="AF6">
        <f>AC6</f>
        <v/>
      </c>
      <c r="AH6">
        <f>IF(LOWER(S6)="put", U6*I6*100,-U6*I6*100)</f>
        <v/>
      </c>
      <c r="AI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</row>
    <row r="7">
      <c r="C7" t="inlineStr">
        <is>
          <t>1/29/24</t>
        </is>
      </c>
      <c r="D7" t="inlineStr">
        <is>
          <t>2/02/24</t>
        </is>
      </c>
      <c r="E7">
        <f>D7-C7</f>
        <v/>
      </c>
      <c r="F7">
        <f>D7-$BE$1</f>
        <v/>
      </c>
      <c r="I7" t="n">
        <v>10</v>
      </c>
      <c r="J7" t="inlineStr">
        <is>
          <t>WBD</t>
        </is>
      </c>
      <c r="K7" t="inlineStr">
        <is>
          <t>10.02</t>
        </is>
      </c>
      <c r="L7" s="2">
        <f>(I7-K7)/K7</f>
        <v/>
      </c>
      <c r="M7">
        <f>IFERROR(GOOGLEFINANCE("WBD"), 59.06)</f>
        <v/>
      </c>
      <c r="N7" s="2">
        <f>IF(S7= "Call", (I7-M7)/M7, (M7-I7)/M7)</f>
        <v/>
      </c>
      <c r="O7">
        <f>IF(AND(LOWER(S7)="call",N7&lt;0), I7*100*U7, 0)</f>
        <v/>
      </c>
      <c r="P7">
        <f>U7*I7</f>
        <v/>
      </c>
      <c r="Q7" s="2">
        <f>U7*N7*I7</f>
        <v/>
      </c>
      <c r="R7" t="inlineStr">
        <is>
          <t>1.55</t>
        </is>
      </c>
      <c r="S7" t="inlineStr">
        <is>
          <t>Put</t>
        </is>
      </c>
      <c r="T7" s="3">
        <f>R7*M7*U7</f>
        <v/>
      </c>
      <c r="U7" t="n">
        <v>4</v>
      </c>
      <c r="V7" s="3">
        <f>U7*M7</f>
        <v/>
      </c>
      <c r="W7" t="n">
        <v>0.06</v>
      </c>
      <c r="X7" s="2">
        <f>-AC7/AH7</f>
        <v/>
      </c>
      <c r="Y7" s="2">
        <f>W7*(365/E7)/I7</f>
        <v/>
      </c>
      <c r="AB7" s="2">
        <f>X7*(365/F7)/L7</f>
        <v/>
      </c>
      <c r="AC7" t="n">
        <v>-26.24</v>
      </c>
      <c r="AF7">
        <f>AC7</f>
        <v/>
      </c>
      <c r="AH7">
        <f>IF(LOWER(S7)="put", U7*I7*100,-U7*I7*100)</f>
        <v/>
      </c>
      <c r="AI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</row>
    <row r="8">
      <c r="C8" t="inlineStr">
        <is>
          <t>1/29/24</t>
        </is>
      </c>
      <c r="D8" t="inlineStr">
        <is>
          <t>4/19/24</t>
        </is>
      </c>
      <c r="E8">
        <f>D8-C8</f>
        <v/>
      </c>
      <c r="F8">
        <f>D8-$BE$1</f>
        <v/>
      </c>
      <c r="I8" t="n">
        <v>43</v>
      </c>
      <c r="J8" t="inlineStr">
        <is>
          <t>HAL</t>
        </is>
      </c>
      <c r="K8" t="inlineStr">
        <is>
          <t>35.44</t>
        </is>
      </c>
      <c r="L8" s="2">
        <f>(I8-K8)/K8</f>
        <v/>
      </c>
      <c r="M8">
        <f>IFERROR(GOOGLEFINANCE("HAL"), 59.06)</f>
        <v/>
      </c>
      <c r="N8" s="2">
        <f>IF(S8= "Call", (I8-M8)/M8, (M8-I8)/M8)</f>
        <v/>
      </c>
      <c r="O8">
        <f>IF(AND(LOWER(S8)="call",N8&lt;0), I8*100*U8, 0)</f>
        <v/>
      </c>
      <c r="P8">
        <f>U8*I8</f>
        <v/>
      </c>
      <c r="Q8" s="2">
        <f>U8*N8*I8</f>
        <v/>
      </c>
      <c r="R8" t="inlineStr">
        <is>
          <t>2.02</t>
        </is>
      </c>
      <c r="S8" t="inlineStr">
        <is>
          <t>Call</t>
        </is>
      </c>
      <c r="T8" s="3">
        <f>R8*M8*U8</f>
        <v/>
      </c>
      <c r="U8" t="n">
        <v>-2</v>
      </c>
      <c r="V8" s="3">
        <f>U8*M8</f>
        <v/>
      </c>
      <c r="W8" t="n">
        <v>0.41</v>
      </c>
      <c r="X8" s="2">
        <f>-AC8/AH8</f>
        <v/>
      </c>
      <c r="Y8" s="2">
        <f>W8*(365/E8)/I8</f>
        <v/>
      </c>
      <c r="AB8" s="2">
        <f>X8*(365/F8)/L8</f>
        <v/>
      </c>
      <c r="AC8" t="n">
        <v>80.87</v>
      </c>
      <c r="AF8">
        <f>AC8</f>
        <v/>
      </c>
      <c r="AH8">
        <f>IF(LOWER(S8)="put", U8*I8*100,-U8*I8*100)</f>
        <v/>
      </c>
      <c r="AI8" s="3" t="n"/>
      <c r="AK8" s="3" t="n"/>
      <c r="AL8" s="3" t="n"/>
      <c r="AM8" s="3" t="n"/>
      <c r="AN8" s="3" t="n"/>
      <c r="AO8" s="3" t="n"/>
      <c r="AP8" s="3" t="n"/>
      <c r="AQ8" s="3" t="n"/>
      <c r="AR8" s="3">
        <f>AH8</f>
        <v/>
      </c>
      <c r="AS8" s="3" t="n"/>
    </row>
    <row r="9">
      <c r="C9" t="inlineStr">
        <is>
          <t>1/29/24</t>
        </is>
      </c>
      <c r="D9" t="inlineStr">
        <is>
          <t>3/15/24</t>
        </is>
      </c>
      <c r="E9">
        <f>D9-C9</f>
        <v/>
      </c>
      <c r="F9">
        <f>D9-$BE$1</f>
        <v/>
      </c>
      <c r="I9" t="n">
        <v>47.5</v>
      </c>
      <c r="J9" t="inlineStr">
        <is>
          <t>DVN</t>
        </is>
      </c>
      <c r="K9" t="inlineStr">
        <is>
          <t>43.19</t>
        </is>
      </c>
      <c r="L9" s="2">
        <f>(I9-K9)/K9</f>
        <v/>
      </c>
      <c r="M9">
        <f>IFERROR(GOOGLEFINANCE("DVN"), 59.06)</f>
        <v/>
      </c>
      <c r="N9" s="2">
        <f>IF(S9= "Call", (I9-M9)/M9, (M9-I9)/M9)</f>
        <v/>
      </c>
      <c r="O9">
        <f>IF(AND(LOWER(S9)="call",N9&lt;0), I9*100*U9, 0)</f>
        <v/>
      </c>
      <c r="P9">
        <f>U9*I9</f>
        <v/>
      </c>
      <c r="Q9" s="2">
        <f>U9*N9*I9</f>
        <v/>
      </c>
      <c r="R9" t="inlineStr">
        <is>
          <t>2.22</t>
        </is>
      </c>
      <c r="S9" t="inlineStr">
        <is>
          <t>Call</t>
        </is>
      </c>
      <c r="T9" s="3">
        <f>R9*M9*U9</f>
        <v/>
      </c>
      <c r="U9" t="n">
        <v>-2</v>
      </c>
      <c r="V9" s="3">
        <f>U9*M9</f>
        <v/>
      </c>
      <c r="W9" t="n">
        <v>0.45</v>
      </c>
      <c r="X9" s="2">
        <f>-AC9/AH9</f>
        <v/>
      </c>
      <c r="Y9" s="2">
        <f>W9*(365/E9)/I9</f>
        <v/>
      </c>
      <c r="AB9" s="2">
        <f>X9*(365/F9)/L9</f>
        <v/>
      </c>
      <c r="AC9" t="n">
        <v>88.87</v>
      </c>
      <c r="AF9">
        <f>AC9</f>
        <v/>
      </c>
      <c r="AH9">
        <f>IF(LOWER(S9)="put", U9*I9*100,-U9*I9*100)</f>
        <v/>
      </c>
      <c r="AI9" s="3" t="n"/>
      <c r="AK9" s="3" t="n"/>
      <c r="AL9" s="3" t="n"/>
      <c r="AM9" s="3">
        <f>AH9</f>
        <v/>
      </c>
      <c r="AN9" s="3" t="n"/>
      <c r="AO9" s="3" t="n"/>
      <c r="AP9" s="3" t="n"/>
      <c r="AQ9" s="3" t="n"/>
      <c r="AR9" s="3" t="n"/>
      <c r="AS9" s="3" t="n"/>
    </row>
    <row r="10">
      <c r="C10" t="inlineStr">
        <is>
          <t>1/29/24</t>
        </is>
      </c>
      <c r="D10" t="inlineStr">
        <is>
          <t>2/09/24</t>
        </is>
      </c>
      <c r="E10">
        <f>D10-C10</f>
        <v/>
      </c>
      <c r="F10">
        <f>D10-$BE$1</f>
        <v/>
      </c>
      <c r="I10" t="n">
        <v>57</v>
      </c>
      <c r="J10" t="inlineStr">
        <is>
          <t>FTNT</t>
        </is>
      </c>
      <c r="K10" t="inlineStr">
        <is>
          <t>70.08</t>
        </is>
      </c>
      <c r="L10" s="2">
        <f>(I10-K10)/K10</f>
        <v/>
      </c>
      <c r="M10">
        <f>IFERROR(GOOGLEFINANCE("FTNT"), 59.06)</f>
        <v/>
      </c>
      <c r="N10" s="2">
        <f>IF(S10= "Call", (I10-M10)/M10, (M10-I10)/M10)</f>
        <v/>
      </c>
      <c r="O10">
        <f>IF(AND(LOWER(S10)="call",N10&lt;0), I10*100*U10, 0)</f>
        <v/>
      </c>
      <c r="P10">
        <f>U10*I10</f>
        <v/>
      </c>
      <c r="Q10" s="2">
        <f>U10*N10*I10</f>
        <v/>
      </c>
      <c r="R10" t="inlineStr">
        <is>
          <t>1.09</t>
        </is>
      </c>
      <c r="S10" t="inlineStr">
        <is>
          <t>Put</t>
        </is>
      </c>
      <c r="T10" s="3">
        <f>R10*M10*U10</f>
        <v/>
      </c>
      <c r="U10" t="n">
        <v>-2</v>
      </c>
      <c r="V10" s="3">
        <f>U10*M10</f>
        <v/>
      </c>
      <c r="W10" t="n">
        <v>0.54</v>
      </c>
      <c r="X10" s="2">
        <f>-AC10/AH10</f>
        <v/>
      </c>
      <c r="Y10" s="2">
        <f>W10*(365/E10)/I10</f>
        <v/>
      </c>
      <c r="AB10" s="2">
        <f>X10*(365/F10)/L10</f>
        <v/>
      </c>
      <c r="AC10" t="n">
        <v>106.87</v>
      </c>
      <c r="AF10">
        <f>AC10</f>
        <v/>
      </c>
      <c r="AH10">
        <f>IF(LOWER(S10)="put", U10*I10*100,-U10*I10*100)</f>
        <v/>
      </c>
      <c r="AI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</row>
    <row r="11">
      <c r="C11" t="inlineStr">
        <is>
          <t>1/29/24</t>
        </is>
      </c>
      <c r="D11" t="inlineStr">
        <is>
          <t>2/09/24</t>
        </is>
      </c>
      <c r="E11">
        <f>D11-C11</f>
        <v/>
      </c>
      <c r="F11">
        <f>D11-$BE$1</f>
        <v/>
      </c>
      <c r="I11" t="n">
        <v>120</v>
      </c>
      <c r="J11" t="inlineStr">
        <is>
          <t>EL</t>
        </is>
      </c>
      <c r="K11" t="inlineStr">
        <is>
          <t>145.69</t>
        </is>
      </c>
      <c r="L11" s="2">
        <f>(I11-K11)/K11</f>
        <v/>
      </c>
      <c r="M11">
        <f>IFERROR(GOOGLEFINANCE("EL"), 59.06)</f>
        <v/>
      </c>
      <c r="N11" s="2">
        <f>IF(S11= "Call", (I11-M11)/M11, (M11-I11)/M11)</f>
        <v/>
      </c>
      <c r="O11">
        <f>IF(AND(LOWER(S11)="call",N11&lt;0), I11*100*U11, 0)</f>
        <v/>
      </c>
      <c r="P11">
        <f>U11*I11</f>
        <v/>
      </c>
      <c r="Q11" s="2">
        <f>U11*N11*I11</f>
        <v/>
      </c>
      <c r="R11" t="inlineStr">
        <is>
          <t>1.07</t>
        </is>
      </c>
      <c r="S11" t="inlineStr">
        <is>
          <t>Put</t>
        </is>
      </c>
      <c r="T11" s="3">
        <f>R11*M11*U11</f>
        <v/>
      </c>
      <c r="U11" t="n">
        <v>-1</v>
      </c>
      <c r="V11" s="3">
        <f>U11*M11</f>
        <v/>
      </c>
      <c r="W11" t="n">
        <v>2.05</v>
      </c>
      <c r="X11" s="2">
        <f>-AC11/AH11</f>
        <v/>
      </c>
      <c r="Y11" s="2">
        <f>W11*(365/E11)/I11</f>
        <v/>
      </c>
      <c r="AB11" s="2">
        <f>X11*(365/F11)/L11</f>
        <v/>
      </c>
      <c r="AC11" t="n">
        <v>204.44</v>
      </c>
      <c r="AF11">
        <f>AC11</f>
        <v/>
      </c>
      <c r="AH11">
        <f>IF(LOWER(S11)="put", U11*I11*100,-U11*I11*100)</f>
        <v/>
      </c>
      <c r="AI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</row>
    <row r="12">
      <c r="C12" t="inlineStr">
        <is>
          <t>1/29/24</t>
        </is>
      </c>
      <c r="D12" t="inlineStr">
        <is>
          <t>3/15/24</t>
        </is>
      </c>
      <c r="E12">
        <f>D12-C12</f>
        <v/>
      </c>
      <c r="F12">
        <f>D12-$BE$1</f>
        <v/>
      </c>
      <c r="I12" t="n">
        <v>14</v>
      </c>
      <c r="J12" t="inlineStr">
        <is>
          <t>CCL</t>
        </is>
      </c>
      <c r="K12" t="inlineStr">
        <is>
          <t>15.02</t>
        </is>
      </c>
      <c r="L12" s="2">
        <f>(I12-K12)/K12</f>
        <v/>
      </c>
      <c r="M12">
        <f>IFERROR(GOOGLEFINANCE("CCL"), 59.06)</f>
        <v/>
      </c>
      <c r="N12" s="2">
        <f>IF(S12= "Call", (I12-M12)/M12, (M12-I12)/M12)</f>
        <v/>
      </c>
      <c r="O12">
        <f>IF(AND(LOWER(S12)="call",N12&lt;0), I12*100*U12, 0)</f>
        <v/>
      </c>
      <c r="P12">
        <f>U12*I12</f>
        <v/>
      </c>
      <c r="Q12" s="2">
        <f>U12*N12*I12</f>
        <v/>
      </c>
      <c r="R12" t="inlineStr">
        <is>
          <t>2.58</t>
        </is>
      </c>
      <c r="S12" t="inlineStr">
        <is>
          <t>Put</t>
        </is>
      </c>
      <c r="T12" s="3">
        <f>R12*M12*U12</f>
        <v/>
      </c>
      <c r="U12" t="n">
        <v>-4</v>
      </c>
      <c r="V12" s="3">
        <f>U12*M12</f>
        <v/>
      </c>
      <c r="W12" t="n">
        <v>0.24</v>
      </c>
      <c r="X12" s="2">
        <f>-AC12/AH12</f>
        <v/>
      </c>
      <c r="Y12" s="2">
        <f>W12*(365/E12)/I12</f>
        <v/>
      </c>
      <c r="AB12" s="2">
        <f>X12*(365/F12)/L12</f>
        <v/>
      </c>
      <c r="AC12" t="n">
        <v>93.75</v>
      </c>
      <c r="AF12">
        <f>AC12</f>
        <v/>
      </c>
      <c r="AH12">
        <f>IF(LOWER(S12)="put", U12*I12*100,-U12*I12*100)</f>
        <v/>
      </c>
      <c r="AI12" s="3" t="n"/>
      <c r="AK12" s="3" t="n"/>
      <c r="AL12" s="3" t="n"/>
      <c r="AM12" s="3">
        <f>AH12</f>
        <v/>
      </c>
      <c r="AN12" s="3" t="n"/>
      <c r="AO12" s="3" t="n"/>
      <c r="AP12" s="3" t="n"/>
      <c r="AQ12" s="3" t="n"/>
      <c r="AR12" s="3" t="n"/>
      <c r="AS12" s="3" t="n"/>
    </row>
    <row r="13">
      <c r="C13" t="inlineStr">
        <is>
          <t>1/30/24</t>
        </is>
      </c>
      <c r="D13" t="inlineStr">
        <is>
          <t>4/19/24</t>
        </is>
      </c>
      <c r="E13">
        <f>D13-C13</f>
        <v/>
      </c>
      <c r="F13">
        <f>D13-$BE$1</f>
        <v/>
      </c>
      <c r="I13" t="n">
        <v>33</v>
      </c>
      <c r="J13" t="inlineStr">
        <is>
          <t>HAL</t>
        </is>
      </c>
      <c r="K13" t="inlineStr">
        <is>
          <t>35.44</t>
        </is>
      </c>
      <c r="L13" s="2">
        <f>(I13-K13)/K13</f>
        <v/>
      </c>
      <c r="M13">
        <f>IFERROR(GOOGLEFINANCE("HAL"), 59.06)</f>
        <v/>
      </c>
      <c r="N13" s="2">
        <f>IF(S13= "Call", (I13-M13)/M13, (M13-I13)/M13)</f>
        <v/>
      </c>
      <c r="O13">
        <f>IF(AND(LOWER(S13)="call",N13&lt;0), I13*100*U13, 0)</f>
        <v/>
      </c>
      <c r="P13">
        <f>U13*I13</f>
        <v/>
      </c>
      <c r="Q13" s="2">
        <f>U13*N13*I13</f>
        <v/>
      </c>
      <c r="R13" t="inlineStr">
        <is>
          <t>2.02</t>
        </is>
      </c>
      <c r="S13" t="inlineStr">
        <is>
          <t>Put</t>
        </is>
      </c>
      <c r="T13" s="3">
        <f>R13*M13*U13</f>
        <v/>
      </c>
      <c r="U13" t="n">
        <v>-1</v>
      </c>
      <c r="V13" s="3">
        <f>U13*M13</f>
        <v/>
      </c>
      <c r="W13" t="n">
        <v>0.87</v>
      </c>
      <c r="X13" s="2">
        <f>-AC13/AH13</f>
        <v/>
      </c>
      <c r="Y13" s="2">
        <f>W13*(365/E13)/I13</f>
        <v/>
      </c>
      <c r="AB13" s="2">
        <f>X13*(365/F13)/L13</f>
        <v/>
      </c>
      <c r="AC13" t="n">
        <v>86.44</v>
      </c>
      <c r="AF13">
        <f>AC13</f>
        <v/>
      </c>
      <c r="AH13">
        <f>IF(LOWER(S13)="put", U13*I13*100,-U13*I13*100)</f>
        <v/>
      </c>
      <c r="AI13" s="3" t="n"/>
      <c r="AK13" s="3" t="n"/>
      <c r="AL13" s="3" t="n"/>
      <c r="AM13" s="3" t="n"/>
      <c r="AN13" s="3" t="n"/>
      <c r="AO13" s="3" t="n"/>
      <c r="AP13" s="3" t="n"/>
      <c r="AQ13" s="3" t="n"/>
      <c r="AR13" s="3">
        <f>AH13</f>
        <v/>
      </c>
      <c r="AS13" s="3" t="n"/>
    </row>
    <row r="14">
      <c r="C14" t="inlineStr">
        <is>
          <t>1/30/24</t>
        </is>
      </c>
      <c r="D14" t="inlineStr">
        <is>
          <t>3/08/24</t>
        </is>
      </c>
      <c r="E14">
        <f>D14-C14</f>
        <v/>
      </c>
      <c r="F14">
        <f>D14-$BE$1</f>
        <v/>
      </c>
      <c r="I14" t="n">
        <v>20</v>
      </c>
      <c r="J14" t="inlineStr">
        <is>
          <t>PENN</t>
        </is>
      </c>
      <c r="K14" t="inlineStr">
        <is>
          <t>19.19</t>
        </is>
      </c>
      <c r="L14" s="2">
        <f>(I14-K14)/K14</f>
        <v/>
      </c>
      <c r="M14">
        <f>IFERROR(GOOGLEFINANCE("PENN"), 59.06)</f>
        <v/>
      </c>
      <c r="N14" s="2">
        <f>IF(S14= "Call", (I14-M14)/M14, (M14-I14)/M14)</f>
        <v/>
      </c>
      <c r="O14">
        <f>IF(AND(LOWER(S14)="call",N14&lt;0), I14*100*U14, 0)</f>
        <v/>
      </c>
      <c r="P14">
        <f>U14*I14</f>
        <v/>
      </c>
      <c r="Q14" s="2">
        <f>U14*N14*I14</f>
        <v/>
      </c>
      <c r="R14" t="inlineStr">
        <is>
          <t>2.13</t>
        </is>
      </c>
      <c r="S14" t="inlineStr">
        <is>
          <t>Put</t>
        </is>
      </c>
      <c r="T14" s="3">
        <f>R14*M14*U14</f>
        <v/>
      </c>
      <c r="U14" t="n">
        <v>-2</v>
      </c>
      <c r="V14" s="3">
        <f>U14*M14</f>
        <v/>
      </c>
      <c r="W14" t="n">
        <v>0.54</v>
      </c>
      <c r="X14" s="2">
        <f>-AC14/AH14</f>
        <v/>
      </c>
      <c r="Y14" s="2">
        <f>W14*(365/E14)/I14</f>
        <v/>
      </c>
      <c r="AB14" s="2">
        <f>X14*(365/F14)/L14</f>
        <v/>
      </c>
      <c r="AC14" t="n">
        <v>106.87</v>
      </c>
      <c r="AF14">
        <f>AC14</f>
        <v/>
      </c>
      <c r="AH14">
        <f>IF(LOWER(S14)="put", U14*I14*100,-U14*I14*100)</f>
        <v/>
      </c>
      <c r="AI14" s="3" t="n"/>
      <c r="AK14" s="3" t="n"/>
      <c r="AL14" s="3">
        <f>AH14</f>
        <v/>
      </c>
      <c r="AM14" s="3" t="n"/>
      <c r="AN14" s="3" t="n"/>
      <c r="AO14" s="3" t="n"/>
      <c r="AP14" s="3" t="n"/>
      <c r="AQ14" s="3" t="n"/>
      <c r="AR14" s="3" t="n"/>
      <c r="AS14" s="3" t="n"/>
    </row>
    <row r="15">
      <c r="C15" t="inlineStr">
        <is>
          <t>1/31/24</t>
        </is>
      </c>
      <c r="D15" t="inlineStr">
        <is>
          <t>3/15/24</t>
        </is>
      </c>
      <c r="E15">
        <f>D15-C15</f>
        <v/>
      </c>
      <c r="F15">
        <f>D15-$BE$1</f>
        <v/>
      </c>
      <c r="I15" t="n">
        <v>90</v>
      </c>
      <c r="J15" t="inlineStr">
        <is>
          <t>XOM</t>
        </is>
      </c>
      <c r="K15" t="inlineStr">
        <is>
          <t>104.01</t>
        </is>
      </c>
      <c r="L15" s="2">
        <f>(I15-K15)/K15</f>
        <v/>
      </c>
      <c r="M15">
        <f>IFERROR(GOOGLEFINANCE("XOM"), 59.06)</f>
        <v/>
      </c>
      <c r="N15" s="2">
        <f>IF(S15= "Call", (I15-M15)/M15, (M15-I15)/M15)</f>
        <v/>
      </c>
      <c r="O15">
        <f>IF(AND(LOWER(S15)="call",N15&lt;0), I15*100*U15, 0)</f>
        <v/>
      </c>
      <c r="P15">
        <f>U15*I15</f>
        <v/>
      </c>
      <c r="Q15" s="2">
        <f>U15*N15*I15</f>
        <v/>
      </c>
      <c r="R15" t="inlineStr">
        <is>
          <t>0.96</t>
        </is>
      </c>
      <c r="S15" t="inlineStr">
        <is>
          <t>Put</t>
        </is>
      </c>
      <c r="T15" s="3">
        <f>R15*M15*U15</f>
        <v/>
      </c>
      <c r="U15" t="n">
        <v>1</v>
      </c>
      <c r="V15" s="3">
        <f>U15*M15</f>
        <v/>
      </c>
      <c r="W15" t="n">
        <v>0.27</v>
      </c>
      <c r="X15" s="2">
        <f>-AC15/AH15</f>
        <v/>
      </c>
      <c r="Y15" s="2">
        <f>W15*(365/E15)/I15</f>
        <v/>
      </c>
      <c r="AB15" s="2">
        <f>X15*(365/F15)/L15</f>
        <v/>
      </c>
      <c r="AC15" t="n">
        <v>-27.56</v>
      </c>
      <c r="AF15">
        <f>AC15</f>
        <v/>
      </c>
      <c r="AH15">
        <f>IF(LOWER(S15)="put", U15*I15*100,-U15*I15*100)</f>
        <v/>
      </c>
      <c r="AI15" s="3" t="n"/>
      <c r="AK15" s="3" t="n"/>
      <c r="AL15" s="3" t="n"/>
      <c r="AM15" s="3">
        <f>AH15</f>
        <v/>
      </c>
      <c r="AN15" s="3" t="n"/>
      <c r="AO15" s="3" t="n"/>
      <c r="AP15" s="3" t="n"/>
      <c r="AQ15" s="3" t="n"/>
      <c r="AR15" s="3" t="n"/>
      <c r="AS15" s="3" t="n"/>
    </row>
    <row r="16">
      <c r="C16" t="inlineStr">
        <is>
          <t>1/31/24</t>
        </is>
      </c>
      <c r="D16" t="inlineStr">
        <is>
          <t>2/16/24</t>
        </is>
      </c>
      <c r="E16">
        <f>D16-C16</f>
        <v/>
      </c>
      <c r="F16">
        <f>D16-$BE$1</f>
        <v/>
      </c>
      <c r="I16" t="n">
        <v>12.5</v>
      </c>
      <c r="J16" t="inlineStr">
        <is>
          <t>EFC</t>
        </is>
      </c>
      <c r="K16" t="inlineStr">
        <is>
          <t>12.11</t>
        </is>
      </c>
      <c r="L16" s="2">
        <f>(I16-K16)/K16</f>
        <v/>
      </c>
      <c r="M16">
        <f>IFERROR(GOOGLEFINANCE("EFC"), 59.06)</f>
        <v/>
      </c>
      <c r="N16" s="2">
        <f>IF(S16= "Call", (I16-M16)/M16, (M16-I16)/M16)</f>
        <v/>
      </c>
      <c r="O16">
        <f>IF(AND(LOWER(S16)="call",N16&lt;0), I16*100*U16, 0)</f>
        <v/>
      </c>
      <c r="P16">
        <f>U16*I16</f>
        <v/>
      </c>
      <c r="Q16" s="2">
        <f>U16*N16*I16</f>
        <v/>
      </c>
      <c r="R16" t="inlineStr">
        <is>
          <t>1.96</t>
        </is>
      </c>
      <c r="S16" t="inlineStr">
        <is>
          <t>Put</t>
        </is>
      </c>
      <c r="T16" s="3">
        <f>R16*M16*U16</f>
        <v/>
      </c>
      <c r="U16" t="n">
        <v>-5</v>
      </c>
      <c r="V16" s="3">
        <f>U16*M16</f>
        <v/>
      </c>
      <c r="W16" t="n">
        <v>0.2</v>
      </c>
      <c r="X16" s="2">
        <f>-AC16/AH16</f>
        <v/>
      </c>
      <c r="Y16" s="2">
        <f>W16*(365/E16)/I16</f>
        <v/>
      </c>
      <c r="AB16" s="2">
        <f>X16*(365/F16)/L16</f>
        <v/>
      </c>
      <c r="AC16" t="n">
        <v>97.19</v>
      </c>
      <c r="AF16">
        <f>AC16</f>
        <v/>
      </c>
      <c r="AH16">
        <f>IF(LOWER(S16)="put", U16*I16*100,-U16*I16*100)</f>
        <v/>
      </c>
      <c r="AI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</row>
    <row r="17">
      <c r="C17" t="inlineStr">
        <is>
          <t>1/31/24</t>
        </is>
      </c>
      <c r="D17" t="inlineStr">
        <is>
          <t>2/16/24</t>
        </is>
      </c>
      <c r="E17">
        <f>D17-C17</f>
        <v/>
      </c>
      <c r="F17">
        <f>D17-$BE$1</f>
        <v/>
      </c>
      <c r="I17" t="n">
        <v>21</v>
      </c>
      <c r="J17" t="inlineStr">
        <is>
          <t>CART</t>
        </is>
      </c>
      <c r="K17" t="inlineStr">
        <is>
          <t>25.55</t>
        </is>
      </c>
      <c r="L17" s="2">
        <f>(I17-K17)/K17</f>
        <v/>
      </c>
      <c r="M17">
        <f>IFERROR(GOOGLEFINANCE("CART"), 59.06)</f>
        <v/>
      </c>
      <c r="N17" s="2">
        <f>IF(S17= "Call", (I17-M17)/M17, (M17-I17)/M17)</f>
        <v/>
      </c>
      <c r="O17">
        <f>IF(AND(LOWER(S17)="call",N17&lt;0), I17*100*U17, 0)</f>
        <v/>
      </c>
      <c r="P17">
        <f>U17*I17</f>
        <v/>
      </c>
      <c r="Q17" s="2">
        <f>U17*N17*I17</f>
        <v/>
      </c>
      <c r="R17" t="inlineStr">
        <is>
          <t>N/A</t>
        </is>
      </c>
      <c r="S17" t="inlineStr">
        <is>
          <t>Put</t>
        </is>
      </c>
      <c r="T17" s="3">
        <f>R17*M17*U17</f>
        <v/>
      </c>
      <c r="U17" t="n">
        <v>-1</v>
      </c>
      <c r="V17" s="3">
        <f>U17*M17</f>
        <v/>
      </c>
      <c r="W17" t="n">
        <v>0.45</v>
      </c>
      <c r="X17" s="2">
        <f>-AC17/AH17</f>
        <v/>
      </c>
      <c r="Y17" s="2">
        <f>W17*(365/E17)/I17</f>
        <v/>
      </c>
      <c r="AB17" s="2">
        <f>X17*(365/F17)/L17</f>
        <v/>
      </c>
      <c r="AC17" t="n">
        <v>44.44</v>
      </c>
      <c r="AF17">
        <f>AC17</f>
        <v/>
      </c>
      <c r="AH17">
        <f>IF(LOWER(S17)="put", U17*I17*100,-U17*I17*100)</f>
        <v/>
      </c>
      <c r="AI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</row>
    <row r="18">
      <c r="C18" t="inlineStr">
        <is>
          <t>1/31/24</t>
        </is>
      </c>
      <c r="D18" t="inlineStr">
        <is>
          <t>2/09/24</t>
        </is>
      </c>
      <c r="E18">
        <f>D18-C18</f>
        <v/>
      </c>
      <c r="F18">
        <f>D18-$BE$1</f>
        <v/>
      </c>
      <c r="I18" t="n">
        <v>23.5</v>
      </c>
      <c r="J18" t="inlineStr">
        <is>
          <t>CART</t>
        </is>
      </c>
      <c r="K18" t="inlineStr">
        <is>
          <t>25.55</t>
        </is>
      </c>
      <c r="L18" s="2">
        <f>(I18-K18)/K18</f>
        <v/>
      </c>
      <c r="M18">
        <f>IFERROR(GOOGLEFINANCE("CART"), 59.06)</f>
        <v/>
      </c>
      <c r="N18" s="2">
        <f>IF(S18= "Call", (I18-M18)/M18, (M18-I18)/M18)</f>
        <v/>
      </c>
      <c r="O18">
        <f>IF(AND(LOWER(S18)="call",N18&lt;0), I18*100*U18, 0)</f>
        <v/>
      </c>
      <c r="P18">
        <f>U18*I18</f>
        <v/>
      </c>
      <c r="Q18" s="2">
        <f>U18*N18*I18</f>
        <v/>
      </c>
      <c r="R18" t="inlineStr">
        <is>
          <t>N/A</t>
        </is>
      </c>
      <c r="S18" t="inlineStr">
        <is>
          <t>Put</t>
        </is>
      </c>
      <c r="T18" s="3">
        <f>R18*M18*U18</f>
        <v/>
      </c>
      <c r="U18" t="n">
        <v>-1</v>
      </c>
      <c r="V18" s="3">
        <f>U18*M18</f>
        <v/>
      </c>
      <c r="W18" t="n">
        <v>0.35</v>
      </c>
      <c r="X18" s="2">
        <f>-AC18/AH18</f>
        <v/>
      </c>
      <c r="Y18" s="2">
        <f>W18*(365/E18)/I18</f>
        <v/>
      </c>
      <c r="AB18" s="2">
        <f>X18*(365/F18)/L18</f>
        <v/>
      </c>
      <c r="AC18" t="n">
        <v>34.44</v>
      </c>
      <c r="AF18">
        <f>AC18</f>
        <v/>
      </c>
      <c r="AH18">
        <f>IF(LOWER(S18)="put", U18*I18*100,-U18*I18*100)</f>
        <v/>
      </c>
      <c r="AI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</row>
    <row r="19">
      <c r="C19" t="inlineStr">
        <is>
          <t>2/01/24</t>
        </is>
      </c>
      <c r="D19" t="inlineStr">
        <is>
          <t>3/15/24</t>
        </is>
      </c>
      <c r="E19">
        <f>D19-C19</f>
        <v/>
      </c>
      <c r="F19">
        <f>D19-$BE$1</f>
        <v/>
      </c>
      <c r="I19" t="n">
        <v>42.5</v>
      </c>
      <c r="J19" t="inlineStr">
        <is>
          <t>WFC</t>
        </is>
      </c>
      <c r="K19" t="inlineStr">
        <is>
          <t>51.94</t>
        </is>
      </c>
      <c r="L19" s="2">
        <f>(I19-K19)/K19</f>
        <v/>
      </c>
      <c r="M19">
        <f>IFERROR(GOOGLEFINANCE("WFC"), 59.06)</f>
        <v/>
      </c>
      <c r="N19" s="2">
        <f>IF(S19= "Call", (I19-M19)/M19, (M19-I19)/M19)</f>
        <v/>
      </c>
      <c r="O19">
        <f>IF(AND(LOWER(S19)="call",N19&lt;0), I19*100*U19, 0)</f>
        <v/>
      </c>
      <c r="P19">
        <f>U19*I19</f>
        <v/>
      </c>
      <c r="Q19" s="2">
        <f>U19*N19*I19</f>
        <v/>
      </c>
      <c r="R19" t="inlineStr">
        <is>
          <t>1.18</t>
        </is>
      </c>
      <c r="S19" t="inlineStr">
        <is>
          <t>Put</t>
        </is>
      </c>
      <c r="T19" s="3">
        <f>R19*M19*U19</f>
        <v/>
      </c>
      <c r="U19" t="n">
        <v>-2</v>
      </c>
      <c r="V19" s="3">
        <f>U19*M19</f>
        <v/>
      </c>
      <c r="W19" t="n">
        <v>0.25</v>
      </c>
      <c r="X19" s="2">
        <f>-AC19/AH19</f>
        <v/>
      </c>
      <c r="Y19" s="2">
        <f>W19*(365/E19)/I19</f>
        <v/>
      </c>
      <c r="AB19" s="2">
        <f>X19*(365/F19)/L19</f>
        <v/>
      </c>
      <c r="AC19" t="n">
        <v>48.87</v>
      </c>
      <c r="AG19">
        <f>AC19</f>
        <v/>
      </c>
      <c r="AH19">
        <f>IF(LOWER(S19)="put", U19*I19*100,-U19*I19*100)</f>
        <v/>
      </c>
      <c r="AI19" s="3" t="n"/>
      <c r="AK19" s="3" t="n"/>
      <c r="AL19" s="3" t="n"/>
      <c r="AM19" s="3">
        <f>AH19</f>
        <v/>
      </c>
      <c r="AN19" s="3" t="n"/>
      <c r="AO19" s="3" t="n"/>
      <c r="AP19" s="3" t="n"/>
      <c r="AQ19" s="3" t="n"/>
      <c r="AR19" s="3" t="n"/>
      <c r="AS19" s="3" t="n"/>
    </row>
    <row r="20">
      <c r="C20" t="inlineStr">
        <is>
          <t>2/01/24</t>
        </is>
      </c>
      <c r="D20" t="inlineStr">
        <is>
          <t>3/15/24</t>
        </is>
      </c>
      <c r="E20">
        <f>D20-C20</f>
        <v/>
      </c>
      <c r="F20">
        <f>D20-$BE$1</f>
        <v/>
      </c>
      <c r="I20" t="n">
        <v>31</v>
      </c>
      <c r="J20" t="inlineStr">
        <is>
          <t>BAC</t>
        </is>
      </c>
      <c r="K20" t="inlineStr">
        <is>
          <t>33.92</t>
        </is>
      </c>
      <c r="L20" s="2">
        <f>(I20-K20)/K20</f>
        <v/>
      </c>
      <c r="M20">
        <f>IFERROR(GOOGLEFINANCE("BAC"), 59.06)</f>
        <v/>
      </c>
      <c r="N20" s="2">
        <f>IF(S20= "Call", (I20-M20)/M20, (M20-I20)/M20)</f>
        <v/>
      </c>
      <c r="O20">
        <f>IF(AND(LOWER(S20)="call",N20&lt;0), I20*100*U20, 0)</f>
        <v/>
      </c>
      <c r="P20">
        <f>U20*I20</f>
        <v/>
      </c>
      <c r="Q20" s="2">
        <f>U20*N20*I20</f>
        <v/>
      </c>
      <c r="R20" t="inlineStr">
        <is>
          <t>1.40</t>
        </is>
      </c>
      <c r="S20" t="inlineStr">
        <is>
          <t>Put</t>
        </is>
      </c>
      <c r="T20" s="3">
        <f>R20*M20*U20</f>
        <v/>
      </c>
      <c r="U20" t="n">
        <v>-1</v>
      </c>
      <c r="V20" s="3">
        <f>U20*M20</f>
        <v/>
      </c>
      <c r="W20" t="n">
        <v>0.5</v>
      </c>
      <c r="X20" s="2">
        <f>-AC20/AH20</f>
        <v/>
      </c>
      <c r="Y20" s="2">
        <f>W20*(365/E20)/I20</f>
        <v/>
      </c>
      <c r="AB20" s="2">
        <f>X20*(365/F20)/L20</f>
        <v/>
      </c>
      <c r="AC20" t="n">
        <v>49.44</v>
      </c>
      <c r="AG20">
        <f>AC20</f>
        <v/>
      </c>
      <c r="AH20">
        <f>IF(LOWER(S20)="put", U20*I20*100,-U20*I20*100)</f>
        <v/>
      </c>
      <c r="AI20" s="3" t="n"/>
      <c r="AK20" s="3" t="n"/>
      <c r="AL20" s="3" t="n"/>
      <c r="AM20" s="3">
        <f>AH20</f>
        <v/>
      </c>
      <c r="AN20" s="3" t="n"/>
      <c r="AO20" s="3" t="n"/>
      <c r="AP20" s="3" t="n"/>
      <c r="AQ20" s="3" t="n"/>
      <c r="AR20" s="3" t="n"/>
      <c r="AS20" s="3" t="n"/>
    </row>
    <row r="21">
      <c r="C21" t="inlineStr">
        <is>
          <t>2/01/24</t>
        </is>
      </c>
      <c r="D21" t="inlineStr">
        <is>
          <t>3/15/24</t>
        </is>
      </c>
      <c r="E21">
        <f>D21-C21</f>
        <v/>
      </c>
      <c r="F21">
        <f>D21-$BE$1</f>
        <v/>
      </c>
      <c r="I21" t="n">
        <v>85</v>
      </c>
      <c r="J21" t="inlineStr">
        <is>
          <t>APO</t>
        </is>
      </c>
      <c r="K21" t="inlineStr">
        <is>
          <t>114.00</t>
        </is>
      </c>
      <c r="L21" s="2">
        <f>(I21-K21)/K21</f>
        <v/>
      </c>
      <c r="M21">
        <f>IFERROR(GOOGLEFINANCE("APO"), 59.06)</f>
        <v/>
      </c>
      <c r="N21" s="2">
        <f>IF(S21= "Call", (I21-M21)/M21, (M21-I21)/M21)</f>
        <v/>
      </c>
      <c r="O21">
        <f>IF(AND(LOWER(S21)="call",N21&lt;0), I21*100*U21, 0)</f>
        <v/>
      </c>
      <c r="P21">
        <f>U21*I21</f>
        <v/>
      </c>
      <c r="Q21" s="2">
        <f>U21*N21*I21</f>
        <v/>
      </c>
      <c r="R21" t="inlineStr">
        <is>
          <t>1.63</t>
        </is>
      </c>
      <c r="S21" t="inlineStr">
        <is>
          <t>Put</t>
        </is>
      </c>
      <c r="T21" s="3">
        <f>R21*M21*U21</f>
        <v/>
      </c>
      <c r="U21" t="n">
        <v>-1</v>
      </c>
      <c r="V21" s="3">
        <f>U21*M21</f>
        <v/>
      </c>
      <c r="W21" t="n">
        <v>0.65</v>
      </c>
      <c r="X21" s="2">
        <f>-AC21/AH21</f>
        <v/>
      </c>
      <c r="Y21" s="2">
        <f>W21*(365/E21)/I21</f>
        <v/>
      </c>
      <c r="AB21" s="2">
        <f>X21*(365/F21)/L21</f>
        <v/>
      </c>
      <c r="AC21" t="n">
        <v>64.44</v>
      </c>
      <c r="AG21">
        <f>AC21</f>
        <v/>
      </c>
      <c r="AH21">
        <f>IF(LOWER(S21)="put", U21*I21*100,-U21*I21*100)</f>
        <v/>
      </c>
      <c r="AI21" s="3" t="n"/>
      <c r="AK21" s="3" t="n"/>
      <c r="AL21" s="3" t="n"/>
      <c r="AM21" s="3">
        <f>AH21</f>
        <v/>
      </c>
      <c r="AN21" s="3" t="n"/>
      <c r="AO21" s="3" t="n"/>
      <c r="AP21" s="3" t="n"/>
      <c r="AQ21" s="3" t="n"/>
      <c r="AR21" s="3" t="n"/>
      <c r="AS21" s="3" t="n"/>
    </row>
    <row r="22">
      <c r="C22" t="inlineStr">
        <is>
          <t>2/02/24</t>
        </is>
      </c>
      <c r="D22" t="inlineStr">
        <is>
          <t>2/09/24</t>
        </is>
      </c>
      <c r="E22">
        <f>D22-C22</f>
        <v/>
      </c>
      <c r="F22">
        <f>D22-$BE$1</f>
        <v/>
      </c>
      <c r="I22" t="n">
        <v>16.5</v>
      </c>
      <c r="J22" t="inlineStr">
        <is>
          <t>TOST</t>
        </is>
      </c>
      <c r="K22" t="inlineStr">
        <is>
          <t>21.35</t>
        </is>
      </c>
      <c r="L22" s="2">
        <f>(I22-K22)/K22</f>
        <v/>
      </c>
      <c r="M22">
        <f>IFERROR(GOOGLEFINANCE("TOST"), 59.06)</f>
        <v/>
      </c>
      <c r="N22" s="2">
        <f>IF(S22= "Call", (I22-M22)/M22, (M22-I22)/M22)</f>
        <v/>
      </c>
      <c r="O22">
        <f>IF(AND(LOWER(S22)="call",N22&lt;0), I22*100*U22, 0)</f>
        <v/>
      </c>
      <c r="P22">
        <f>U22*I22</f>
        <v/>
      </c>
      <c r="Q22" s="2">
        <f>U22*N22*I22</f>
        <v/>
      </c>
      <c r="R22" t="inlineStr">
        <is>
          <t>1.65</t>
        </is>
      </c>
      <c r="S22" t="inlineStr">
        <is>
          <t>Put</t>
        </is>
      </c>
      <c r="T22" s="3">
        <f>R22*M22*U22</f>
        <v/>
      </c>
      <c r="U22" t="n">
        <v>2</v>
      </c>
      <c r="V22" s="3">
        <f>U22*M22</f>
        <v/>
      </c>
      <c r="W22" t="n">
        <v>0.02</v>
      </c>
      <c r="X22" s="2">
        <f>-AC22/AH22</f>
        <v/>
      </c>
      <c r="Y22" s="2">
        <f>W22*(365/E22)/I22</f>
        <v/>
      </c>
      <c r="AB22" s="2">
        <f>X22*(365/F22)/L22</f>
        <v/>
      </c>
      <c r="AC22" t="n">
        <v>-4.02</v>
      </c>
      <c r="AG22">
        <f>AC22</f>
        <v/>
      </c>
      <c r="AH22">
        <f>IF(LOWER(S22)="put", U22*I22*100,-U22*I22*100)</f>
        <v/>
      </c>
      <c r="AI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</row>
    <row r="23">
      <c r="C23" t="inlineStr">
        <is>
          <t>2/02/24</t>
        </is>
      </c>
      <c r="D23" t="inlineStr">
        <is>
          <t>3/15/24</t>
        </is>
      </c>
      <c r="E23">
        <f>D23-C23</f>
        <v/>
      </c>
      <c r="F23">
        <f>D23-$BE$1</f>
        <v/>
      </c>
      <c r="I23" t="n">
        <v>4</v>
      </c>
      <c r="J23" t="inlineStr">
        <is>
          <t>JBLU</t>
        </is>
      </c>
      <c r="K23" t="inlineStr">
        <is>
          <t>7.09</t>
        </is>
      </c>
      <c r="L23" s="2">
        <f>(I23-K23)/K23</f>
        <v/>
      </c>
      <c r="M23">
        <f>IFERROR(GOOGLEFINANCE("JBLU"), 59.06)</f>
        <v/>
      </c>
      <c r="N23" s="2">
        <f>IF(S23= "Call", (I23-M23)/M23, (M23-I23)/M23)</f>
        <v/>
      </c>
      <c r="O23">
        <f>IF(AND(LOWER(S23)="call",N23&lt;0), I23*100*U23, 0)</f>
        <v/>
      </c>
      <c r="P23">
        <f>U23*I23</f>
        <v/>
      </c>
      <c r="Q23" s="2">
        <f>U23*N23*I23</f>
        <v/>
      </c>
      <c r="R23" t="inlineStr">
        <is>
          <t>1.80</t>
        </is>
      </c>
      <c r="S23" t="inlineStr">
        <is>
          <t>Put</t>
        </is>
      </c>
      <c r="T23" s="3">
        <f>R23*M23*U23</f>
        <v/>
      </c>
      <c r="U23" t="n">
        <v>1</v>
      </c>
      <c r="V23" s="3">
        <f>U23*M23</f>
        <v/>
      </c>
      <c r="W23" t="n">
        <v>0.05</v>
      </c>
      <c r="X23" s="2">
        <f>-AC23/AH23</f>
        <v/>
      </c>
      <c r="Y23" s="2">
        <f>W23*(365/E23)/I23</f>
        <v/>
      </c>
      <c r="AB23" s="2">
        <f>X23*(365/F23)/L23</f>
        <v/>
      </c>
      <c r="AC23" t="n">
        <v>-5.01</v>
      </c>
      <c r="AG23">
        <f>AC23</f>
        <v/>
      </c>
      <c r="AH23">
        <f>IF(LOWER(S23)="put", U23*I23*100,-U23*I23*100)</f>
        <v/>
      </c>
      <c r="AI23" s="3" t="n"/>
      <c r="AK23" s="3" t="n"/>
      <c r="AL23" s="3" t="n"/>
      <c r="AM23" s="3">
        <f>AH23</f>
        <v/>
      </c>
      <c r="AN23" s="3" t="n"/>
      <c r="AO23" s="3" t="n"/>
      <c r="AP23" s="3" t="n"/>
      <c r="AQ23" s="3" t="n"/>
      <c r="AR23" s="3" t="n"/>
      <c r="AS23" s="3" t="n"/>
    </row>
    <row r="24">
      <c r="C24" t="inlineStr">
        <is>
          <t>2/02/24</t>
        </is>
      </c>
      <c r="D24" t="inlineStr">
        <is>
          <t>3/15/24</t>
        </is>
      </c>
      <c r="E24">
        <f>D24-C24</f>
        <v/>
      </c>
      <c r="F24">
        <f>D24-$BE$1</f>
        <v/>
      </c>
      <c r="I24" t="n">
        <v>4</v>
      </c>
      <c r="J24" t="inlineStr">
        <is>
          <t>JBLU</t>
        </is>
      </c>
      <c r="K24" t="inlineStr">
        <is>
          <t>7.09</t>
        </is>
      </c>
      <c r="L24" s="2">
        <f>(I24-K24)/K24</f>
        <v/>
      </c>
      <c r="M24">
        <f>IFERROR(GOOGLEFINANCE("JBLU"), 59.06)</f>
        <v/>
      </c>
      <c r="N24" s="2">
        <f>IF(S24= "Call", (I24-M24)/M24, (M24-I24)/M24)</f>
        <v/>
      </c>
      <c r="O24">
        <f>IF(AND(LOWER(S24)="call",N24&lt;0), I24*100*U24, 0)</f>
        <v/>
      </c>
      <c r="P24">
        <f>U24*I24</f>
        <v/>
      </c>
      <c r="Q24" s="2">
        <f>U24*N24*I24</f>
        <v/>
      </c>
      <c r="R24" t="inlineStr">
        <is>
          <t>1.80</t>
        </is>
      </c>
      <c r="S24" t="inlineStr">
        <is>
          <t>Put</t>
        </is>
      </c>
      <c r="T24" s="3">
        <f>R24*M24*U24</f>
        <v/>
      </c>
      <c r="U24" t="n">
        <v>6</v>
      </c>
      <c r="V24" s="3">
        <f>U24*M24</f>
        <v/>
      </c>
      <c r="W24" t="n">
        <v>0.04</v>
      </c>
      <c r="X24" s="2">
        <f>-AC24/AH24</f>
        <v/>
      </c>
      <c r="Y24" s="2">
        <f>W24*(365/E24)/I24</f>
        <v/>
      </c>
      <c r="AB24" s="2">
        <f>X24*(365/F24)/L24</f>
        <v/>
      </c>
      <c r="AC24" t="n">
        <v>-24.07</v>
      </c>
      <c r="AG24">
        <f>AC24</f>
        <v/>
      </c>
      <c r="AH24">
        <f>IF(LOWER(S24)="put", U24*I24*100,-U24*I24*100)</f>
        <v/>
      </c>
      <c r="AI24" s="3" t="n"/>
      <c r="AK24" s="3" t="n"/>
      <c r="AL24" s="3" t="n"/>
      <c r="AM24" s="3">
        <f>AH24</f>
        <v/>
      </c>
      <c r="AN24" s="3" t="n"/>
      <c r="AO24" s="3" t="n"/>
      <c r="AP24" s="3" t="n"/>
      <c r="AQ24" s="3" t="n"/>
      <c r="AR24" s="3" t="n"/>
      <c r="AS24" s="3" t="n"/>
    </row>
    <row r="25">
      <c r="C25" t="inlineStr">
        <is>
          <t>2/02/24</t>
        </is>
      </c>
      <c r="D25" t="inlineStr">
        <is>
          <t>4/19/24</t>
        </is>
      </c>
      <c r="E25">
        <f>D25-C25</f>
        <v/>
      </c>
      <c r="F25">
        <f>D25-$BE$1</f>
        <v/>
      </c>
      <c r="I25" t="n">
        <v>4.5</v>
      </c>
      <c r="J25" t="inlineStr">
        <is>
          <t>JBLU</t>
        </is>
      </c>
      <c r="K25" t="inlineStr">
        <is>
          <t>7.09</t>
        </is>
      </c>
      <c r="L25" s="2">
        <f>(I25-K25)/K25</f>
        <v/>
      </c>
      <c r="M25">
        <f>IFERROR(GOOGLEFINANCE("JBLU"), 59.06)</f>
        <v/>
      </c>
      <c r="N25" s="2">
        <f>IF(S25= "Call", (I25-M25)/M25, (M25-I25)/M25)</f>
        <v/>
      </c>
      <c r="O25">
        <f>IF(AND(LOWER(S25)="call",N25&lt;0), I25*100*U25, 0)</f>
        <v/>
      </c>
      <c r="P25">
        <f>U25*I25</f>
        <v/>
      </c>
      <c r="Q25" s="2">
        <f>U25*N25*I25</f>
        <v/>
      </c>
      <c r="R25" t="inlineStr">
        <is>
          <t>1.80</t>
        </is>
      </c>
      <c r="S25" t="inlineStr">
        <is>
          <t>Put</t>
        </is>
      </c>
      <c r="T25" s="3">
        <f>R25*M25*U25</f>
        <v/>
      </c>
      <c r="U25" t="n">
        <v>-6</v>
      </c>
      <c r="V25" s="3">
        <f>U25*M25</f>
        <v/>
      </c>
      <c r="W25" t="n">
        <v>0.19</v>
      </c>
      <c r="X25" s="2">
        <f>-AC25/AH25</f>
        <v/>
      </c>
      <c r="Y25" s="2">
        <f>W25*(365/E25)/I25</f>
        <v/>
      </c>
      <c r="AB25" s="2">
        <f>X25*(365/F25)/L25</f>
        <v/>
      </c>
      <c r="AC25" t="n">
        <v>110.61</v>
      </c>
      <c r="AG25">
        <f>AC25</f>
        <v/>
      </c>
      <c r="AH25">
        <f>IF(LOWER(S25)="put", U25*I25*100,-U25*I25*100)</f>
        <v/>
      </c>
      <c r="AI25" s="3" t="n"/>
      <c r="AK25" s="3" t="n"/>
      <c r="AL25" s="3" t="n"/>
      <c r="AM25" s="3" t="n"/>
      <c r="AN25" s="3" t="n"/>
      <c r="AO25" s="3" t="n"/>
      <c r="AP25" s="3" t="n"/>
      <c r="AQ25" s="3" t="n"/>
      <c r="AR25" s="3">
        <f>AH25</f>
        <v/>
      </c>
      <c r="AS25" s="3" t="n"/>
    </row>
    <row r="26">
      <c r="C26" t="inlineStr">
        <is>
          <t>2/02/24</t>
        </is>
      </c>
      <c r="D26" t="inlineStr">
        <is>
          <t>3/15/24</t>
        </is>
      </c>
      <c r="E26">
        <f>D26-C26</f>
        <v/>
      </c>
      <c r="F26">
        <f>D26-$BE$1</f>
        <v/>
      </c>
      <c r="I26" t="n">
        <v>45</v>
      </c>
      <c r="J26" t="inlineStr">
        <is>
          <t>ARKK</t>
        </is>
      </c>
      <c r="K26" t="inlineStr">
        <is>
          <t>50.96</t>
        </is>
      </c>
      <c r="L26" s="2">
        <f>(I26-K26)/K26</f>
        <v/>
      </c>
      <c r="M26">
        <f>IFERROR(GOOGLEFINANCE("ARKK"), 59.06)</f>
        <v/>
      </c>
      <c r="N26" s="2">
        <f>IF(S26= "Call", (I26-M26)/M26, (M26-I26)/M26)</f>
        <v/>
      </c>
      <c r="O26">
        <f>IF(AND(LOWER(S26)="call",N26&lt;0), I26*100*U26, 0)</f>
        <v/>
      </c>
      <c r="P26">
        <f>U26*I26</f>
        <v/>
      </c>
      <c r="Q26" s="2">
        <f>U26*N26*I26</f>
        <v/>
      </c>
      <c r="R26" t="inlineStr">
        <is>
          <t>1.76</t>
        </is>
      </c>
      <c r="S26" t="inlineStr">
        <is>
          <t>Put</t>
        </is>
      </c>
      <c r="T26" s="3">
        <f>R26*M26*U26</f>
        <v/>
      </c>
      <c r="U26" t="n">
        <v>-1</v>
      </c>
      <c r="V26" s="3">
        <f>U26*M26</f>
        <v/>
      </c>
      <c r="W26" t="n">
        <v>1.56</v>
      </c>
      <c r="X26" s="2">
        <f>-AC26/AH26</f>
        <v/>
      </c>
      <c r="Y26" s="2">
        <f>W26*(365/E26)/I26</f>
        <v/>
      </c>
      <c r="AB26" s="2">
        <f>X26*(365/F26)/L26</f>
        <v/>
      </c>
      <c r="AC26" t="n">
        <v>155.44</v>
      </c>
      <c r="AG26">
        <f>AC26</f>
        <v/>
      </c>
      <c r="AH26">
        <f>IF(LOWER(S26)="put", U26*I26*100,-U26*I26*100)</f>
        <v/>
      </c>
      <c r="AI26" s="3" t="n"/>
      <c r="AK26" s="3" t="n"/>
      <c r="AL26" s="3" t="n"/>
      <c r="AM26" s="3">
        <f>AH26</f>
        <v/>
      </c>
      <c r="AN26" s="3" t="n"/>
      <c r="AO26" s="3" t="n"/>
      <c r="AP26" s="3" t="n"/>
      <c r="AQ26" s="3" t="n"/>
      <c r="AR26" s="3" t="n"/>
      <c r="AS26" s="3" t="n"/>
    </row>
    <row r="27">
      <c r="C27" t="inlineStr">
        <is>
          <t>2/02/24</t>
        </is>
      </c>
      <c r="D27" t="inlineStr">
        <is>
          <t>3/15/24</t>
        </is>
      </c>
      <c r="E27">
        <f>D27-C27</f>
        <v/>
      </c>
      <c r="F27">
        <f>D27-$BE$1</f>
        <v/>
      </c>
      <c r="I27" t="n">
        <v>41</v>
      </c>
      <c r="J27" t="inlineStr">
        <is>
          <t>ARKK</t>
        </is>
      </c>
      <c r="K27" t="inlineStr">
        <is>
          <t>50.96</t>
        </is>
      </c>
      <c r="L27" s="2">
        <f>(I27-K27)/K27</f>
        <v/>
      </c>
      <c r="M27">
        <f>IFERROR(GOOGLEFINANCE("ARKK"), 59.06)</f>
        <v/>
      </c>
      <c r="N27" s="2">
        <f>IF(S27= "Call", (I27-M27)/M27, (M27-I27)/M27)</f>
        <v/>
      </c>
      <c r="O27">
        <f>IF(AND(LOWER(S27)="call",N27&lt;0), I27*100*U27, 0)</f>
        <v/>
      </c>
      <c r="P27">
        <f>U27*I27</f>
        <v/>
      </c>
      <c r="Q27" s="2">
        <f>U27*N27*I27</f>
        <v/>
      </c>
      <c r="R27" t="inlineStr">
        <is>
          <t>-</t>
        </is>
      </c>
      <c r="S27" t="inlineStr">
        <is>
          <t>Put</t>
        </is>
      </c>
      <c r="T27" s="3">
        <f>R27*M27*U27</f>
        <v/>
      </c>
      <c r="U27" t="n">
        <v>1</v>
      </c>
      <c r="V27" s="3">
        <f>U27*M27</f>
        <v/>
      </c>
      <c r="W27" t="n">
        <v>0.54</v>
      </c>
      <c r="X27" s="2">
        <f>-AC27/AH27</f>
        <v/>
      </c>
      <c r="Y27" s="2">
        <f>W27*(365/E27)/I27</f>
        <v/>
      </c>
      <c r="AB27" s="2">
        <f>X27*(365/F27)/L27</f>
        <v/>
      </c>
      <c r="AC27" t="n">
        <v>-54.56</v>
      </c>
      <c r="AG27">
        <f>AC27</f>
        <v/>
      </c>
      <c r="AH27">
        <f>IF(LOWER(S27)="put", U27*I27*100,-U27*I27*100)</f>
        <v/>
      </c>
      <c r="AI27" s="3" t="n"/>
      <c r="AK27" s="3" t="n"/>
      <c r="AL27" s="3" t="n"/>
      <c r="AM27" s="3">
        <f>AH27</f>
        <v/>
      </c>
      <c r="AN27" s="3" t="n"/>
      <c r="AO27" s="3" t="n"/>
      <c r="AP27" s="3" t="n"/>
      <c r="AQ27" s="3" t="n"/>
      <c r="AR27" s="3" t="n"/>
      <c r="AS27" s="3" t="n"/>
    </row>
    <row r="28">
      <c r="C28" t="inlineStr">
        <is>
          <t>2/02/24</t>
        </is>
      </c>
      <c r="D28" t="inlineStr">
        <is>
          <t>4/19/24</t>
        </is>
      </c>
      <c r="E28">
        <f>D28-C28</f>
        <v/>
      </c>
      <c r="F28">
        <f>D28-$BE$1</f>
        <v/>
      </c>
      <c r="I28" t="n">
        <v>32</v>
      </c>
      <c r="J28" t="inlineStr">
        <is>
          <t>HAL</t>
        </is>
      </c>
      <c r="K28" t="inlineStr">
        <is>
          <t>35.44</t>
        </is>
      </c>
      <c r="L28" s="2">
        <f>(I28-K28)/K28</f>
        <v/>
      </c>
      <c r="M28">
        <f>IFERROR(GOOGLEFINANCE("HAL"), 59.06)</f>
        <v/>
      </c>
      <c r="N28" s="2">
        <f>IF(S28= "Call", (I28-M28)/M28, (M28-I28)/M28)</f>
        <v/>
      </c>
      <c r="O28">
        <f>IF(AND(LOWER(S28)="call",N28&lt;0), I28*100*U28, 0)</f>
        <v/>
      </c>
      <c r="P28">
        <f>U28*I28</f>
        <v/>
      </c>
      <c r="Q28" s="2">
        <f>U28*N28*I28</f>
        <v/>
      </c>
      <c r="R28" t="inlineStr">
        <is>
          <t>2.02</t>
        </is>
      </c>
      <c r="S28" t="inlineStr">
        <is>
          <t>Put</t>
        </is>
      </c>
      <c r="T28" s="3">
        <f>R28*M28*U28</f>
        <v/>
      </c>
      <c r="U28" t="n">
        <v>-1</v>
      </c>
      <c r="V28" s="3">
        <f>U28*M28</f>
        <v/>
      </c>
      <c r="W28" t="n">
        <v>0.77</v>
      </c>
      <c r="X28" s="2">
        <f>-AC28/AH28</f>
        <v/>
      </c>
      <c r="Y28" s="2">
        <f>W28*(365/E28)/I28</f>
        <v/>
      </c>
      <c r="AB28" s="2">
        <f>X28*(365/F28)/L28</f>
        <v/>
      </c>
      <c r="AC28" t="n">
        <v>76.44</v>
      </c>
      <c r="AG28">
        <f>AC28</f>
        <v/>
      </c>
      <c r="AH28">
        <f>IF(LOWER(S28)="put", U28*I28*100,-U28*I28*100)</f>
        <v/>
      </c>
      <c r="AI28" s="3" t="n"/>
      <c r="AK28" s="3" t="n"/>
      <c r="AL28" s="3" t="n"/>
      <c r="AM28" s="3" t="n"/>
      <c r="AN28" s="3" t="n"/>
      <c r="AO28" s="3" t="n"/>
      <c r="AP28" s="3" t="n"/>
      <c r="AQ28" s="3" t="n"/>
      <c r="AR28" s="3">
        <f>AH28</f>
        <v/>
      </c>
      <c r="AS28" s="3" t="n"/>
    </row>
    <row r="29">
      <c r="C29" t="inlineStr">
        <is>
          <t>2/02/24</t>
        </is>
      </c>
      <c r="D29" t="inlineStr">
        <is>
          <t>3/15/24</t>
        </is>
      </c>
      <c r="E29">
        <f>D29-C29</f>
        <v/>
      </c>
      <c r="F29">
        <f>D29-$BE$1</f>
        <v/>
      </c>
      <c r="I29" t="n">
        <v>32.5</v>
      </c>
      <c r="J29" t="inlineStr">
        <is>
          <t>MTCH</t>
        </is>
      </c>
      <c r="K29" t="inlineStr">
        <is>
          <t>37.16</t>
        </is>
      </c>
      <c r="L29" s="2">
        <f>(I29-K29)/K29</f>
        <v/>
      </c>
      <c r="M29">
        <f>IFERROR(GOOGLEFINANCE("MTCH"), 59.06)</f>
        <v/>
      </c>
      <c r="N29" s="2">
        <f>IF(S29= "Call", (I29-M29)/M29, (M29-I29)/M29)</f>
        <v/>
      </c>
      <c r="O29">
        <f>IF(AND(LOWER(S29)="call",N29&lt;0), I29*100*U29, 0)</f>
        <v/>
      </c>
      <c r="P29">
        <f>U29*I29</f>
        <v/>
      </c>
      <c r="Q29" s="2">
        <f>U29*N29*I29</f>
        <v/>
      </c>
      <c r="R29" t="inlineStr">
        <is>
          <t>1.52</t>
        </is>
      </c>
      <c r="S29" t="inlineStr">
        <is>
          <t>Put</t>
        </is>
      </c>
      <c r="T29" s="3">
        <f>R29*M29*U29</f>
        <v/>
      </c>
      <c r="U29" t="n">
        <v>-2</v>
      </c>
      <c r="V29" s="3">
        <f>U29*M29</f>
        <v/>
      </c>
      <c r="W29" t="n">
        <v>0.28</v>
      </c>
      <c r="X29" s="2">
        <f>-AC29/AH29</f>
        <v/>
      </c>
      <c r="Y29" s="2">
        <f>W29*(365/E29)/I29</f>
        <v/>
      </c>
      <c r="AB29" s="2">
        <f>X29*(365/F29)/L29</f>
        <v/>
      </c>
      <c r="AC29" t="n">
        <v>54.87</v>
      </c>
      <c r="AG29">
        <f>AC29</f>
        <v/>
      </c>
      <c r="AH29">
        <f>IF(LOWER(S29)="put", U29*I29*100,-U29*I29*100)</f>
        <v/>
      </c>
      <c r="AI29" s="3" t="n"/>
      <c r="AK29" s="3" t="n"/>
      <c r="AL29" s="3" t="n"/>
      <c r="AM29" s="3">
        <f>AH29</f>
        <v/>
      </c>
      <c r="AN29" s="3" t="n"/>
      <c r="AO29" s="3" t="n"/>
      <c r="AP29" s="3" t="n"/>
      <c r="AQ29" s="3" t="n"/>
      <c r="AR29" s="3" t="n"/>
      <c r="AS29" s="3" t="n"/>
    </row>
    <row r="30">
      <c r="C30" t="inlineStr">
        <is>
          <t>2/02/24</t>
        </is>
      </c>
      <c r="D30" t="inlineStr">
        <is>
          <t>3/15/24</t>
        </is>
      </c>
      <c r="E30">
        <f>D30-C30</f>
        <v/>
      </c>
      <c r="F30">
        <f>D30-$BE$1</f>
        <v/>
      </c>
      <c r="I30" t="n">
        <v>155</v>
      </c>
      <c r="J30" t="inlineStr">
        <is>
          <t>TSLA</t>
        </is>
      </c>
      <c r="K30" t="inlineStr">
        <is>
          <t>202.06</t>
        </is>
      </c>
      <c r="L30" s="2">
        <f>(I30-K30)/K30</f>
        <v/>
      </c>
      <c r="M30">
        <f>IFERROR(GOOGLEFINANCE("TSLA"), 59.06)</f>
        <v/>
      </c>
      <c r="N30" s="2">
        <f>IF(S30= "Call", (I30-M30)/M30, (M30-I30)/M30)</f>
        <v/>
      </c>
      <c r="O30">
        <f>IF(AND(LOWER(S30)="call",N30&lt;0), I30*100*U30, 0)</f>
        <v/>
      </c>
      <c r="P30">
        <f>U30*I30</f>
        <v/>
      </c>
      <c r="Q30" s="2">
        <f>U30*N30*I30</f>
        <v/>
      </c>
      <c r="R30" t="inlineStr">
        <is>
          <t>2.43</t>
        </is>
      </c>
      <c r="S30" t="inlineStr">
        <is>
          <t>Put</t>
        </is>
      </c>
      <c r="T30" s="3">
        <f>R30*M30*U30</f>
        <v/>
      </c>
      <c r="U30" t="n">
        <v>-1</v>
      </c>
      <c r="V30" s="3">
        <f>U30*M30</f>
        <v/>
      </c>
      <c r="W30" t="n">
        <v>1.26</v>
      </c>
      <c r="X30" s="2">
        <f>-AC30/AH30</f>
        <v/>
      </c>
      <c r="Y30" s="2">
        <f>W30*(365/E30)/I30</f>
        <v/>
      </c>
      <c r="AB30" s="2">
        <f>X30*(365/F30)/L30</f>
        <v/>
      </c>
      <c r="AC30" t="n">
        <v>125.44</v>
      </c>
      <c r="AG30">
        <f>AC30</f>
        <v/>
      </c>
      <c r="AH30">
        <f>IF(LOWER(S30)="put", U30*I30*100,-U30*I30*100)</f>
        <v/>
      </c>
      <c r="AI30" s="3" t="n"/>
      <c r="AK30" s="3" t="n"/>
      <c r="AL30" s="3" t="n"/>
      <c r="AM30" s="3">
        <f>AH30</f>
        <v/>
      </c>
      <c r="AN30" s="3" t="n"/>
      <c r="AO30" s="3" t="n"/>
      <c r="AP30" s="3" t="n"/>
      <c r="AQ30" s="3" t="n"/>
      <c r="AR30" s="3" t="n"/>
      <c r="AS30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2024-02-19T21:59:43Z</dcterms:created>
  <dcterms:modified xmlns:dcterms="http://purl.org/dc/terms/" xmlns:xsi="http://www.w3.org/2001/XMLSchema-instance" xsi:type="dcterms:W3CDTF">2024-02-19T21:59:43Z</dcterms:modified>
</cp:coreProperties>
</file>