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New folder\"/>
    </mc:Choice>
  </mc:AlternateContent>
  <bookViews>
    <workbookView xWindow="0" yWindow="0" windowWidth="17256" windowHeight="5772" activeTab="2"/>
  </bookViews>
  <sheets>
    <sheet name="Sheet1" sheetId="1" r:id="rId1"/>
    <sheet name="Sheet2" sheetId="2" r:id="rId2"/>
    <sheet name="Sheet3" sheetId="3" r:id="rId3"/>
  </sheets>
  <calcPr calcId="162913"/>
  <extLst>
    <ext uri="GoogleSheetsCustomDataVersion2">
      <go:sheetsCustomData xmlns:go="http://customooxmlschemas.google.com/" r:id="rId7" roundtripDataChecksum="Ax1EgddMjkGi0XuJdfknLBPQ/tFZQ8koXDrVdDz0yi4="/>
    </ext>
  </extLst>
</workbook>
</file>

<file path=xl/calcChain.xml><?xml version="1.0" encoding="utf-8"?>
<calcChain xmlns="http://schemas.openxmlformats.org/spreadsheetml/2006/main">
  <c r="C25" i="3" l="1"/>
  <c r="C24" i="3"/>
  <c r="C21" i="3"/>
  <c r="C20" i="3"/>
  <c r="C14" i="3"/>
  <c r="E63" i="2"/>
  <c r="B48" i="2"/>
  <c r="E46" i="2"/>
  <c r="E47" i="2" s="1"/>
  <c r="H42" i="2"/>
  <c r="H43" i="2" s="1"/>
  <c r="B42" i="2"/>
  <c r="B49" i="2" s="1"/>
  <c r="C32" i="2"/>
  <c r="B31" i="2"/>
  <c r="B32" i="2" s="1"/>
  <c r="D32" i="2" s="1"/>
  <c r="C30" i="2"/>
  <c r="C29" i="2"/>
  <c r="B29" i="2"/>
  <c r="C28" i="2"/>
  <c r="D28" i="2" s="1"/>
  <c r="B28" i="2"/>
  <c r="C27" i="2"/>
  <c r="B27" i="2"/>
  <c r="B30" i="2" s="1"/>
  <c r="B17" i="2"/>
  <c r="E39" i="2" s="1"/>
  <c r="B15" i="2"/>
  <c r="B13" i="2"/>
  <c r="B11" i="2"/>
  <c r="B12" i="2" s="1"/>
  <c r="G24" i="2" s="1"/>
  <c r="B8" i="2"/>
  <c r="E63" i="1"/>
  <c r="B48" i="1"/>
  <c r="E47" i="1"/>
  <c r="E46" i="1"/>
  <c r="H42" i="1"/>
  <c r="H43" i="1" s="1"/>
  <c r="B42" i="1"/>
  <c r="B49" i="1" s="1"/>
  <c r="C32" i="1"/>
  <c r="C31" i="1"/>
  <c r="B31" i="1"/>
  <c r="B32" i="1" s="1"/>
  <c r="C30" i="1"/>
  <c r="C29" i="1"/>
  <c r="C28" i="1"/>
  <c r="B28" i="1"/>
  <c r="B29" i="1" s="1"/>
  <c r="D29" i="1" s="1"/>
  <c r="C27" i="1"/>
  <c r="B27" i="1"/>
  <c r="B30" i="1" s="1"/>
  <c r="D30" i="1" s="1"/>
  <c r="B17" i="1"/>
  <c r="E39" i="1" s="1"/>
  <c r="B15" i="1"/>
  <c r="B13" i="1"/>
  <c r="B11" i="1"/>
  <c r="B12" i="1" s="1"/>
  <c r="G24" i="1" s="1"/>
  <c r="B8" i="1"/>
  <c r="D32" i="1" l="1"/>
  <c r="D29" i="2"/>
  <c r="D30" i="2"/>
  <c r="C26" i="3"/>
  <c r="C27" i="3" s="1"/>
  <c r="E43" i="1"/>
  <c r="E48" i="1" s="1"/>
  <c r="E40" i="1"/>
  <c r="G27" i="1"/>
  <c r="G26" i="1"/>
  <c r="G28" i="1" s="1"/>
  <c r="G27" i="2"/>
  <c r="G26" i="2"/>
  <c r="G28" i="2" s="1"/>
  <c r="E43" i="2"/>
  <c r="E48" i="2" s="1"/>
  <c r="E40" i="2"/>
  <c r="D28" i="1"/>
  <c r="D31" i="2"/>
  <c r="D31" i="1"/>
  <c r="D27" i="2"/>
  <c r="D27" i="1"/>
  <c r="D33" i="1" l="1"/>
  <c r="E53" i="1" s="1"/>
  <c r="E55" i="1" s="1"/>
  <c r="E58" i="1" s="1"/>
  <c r="D33" i="2"/>
  <c r="E53" i="2" s="1"/>
  <c r="E55" i="2" s="1"/>
  <c r="E58" i="2" s="1"/>
  <c r="E59" i="1" l="1"/>
  <c r="E62" i="1"/>
  <c r="E62" i="2"/>
  <c r="E59" i="2"/>
</calcChain>
</file>

<file path=xl/sharedStrings.xml><?xml version="1.0" encoding="utf-8"?>
<sst xmlns="http://schemas.openxmlformats.org/spreadsheetml/2006/main" count="316" uniqueCount="197">
  <si>
    <t>Chamber 1</t>
  </si>
  <si>
    <t>General Specification</t>
  </si>
  <si>
    <t>Condition</t>
  </si>
  <si>
    <r>
      <rPr>
        <b/>
        <sz val="11"/>
        <color theme="1"/>
        <rFont val="Calibri"/>
      </rPr>
      <t>Temperature (</t>
    </r>
    <r>
      <rPr>
        <b/>
        <vertAlign val="superscript"/>
        <sz val="11"/>
        <color theme="1"/>
        <rFont val="Calibri"/>
      </rPr>
      <t>o</t>
    </r>
    <r>
      <rPr>
        <b/>
        <sz val="11"/>
        <color theme="1"/>
        <rFont val="Calibri"/>
      </rPr>
      <t>C)</t>
    </r>
  </si>
  <si>
    <t>Humidity (%)</t>
  </si>
  <si>
    <t>Product</t>
  </si>
  <si>
    <t>Potato</t>
  </si>
  <si>
    <t>Ambient</t>
  </si>
  <si>
    <t>Sack Dimension (2a,2b,L) ( in cm)</t>
  </si>
  <si>
    <t>Inside Storage</t>
  </si>
  <si>
    <t>Weight of potato per sack (kg)</t>
  </si>
  <si>
    <t>Volume of potato per sack (cm3)</t>
  </si>
  <si>
    <t xml:space="preserve">No. of sacks(single layer) </t>
  </si>
  <si>
    <t>Number of layers of sacks in each pallet</t>
  </si>
  <si>
    <t xml:space="preserve"> </t>
  </si>
  <si>
    <t>No. of sacks</t>
  </si>
  <si>
    <t>Capacity of cold store (MT)</t>
  </si>
  <si>
    <t>Volume of each pallet (m3)</t>
  </si>
  <si>
    <t>Room dimension (L,B,H) (in m)</t>
  </si>
  <si>
    <t>Total Volume of room (m3)</t>
  </si>
  <si>
    <t>Store room dimension (L,B,H)(ft)</t>
  </si>
  <si>
    <t>Storage Volume(ft3)</t>
  </si>
  <si>
    <t>Transmission Load</t>
  </si>
  <si>
    <t>Wall</t>
  </si>
  <si>
    <t xml:space="preserve">Polyurethane Insulation Panel </t>
  </si>
  <si>
    <t>Product Load</t>
  </si>
  <si>
    <t>U- Value (W/m2.K) (Wall 80mm)</t>
  </si>
  <si>
    <r>
      <rPr>
        <sz val="11"/>
        <color theme="1"/>
        <rFont val="Calibri"/>
      </rPr>
      <t>Specific Heat Capacity of potato (KJ/Kg.</t>
    </r>
    <r>
      <rPr>
        <vertAlign val="superscript"/>
        <sz val="11"/>
        <color theme="1"/>
        <rFont val="Calibri"/>
      </rPr>
      <t>o</t>
    </r>
    <r>
      <rPr>
        <sz val="11"/>
        <color theme="1"/>
        <rFont val="Calibri"/>
      </rPr>
      <t>C)</t>
    </r>
  </si>
  <si>
    <t>U- Value (W/m2.K) (Floor 50mm)</t>
  </si>
  <si>
    <t>Respiration heat (KJ/Kg per day)</t>
  </si>
  <si>
    <t>Mass of potato (kg)</t>
  </si>
  <si>
    <t>Time taken to cool the product (days)</t>
  </si>
  <si>
    <t>Surface</t>
  </si>
  <si>
    <t>Area (m2)</t>
  </si>
  <si>
    <r>
      <rPr>
        <b/>
        <sz val="11"/>
        <color theme="1"/>
        <rFont val="Calibri"/>
      </rPr>
      <t>Temperature (</t>
    </r>
    <r>
      <rPr>
        <b/>
        <vertAlign val="superscript"/>
        <sz val="11"/>
        <color theme="1"/>
        <rFont val="Calibri"/>
      </rPr>
      <t>o</t>
    </r>
    <r>
      <rPr>
        <b/>
        <sz val="11"/>
        <color theme="1"/>
        <rFont val="Calibri"/>
      </rPr>
      <t>C)</t>
    </r>
  </si>
  <si>
    <t>Cooling Load (KWh/day)</t>
  </si>
  <si>
    <t>Product exchange load (KWh/day)</t>
  </si>
  <si>
    <t>North Wall</t>
  </si>
  <si>
    <t>Product respiration load (KWh/day)</t>
  </si>
  <si>
    <t>West Wall</t>
  </si>
  <si>
    <t>Total Product Load (KWh/day)</t>
  </si>
  <si>
    <t>East Wall</t>
  </si>
  <si>
    <t>South Wall</t>
  </si>
  <si>
    <t>Ceiling</t>
  </si>
  <si>
    <t>Floor</t>
  </si>
  <si>
    <t>Total transmission load (KWh/day)</t>
  </si>
  <si>
    <t>Internal Load</t>
  </si>
  <si>
    <t>Air Infiltration Load</t>
  </si>
  <si>
    <t>Equipment Load</t>
  </si>
  <si>
    <t>People</t>
  </si>
  <si>
    <t>Air changes per day</t>
  </si>
  <si>
    <t>Fans</t>
  </si>
  <si>
    <t>No. of people working inside per day</t>
  </si>
  <si>
    <t>Volume of cold store (ft3)</t>
  </si>
  <si>
    <t>No. of fans</t>
  </si>
  <si>
    <t>Hours of working per day</t>
  </si>
  <si>
    <t>Total air change (cfm)</t>
  </si>
  <si>
    <t>Wattage of each fan</t>
  </si>
  <si>
    <t>Heat released by a person (W/hr)</t>
  </si>
  <si>
    <t>HRV(cfm)</t>
  </si>
  <si>
    <t>Hours of use per day</t>
  </si>
  <si>
    <t>People load (Kwh/day)</t>
  </si>
  <si>
    <t>Power consumption (W)</t>
  </si>
  <si>
    <t>Fan Load (KWh/day)</t>
  </si>
  <si>
    <t>Running hour(h) HRV</t>
  </si>
  <si>
    <t>Total Equipment Load (KWh/day)</t>
  </si>
  <si>
    <t>Light</t>
  </si>
  <si>
    <t>Enthalpy load(KWh/kg)</t>
  </si>
  <si>
    <t>No. of lamps</t>
  </si>
  <si>
    <t>Efficiency of HRV</t>
  </si>
  <si>
    <t>Wattage of each lamp</t>
  </si>
  <si>
    <t>mass flow rate (kg/h)</t>
  </si>
  <si>
    <t>air density(kg/m3)</t>
  </si>
  <si>
    <t>heat load without HRV(Kw)</t>
  </si>
  <si>
    <t>Lighting load (KWh/day)</t>
  </si>
  <si>
    <t>Total heat load(KWh/day)</t>
  </si>
  <si>
    <t>Total Internal Load (KWh/day)</t>
  </si>
  <si>
    <t>Total Cooling Load (KWh/day)</t>
  </si>
  <si>
    <t>Safety Factor (%)</t>
  </si>
  <si>
    <t>Final Cooling Load (KWh/day)</t>
  </si>
  <si>
    <t>Refrigeration system run hours per day</t>
  </si>
  <si>
    <t>Refrigeration Cooling Capacity(KW)</t>
  </si>
  <si>
    <t>Refrigeration Cooling Capacity(Tons)</t>
  </si>
  <si>
    <t>Number of evaporators</t>
  </si>
  <si>
    <t>Capacity of each evaporator (KW)</t>
  </si>
  <si>
    <t>Required Air throw (m)</t>
  </si>
  <si>
    <t>Evaporators</t>
  </si>
  <si>
    <t>Kw</t>
  </si>
  <si>
    <t>Air throw(m)</t>
  </si>
  <si>
    <t>Chamber 2</t>
  </si>
  <si>
    <r>
      <rPr>
        <b/>
        <sz val="11"/>
        <color theme="1"/>
        <rFont val="Calibri"/>
      </rPr>
      <t>Temperature (</t>
    </r>
    <r>
      <rPr>
        <b/>
        <vertAlign val="superscript"/>
        <sz val="11"/>
        <color theme="1"/>
        <rFont val="Calibri"/>
      </rPr>
      <t>o</t>
    </r>
    <r>
      <rPr>
        <b/>
        <sz val="11"/>
        <color theme="1"/>
        <rFont val="Calibri"/>
      </rPr>
      <t>C)</t>
    </r>
  </si>
  <si>
    <t>Polyurethane Insulation Panel</t>
  </si>
  <si>
    <r>
      <rPr>
        <sz val="11"/>
        <color theme="1"/>
        <rFont val="Calibri"/>
      </rPr>
      <t>Specific Heat Capacity of potato (KJ/Kg.</t>
    </r>
    <r>
      <rPr>
        <vertAlign val="superscript"/>
        <sz val="11"/>
        <color theme="1"/>
        <rFont val="Calibri"/>
      </rPr>
      <t>o</t>
    </r>
    <r>
      <rPr>
        <sz val="11"/>
        <color theme="1"/>
        <rFont val="Calibri"/>
      </rPr>
      <t>C)</t>
    </r>
  </si>
  <si>
    <r>
      <rPr>
        <b/>
        <sz val="11"/>
        <color theme="1"/>
        <rFont val="Calibri"/>
      </rPr>
      <t>Temperature (</t>
    </r>
    <r>
      <rPr>
        <b/>
        <vertAlign val="superscript"/>
        <sz val="11"/>
        <color theme="1"/>
        <rFont val="Calibri"/>
      </rPr>
      <t>o</t>
    </r>
    <r>
      <rPr>
        <b/>
        <sz val="11"/>
        <color theme="1"/>
        <rFont val="Calibri"/>
      </rPr>
      <t>C)</t>
    </r>
  </si>
  <si>
    <t>CR-E335N 078Z</t>
  </si>
  <si>
    <t>Project Name: Cold Store Installation</t>
  </si>
  <si>
    <t>Location: Lele (27.5753120, 85.3505281)</t>
  </si>
  <si>
    <t>Date: 2/18/2024</t>
  </si>
  <si>
    <t>Client: Kishan Kendra</t>
  </si>
  <si>
    <t>Description</t>
  </si>
  <si>
    <t>Unit</t>
  </si>
  <si>
    <t>No.</t>
  </si>
  <si>
    <t>Qty.</t>
  </si>
  <si>
    <t>Total</t>
  </si>
  <si>
    <t>Item</t>
  </si>
  <si>
    <t>Evaporator Unit</t>
  </si>
  <si>
    <t>A</t>
  </si>
  <si>
    <t>Evaporator Unit Support</t>
  </si>
  <si>
    <t>Allow for a suitable wall mounting support for the above that can match the panel used for constructing the cold room.</t>
  </si>
  <si>
    <t>B</t>
  </si>
  <si>
    <t>Condensing Unit</t>
  </si>
  <si>
    <t>A 7.8Kw air cooled condensing unit with semi-hermetic reciprocating compressor capable of a cooling load to match the evaporator  unit's defrosting and to be complete with fan, compressor, condenser, liquid receiver, controls, anti-vibration mountings etc.</t>
  </si>
  <si>
    <t>C</t>
  </si>
  <si>
    <t>Control Panel</t>
  </si>
  <si>
    <t xml:space="preserve">The panel shall be complete with contactors, timers and all other accessories necessary for the automatic operation of the cold store. </t>
  </si>
  <si>
    <t>REFRIGERANT GAS : Supply and Charging of R-404A refrigerant gas</t>
  </si>
  <si>
    <t>DRAIN PIPING : Supply, Installation and Testing of Hard PVC drain piping insulated out of nitrile rubber material of approved make as per specification complete with supports, consumables, fittings, pipe sleeves, U trap, leak arresting of following sizes.</t>
  </si>
  <si>
    <t>CONTROLLER AND DISPLAY SYSTEM : The unit is fitted with a micro-processor based digital electronic temperature controller cum indicator for easy readability along with audio-visual alarm system. The controller should have the facility to set temperature and humidity value and also the safety limits for temperature and humidity. The temperature control to be within +/- 10C at the sensing point. An audible alarm should be provided in the event of actual values exceeding the set limits, connected to the main building and security guard room. In the event of failure of the main mechanical refrigeration system or dehumidification device, the switch over to standby system should be automatic with indication of failure of main system.In the event of power failure,module should have delayed start in a sequesnce so that power lines are not loaded.</t>
  </si>
  <si>
    <t>Room Insulation</t>
  </si>
  <si>
    <t>Cold Room Door</t>
  </si>
  <si>
    <t>Polyurethane prefabricated sandwiched panels with pressure injected polyurethane foam insulation of density 42 kg/cu. M and cladded with 0.5mm thick white Lacquered galvanised steel sheet 1122 SM panels as room insulation complete with aluminium supports.The panels should be suplied with all accessories to support all the four walls and roof in an open space</t>
  </si>
  <si>
    <t xml:space="preserve">Rate </t>
  </si>
  <si>
    <t>Wall Panel-80mm</t>
  </si>
  <si>
    <t>Ceiling Panel ( Self Suppoting )-80mm</t>
  </si>
  <si>
    <t>Floor insulation-50mm</t>
  </si>
  <si>
    <t>ft</t>
  </si>
  <si>
    <t>sq.ft</t>
  </si>
  <si>
    <t>Plastic sheet</t>
  </si>
  <si>
    <t>Tar felt sheet-3mm</t>
  </si>
  <si>
    <t>1000mm wide 44.75 ft long*4</t>
  </si>
  <si>
    <t>1000mm wide 28.67 ft long*5</t>
  </si>
  <si>
    <t>1200mm wide 39.75 ft long*3</t>
  </si>
  <si>
    <t>1200mm wide 23.91 ft long*4</t>
  </si>
  <si>
    <t>1000mm wide 8.5 ft long*46</t>
  </si>
  <si>
    <t>Corner Panel-80mm thick</t>
  </si>
  <si>
    <t>300mm/300mm 8.5ft long*6</t>
  </si>
  <si>
    <t>Cold room doors whose overall size is 2130mm high by 900mm wide complete withopening handles and made of 80mm TSSC sandwich panels and cladded micron plasstisol coated G.I sheet with fittings and 2 No. gasket TPE rubber, slab gaskets even internally</t>
  </si>
  <si>
    <t>Lighting</t>
  </si>
  <si>
    <t>Led ceiling lighting, programmable through the control Panel.</t>
  </si>
  <si>
    <t>45W</t>
  </si>
  <si>
    <t>35W</t>
  </si>
  <si>
    <t>The evaporator unit with a cooling load of 7.8 Kw with through of 7.3m complete with cooling coil, defrost heater, expansion valve, air circulating fans, guards, drip tray, drainage pipework outlet, supports, etc. The unit to be complete with a power supply. including</t>
  </si>
  <si>
    <t>hum +-5, tem +-1</t>
  </si>
  <si>
    <t>11kg</t>
  </si>
  <si>
    <t>31.7-</t>
  </si>
  <si>
    <t>Detail Estimate of Cold Store Item</t>
  </si>
  <si>
    <r>
      <t>A</t>
    </r>
    <r>
      <rPr>
        <b/>
        <sz val="10"/>
        <color rgb="FF000000"/>
        <rFont val="Times New Roman"/>
        <family val="1"/>
      </rPr>
      <t>.   </t>
    </r>
    <r>
      <rPr>
        <b/>
        <sz val="10"/>
        <color rgb="FF000000"/>
        <rFont val="Arial"/>
        <family val="2"/>
      </rPr>
      <t xml:space="preserve"> COLD ROOM PANELS &amp; ACCESSORIES: </t>
    </r>
  </si>
  <si>
    <t>S.N.</t>
  </si>
  <si>
    <t>DESCRIPTION</t>
  </si>
  <si>
    <t>QTY</t>
  </si>
  <si>
    <t>UNIT</t>
  </si>
  <si>
    <t>UNIT RATE</t>
  </si>
  <si>
    <t>AMOUNT</t>
  </si>
  <si>
    <t>COLD ROOM PANELS &amp; ACCESSORIES:</t>
  </si>
  <si>
    <t>Modular Wall Panels / Ceiling Panels :</t>
  </si>
  <si>
    <t>Sq.M</t>
  </si>
  <si>
    <t>RM</t>
  </si>
  <si>
    <t>Nos.</t>
  </si>
  <si>
    <t>Supply of sliding door, 80mm Thick PUF Insulation,0.6mm poweder coated Finish (For Positive temperature +1degree) (Density 45kg/m3) wall fixing frame with Door Opener &amp; Closure, Pad Lock, door sliding mechanism, Door Size - (opening width min 900 mm, Height min 2000mm),</t>
  </si>
  <si>
    <t>Supply and installation of material (Flushing, Silicon, Pop Revit's, for partition joints for panels in corner. (wall to wall corner as well as ceiling to wall joint. Joining detail to be provided by PUF panel manufacturer with cost including.</t>
  </si>
  <si>
    <t>Rm</t>
  </si>
  <si>
    <t>Total cost for panel</t>
  </si>
  <si>
    <t>-</t>
  </si>
  <si>
    <r>
      <t>B</t>
    </r>
    <r>
      <rPr>
        <b/>
        <sz val="10"/>
        <color rgb="FF000000"/>
        <rFont val="Times New Roman"/>
        <family val="1"/>
      </rPr>
      <t>.   </t>
    </r>
    <r>
      <rPr>
        <b/>
        <sz val="10"/>
        <color rgb="FF000000"/>
        <rFont val="Arial"/>
        <family val="2"/>
      </rPr>
      <t xml:space="preserve"> Air Cooled Scroll/ Receprocating Refrigeration Unit </t>
    </r>
  </si>
  <si>
    <t>SR.NO.</t>
  </si>
  <si>
    <t>Air Cooled Scroll/Receprocating Refrigeration Unit</t>
  </si>
  <si>
    <r>
      <t>Supply, Installtion, Testing &amp; Commissioning of Condensing unit and cooling unit</t>
    </r>
    <r>
      <rPr>
        <sz val="10"/>
        <color rgb="FF000000"/>
        <rFont val="Arial"/>
        <family val="2"/>
      </rPr>
      <t xml:space="preserve"> 
</t>
    </r>
    <r>
      <rPr>
        <b/>
        <sz val="10"/>
        <color rgb="FF000000"/>
        <rFont val="Arial"/>
        <family val="2"/>
      </rPr>
      <t xml:space="preserve">Condensing unit </t>
    </r>
    <r>
      <rPr>
        <sz val="10"/>
        <color rgb="FF000000"/>
        <rFont val="Arial"/>
        <family val="2"/>
      </rPr>
      <t xml:space="preserve">include Scroll hermetic compressor, air cooled condenser with condenser fan, liquid accumulator, oil separator, liquid receiver, integrated HP/LP/OLR and Drives, eco-friendly refrigerant R404A/134a controls gauges, Starter, control Panel, anti-vibration pads etc. Compressors Motor shall be suitable for 415±10% 50 cycles. 3 phase AC supply and motor cable terminal box shall be suitable to connect Copper Cabling.
</t>
    </r>
    <r>
      <rPr>
        <b/>
        <sz val="10"/>
        <color rgb="FF000000"/>
        <rFont val="Arial"/>
        <family val="2"/>
      </rPr>
      <t xml:space="preserve">Cooling unit </t>
    </r>
    <r>
      <rPr>
        <sz val="10"/>
        <color rgb="FF000000"/>
        <rFont val="Arial"/>
        <family val="2"/>
      </rPr>
      <t xml:space="preserve">include cooling coil, two evaporator fan, Thermostatic expansion valve, Solenoid coil, Thermostat, Electrical Defrost heater, Drain pan, drain pipe, electrical terminal box with water shield. fan motor shall be 220/1phase/50 Hz 
cost involve with foundation work with metalic frame. </t>
    </r>
  </si>
  <si>
    <t>SST: -3.05±1°C</t>
  </si>
  <si>
    <t>Capacities: kW output at design condition.</t>
  </si>
  <si>
    <t>Set</t>
  </si>
  <si>
    <t>Supply installation testing and commissioning of PLC base indoor temperature, humidity, defrost control with difrost timer unit</t>
  </si>
  <si>
    <t>set</t>
  </si>
  <si>
    <t>Supply installation of Condensate water drain pipe with necessary accessories</t>
  </si>
  <si>
    <t>Supply, Installtion, Testing &amp; Commissioning of Aultrasonic Humidifier with all control accessories for humidity control for humidification(min 30 Ltr/24 hr)</t>
  </si>
  <si>
    <t>Supply, Installtion, Testing &amp; Commissioning ofHeat recovery Ventilation units (HRVs) for Long storage room. Capacity: 100CFM</t>
  </si>
  <si>
    <t>Supply of Refrigerant R404a/R134a for complete units each Cylinder with 11.5kg net weight or as required by condensers provided.</t>
  </si>
  <si>
    <t>cylinder 
@13.6 kg</t>
  </si>
  <si>
    <t>4Ft Low Noise level type Centrifugal Air curtain over the main Cold room entrance door including control system for operation only door open time.</t>
  </si>
  <si>
    <t>Total Machine cost</t>
  </si>
  <si>
    <t>Total amount without VAT</t>
  </si>
  <si>
    <t>Total amount with VAT</t>
  </si>
  <si>
    <t>Site: Lele, Lalitpur</t>
  </si>
  <si>
    <t>Project Name: kishan kendra cold store</t>
  </si>
  <si>
    <r>
      <t>Supply, installation, transportation, testing and commissioning of 80mm</t>
    </r>
    <r>
      <rPr>
        <sz val="11"/>
        <color rgb="FF000000"/>
        <rFont val="Arial"/>
        <family val="2"/>
      </rPr>
      <t xml:space="preserve"> Polyurethane prefabricated sandwiched panels with pressure injected polyurethane foam insulation of density 42 kg/cu. M and cladded with 0.5mm thick white Lacquered galvanised steel sheet 1122 SM panels as room insulation complete with aluminium supports.The panels should be suplied with all accessories to support all the four walls and roof in an open space Single Piece of any suitable size 1.0/1.1 m width x 3.76 m length for wall panels single length and 1.0m x 4 m </t>
    </r>
  </si>
  <si>
    <t>Supply of 80mm Thick PUF " L" corner300 mm width from outer side, inner side 0.5mm and 0.5mm outer RAL 9002 PPGI sheet, PUF density 40kg±2/m3. single length (without joint). Joint tounge and groove clading with cam lock and complete cealing material or silicon glue.</t>
  </si>
  <si>
    <t>U channel and fixing accessories 0.5 mm sheet width 105 mm and height 40 mm ( Screw fastner with rawl plug pop rivets ) Joining detail to be provided by PUF panel manufacturer with cost including.</t>
  </si>
  <si>
    <t>Supply of 50mm Thick PUF Slab, PUF density 40kg±2/m3. For Cold room along with Floor insulation material (bitumen and 2 layer of 2.5 mm thick Tar Felt sheet wo layer of bitumin of 1.5 kg / sq.m.</t>
  </si>
  <si>
    <t>Design Ambient:30°C&amp; 70%RH,</t>
  </si>
  <si>
    <t>Inside temp: 4°C,</t>
  </si>
  <si>
    <t xml:space="preserve"> Heat Load min. 8 kW output at design condition. 
Compressor power: approx.5.5 kW
Single compressor 440±10%/3ph/50Hz
Condenser fan: 1 ph Singlefan220±/1ph/50Hz10%
Number of condenser fan 2
Electric Power: = approx.500 W
Air cooled condenser consisting of coppertube with hydrophilic
coated aluminum Fins
Evaporator capacity: 7 kW
Evaporator Fan:1 PH 220V/50 Hz
Number of evaporator fan : 2nos.
Evaporator Fan power approx. 0.33 HP
Air through 7 m
</t>
  </si>
  <si>
    <t xml:space="preserve">Heat Load min. 9 kW output at design condition. 
Compressor power: approx.5.5 kW
Single compressor 440±10%/3ph/50Hz
Condenser fan: 1 ph Singlefan220±/1ph/50Hz10%
Number of condenser fan 2
Electric Power: = approx.500 W
Air cooled condenser consisting of coppertube with hydrophilic
coated aluminum Fins
Evaporator capacity: 8.5kW
Evaporator Fan:1 PH 220V/50 Hz
Number of evaporator fan : 2nos.
Evaporator Fan power approx. 0.33 HP
Air through 12 m
</t>
  </si>
  <si>
    <r>
      <rPr>
        <b/>
        <sz val="10"/>
        <color rgb="FF000000"/>
        <rFont val="Times New Roman"/>
        <family val="1"/>
      </rPr>
      <t>C.   </t>
    </r>
    <r>
      <rPr>
        <b/>
        <sz val="10"/>
        <color rgb="FF000000"/>
        <rFont val="Arial"/>
        <family val="2"/>
      </rPr>
      <t xml:space="preserve"> Electrical Accessories </t>
    </r>
  </si>
  <si>
    <t>Electrical Accessories</t>
  </si>
  <si>
    <r>
      <t xml:space="preserve">Supply, installation, transportation, testing of Light including switch and wiring </t>
    </r>
    <r>
      <rPr>
        <sz val="11"/>
        <color rgb="FF000000"/>
        <rFont val="Arial"/>
        <family val="2"/>
      </rPr>
      <t>LED round panel light of 45W inside chamer 2</t>
    </r>
  </si>
  <si>
    <r>
      <t xml:space="preserve">Supply, installation, transportation, testing of Light including switch and wiring </t>
    </r>
    <r>
      <rPr>
        <sz val="11"/>
        <color rgb="FF000000"/>
        <rFont val="Arial"/>
        <family val="2"/>
      </rPr>
      <t>LED round panel light of 35W inside chamer 1</t>
    </r>
  </si>
  <si>
    <r>
      <t xml:space="preserve">Supply, installation, transportation, testing of Power Socket including wiring, </t>
    </r>
    <r>
      <rPr>
        <sz val="11"/>
        <color rgb="FF000000"/>
        <rFont val="Arial"/>
        <family val="2"/>
      </rPr>
      <t>16amp 3*3 power socket inside coldroom</t>
    </r>
  </si>
  <si>
    <r>
      <t xml:space="preserve">Supply, installation, transportation, testing of circuit breaker with wall mount box. </t>
    </r>
    <r>
      <rPr>
        <sz val="11"/>
        <color rgb="FF000000"/>
        <rFont val="Arial"/>
        <family val="2"/>
      </rPr>
      <t>32amp MCB for 4 condenser unit including suitale gauge wire, 16amp MCB for 2 chamber for power socket and lighting inside coldroom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</si>
</sst>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23"/>
      <color theme="1"/>
      <name val="Calibri"/>
      <scheme val="minor"/>
    </font>
    <font>
      <b/>
      <sz val="11"/>
      <color theme="1"/>
      <name val="Calibri"/>
    </font>
    <font>
      <sz val="11"/>
      <name val="Calibri"/>
    </font>
    <font>
      <sz val="11"/>
      <color theme="1"/>
      <name val="Calibri"/>
    </font>
    <font>
      <sz val="11"/>
      <color theme="1"/>
      <name val="Calibri"/>
      <scheme val="minor"/>
    </font>
    <font>
      <b/>
      <sz val="11"/>
      <color theme="1"/>
      <name val="Calibri"/>
      <scheme val="minor"/>
    </font>
    <font>
      <b/>
      <vertAlign val="superscript"/>
      <sz val="11"/>
      <color theme="1"/>
      <name val="Calibri"/>
    </font>
    <font>
      <vertAlign val="superscript"/>
      <sz val="11"/>
      <color theme="1"/>
      <name val="Calibri"/>
    </font>
    <font>
      <b/>
      <sz val="11"/>
      <color theme="1"/>
      <name val="Calibri"/>
      <family val="2"/>
      <scheme val="minor"/>
    </font>
    <font>
      <b/>
      <sz val="14"/>
      <color rgb="FFFF0000"/>
      <name val="Calibri"/>
      <family val="2"/>
      <scheme val="minor"/>
    </font>
    <font>
      <sz val="14"/>
      <color rgb="FFFF0000"/>
      <name val="Calibri"/>
      <family val="2"/>
      <scheme val="minor"/>
    </font>
    <font>
      <sz val="11"/>
      <color rgb="FFFF0000"/>
      <name val="Calibri"/>
      <family val="2"/>
      <scheme val="minor"/>
    </font>
    <font>
      <b/>
      <sz val="10"/>
      <color theme="1"/>
      <name val="Arial"/>
      <family val="2"/>
    </font>
    <font>
      <b/>
      <sz val="10"/>
      <color rgb="FF000000"/>
      <name val="Arial"/>
      <family val="2"/>
    </font>
    <font>
      <b/>
      <sz val="10"/>
      <color rgb="FF000000"/>
      <name val="Times New Roman"/>
      <family val="1"/>
    </font>
    <font>
      <sz val="10"/>
      <color theme="1"/>
      <name val="Arial"/>
      <family val="2"/>
    </font>
    <font>
      <b/>
      <sz val="11"/>
      <color theme="1"/>
      <name val="Arial"/>
      <family val="2"/>
    </font>
    <font>
      <b/>
      <sz val="11"/>
      <color rgb="FF000000"/>
      <name val="Arial"/>
      <family val="2"/>
    </font>
    <font>
      <sz val="11"/>
      <color rgb="FF000000"/>
      <name val="Arial"/>
      <family val="2"/>
    </font>
    <font>
      <sz val="11"/>
      <color theme="1"/>
      <name val="Arial"/>
      <family val="2"/>
    </font>
    <font>
      <sz val="10"/>
      <color rgb="FF000000"/>
      <name val="Arial"/>
      <family val="2"/>
    </font>
  </fonts>
  <fills count="9">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theme="0"/>
        <bgColor theme="0"/>
      </patternFill>
    </fill>
    <fill>
      <patternFill patternType="solid">
        <fgColor rgb="FFFFFFFF"/>
        <bgColor rgb="FFFFFFFF"/>
      </patternFill>
    </fill>
    <fill>
      <patternFill patternType="solid">
        <fgColor rgb="FFFFFFFF"/>
        <bgColor indexed="64"/>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s>
  <cellStyleXfs count="1">
    <xf numFmtId="0" fontId="0" fillId="0" borderId="0"/>
  </cellStyleXfs>
  <cellXfs count="90">
    <xf numFmtId="0" fontId="0" fillId="0" borderId="0" xfId="0" applyFont="1" applyAlignment="1"/>
    <xf numFmtId="0" fontId="5" fillId="0" borderId="3" xfId="0" applyFont="1" applyBorder="1"/>
    <xf numFmtId="0" fontId="7" fillId="0" borderId="3" xfId="0" applyFont="1" applyBorder="1"/>
    <xf numFmtId="0" fontId="7" fillId="0" borderId="3" xfId="0" applyFont="1" applyBorder="1" applyAlignment="1"/>
    <xf numFmtId="0" fontId="8" fillId="0" borderId="0" xfId="0" applyFont="1" applyAlignment="1"/>
    <xf numFmtId="0" fontId="8" fillId="0" borderId="3" xfId="0" applyFont="1" applyBorder="1" applyAlignment="1"/>
    <xf numFmtId="0" fontId="8" fillId="0" borderId="3" xfId="0" applyFont="1" applyBorder="1"/>
    <xf numFmtId="0" fontId="7" fillId="0" borderId="3" xfId="0" applyFont="1" applyBorder="1" applyAlignment="1">
      <alignment wrapText="1"/>
    </xf>
    <xf numFmtId="0" fontId="7" fillId="0" borderId="3" xfId="0" applyFont="1" applyBorder="1" applyAlignment="1">
      <alignment vertical="center"/>
    </xf>
    <xf numFmtId="0" fontId="7" fillId="4" borderId="3" xfId="0" applyFont="1" applyFill="1" applyBorder="1"/>
    <xf numFmtId="0" fontId="7" fillId="5" borderId="3" xfId="0" applyFont="1" applyFill="1" applyBorder="1"/>
    <xf numFmtId="0" fontId="7" fillId="6" borderId="3" xfId="0" applyFont="1" applyFill="1" applyBorder="1" applyAlignment="1"/>
    <xf numFmtId="0" fontId="7" fillId="7" borderId="3" xfId="0" applyFont="1" applyFill="1" applyBorder="1" applyAlignment="1"/>
    <xf numFmtId="0" fontId="7" fillId="6" borderId="3" xfId="0" applyFont="1" applyFill="1" applyBorder="1"/>
    <xf numFmtId="0" fontId="8" fillId="0" borderId="0" xfId="0" applyFont="1"/>
    <xf numFmtId="0" fontId="9" fillId="0" borderId="0" xfId="0" applyFont="1" applyAlignment="1"/>
    <xf numFmtId="0" fontId="8" fillId="2" borderId="0" xfId="0" applyFont="1" applyFill="1"/>
    <xf numFmtId="0" fontId="5" fillId="5" borderId="3" xfId="0" applyFont="1" applyFill="1" applyBorder="1"/>
    <xf numFmtId="0" fontId="5" fillId="5" borderId="7" xfId="0" applyFont="1" applyFill="1" applyBorder="1"/>
    <xf numFmtId="0" fontId="14" fillId="0" borderId="0" xfId="0" applyFont="1" applyAlignment="1"/>
    <xf numFmtId="0" fontId="3" fillId="0" borderId="0" xfId="0" applyFont="1" applyAlignment="1"/>
    <xf numFmtId="0" fontId="3" fillId="0" borderId="0" xfId="0" applyFont="1" applyAlignment="1">
      <alignment horizontal="left" vertical="top" wrapText="1"/>
    </xf>
    <xf numFmtId="0" fontId="0"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wrapText="1"/>
    </xf>
    <xf numFmtId="0" fontId="0" fillId="0" borderId="0" xfId="0" applyFont="1" applyAlignment="1">
      <alignment horizontal="left" vertical="center" wrapText="1"/>
    </xf>
    <xf numFmtId="0" fontId="12" fillId="0" borderId="0" xfId="0" applyFont="1" applyAlignment="1"/>
    <xf numFmtId="0" fontId="12" fillId="0" borderId="0" xfId="0" applyFont="1" applyAlignment="1">
      <alignment horizontal="left" vertical="top" wrapText="1"/>
    </xf>
    <xf numFmtId="0" fontId="2" fillId="0" borderId="0" xfId="0" applyFont="1" applyAlignment="1">
      <alignment horizontal="left" vertical="top" wrapText="1"/>
    </xf>
    <xf numFmtId="0" fontId="15" fillId="0" borderId="0" xfId="0" applyFont="1" applyAlignment="1">
      <alignment vertical="center" wrapText="1"/>
    </xf>
    <xf numFmtId="0" fontId="2" fillId="0" borderId="0" xfId="0" applyFont="1" applyAlignment="1"/>
    <xf numFmtId="0" fontId="0" fillId="0" borderId="0" xfId="0" applyFont="1" applyAlignment="1"/>
    <xf numFmtId="0" fontId="3" fillId="0" borderId="7" xfId="0" applyFont="1" applyBorder="1" applyAlignment="1">
      <alignment horizontal="center" vertical="center"/>
    </xf>
    <xf numFmtId="0" fontId="5" fillId="0" borderId="1" xfId="0" applyFont="1" applyBorder="1" applyAlignment="1">
      <alignment horizontal="center"/>
    </xf>
    <xf numFmtId="0" fontId="6" fillId="0" borderId="2" xfId="0" applyFont="1" applyBorder="1"/>
    <xf numFmtId="0" fontId="4" fillId="2" borderId="0" xfId="0" applyFont="1" applyFill="1" applyAlignment="1">
      <alignment horizontal="center"/>
    </xf>
    <xf numFmtId="0" fontId="0" fillId="0" borderId="0" xfId="0" applyFont="1" applyAlignment="1"/>
    <xf numFmtId="0" fontId="5" fillId="3" borderId="1" xfId="0" applyFont="1" applyFill="1" applyBorder="1" applyAlignment="1">
      <alignment horizontal="center"/>
    </xf>
    <xf numFmtId="0" fontId="7" fillId="0" borderId="4" xfId="0" applyFont="1" applyBorder="1" applyAlignment="1">
      <alignment horizontal="center" vertical="center"/>
    </xf>
    <xf numFmtId="0" fontId="6" fillId="0" borderId="5" xfId="0" applyFont="1" applyBorder="1"/>
    <xf numFmtId="0" fontId="7" fillId="0" borderId="4" xfId="0" applyFont="1" applyBorder="1" applyAlignment="1">
      <alignment horizontal="center" vertical="center" wrapText="1"/>
    </xf>
    <xf numFmtId="0" fontId="6" fillId="0" borderId="6" xfId="0" applyFont="1" applyBorder="1"/>
    <xf numFmtId="0" fontId="0" fillId="0" borderId="0" xfId="0" applyFont="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13" fillId="0" borderId="0" xfId="0" applyFont="1" applyAlignment="1"/>
    <xf numFmtId="0" fontId="3" fillId="0" borderId="0" xfId="0" applyFont="1" applyAlignment="1">
      <alignment horizontal="center"/>
    </xf>
    <xf numFmtId="0" fontId="16" fillId="0" borderId="8" xfId="0" applyFont="1" applyBorder="1" applyAlignment="1">
      <alignment horizontal="center" wrapText="1"/>
    </xf>
    <xf numFmtId="0" fontId="16" fillId="0" borderId="9" xfId="0" applyFont="1" applyBorder="1" applyAlignment="1">
      <alignment horizontal="center" wrapText="1"/>
    </xf>
    <xf numFmtId="0" fontId="16" fillId="0" borderId="10" xfId="0" applyFont="1" applyBorder="1" applyAlignment="1">
      <alignment horizontal="center" wrapText="1"/>
    </xf>
    <xf numFmtId="0" fontId="1" fillId="0" borderId="8"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6" fillId="0" borderId="8" xfId="0" applyFont="1" applyBorder="1" applyAlignment="1">
      <alignment wrapText="1"/>
    </xf>
    <xf numFmtId="0" fontId="16" fillId="0" borderId="9" xfId="0" applyFont="1" applyBorder="1" applyAlignment="1">
      <alignment wrapText="1"/>
    </xf>
    <xf numFmtId="0" fontId="16" fillId="0" borderId="10" xfId="0" applyFont="1" applyBorder="1" applyAlignment="1">
      <alignment wrapText="1"/>
    </xf>
    <xf numFmtId="0" fontId="1" fillId="0" borderId="0" xfId="0" applyFont="1" applyAlignment="1">
      <alignment horizontal="left" vertical="top" wrapText="1"/>
    </xf>
    <xf numFmtId="0" fontId="16" fillId="0" borderId="12" xfId="0" applyFont="1" applyBorder="1" applyAlignment="1">
      <alignment wrapText="1"/>
    </xf>
    <xf numFmtId="0" fontId="16" fillId="0" borderId="13" xfId="0" applyFont="1" applyBorder="1" applyAlignment="1">
      <alignment wrapText="1"/>
    </xf>
    <xf numFmtId="0" fontId="16" fillId="0" borderId="14" xfId="0" applyFont="1" applyBorder="1" applyAlignment="1">
      <alignment wrapText="1"/>
    </xf>
    <xf numFmtId="0" fontId="17" fillId="0" borderId="11" xfId="0" applyFont="1" applyBorder="1" applyAlignment="1">
      <alignment vertical="center"/>
    </xf>
    <xf numFmtId="0" fontId="1" fillId="0" borderId="11" xfId="0" applyFont="1" applyBorder="1" applyAlignment="1">
      <alignment wrapText="1"/>
    </xf>
    <xf numFmtId="0" fontId="1" fillId="0" borderId="11" xfId="0" applyFont="1" applyBorder="1" applyAlignment="1">
      <alignment vertical="center" wrapText="1"/>
    </xf>
    <xf numFmtId="0" fontId="16" fillId="8" borderId="11" xfId="0" applyFont="1" applyFill="1" applyBorder="1" applyAlignment="1">
      <alignment horizontal="center" vertical="center" wrapText="1"/>
    </xf>
    <xf numFmtId="0" fontId="1" fillId="8" borderId="11" xfId="0" applyFont="1" applyFill="1" applyBorder="1" applyAlignment="1">
      <alignment vertical="center" wrapText="1"/>
    </xf>
    <xf numFmtId="0" fontId="16" fillId="8" borderId="11" xfId="0" applyFont="1" applyFill="1" applyBorder="1" applyAlignment="1">
      <alignment horizontal="center" vertical="center" wrapText="1"/>
    </xf>
    <xf numFmtId="0" fontId="16" fillId="8" borderId="11" xfId="0" applyFont="1" applyFill="1" applyBorder="1" applyAlignment="1">
      <alignment horizontal="right" vertical="center" wrapText="1"/>
    </xf>
    <xf numFmtId="0" fontId="16" fillId="8" borderId="11" xfId="0" applyFont="1" applyFill="1" applyBorder="1" applyAlignment="1">
      <alignment vertical="center"/>
    </xf>
    <xf numFmtId="0" fontId="19" fillId="8" borderId="11" xfId="0" applyFont="1" applyFill="1" applyBorder="1" applyAlignment="1">
      <alignment horizontal="center" vertical="center" wrapText="1"/>
    </xf>
    <xf numFmtId="0" fontId="21" fillId="0" borderId="11" xfId="0" applyFont="1" applyBorder="1" applyAlignment="1">
      <alignment vertical="center" wrapText="1"/>
    </xf>
    <xf numFmtId="0" fontId="1" fillId="8" borderId="11" xfId="0" applyFont="1" applyFill="1" applyBorder="1" applyAlignment="1">
      <alignment horizontal="center" vertical="center" wrapText="1"/>
    </xf>
    <xf numFmtId="0" fontId="23" fillId="0" borderId="11" xfId="0" applyFont="1" applyBorder="1" applyAlignment="1">
      <alignment vertical="center" wrapText="1"/>
    </xf>
    <xf numFmtId="0" fontId="23" fillId="8" borderId="11" xfId="0" applyFont="1" applyFill="1" applyBorder="1" applyAlignment="1">
      <alignment horizontal="center" vertical="center" wrapText="1"/>
    </xf>
    <xf numFmtId="0" fontId="23" fillId="8" borderId="11" xfId="0" applyFont="1" applyFill="1" applyBorder="1" applyAlignment="1">
      <alignment vertical="center" wrapText="1"/>
    </xf>
    <xf numFmtId="0" fontId="20" fillId="0" borderId="11" xfId="0" applyFont="1" applyBorder="1" applyAlignment="1">
      <alignment horizontal="center" wrapText="1"/>
    </xf>
    <xf numFmtId="0" fontId="23" fillId="0" borderId="11" xfId="0" applyFont="1" applyBorder="1" applyAlignment="1">
      <alignment horizontal="right" vertical="center" wrapText="1"/>
    </xf>
    <xf numFmtId="0" fontId="16" fillId="0" borderId="11"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1" xfId="0" applyFont="1" applyBorder="1" applyAlignment="1">
      <alignment horizontal="right" vertical="center" wrapText="1"/>
    </xf>
    <xf numFmtId="0" fontId="1" fillId="0" borderId="11" xfId="0" applyFont="1" applyBorder="1" applyAlignment="1">
      <alignment horizontal="center" vertical="center" wrapText="1"/>
    </xf>
    <xf numFmtId="0" fontId="17" fillId="0" borderId="11" xfId="0" applyFont="1" applyBorder="1" applyAlignment="1">
      <alignment vertical="center" wrapText="1"/>
    </xf>
    <xf numFmtId="0" fontId="19" fillId="0" borderId="11" xfId="0" applyFont="1" applyBorder="1" applyAlignment="1">
      <alignment horizontal="center" vertical="center" wrapText="1"/>
    </xf>
    <xf numFmtId="0" fontId="19" fillId="0" borderId="11" xfId="0" applyFont="1" applyBorder="1" applyAlignment="1">
      <alignment vertical="center" wrapText="1"/>
    </xf>
    <xf numFmtId="0" fontId="19" fillId="0" borderId="11" xfId="0" applyFont="1" applyBorder="1" applyAlignment="1">
      <alignment horizontal="left" vertical="center" wrapText="1"/>
    </xf>
    <xf numFmtId="0" fontId="17" fillId="0" borderId="11" xfId="0" applyFont="1" applyBorder="1" applyAlignment="1">
      <alignment horizontal="left" vertical="center"/>
    </xf>
    <xf numFmtId="0" fontId="0" fillId="0" borderId="11" xfId="0" applyFont="1" applyBorder="1" applyAlignment="1">
      <alignment horizontal="center" vertical="center"/>
    </xf>
    <xf numFmtId="0" fontId="1" fillId="0" borderId="11" xfId="0" applyFont="1" applyBorder="1" applyAlignment="1">
      <alignment horizontal="center" vertical="center"/>
    </xf>
    <xf numFmtId="0" fontId="0" fillId="0" borderId="11" xfId="0" applyFont="1" applyBorder="1" applyAlignment="1"/>
    <xf numFmtId="0" fontId="1" fillId="0" borderId="11" xfId="0" applyFont="1" applyFill="1" applyBorder="1" applyAlignment="1">
      <alignment horizontal="center" vertical="center"/>
    </xf>
    <xf numFmtId="0" fontId="20" fillId="0" borderId="1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43" workbookViewId="0">
      <selection activeCell="G6" sqref="G6"/>
    </sheetView>
  </sheetViews>
  <sheetFormatPr defaultColWidth="14.44140625" defaultRowHeight="15" customHeight="1"/>
  <cols>
    <col min="1" max="1" width="34.6640625" customWidth="1"/>
    <col min="2" max="2" width="22.5546875" customWidth="1"/>
    <col min="3" max="3" width="16.33203125" customWidth="1"/>
    <col min="4" max="4" width="34.109375" customWidth="1"/>
    <col min="5" max="5" width="15.33203125" customWidth="1"/>
    <col min="6" max="6" width="38.5546875" customWidth="1"/>
    <col min="7" max="7" width="34.109375" customWidth="1"/>
    <col min="8" max="8" width="11.44140625" customWidth="1"/>
    <col min="9" max="26" width="8.6640625" customWidth="1"/>
  </cols>
  <sheetData>
    <row r="1" spans="1:8" ht="14.25" customHeight="1">
      <c r="A1" s="35" t="s">
        <v>0</v>
      </c>
      <c r="B1" s="36"/>
      <c r="C1" s="36"/>
      <c r="D1" s="36"/>
      <c r="E1" s="36"/>
      <c r="F1" s="36"/>
      <c r="G1" s="36"/>
      <c r="H1" s="36"/>
    </row>
    <row r="2" spans="1:8" ht="14.25" customHeight="1">
      <c r="A2" s="36"/>
      <c r="B2" s="36"/>
      <c r="C2" s="36"/>
      <c r="D2" s="36"/>
      <c r="E2" s="36"/>
      <c r="F2" s="36"/>
      <c r="G2" s="36"/>
      <c r="H2" s="36"/>
    </row>
    <row r="3" spans="1:8" ht="14.25" customHeight="1"/>
    <row r="4" spans="1:8" ht="14.25" customHeight="1">
      <c r="A4" s="37" t="s">
        <v>1</v>
      </c>
      <c r="B4" s="34"/>
      <c r="F4" s="1" t="s">
        <v>2</v>
      </c>
      <c r="G4" s="1" t="s">
        <v>3</v>
      </c>
      <c r="H4" s="1" t="s">
        <v>4</v>
      </c>
    </row>
    <row r="5" spans="1:8" ht="14.25" customHeight="1">
      <c r="A5" s="2" t="s">
        <v>5</v>
      </c>
      <c r="B5" s="2" t="s">
        <v>6</v>
      </c>
      <c r="F5" s="2" t="s">
        <v>7</v>
      </c>
      <c r="G5" s="2">
        <v>30</v>
      </c>
      <c r="H5" s="2">
        <v>70</v>
      </c>
    </row>
    <row r="6" spans="1:8" ht="14.25" customHeight="1">
      <c r="A6" s="2" t="s">
        <v>8</v>
      </c>
      <c r="B6" s="2">
        <v>47</v>
      </c>
      <c r="C6" s="2">
        <v>32</v>
      </c>
      <c r="D6" s="2">
        <v>94</v>
      </c>
      <c r="F6" s="2" t="s">
        <v>9</v>
      </c>
      <c r="G6" s="3">
        <v>4</v>
      </c>
      <c r="H6" s="2">
        <v>90</v>
      </c>
    </row>
    <row r="7" spans="1:8" ht="14.25" customHeight="1">
      <c r="A7" s="2" t="s">
        <v>10</v>
      </c>
      <c r="B7" s="2">
        <v>50</v>
      </c>
    </row>
    <row r="8" spans="1:8" ht="14.25" customHeight="1">
      <c r="A8" s="2" t="s">
        <v>11</v>
      </c>
      <c r="B8" s="2">
        <f>PI()*(B6/2)*(C6/2)*D6</f>
        <v>111036.45074847765</v>
      </c>
    </row>
    <row r="9" spans="1:8" ht="14.25" customHeight="1">
      <c r="A9" s="3" t="s">
        <v>12</v>
      </c>
      <c r="B9" s="3">
        <v>50</v>
      </c>
    </row>
    <row r="10" spans="1:8" ht="14.25" customHeight="1">
      <c r="A10" s="2" t="s">
        <v>13</v>
      </c>
      <c r="B10" s="3">
        <v>6</v>
      </c>
      <c r="C10" s="4" t="s">
        <v>14</v>
      </c>
    </row>
    <row r="11" spans="1:8" ht="14.25" customHeight="1">
      <c r="A11" s="2" t="s">
        <v>15</v>
      </c>
      <c r="B11" s="2">
        <f>B9*B10</f>
        <v>300</v>
      </c>
    </row>
    <row r="12" spans="1:8" ht="14.25" customHeight="1">
      <c r="A12" s="2" t="s">
        <v>16</v>
      </c>
      <c r="B12" s="3">
        <f>B11*B7/1000</f>
        <v>15</v>
      </c>
    </row>
    <row r="13" spans="1:8" ht="14.25" customHeight="1">
      <c r="A13" s="2" t="s">
        <v>17</v>
      </c>
      <c r="B13" s="2">
        <f>(D6*4)*(B6*2)*(C6*B10)*(0.000001)</f>
        <v>6.7860480000000001</v>
      </c>
    </row>
    <row r="14" spans="1:8" ht="14.25" customHeight="1">
      <c r="A14" s="2" t="s">
        <v>18</v>
      </c>
      <c r="B14" s="3">
        <v>14.020799999999999</v>
      </c>
      <c r="C14" s="3">
        <v>4.23672</v>
      </c>
      <c r="D14" s="3">
        <v>3.048</v>
      </c>
    </row>
    <row r="15" spans="1:8" ht="14.25" customHeight="1">
      <c r="A15" s="2" t="s">
        <v>19</v>
      </c>
      <c r="B15" s="2">
        <f>B14*C14*D14</f>
        <v>181.057917109248</v>
      </c>
    </row>
    <row r="16" spans="1:8" ht="14.25" customHeight="1">
      <c r="A16" s="5" t="s">
        <v>20</v>
      </c>
      <c r="B16" s="5">
        <v>39.234000000000002</v>
      </c>
      <c r="C16" s="5">
        <v>10.234</v>
      </c>
      <c r="D16" s="5">
        <v>8.1999999999999993</v>
      </c>
    </row>
    <row r="17" spans="1:7" ht="14.25" customHeight="1">
      <c r="A17" s="5" t="s">
        <v>21</v>
      </c>
      <c r="B17" s="6">
        <f>B16*C16*D16</f>
        <v>3292.4701991999996</v>
      </c>
    </row>
    <row r="18" spans="1:7" ht="14.25" customHeight="1"/>
    <row r="19" spans="1:7" ht="14.25" customHeight="1">
      <c r="A19" s="37" t="s">
        <v>22</v>
      </c>
      <c r="B19" s="34"/>
    </row>
    <row r="20" spans="1:7" ht="14.25" customHeight="1">
      <c r="A20" s="38" t="s">
        <v>23</v>
      </c>
      <c r="B20" s="40" t="s">
        <v>24</v>
      </c>
    </row>
    <row r="21" spans="1:7" ht="14.25" customHeight="1">
      <c r="A21" s="39"/>
      <c r="B21" s="39"/>
      <c r="F21" s="37" t="s">
        <v>25</v>
      </c>
      <c r="G21" s="34"/>
    </row>
    <row r="22" spans="1:7" ht="15.75" customHeight="1">
      <c r="A22" s="3" t="s">
        <v>26</v>
      </c>
      <c r="B22" s="3">
        <v>0.27500000000000002</v>
      </c>
      <c r="F22" s="7" t="s">
        <v>27</v>
      </c>
      <c r="G22" s="8">
        <v>3.39</v>
      </c>
    </row>
    <row r="23" spans="1:7" ht="14.25" customHeight="1">
      <c r="A23" s="4" t="s">
        <v>28</v>
      </c>
      <c r="B23" s="4">
        <v>0.43</v>
      </c>
      <c r="F23" s="2" t="s">
        <v>29</v>
      </c>
      <c r="G23" s="9">
        <v>3.6</v>
      </c>
    </row>
    <row r="24" spans="1:7" ht="14.25" customHeight="1">
      <c r="F24" s="2" t="s">
        <v>30</v>
      </c>
      <c r="G24" s="2">
        <f>B12*1000</f>
        <v>15000</v>
      </c>
    </row>
    <row r="25" spans="1:7" ht="14.25" customHeight="1">
      <c r="F25" s="2" t="s">
        <v>31</v>
      </c>
      <c r="G25" s="2">
        <v>7</v>
      </c>
    </row>
    <row r="26" spans="1:7" ht="14.25" customHeight="1">
      <c r="A26" s="1" t="s">
        <v>32</v>
      </c>
      <c r="B26" s="1" t="s">
        <v>33</v>
      </c>
      <c r="C26" s="1" t="s">
        <v>34</v>
      </c>
      <c r="D26" s="1" t="s">
        <v>35</v>
      </c>
      <c r="F26" s="2" t="s">
        <v>36</v>
      </c>
      <c r="G26" s="2">
        <f>(G24*G22*(G5-G6))/(G25*3600)</f>
        <v>52.464285714285715</v>
      </c>
    </row>
    <row r="27" spans="1:7" ht="14.25" customHeight="1">
      <c r="A27" s="2" t="s">
        <v>37</v>
      </c>
      <c r="B27" s="2">
        <f>B14*D14</f>
        <v>42.735398400000001</v>
      </c>
      <c r="C27" s="2">
        <f>G5</f>
        <v>30</v>
      </c>
      <c r="D27" s="2">
        <f>B27*B22*(C27-G6)*(24/1000)</f>
        <v>7.3333943654400002</v>
      </c>
      <c r="F27" s="2" t="s">
        <v>38</v>
      </c>
      <c r="G27" s="2">
        <f>(G24*G23)/3600</f>
        <v>15</v>
      </c>
    </row>
    <row r="28" spans="1:7" ht="14.25" customHeight="1">
      <c r="A28" s="2" t="s">
        <v>39</v>
      </c>
      <c r="B28" s="2">
        <f>C14*D14</f>
        <v>12.913522560000001</v>
      </c>
      <c r="C28" s="2">
        <f>G5</f>
        <v>30</v>
      </c>
      <c r="D28" s="2">
        <f>B22*B28*(C28-G6)*(24/1000)</f>
        <v>2.2159604712960004</v>
      </c>
      <c r="F28" s="1" t="s">
        <v>40</v>
      </c>
      <c r="G28" s="10">
        <f>SUM(G26:G27)</f>
        <v>67.464285714285722</v>
      </c>
    </row>
    <row r="29" spans="1:7" ht="14.25" customHeight="1">
      <c r="A29" s="2" t="s">
        <v>41</v>
      </c>
      <c r="B29" s="2">
        <f>B28</f>
        <v>12.913522560000001</v>
      </c>
      <c r="C29" s="2">
        <f>G5+3</f>
        <v>33</v>
      </c>
      <c r="D29" s="2">
        <f>B29*B22*(C29-G6)*(24/1000)</f>
        <v>2.4716482179840003</v>
      </c>
    </row>
    <row r="30" spans="1:7" ht="14.25" customHeight="1">
      <c r="A30" s="2" t="s">
        <v>42</v>
      </c>
      <c r="B30" s="2">
        <f>B27</f>
        <v>42.735398400000001</v>
      </c>
      <c r="C30" s="2">
        <f>G5+1</f>
        <v>31</v>
      </c>
      <c r="D30" s="2">
        <f>B22*B30*(C30-G6)*(24/1000)</f>
        <v>7.6154479948800011</v>
      </c>
    </row>
    <row r="31" spans="1:7" ht="14.25" customHeight="1">
      <c r="A31" s="2" t="s">
        <v>43</v>
      </c>
      <c r="B31" s="2">
        <f>B14*C14</f>
        <v>59.402203776</v>
      </c>
      <c r="C31" s="2">
        <f>G5+11</f>
        <v>41</v>
      </c>
      <c r="D31" s="2">
        <f>B31*B22*(C31-G6)*(24/1000)</f>
        <v>14.506018162099203</v>
      </c>
    </row>
    <row r="32" spans="1:7" ht="14.25" customHeight="1">
      <c r="A32" s="2" t="s">
        <v>44</v>
      </c>
      <c r="B32" s="2">
        <f>B31</f>
        <v>59.402203776</v>
      </c>
      <c r="C32" s="2">
        <f>G5-15</f>
        <v>15</v>
      </c>
      <c r="D32" s="2">
        <f>B23*B32*(C32-G6)*(24/1000)</f>
        <v>6.7433381726515194</v>
      </c>
    </row>
    <row r="33" spans="1:8" ht="14.25" customHeight="1">
      <c r="A33" s="33" t="s">
        <v>45</v>
      </c>
      <c r="B33" s="41"/>
      <c r="C33" s="34"/>
      <c r="D33" s="10">
        <f>SUM(D27:D32)</f>
        <v>40.885807384350727</v>
      </c>
    </row>
    <row r="34" spans="1:8" ht="14.25" customHeight="1"/>
    <row r="35" spans="1:8" ht="14.25" customHeight="1"/>
    <row r="36" spans="1:8" ht="14.25" customHeight="1"/>
    <row r="37" spans="1:8" ht="14.25" customHeight="1">
      <c r="A37" s="37" t="s">
        <v>46</v>
      </c>
      <c r="B37" s="34"/>
      <c r="D37" s="37" t="s">
        <v>47</v>
      </c>
      <c r="E37" s="34"/>
      <c r="G37" s="37" t="s">
        <v>48</v>
      </c>
      <c r="H37" s="34"/>
    </row>
    <row r="38" spans="1:8" ht="14.25" customHeight="1">
      <c r="A38" s="33" t="s">
        <v>49</v>
      </c>
      <c r="B38" s="34"/>
      <c r="D38" s="2" t="s">
        <v>50</v>
      </c>
      <c r="E38" s="3">
        <v>6</v>
      </c>
      <c r="G38" s="33" t="s">
        <v>51</v>
      </c>
      <c r="H38" s="34"/>
    </row>
    <row r="39" spans="1:8" ht="14.25" customHeight="1">
      <c r="A39" s="2" t="s">
        <v>52</v>
      </c>
      <c r="B39" s="3">
        <v>2</v>
      </c>
      <c r="D39" s="3" t="s">
        <v>53</v>
      </c>
      <c r="E39" s="2">
        <f>B17</f>
        <v>3292.4701991999996</v>
      </c>
      <c r="G39" s="2" t="s">
        <v>54</v>
      </c>
      <c r="H39" s="11">
        <v>3</v>
      </c>
    </row>
    <row r="40" spans="1:8" ht="14.25" customHeight="1">
      <c r="A40" s="2" t="s">
        <v>55</v>
      </c>
      <c r="B40" s="3">
        <v>6</v>
      </c>
      <c r="D40" s="3" t="s">
        <v>56</v>
      </c>
      <c r="E40" s="2">
        <f>E39*E38/(24*60)</f>
        <v>13.718625829999999</v>
      </c>
      <c r="G40" s="2" t="s">
        <v>57</v>
      </c>
      <c r="H40" s="11">
        <v>185</v>
      </c>
    </row>
    <row r="41" spans="1:8" ht="14.25" customHeight="1">
      <c r="A41" s="2" t="s">
        <v>58</v>
      </c>
      <c r="B41" s="2">
        <v>270</v>
      </c>
      <c r="D41" s="3" t="s">
        <v>59</v>
      </c>
      <c r="E41" s="12">
        <v>62</v>
      </c>
      <c r="F41" s="4">
        <v>1.2</v>
      </c>
      <c r="G41" s="2" t="s">
        <v>60</v>
      </c>
      <c r="H41" s="11">
        <v>16</v>
      </c>
    </row>
    <row r="42" spans="1:8" ht="14.25" customHeight="1">
      <c r="A42" s="2" t="s">
        <v>61</v>
      </c>
      <c r="B42" s="2">
        <f>(B39*B40*B41)/1000</f>
        <v>3.24</v>
      </c>
      <c r="D42" s="4" t="s">
        <v>62</v>
      </c>
      <c r="E42" s="4">
        <v>89</v>
      </c>
      <c r="G42" s="2" t="s">
        <v>63</v>
      </c>
      <c r="H42" s="13">
        <f>(H39*H40*H41)/1000</f>
        <v>8.8800000000000008</v>
      </c>
    </row>
    <row r="43" spans="1:8" ht="14.25" customHeight="1">
      <c r="D43" s="4" t="s">
        <v>64</v>
      </c>
      <c r="E43" s="14">
        <f>E39*E38/E41/60</f>
        <v>5.3104358051612897</v>
      </c>
      <c r="G43" s="1" t="s">
        <v>65</v>
      </c>
      <c r="H43" s="10">
        <f>H42</f>
        <v>8.8800000000000008</v>
      </c>
    </row>
    <row r="44" spans="1:8" ht="14.25" customHeight="1">
      <c r="A44" s="33" t="s">
        <v>66</v>
      </c>
      <c r="B44" s="34"/>
      <c r="D44" s="4" t="s">
        <v>67</v>
      </c>
      <c r="E44" s="4">
        <v>1.2921999999999999E-2</v>
      </c>
    </row>
    <row r="45" spans="1:8" ht="14.25" customHeight="1">
      <c r="A45" s="2" t="s">
        <v>68</v>
      </c>
      <c r="B45" s="3">
        <v>3</v>
      </c>
      <c r="D45" s="4" t="s">
        <v>69</v>
      </c>
      <c r="E45" s="4">
        <v>60</v>
      </c>
    </row>
    <row r="46" spans="1:8" ht="14.25" customHeight="1">
      <c r="A46" s="2" t="s">
        <v>70</v>
      </c>
      <c r="B46" s="3">
        <v>35</v>
      </c>
      <c r="D46" s="4" t="s">
        <v>71</v>
      </c>
      <c r="E46" s="14">
        <f>E41*0.028*G46*60</f>
        <v>123.32544</v>
      </c>
      <c r="F46" s="4" t="s">
        <v>72</v>
      </c>
      <c r="G46" s="4">
        <v>1.1839999999999999</v>
      </c>
    </row>
    <row r="47" spans="1:8" ht="14.25" customHeight="1">
      <c r="A47" s="2" t="s">
        <v>60</v>
      </c>
      <c r="B47" s="3">
        <v>12</v>
      </c>
      <c r="D47" s="4" t="s">
        <v>73</v>
      </c>
      <c r="E47" s="14">
        <f>E44*E46</f>
        <v>1.5936113356799999</v>
      </c>
    </row>
    <row r="48" spans="1:8" ht="14.25" customHeight="1">
      <c r="A48" s="2" t="s">
        <v>74</v>
      </c>
      <c r="B48" s="2">
        <f>(B45*B46*B47)/1000</f>
        <v>1.26</v>
      </c>
      <c r="D48" s="15" t="s">
        <v>75</v>
      </c>
      <c r="E48" s="16">
        <f>E47*E43*(100-E45)/100</f>
        <v>3.3851082786023916</v>
      </c>
    </row>
    <row r="49" spans="1:5" ht="14.25" customHeight="1">
      <c r="A49" s="1" t="s">
        <v>76</v>
      </c>
      <c r="B49" s="10">
        <f>B42+B48</f>
        <v>4.5</v>
      </c>
    </row>
    <row r="50" spans="1:5" ht="14.25" customHeight="1"/>
    <row r="51" spans="1:5" ht="14.25" customHeight="1"/>
    <row r="52" spans="1:5" ht="14.25" customHeight="1"/>
    <row r="53" spans="1:5" ht="14.25" customHeight="1">
      <c r="D53" s="1" t="s">
        <v>77</v>
      </c>
      <c r="E53" s="10">
        <f>D33+G28+B49+E47+H43</f>
        <v>123.32370443431644</v>
      </c>
    </row>
    <row r="54" spans="1:5" ht="14.25" customHeight="1">
      <c r="D54" s="2" t="s">
        <v>78</v>
      </c>
      <c r="E54" s="3">
        <v>10</v>
      </c>
    </row>
    <row r="55" spans="1:5" ht="14.25" customHeight="1">
      <c r="D55" s="2" t="s">
        <v>79</v>
      </c>
      <c r="E55" s="2">
        <f>E53+(E54/100)*E53</f>
        <v>135.6560748777481</v>
      </c>
    </row>
    <row r="56" spans="1:5" ht="14.25" customHeight="1">
      <c r="D56" s="2" t="s">
        <v>80</v>
      </c>
      <c r="E56" s="3">
        <v>16</v>
      </c>
    </row>
    <row r="57" spans="1:5" ht="14.25" customHeight="1"/>
    <row r="58" spans="1:5" ht="14.25" customHeight="1">
      <c r="D58" s="1" t="s">
        <v>81</v>
      </c>
      <c r="E58" s="17">
        <f>E55/E56</f>
        <v>8.478504679859256</v>
      </c>
    </row>
    <row r="59" spans="1:5" ht="14.25" customHeight="1">
      <c r="D59" s="1" t="s">
        <v>82</v>
      </c>
      <c r="E59" s="18">
        <f>E58/3.517</f>
        <v>2.4107206937330838</v>
      </c>
    </row>
    <row r="60" spans="1:5" ht="14.25" customHeight="1"/>
    <row r="61" spans="1:5" ht="14.25" customHeight="1">
      <c r="D61" s="2" t="s">
        <v>83</v>
      </c>
      <c r="E61" s="3">
        <v>1</v>
      </c>
    </row>
    <row r="62" spans="1:5" ht="14.25" customHeight="1">
      <c r="D62" s="1" t="s">
        <v>84</v>
      </c>
      <c r="E62" s="17">
        <f>E58/E61</f>
        <v>8.478504679859256</v>
      </c>
    </row>
    <row r="63" spans="1:5" ht="14.25" customHeight="1">
      <c r="D63" s="1" t="s">
        <v>85</v>
      </c>
      <c r="E63" s="1">
        <f>B16/3.28</f>
        <v>11.96158536585366</v>
      </c>
    </row>
    <row r="64" spans="1:5" ht="14.25" customHeight="1"/>
    <row r="65" spans="1:3" ht="14.25" customHeight="1">
      <c r="A65" s="1" t="s">
        <v>86</v>
      </c>
      <c r="B65" s="1" t="s">
        <v>87</v>
      </c>
      <c r="C65" s="1" t="s">
        <v>88</v>
      </c>
    </row>
    <row r="66" spans="1:3" ht="14.25" customHeight="1">
      <c r="A66" s="2"/>
      <c r="B66" s="2"/>
      <c r="C66" s="2"/>
    </row>
    <row r="67" spans="1:3" ht="14.25" customHeight="1">
      <c r="A67" s="2"/>
      <c r="B67" s="2"/>
      <c r="C67" s="2"/>
    </row>
    <row r="68" spans="1:3" ht="14.25" customHeight="1"/>
    <row r="69" spans="1:3" ht="14.25" customHeight="1"/>
    <row r="70" spans="1:3" ht="14.25" customHeight="1"/>
    <row r="71" spans="1:3" ht="14.25" customHeight="1"/>
    <row r="72" spans="1:3" ht="14.25" customHeight="1"/>
    <row r="73" spans="1:3" ht="14.25" customHeight="1"/>
    <row r="74" spans="1:3" ht="14.25" customHeight="1"/>
    <row r="75" spans="1:3" ht="14.25" customHeight="1"/>
    <row r="76" spans="1:3" ht="14.25" customHeight="1"/>
    <row r="77" spans="1:3" ht="14.25" customHeight="1"/>
    <row r="78" spans="1:3" ht="14.25" customHeight="1"/>
    <row r="79" spans="1:3" ht="14.25" customHeight="1"/>
    <row r="80" spans="1:3"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A44:B44"/>
    <mergeCell ref="A1:H2"/>
    <mergeCell ref="A4:B4"/>
    <mergeCell ref="A19:B19"/>
    <mergeCell ref="A20:A21"/>
    <mergeCell ref="B20:B21"/>
    <mergeCell ref="F21:G21"/>
    <mergeCell ref="A33:C33"/>
    <mergeCell ref="A37:B37"/>
    <mergeCell ref="D37:E37"/>
    <mergeCell ref="G37:H37"/>
    <mergeCell ref="A38:B38"/>
    <mergeCell ref="G38:H3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66"/>
  <sheetViews>
    <sheetView topLeftCell="A37" workbookViewId="0">
      <selection activeCell="G6" sqref="G6"/>
    </sheetView>
  </sheetViews>
  <sheetFormatPr defaultColWidth="14.44140625" defaultRowHeight="15" customHeight="1"/>
  <cols>
    <col min="1" max="1" width="37" customWidth="1"/>
    <col min="2" max="2" width="15.88671875" customWidth="1"/>
    <col min="4" max="4" width="34" customWidth="1"/>
    <col min="6" max="6" width="32.88671875" customWidth="1"/>
    <col min="7" max="7" width="29.88671875" customWidth="1"/>
  </cols>
  <sheetData>
    <row r="1" spans="1:8" ht="14.4">
      <c r="A1" s="35" t="s">
        <v>89</v>
      </c>
      <c r="B1" s="36"/>
      <c r="C1" s="36"/>
      <c r="D1" s="36"/>
      <c r="E1" s="36"/>
      <c r="F1" s="36"/>
      <c r="G1" s="36"/>
      <c r="H1" s="36"/>
    </row>
    <row r="2" spans="1:8" ht="15" customHeight="1">
      <c r="A2" s="36"/>
      <c r="B2" s="36"/>
      <c r="C2" s="36"/>
      <c r="D2" s="36"/>
      <c r="E2" s="36"/>
      <c r="F2" s="36"/>
      <c r="G2" s="36"/>
      <c r="H2" s="36"/>
    </row>
    <row r="4" spans="1:8" ht="16.2">
      <c r="A4" s="37" t="s">
        <v>1</v>
      </c>
      <c r="B4" s="34"/>
      <c r="F4" s="1" t="s">
        <v>2</v>
      </c>
      <c r="G4" s="1" t="s">
        <v>90</v>
      </c>
      <c r="H4" s="1" t="s">
        <v>4</v>
      </c>
    </row>
    <row r="5" spans="1:8" ht="14.4">
      <c r="A5" s="2" t="s">
        <v>5</v>
      </c>
      <c r="B5" s="2" t="s">
        <v>6</v>
      </c>
      <c r="F5" s="2" t="s">
        <v>7</v>
      </c>
      <c r="G5" s="3">
        <v>25</v>
      </c>
      <c r="H5" s="2">
        <v>70</v>
      </c>
    </row>
    <row r="6" spans="1:8" ht="14.4">
      <c r="A6" s="2" t="s">
        <v>8</v>
      </c>
      <c r="B6" s="2">
        <v>47</v>
      </c>
      <c r="C6" s="2">
        <v>32</v>
      </c>
      <c r="D6" s="2">
        <v>94</v>
      </c>
      <c r="F6" s="2" t="s">
        <v>9</v>
      </c>
      <c r="G6" s="3">
        <v>4</v>
      </c>
      <c r="H6" s="2">
        <v>90</v>
      </c>
    </row>
    <row r="7" spans="1:8" ht="14.4">
      <c r="A7" s="2" t="s">
        <v>10</v>
      </c>
      <c r="B7" s="2">
        <v>50</v>
      </c>
    </row>
    <row r="8" spans="1:8" ht="14.4">
      <c r="A8" s="2" t="s">
        <v>11</v>
      </c>
      <c r="B8" s="2">
        <f>PI()*(B6/2)*(C6/2)*D6</f>
        <v>111036.45074847765</v>
      </c>
    </row>
    <row r="9" spans="1:8" ht="14.4">
      <c r="A9" s="3" t="s">
        <v>12</v>
      </c>
      <c r="B9" s="3">
        <v>58</v>
      </c>
    </row>
    <row r="10" spans="1:8" ht="14.4">
      <c r="A10" s="2" t="s">
        <v>13</v>
      </c>
      <c r="B10" s="3">
        <v>6</v>
      </c>
      <c r="C10" s="4" t="s">
        <v>14</v>
      </c>
    </row>
    <row r="11" spans="1:8" ht="14.4">
      <c r="A11" s="2" t="s">
        <v>15</v>
      </c>
      <c r="B11" s="2">
        <f>B9*B10</f>
        <v>348</v>
      </c>
    </row>
    <row r="12" spans="1:8" ht="14.4">
      <c r="A12" s="2" t="s">
        <v>16</v>
      </c>
      <c r="B12" s="3">
        <f>B11*B7/1000</f>
        <v>17.399999999999999</v>
      </c>
      <c r="G12" t="s">
        <v>144</v>
      </c>
    </row>
    <row r="13" spans="1:8" ht="14.4">
      <c r="A13" s="2" t="s">
        <v>17</v>
      </c>
      <c r="B13" s="2">
        <f>(D6*4)*(B6*2)*(C6*B10)*(0.000001)</f>
        <v>6.7860480000000001</v>
      </c>
    </row>
    <row r="14" spans="1:8" ht="14.4">
      <c r="A14" s="2" t="s">
        <v>18</v>
      </c>
      <c r="B14" s="3">
        <v>9.1186000000000007</v>
      </c>
      <c r="C14" s="3">
        <v>5.5625999999999998</v>
      </c>
      <c r="D14" s="3">
        <v>3.048</v>
      </c>
    </row>
    <row r="15" spans="1:8" ht="14.4">
      <c r="A15" s="2" t="s">
        <v>19</v>
      </c>
      <c r="B15" s="2">
        <f>B14*C14*D14</f>
        <v>154.60408304928001</v>
      </c>
    </row>
    <row r="16" spans="1:8" ht="14.4">
      <c r="A16" s="5" t="s">
        <v>20</v>
      </c>
      <c r="B16" s="5">
        <v>23.401</v>
      </c>
      <c r="C16" s="5">
        <v>15.9895</v>
      </c>
      <c r="D16" s="5">
        <v>8.1999999999999993</v>
      </c>
    </row>
    <row r="17" spans="1:7" ht="14.4">
      <c r="A17" s="5" t="s">
        <v>21</v>
      </c>
      <c r="B17" s="6">
        <f>B16*C16*D16</f>
        <v>3068.1963738999993</v>
      </c>
    </row>
    <row r="19" spans="1:7" ht="14.4">
      <c r="A19" s="37" t="s">
        <v>22</v>
      </c>
      <c r="B19" s="34"/>
    </row>
    <row r="20" spans="1:7" ht="14.4">
      <c r="A20" s="38" t="s">
        <v>23</v>
      </c>
      <c r="B20" s="40" t="s">
        <v>91</v>
      </c>
    </row>
    <row r="21" spans="1:7" ht="14.4">
      <c r="A21" s="39"/>
      <c r="B21" s="39"/>
      <c r="F21" s="37" t="s">
        <v>25</v>
      </c>
      <c r="G21" s="34"/>
    </row>
    <row r="22" spans="1:7" ht="30.6">
      <c r="A22" s="3" t="s">
        <v>26</v>
      </c>
      <c r="B22" s="3">
        <v>0.27500000000000002</v>
      </c>
      <c r="F22" s="7" t="s">
        <v>92</v>
      </c>
      <c r="G22" s="8">
        <v>3.39</v>
      </c>
    </row>
    <row r="23" spans="1:7" ht="14.4">
      <c r="A23" s="4" t="s">
        <v>28</v>
      </c>
      <c r="B23" s="4">
        <v>0.43</v>
      </c>
      <c r="F23" s="2" t="s">
        <v>29</v>
      </c>
      <c r="G23" s="9">
        <v>3.6</v>
      </c>
    </row>
    <row r="24" spans="1:7" ht="14.4">
      <c r="F24" s="2" t="s">
        <v>30</v>
      </c>
      <c r="G24" s="2">
        <f>B12*1000</f>
        <v>17400</v>
      </c>
    </row>
    <row r="25" spans="1:7" ht="14.4">
      <c r="F25" s="2" t="s">
        <v>31</v>
      </c>
      <c r="G25" s="2">
        <v>7</v>
      </c>
    </row>
    <row r="26" spans="1:7" ht="16.2">
      <c r="A26" s="1" t="s">
        <v>32</v>
      </c>
      <c r="B26" s="1" t="s">
        <v>33</v>
      </c>
      <c r="C26" s="1" t="s">
        <v>93</v>
      </c>
      <c r="D26" s="1" t="s">
        <v>35</v>
      </c>
      <c r="F26" s="2" t="s">
        <v>36</v>
      </c>
      <c r="G26" s="2">
        <f>(G24*G22*(G5-G6))/(G25*3600)</f>
        <v>49.155000000000001</v>
      </c>
    </row>
    <row r="27" spans="1:7" ht="14.4">
      <c r="A27" s="2" t="s">
        <v>37</v>
      </c>
      <c r="B27" s="2">
        <f>B14*D14</f>
        <v>27.793492800000003</v>
      </c>
      <c r="C27" s="2">
        <f>G5</f>
        <v>25</v>
      </c>
      <c r="D27" s="2">
        <f>B27*B22*(C27-G6)*(24/1000)</f>
        <v>3.8521781020800003</v>
      </c>
      <c r="F27" s="2" t="s">
        <v>38</v>
      </c>
      <c r="G27" s="2">
        <f>(G24*G23)/3600</f>
        <v>17.399999999999999</v>
      </c>
    </row>
    <row r="28" spans="1:7" ht="14.4">
      <c r="A28" s="2" t="s">
        <v>39</v>
      </c>
      <c r="B28" s="2">
        <f>C14*D14</f>
        <v>16.954804799999998</v>
      </c>
      <c r="C28" s="2">
        <f>G5</f>
        <v>25</v>
      </c>
      <c r="D28" s="2">
        <f>B22*B28*(C28-G6)*(24/1000)</f>
        <v>2.3499359452799999</v>
      </c>
      <c r="F28" s="1" t="s">
        <v>40</v>
      </c>
      <c r="G28" s="10">
        <f>SUM(G26:G27)</f>
        <v>66.555000000000007</v>
      </c>
    </row>
    <row r="29" spans="1:7" ht="14.4">
      <c r="A29" s="2" t="s">
        <v>41</v>
      </c>
      <c r="B29" s="2">
        <f>B28</f>
        <v>16.954804799999998</v>
      </c>
      <c r="C29" s="2">
        <f>G5+3</f>
        <v>28</v>
      </c>
      <c r="D29" s="2">
        <f>B29*B22*(C29-G6)*(24/1000)</f>
        <v>2.6856410803199999</v>
      </c>
    </row>
    <row r="30" spans="1:7" ht="14.4">
      <c r="A30" s="2" t="s">
        <v>42</v>
      </c>
      <c r="B30" s="2">
        <f>B27</f>
        <v>27.793492800000003</v>
      </c>
      <c r="C30" s="2">
        <f>G5+1</f>
        <v>26</v>
      </c>
      <c r="D30" s="2">
        <f>B22*B30*(C30-G6)*(24/1000)</f>
        <v>4.0356151545600003</v>
      </c>
    </row>
    <row r="31" spans="1:7" ht="14.4">
      <c r="A31" s="2" t="s">
        <v>43</v>
      </c>
      <c r="B31" s="2">
        <f>B14*C14</f>
        <v>50.72312436</v>
      </c>
      <c r="C31" s="2">
        <v>20</v>
      </c>
      <c r="D31" s="2">
        <f>B31*B22*(C31-G6)*(24/1000)</f>
        <v>5.3563619324160001</v>
      </c>
    </row>
    <row r="32" spans="1:7" ht="14.4">
      <c r="A32" s="2" t="s">
        <v>44</v>
      </c>
      <c r="B32" s="2">
        <f>B31</f>
        <v>50.72312436</v>
      </c>
      <c r="C32" s="2">
        <f>G5-15</f>
        <v>10</v>
      </c>
      <c r="D32" s="2">
        <f>B23*B32*(C32-G6)*(24/1000)</f>
        <v>3.1407758603711997</v>
      </c>
    </row>
    <row r="33" spans="1:8" ht="14.4">
      <c r="A33" s="33" t="s">
        <v>45</v>
      </c>
      <c r="B33" s="41"/>
      <c r="C33" s="34"/>
      <c r="D33" s="10">
        <f>SUM(D27:D32)</f>
        <v>21.4205080750272</v>
      </c>
    </row>
    <row r="37" spans="1:8" ht="14.4">
      <c r="A37" s="37" t="s">
        <v>46</v>
      </c>
      <c r="B37" s="34"/>
      <c r="D37" s="37" t="s">
        <v>47</v>
      </c>
      <c r="E37" s="34"/>
      <c r="G37" s="37" t="s">
        <v>48</v>
      </c>
      <c r="H37" s="34"/>
    </row>
    <row r="38" spans="1:8" ht="14.4">
      <c r="A38" s="33" t="s">
        <v>49</v>
      </c>
      <c r="B38" s="34"/>
      <c r="D38" s="2" t="s">
        <v>50</v>
      </c>
      <c r="E38" s="3">
        <v>6</v>
      </c>
      <c r="G38" s="33" t="s">
        <v>51</v>
      </c>
      <c r="H38" s="34"/>
    </row>
    <row r="39" spans="1:8" ht="14.4">
      <c r="A39" s="2" t="s">
        <v>52</v>
      </c>
      <c r="B39" s="3">
        <v>2</v>
      </c>
      <c r="D39" s="3" t="s">
        <v>53</v>
      </c>
      <c r="E39" s="2">
        <f>B17</f>
        <v>3068.1963738999993</v>
      </c>
      <c r="G39" s="2" t="s">
        <v>54</v>
      </c>
      <c r="H39" s="11">
        <v>3</v>
      </c>
    </row>
    <row r="40" spans="1:8" ht="14.4">
      <c r="A40" s="2" t="s">
        <v>55</v>
      </c>
      <c r="B40" s="3">
        <v>6</v>
      </c>
      <c r="D40" s="3" t="s">
        <v>56</v>
      </c>
      <c r="E40" s="2">
        <f>E39*E38/(24*60)</f>
        <v>12.784151557916665</v>
      </c>
      <c r="G40" s="2" t="s">
        <v>57</v>
      </c>
      <c r="H40" s="11">
        <v>135</v>
      </c>
    </row>
    <row r="41" spans="1:8" ht="14.4">
      <c r="A41" s="2" t="s">
        <v>58</v>
      </c>
      <c r="B41" s="2">
        <v>270</v>
      </c>
      <c r="D41" s="3" t="s">
        <v>59</v>
      </c>
      <c r="E41" s="12">
        <v>62</v>
      </c>
      <c r="F41" s="4">
        <v>1.2</v>
      </c>
      <c r="G41" s="2" t="s">
        <v>60</v>
      </c>
      <c r="H41" s="11">
        <v>16</v>
      </c>
    </row>
    <row r="42" spans="1:8" ht="14.4">
      <c r="A42" s="2" t="s">
        <v>61</v>
      </c>
      <c r="B42" s="2">
        <f>(B39*B40*B41)/1000</f>
        <v>3.24</v>
      </c>
      <c r="D42" s="4" t="s">
        <v>62</v>
      </c>
      <c r="E42" s="4">
        <v>89</v>
      </c>
      <c r="G42" s="2" t="s">
        <v>63</v>
      </c>
      <c r="H42" s="13">
        <f>(H39*H40*H41)/1000</f>
        <v>6.48</v>
      </c>
    </row>
    <row r="43" spans="1:8" ht="14.4">
      <c r="D43" s="4" t="s">
        <v>64</v>
      </c>
      <c r="E43" s="14">
        <f>E39*E38/E41/60</f>
        <v>4.9487038288709666</v>
      </c>
      <c r="G43" s="1" t="s">
        <v>65</v>
      </c>
      <c r="H43" s="10">
        <f>H42</f>
        <v>6.48</v>
      </c>
    </row>
    <row r="44" spans="1:8" ht="14.4">
      <c r="A44" s="33" t="s">
        <v>66</v>
      </c>
      <c r="B44" s="34"/>
      <c r="D44" s="4" t="s">
        <v>67</v>
      </c>
      <c r="E44" s="4">
        <v>1.2921999999999999E-2</v>
      </c>
    </row>
    <row r="45" spans="1:8" ht="14.4">
      <c r="A45" s="2" t="s">
        <v>68</v>
      </c>
      <c r="B45" s="3">
        <v>2</v>
      </c>
      <c r="D45" s="4" t="s">
        <v>69</v>
      </c>
      <c r="E45" s="4">
        <v>60</v>
      </c>
    </row>
    <row r="46" spans="1:8" ht="14.4">
      <c r="A46" s="2" t="s">
        <v>70</v>
      </c>
      <c r="B46" s="3">
        <v>45</v>
      </c>
      <c r="D46" s="4" t="s">
        <v>71</v>
      </c>
      <c r="E46" s="14">
        <f>E41*0.028*G46*60</f>
        <v>123.32544</v>
      </c>
      <c r="F46" s="4" t="s">
        <v>72</v>
      </c>
      <c r="G46" s="4">
        <v>1.1839999999999999</v>
      </c>
    </row>
    <row r="47" spans="1:8" ht="14.4">
      <c r="A47" s="2" t="s">
        <v>60</v>
      </c>
      <c r="B47" s="3">
        <v>12</v>
      </c>
      <c r="D47" s="4" t="s">
        <v>73</v>
      </c>
      <c r="E47" s="14">
        <f>E44*E46</f>
        <v>1.5936113356799999</v>
      </c>
    </row>
    <row r="48" spans="1:8" ht="14.4">
      <c r="A48" s="2" t="s">
        <v>74</v>
      </c>
      <c r="B48" s="2">
        <f>(B45*B46*B47)/1000</f>
        <v>1.08</v>
      </c>
      <c r="D48" s="15" t="s">
        <v>75</v>
      </c>
      <c r="E48" s="16">
        <f>E47*E43*(100-E45)/100</f>
        <v>3.1545242074447164</v>
      </c>
    </row>
    <row r="49" spans="1:7" ht="14.4">
      <c r="A49" s="1" t="s">
        <v>76</v>
      </c>
      <c r="B49" s="10">
        <f>B42+B48</f>
        <v>4.32</v>
      </c>
    </row>
    <row r="50" spans="1:7" ht="15" customHeight="1">
      <c r="F50" s="36"/>
      <c r="G50" s="36"/>
    </row>
    <row r="53" spans="1:7" ht="14.4">
      <c r="D53" s="1" t="s">
        <v>77</v>
      </c>
      <c r="E53" s="10">
        <f>D33+G28+B49+E48+H43</f>
        <v>101.93003228247194</v>
      </c>
    </row>
    <row r="54" spans="1:7" ht="14.4">
      <c r="D54" s="2" t="s">
        <v>78</v>
      </c>
      <c r="E54" s="3">
        <v>10</v>
      </c>
    </row>
    <row r="55" spans="1:7" ht="14.4">
      <c r="D55" s="2" t="s">
        <v>79</v>
      </c>
      <c r="E55" s="2">
        <f>E53+(E54/100)*E53</f>
        <v>112.12303551071913</v>
      </c>
    </row>
    <row r="56" spans="1:7" ht="14.4">
      <c r="D56" s="2" t="s">
        <v>80</v>
      </c>
      <c r="E56" s="3">
        <v>16</v>
      </c>
    </row>
    <row r="58" spans="1:7" ht="14.4">
      <c r="D58" s="1" t="s">
        <v>81</v>
      </c>
      <c r="E58" s="17">
        <f>E55/E56</f>
        <v>7.0076897194199459</v>
      </c>
    </row>
    <row r="59" spans="1:7" ht="14.4">
      <c r="D59" s="1" t="s">
        <v>82</v>
      </c>
      <c r="E59" s="18">
        <f>E58/3.517</f>
        <v>1.9925191127153672</v>
      </c>
    </row>
    <row r="61" spans="1:7" ht="14.4">
      <c r="D61" s="2" t="s">
        <v>83</v>
      </c>
      <c r="E61" s="3">
        <v>1</v>
      </c>
    </row>
    <row r="62" spans="1:7" ht="14.4">
      <c r="D62" s="1" t="s">
        <v>84</v>
      </c>
      <c r="E62" s="17">
        <f>E58/E61</f>
        <v>7.0076897194199459</v>
      </c>
    </row>
    <row r="63" spans="1:7" ht="14.4">
      <c r="D63" s="1" t="s">
        <v>85</v>
      </c>
      <c r="E63" s="1">
        <f>B16/3.28</f>
        <v>7.1344512195121954</v>
      </c>
    </row>
    <row r="65" spans="1:3" ht="14.4">
      <c r="A65" s="1" t="s">
        <v>86</v>
      </c>
      <c r="B65" s="1" t="s">
        <v>87</v>
      </c>
      <c r="C65" s="1" t="s">
        <v>88</v>
      </c>
    </row>
    <row r="66" spans="1:3" ht="14.4">
      <c r="A66" s="3" t="s">
        <v>94</v>
      </c>
      <c r="B66" s="3">
        <v>7.8</v>
      </c>
      <c r="C66" s="3">
        <v>7.3</v>
      </c>
    </row>
  </sheetData>
  <mergeCells count="14">
    <mergeCell ref="A44:B44"/>
    <mergeCell ref="F50:G50"/>
    <mergeCell ref="A1:H2"/>
    <mergeCell ref="A4:B4"/>
    <mergeCell ref="A19:B19"/>
    <mergeCell ref="A20:A21"/>
    <mergeCell ref="B20:B21"/>
    <mergeCell ref="F21:G21"/>
    <mergeCell ref="A33:C33"/>
    <mergeCell ref="A37:B37"/>
    <mergeCell ref="D37:E37"/>
    <mergeCell ref="G37:H37"/>
    <mergeCell ref="A38:B38"/>
    <mergeCell ref="G38:H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78"/>
  <sheetViews>
    <sheetView tabSelected="1" topLeftCell="A3" zoomScale="71" zoomScaleNormal="96" workbookViewId="0">
      <selection activeCell="G17" sqref="G17:L60"/>
    </sheetView>
  </sheetViews>
  <sheetFormatPr defaultColWidth="14.44140625" defaultRowHeight="15" customHeight="1"/>
  <cols>
    <col min="2" max="2" width="63.21875" customWidth="1"/>
    <col min="8" max="8" width="50" customWidth="1"/>
    <col min="10" max="10" width="30" customWidth="1"/>
  </cols>
  <sheetData>
    <row r="1" spans="1:12" ht="15" customHeight="1">
      <c r="A1" s="45" t="s">
        <v>95</v>
      </c>
      <c r="B1" s="45"/>
      <c r="C1" s="45"/>
    </row>
    <row r="2" spans="1:12" ht="15" customHeight="1">
      <c r="A2" s="19"/>
      <c r="B2" s="19"/>
      <c r="C2" s="19"/>
    </row>
    <row r="3" spans="1:12" ht="18">
      <c r="A3" s="45" t="s">
        <v>96</v>
      </c>
      <c r="B3" s="45"/>
      <c r="C3" s="45"/>
    </row>
    <row r="4" spans="1:12" ht="15" customHeight="1">
      <c r="A4" s="19"/>
      <c r="B4" s="19"/>
      <c r="C4" s="19"/>
    </row>
    <row r="5" spans="1:12" ht="18">
      <c r="A5" s="45" t="s">
        <v>97</v>
      </c>
      <c r="B5" s="45"/>
      <c r="C5" s="45"/>
    </row>
    <row r="6" spans="1:12" ht="15" customHeight="1">
      <c r="A6" s="19"/>
      <c r="B6" s="19"/>
      <c r="C6" s="19"/>
    </row>
    <row r="7" spans="1:12" ht="18">
      <c r="A7" s="45" t="s">
        <v>98</v>
      </c>
      <c r="B7" s="45"/>
      <c r="C7" s="45"/>
    </row>
    <row r="10" spans="1:12" ht="14.4">
      <c r="A10" s="20" t="s">
        <v>104</v>
      </c>
      <c r="B10" s="20" t="s">
        <v>99</v>
      </c>
      <c r="C10" s="20" t="s">
        <v>102</v>
      </c>
      <c r="D10" s="20" t="s">
        <v>100</v>
      </c>
      <c r="E10" s="20" t="s">
        <v>121</v>
      </c>
      <c r="F10" s="20" t="s">
        <v>103</v>
      </c>
    </row>
    <row r="11" spans="1:12" ht="14.4">
      <c r="A11" s="46"/>
      <c r="B11" s="26" t="s">
        <v>118</v>
      </c>
      <c r="C11" s="20"/>
      <c r="D11" s="20"/>
      <c r="E11" s="20"/>
      <c r="F11" s="20"/>
    </row>
    <row r="12" spans="1:12" ht="87" thickBot="1">
      <c r="A12" s="46"/>
      <c r="B12" s="56" t="s">
        <v>120</v>
      </c>
    </row>
    <row r="13" spans="1:12" ht="15" customHeight="1" thickBot="1">
      <c r="A13" s="46"/>
      <c r="B13" s="20" t="s">
        <v>122</v>
      </c>
      <c r="D13" s="20"/>
      <c r="G13" s="47"/>
      <c r="H13" s="48"/>
      <c r="I13" s="48"/>
      <c r="J13" s="48"/>
      <c r="K13" s="48"/>
      <c r="L13" s="49"/>
    </row>
    <row r="14" spans="1:12" thickBot="1">
      <c r="A14" s="46"/>
      <c r="B14" s="20" t="s">
        <v>133</v>
      </c>
      <c r="C14" s="20">
        <f>3.28*8.5*46</f>
        <v>1282.48</v>
      </c>
      <c r="D14" s="20" t="s">
        <v>126</v>
      </c>
      <c r="G14" s="50"/>
      <c r="H14" s="51"/>
      <c r="I14" s="51"/>
      <c r="J14" s="51"/>
      <c r="K14" s="51"/>
      <c r="L14" s="52"/>
    </row>
    <row r="15" spans="1:12" thickBot="1">
      <c r="A15" s="46"/>
      <c r="B15" s="20"/>
      <c r="D15" s="20"/>
      <c r="G15" s="47"/>
      <c r="H15" s="48"/>
      <c r="I15" s="48"/>
      <c r="J15" s="48"/>
      <c r="K15" s="48"/>
      <c r="L15" s="49"/>
    </row>
    <row r="16" spans="1:12" thickBot="1">
      <c r="A16" s="46"/>
      <c r="B16" s="20" t="s">
        <v>134</v>
      </c>
      <c r="D16" s="20"/>
      <c r="G16" s="47"/>
      <c r="H16" s="48"/>
      <c r="I16" s="48"/>
      <c r="J16" s="48"/>
      <c r="K16" s="48"/>
      <c r="L16" s="49"/>
    </row>
    <row r="17" spans="1:17" thickBot="1">
      <c r="A17" s="46"/>
      <c r="B17" s="20" t="s">
        <v>135</v>
      </c>
      <c r="C17">
        <v>51</v>
      </c>
      <c r="D17" s="20" t="s">
        <v>125</v>
      </c>
      <c r="G17" s="47" t="s">
        <v>145</v>
      </c>
      <c r="H17" s="48"/>
      <c r="I17" s="48"/>
      <c r="J17" s="48"/>
      <c r="K17" s="48"/>
      <c r="L17" s="49"/>
    </row>
    <row r="18" spans="1:17" thickBot="1">
      <c r="A18" s="46"/>
      <c r="B18" s="20"/>
      <c r="D18" s="20"/>
      <c r="G18" s="53" t="s">
        <v>182</v>
      </c>
      <c r="H18" s="54"/>
      <c r="I18" s="54"/>
      <c r="J18" s="54"/>
      <c r="K18" s="54"/>
      <c r="L18" s="55"/>
    </row>
    <row r="19" spans="1:17" ht="14.4">
      <c r="A19" s="46"/>
      <c r="B19" s="20" t="s">
        <v>123</v>
      </c>
      <c r="D19" s="20"/>
      <c r="G19" s="57" t="s">
        <v>181</v>
      </c>
      <c r="H19" s="58"/>
      <c r="I19" s="58"/>
      <c r="J19" s="58"/>
      <c r="K19" s="58"/>
      <c r="L19" s="59"/>
    </row>
    <row r="20" spans="1:17" ht="14.4">
      <c r="A20" s="20"/>
      <c r="B20" s="20" t="s">
        <v>131</v>
      </c>
      <c r="C20">
        <f>3.937*39.75*3</f>
        <v>469.48724999999996</v>
      </c>
      <c r="D20" s="20" t="s">
        <v>126</v>
      </c>
      <c r="G20" s="60" t="s">
        <v>146</v>
      </c>
      <c r="H20" s="61"/>
      <c r="I20" s="61"/>
      <c r="J20" s="61"/>
      <c r="K20" s="62"/>
      <c r="L20" s="62"/>
    </row>
    <row r="21" spans="1:17" ht="18" customHeight="1">
      <c r="A21" s="20"/>
      <c r="B21" s="20" t="s">
        <v>132</v>
      </c>
      <c r="C21" s="20">
        <f>3.937*23.91*4</f>
        <v>376.53467999999998</v>
      </c>
      <c r="D21" s="20" t="s">
        <v>126</v>
      </c>
      <c r="G21" s="63" t="s">
        <v>147</v>
      </c>
      <c r="H21" s="63" t="s">
        <v>148</v>
      </c>
      <c r="I21" s="64"/>
      <c r="J21" s="64"/>
      <c r="K21" s="64"/>
      <c r="L21" s="64"/>
    </row>
    <row r="22" spans="1:17" ht="14.4">
      <c r="A22" s="20"/>
      <c r="B22" s="20"/>
      <c r="G22" s="63"/>
      <c r="H22" s="63"/>
      <c r="I22" s="65" t="s">
        <v>149</v>
      </c>
      <c r="J22" s="65" t="s">
        <v>150</v>
      </c>
      <c r="K22" s="66" t="s">
        <v>151</v>
      </c>
      <c r="L22" s="66" t="s">
        <v>152</v>
      </c>
    </row>
    <row r="23" spans="1:17" ht="14.4">
      <c r="A23" s="20"/>
      <c r="B23" s="20" t="s">
        <v>124</v>
      </c>
      <c r="G23" s="64"/>
      <c r="H23" s="65" t="s">
        <v>153</v>
      </c>
      <c r="I23" s="64"/>
      <c r="J23" s="64"/>
      <c r="K23" s="64"/>
      <c r="L23" s="64"/>
    </row>
    <row r="24" spans="1:17" ht="14.4">
      <c r="B24" s="20" t="s">
        <v>129</v>
      </c>
      <c r="C24">
        <f>3.28*44.74*4</f>
        <v>586.98879999999997</v>
      </c>
      <c r="D24" s="20" t="s">
        <v>126</v>
      </c>
      <c r="G24" s="67" t="s">
        <v>154</v>
      </c>
      <c r="H24" s="64"/>
      <c r="I24" s="64"/>
      <c r="J24" s="64"/>
      <c r="K24" s="64"/>
      <c r="L24" s="64"/>
    </row>
    <row r="25" spans="1:17" ht="228" customHeight="1">
      <c r="B25" s="20" t="s">
        <v>130</v>
      </c>
      <c r="C25">
        <f>3.28*28.67*5</f>
        <v>470.18799999999999</v>
      </c>
      <c r="D25" s="20" t="s">
        <v>126</v>
      </c>
      <c r="G25" s="68">
        <v>1</v>
      </c>
      <c r="H25" s="69" t="s">
        <v>183</v>
      </c>
      <c r="I25" s="70">
        <v>120</v>
      </c>
      <c r="J25" s="68" t="s">
        <v>155</v>
      </c>
      <c r="K25" s="62"/>
      <c r="L25" s="62"/>
    </row>
    <row r="26" spans="1:17" ht="236.4" customHeight="1">
      <c r="B26" s="20" t="s">
        <v>128</v>
      </c>
      <c r="C26">
        <f>C24+C25</f>
        <v>1057.1768</v>
      </c>
      <c r="D26" s="20" t="s">
        <v>126</v>
      </c>
      <c r="G26" s="68">
        <v>2</v>
      </c>
      <c r="H26" s="69" t="s">
        <v>186</v>
      </c>
      <c r="I26" s="70">
        <v>55</v>
      </c>
      <c r="J26" s="68" t="s">
        <v>155</v>
      </c>
      <c r="K26" s="62"/>
      <c r="L26" s="62"/>
    </row>
    <row r="27" spans="1:17" ht="140.4" customHeight="1">
      <c r="B27" s="20" t="s">
        <v>127</v>
      </c>
      <c r="C27">
        <f>C26</f>
        <v>1057.1768</v>
      </c>
      <c r="D27" s="20" t="s">
        <v>126</v>
      </c>
      <c r="E27" s="25"/>
      <c r="F27" s="25"/>
      <c r="G27" s="68">
        <v>3</v>
      </c>
      <c r="H27" s="71" t="s">
        <v>184</v>
      </c>
      <c r="I27" s="70">
        <v>17</v>
      </c>
      <c r="J27" s="68" t="s">
        <v>156</v>
      </c>
      <c r="K27" s="62"/>
      <c r="L27" s="62"/>
      <c r="M27" s="25"/>
      <c r="N27" s="25"/>
      <c r="O27" s="25"/>
      <c r="P27" s="25"/>
      <c r="Q27" s="25"/>
    </row>
    <row r="28" spans="1:17" ht="124.2" customHeight="1">
      <c r="B28" s="20"/>
      <c r="G28" s="72">
        <v>4</v>
      </c>
      <c r="H28" s="73" t="s">
        <v>158</v>
      </c>
      <c r="I28" s="70">
        <v>2</v>
      </c>
      <c r="J28" s="72" t="s">
        <v>157</v>
      </c>
      <c r="K28" s="62"/>
      <c r="L28" s="62"/>
    </row>
    <row r="29" spans="1:17" ht="142.80000000000001" customHeight="1">
      <c r="B29" s="26" t="s">
        <v>119</v>
      </c>
      <c r="G29" s="72">
        <v>5</v>
      </c>
      <c r="H29" s="73" t="s">
        <v>159</v>
      </c>
      <c r="I29" s="64"/>
      <c r="J29" s="72" t="s">
        <v>160</v>
      </c>
      <c r="K29" s="62"/>
      <c r="L29" s="62"/>
    </row>
    <row r="30" spans="1:17" ht="153" customHeight="1">
      <c r="B30" s="21" t="s">
        <v>136</v>
      </c>
      <c r="C30">
        <v>2</v>
      </c>
      <c r="D30" s="20" t="s">
        <v>101</v>
      </c>
      <c r="G30" s="72">
        <v>6</v>
      </c>
      <c r="H30" s="73" t="s">
        <v>185</v>
      </c>
      <c r="I30" s="70">
        <v>40</v>
      </c>
      <c r="J30" s="72" t="s">
        <v>160</v>
      </c>
      <c r="K30" s="62"/>
      <c r="L30" s="62"/>
    </row>
    <row r="31" spans="1:17" ht="30" customHeight="1">
      <c r="B31" s="20"/>
      <c r="G31" s="61"/>
      <c r="H31" s="61"/>
      <c r="I31" s="61"/>
      <c r="J31" s="74" t="s">
        <v>161</v>
      </c>
      <c r="K31" s="74"/>
      <c r="L31" s="75" t="s">
        <v>162</v>
      </c>
    </row>
    <row r="32" spans="1:17" ht="22.2" customHeight="1">
      <c r="B32" s="27" t="s">
        <v>137</v>
      </c>
      <c r="G32" s="62"/>
      <c r="H32" s="61"/>
      <c r="I32" s="61"/>
      <c r="J32" s="61"/>
      <c r="K32" s="62"/>
      <c r="L32" s="62"/>
    </row>
    <row r="33" spans="1:12" ht="73.2" customHeight="1">
      <c r="B33" s="21" t="s">
        <v>138</v>
      </c>
      <c r="G33" s="60" t="s">
        <v>163</v>
      </c>
      <c r="H33" s="61"/>
      <c r="I33" s="61"/>
      <c r="J33" s="61"/>
      <c r="K33" s="62"/>
      <c r="L33" s="62"/>
    </row>
    <row r="34" spans="1:12" ht="13.8" customHeight="1">
      <c r="B34" s="21" t="s">
        <v>139</v>
      </c>
      <c r="C34">
        <v>2</v>
      </c>
      <c r="D34" s="20" t="s">
        <v>101</v>
      </c>
      <c r="G34" s="76" t="s">
        <v>164</v>
      </c>
      <c r="H34" s="62"/>
      <c r="I34" s="62"/>
      <c r="J34" s="62"/>
      <c r="K34" s="62"/>
      <c r="L34" s="62"/>
    </row>
    <row r="35" spans="1:12" ht="14.4">
      <c r="B35" s="21" t="s">
        <v>140</v>
      </c>
      <c r="C35">
        <v>3</v>
      </c>
      <c r="D35" s="20" t="s">
        <v>101</v>
      </c>
      <c r="G35" s="76"/>
      <c r="H35" s="77" t="s">
        <v>148</v>
      </c>
      <c r="I35" s="77" t="s">
        <v>149</v>
      </c>
      <c r="J35" s="77" t="s">
        <v>150</v>
      </c>
      <c r="K35" s="78" t="s">
        <v>151</v>
      </c>
      <c r="L35" s="78" t="s">
        <v>152</v>
      </c>
    </row>
    <row r="36" spans="1:12" ht="14.4">
      <c r="G36" s="76" t="s">
        <v>165</v>
      </c>
      <c r="H36" s="76"/>
      <c r="I36" s="76"/>
      <c r="J36" s="76"/>
      <c r="K36" s="76"/>
      <c r="L36" s="76"/>
    </row>
    <row r="37" spans="1:12" ht="211.2">
      <c r="B37" s="20" t="s">
        <v>105</v>
      </c>
      <c r="G37" s="79">
        <v>7</v>
      </c>
      <c r="H37" s="80" t="s">
        <v>166</v>
      </c>
      <c r="I37" s="62"/>
      <c r="J37" s="62"/>
      <c r="K37" s="62"/>
      <c r="L37" s="62"/>
    </row>
    <row r="38" spans="1:12" ht="57.6">
      <c r="A38" s="25"/>
      <c r="B38" s="28" t="s">
        <v>141</v>
      </c>
      <c r="G38" s="62"/>
      <c r="H38" s="81" t="s">
        <v>187</v>
      </c>
      <c r="I38" s="62"/>
      <c r="J38" s="62"/>
      <c r="K38" s="62"/>
      <c r="L38" s="62"/>
    </row>
    <row r="39" spans="1:12" ht="14.4">
      <c r="D39" s="42"/>
      <c r="E39" s="42"/>
      <c r="G39" s="62"/>
      <c r="H39" s="82" t="s">
        <v>188</v>
      </c>
      <c r="I39" s="62"/>
      <c r="J39" s="62"/>
      <c r="K39" s="62"/>
      <c r="L39" s="62"/>
    </row>
    <row r="40" spans="1:12" ht="14.4">
      <c r="B40" s="20" t="s">
        <v>107</v>
      </c>
      <c r="C40" s="42"/>
      <c r="D40" s="42"/>
      <c r="E40" s="42"/>
      <c r="G40" s="62"/>
      <c r="H40" s="82" t="s">
        <v>167</v>
      </c>
      <c r="I40" s="62"/>
      <c r="J40" s="62"/>
      <c r="K40" s="62"/>
      <c r="L40" s="62"/>
    </row>
    <row r="41" spans="1:12" ht="28.8">
      <c r="B41" s="29" t="s">
        <v>108</v>
      </c>
      <c r="C41" s="42"/>
      <c r="G41" s="62"/>
      <c r="H41" s="82" t="s">
        <v>168</v>
      </c>
      <c r="I41" s="62"/>
      <c r="J41" s="62"/>
      <c r="K41" s="62"/>
      <c r="L41" s="62"/>
    </row>
    <row r="42" spans="1:12" ht="223.8" customHeight="1">
      <c r="B42" s="23"/>
      <c r="C42" s="22"/>
      <c r="G42" s="81">
        <v>8</v>
      </c>
      <c r="H42" s="82" t="s">
        <v>190</v>
      </c>
      <c r="I42" s="79">
        <v>2</v>
      </c>
      <c r="J42" s="81" t="s">
        <v>169</v>
      </c>
      <c r="K42" s="62"/>
      <c r="L42" s="62"/>
    </row>
    <row r="43" spans="1:12" ht="213" customHeight="1">
      <c r="B43" s="20" t="s">
        <v>110</v>
      </c>
      <c r="G43" s="81">
        <v>9</v>
      </c>
      <c r="H43" s="82" t="s">
        <v>189</v>
      </c>
      <c r="I43" s="79">
        <v>2</v>
      </c>
      <c r="J43" s="81" t="s">
        <v>169</v>
      </c>
      <c r="K43" s="62"/>
      <c r="L43" s="62"/>
    </row>
    <row r="44" spans="1:12" ht="80.400000000000006" customHeight="1">
      <c r="B44" s="24" t="s">
        <v>111</v>
      </c>
      <c r="G44" s="81">
        <v>10</v>
      </c>
      <c r="H44" s="82" t="s">
        <v>170</v>
      </c>
      <c r="I44" s="79">
        <v>2</v>
      </c>
      <c r="J44" s="81" t="s">
        <v>171</v>
      </c>
      <c r="K44" s="62"/>
      <c r="L44" s="62"/>
    </row>
    <row r="45" spans="1:12" ht="55.8" customHeight="1">
      <c r="B45" s="24"/>
      <c r="G45" s="81">
        <v>11</v>
      </c>
      <c r="H45" s="82" t="s">
        <v>172</v>
      </c>
      <c r="I45" s="62"/>
      <c r="J45" s="81" t="s">
        <v>160</v>
      </c>
      <c r="K45" s="62"/>
      <c r="L45" s="62"/>
    </row>
    <row r="46" spans="1:12" ht="69.599999999999994" customHeight="1">
      <c r="B46" s="20" t="s">
        <v>113</v>
      </c>
      <c r="G46" s="81">
        <v>12</v>
      </c>
      <c r="H46" s="82" t="s">
        <v>173</v>
      </c>
      <c r="I46" s="79">
        <v>2</v>
      </c>
      <c r="J46" s="81" t="s">
        <v>157</v>
      </c>
      <c r="K46" s="62"/>
      <c r="L46" s="62"/>
    </row>
    <row r="47" spans="1:12" ht="90" customHeight="1">
      <c r="B47" s="24" t="s">
        <v>114</v>
      </c>
      <c r="G47" s="81">
        <v>13</v>
      </c>
      <c r="H47" s="83" t="s">
        <v>174</v>
      </c>
      <c r="I47" s="79">
        <v>2</v>
      </c>
      <c r="J47" s="81" t="s">
        <v>157</v>
      </c>
      <c r="K47" s="62"/>
      <c r="L47" s="62"/>
    </row>
    <row r="48" spans="1:12" ht="79.8" customHeight="1">
      <c r="G48" s="81">
        <v>14</v>
      </c>
      <c r="H48" s="82" t="s">
        <v>175</v>
      </c>
      <c r="I48" s="79">
        <v>1</v>
      </c>
      <c r="J48" s="81" t="s">
        <v>176</v>
      </c>
      <c r="K48" s="62"/>
      <c r="L48" s="62"/>
    </row>
    <row r="49" spans="1:12" ht="79.8" customHeight="1">
      <c r="B49" s="21" t="s">
        <v>115</v>
      </c>
      <c r="C49" s="30" t="s">
        <v>143</v>
      </c>
      <c r="G49" s="81">
        <v>15</v>
      </c>
      <c r="H49" s="82" t="s">
        <v>177</v>
      </c>
      <c r="I49" s="79">
        <v>2</v>
      </c>
      <c r="J49" s="81" t="s">
        <v>157</v>
      </c>
      <c r="K49" s="62"/>
      <c r="L49" s="62"/>
    </row>
    <row r="50" spans="1:12" ht="36.6" customHeight="1">
      <c r="A50" s="44" t="s">
        <v>106</v>
      </c>
      <c r="C50" s="25"/>
      <c r="G50" s="84" t="s">
        <v>191</v>
      </c>
      <c r="H50" s="84"/>
      <c r="I50" s="84"/>
      <c r="J50" s="84"/>
      <c r="K50" s="84"/>
      <c r="L50" s="84"/>
    </row>
    <row r="51" spans="1:12" ht="18" customHeight="1">
      <c r="A51" s="44"/>
      <c r="B51" s="21" t="s">
        <v>116</v>
      </c>
      <c r="G51" s="76" t="s">
        <v>164</v>
      </c>
      <c r="H51" s="62"/>
      <c r="I51" s="62"/>
      <c r="J51" s="62"/>
      <c r="K51" s="62"/>
      <c r="L51" s="62"/>
    </row>
    <row r="52" spans="1:12" ht="27" customHeight="1">
      <c r="D52" s="25"/>
      <c r="E52" s="25"/>
      <c r="F52" s="25"/>
      <c r="G52" s="76"/>
      <c r="H52" s="77" t="s">
        <v>148</v>
      </c>
      <c r="I52" s="77" t="s">
        <v>149</v>
      </c>
      <c r="J52" s="77" t="s">
        <v>150</v>
      </c>
      <c r="K52" s="78" t="s">
        <v>151</v>
      </c>
      <c r="L52" s="78" t="s">
        <v>152</v>
      </c>
    </row>
    <row r="53" spans="1:12" ht="23.4" customHeight="1">
      <c r="A53" s="44" t="s">
        <v>109</v>
      </c>
      <c r="B53" s="28" t="s">
        <v>117</v>
      </c>
      <c r="C53" s="30" t="s">
        <v>142</v>
      </c>
      <c r="G53" s="76" t="s">
        <v>192</v>
      </c>
      <c r="H53" s="76"/>
      <c r="I53" s="76"/>
      <c r="J53" s="76"/>
      <c r="K53" s="76"/>
      <c r="L53" s="76"/>
    </row>
    <row r="54" spans="1:12" ht="76.8" customHeight="1">
      <c r="A54" s="44"/>
      <c r="B54" s="25"/>
      <c r="G54" s="85">
        <v>16</v>
      </c>
      <c r="H54" s="69" t="s">
        <v>195</v>
      </c>
      <c r="I54" s="85">
        <v>4</v>
      </c>
      <c r="J54" s="86" t="s">
        <v>157</v>
      </c>
      <c r="K54" s="87"/>
      <c r="L54" s="87"/>
    </row>
    <row r="55" spans="1:12" s="31" customFormat="1" ht="62.4" customHeight="1">
      <c r="A55" s="32"/>
      <c r="B55" s="25"/>
      <c r="G55" s="85">
        <v>17</v>
      </c>
      <c r="H55" s="69" t="s">
        <v>194</v>
      </c>
      <c r="I55" s="85">
        <v>3</v>
      </c>
      <c r="J55" s="86" t="s">
        <v>157</v>
      </c>
      <c r="K55" s="87"/>
      <c r="L55" s="87"/>
    </row>
    <row r="56" spans="1:12" ht="54" customHeight="1">
      <c r="G56" s="85">
        <v>18</v>
      </c>
      <c r="H56" s="69" t="s">
        <v>193</v>
      </c>
      <c r="I56" s="85">
        <v>2</v>
      </c>
      <c r="J56" s="86" t="s">
        <v>157</v>
      </c>
      <c r="K56" s="87"/>
      <c r="L56" s="87"/>
    </row>
    <row r="57" spans="1:12" ht="73.8" customHeight="1">
      <c r="A57" s="43" t="s">
        <v>112</v>
      </c>
      <c r="G57" s="85">
        <v>19</v>
      </c>
      <c r="H57" s="69" t="s">
        <v>196</v>
      </c>
      <c r="I57" s="85">
        <v>6</v>
      </c>
      <c r="J57" s="88" t="s">
        <v>157</v>
      </c>
      <c r="K57" s="87"/>
      <c r="L57" s="87"/>
    </row>
    <row r="58" spans="1:12" ht="15" customHeight="1">
      <c r="A58" s="42"/>
      <c r="G58" s="62"/>
      <c r="H58" s="62"/>
      <c r="I58" s="62"/>
      <c r="J58" s="89" t="s">
        <v>178</v>
      </c>
      <c r="K58" s="62"/>
      <c r="L58" s="78" t="s">
        <v>162</v>
      </c>
    </row>
    <row r="59" spans="1:12" ht="28.8" customHeight="1">
      <c r="G59" s="62"/>
      <c r="H59" s="78" t="s">
        <v>179</v>
      </c>
      <c r="I59" s="62"/>
      <c r="J59" s="62"/>
      <c r="K59" s="62"/>
      <c r="L59" s="78" t="s">
        <v>162</v>
      </c>
    </row>
    <row r="60" spans="1:12" ht="28.8" customHeight="1">
      <c r="A60" s="42"/>
      <c r="G60" s="62"/>
      <c r="H60" s="78" t="s">
        <v>180</v>
      </c>
      <c r="I60" s="62"/>
      <c r="J60" s="62"/>
      <c r="K60" s="62"/>
      <c r="L60" s="78" t="s">
        <v>162</v>
      </c>
    </row>
    <row r="61" spans="1:12" ht="92.4" customHeight="1">
      <c r="A61" s="42"/>
    </row>
    <row r="62" spans="1:12" ht="78.599999999999994" customHeight="1"/>
    <row r="63" spans="1:12" ht="100.2" customHeight="1"/>
    <row r="64" spans="1:12" ht="45.6" customHeight="1">
      <c r="B64" s="20"/>
    </row>
    <row r="65" spans="2:17" ht="141.6" customHeight="1"/>
    <row r="67" spans="2:17" ht="96" customHeight="1"/>
    <row r="69" spans="2:17" ht="94.8" customHeight="1"/>
    <row r="70" spans="2:17" s="25" customFormat="1" ht="54" customHeight="1">
      <c r="C70"/>
      <c r="D70"/>
      <c r="E70"/>
      <c r="F70"/>
      <c r="G70"/>
      <c r="H70"/>
      <c r="I70"/>
      <c r="J70"/>
      <c r="K70"/>
      <c r="L70"/>
      <c r="M70"/>
      <c r="N70"/>
      <c r="O70"/>
      <c r="P70"/>
      <c r="Q70"/>
    </row>
    <row r="78" spans="2:17" ht="15" customHeight="1">
      <c r="B78" s="25"/>
    </row>
  </sheetData>
  <mergeCells count="27">
    <mergeCell ref="G36:L36"/>
    <mergeCell ref="H21:H22"/>
    <mergeCell ref="G51:G52"/>
    <mergeCell ref="G53:L53"/>
    <mergeCell ref="G50:L50"/>
    <mergeCell ref="G18:L18"/>
    <mergeCell ref="G19:L19"/>
    <mergeCell ref="G21:G22"/>
    <mergeCell ref="J31:K31"/>
    <mergeCell ref="G34:G35"/>
    <mergeCell ref="G13:L13"/>
    <mergeCell ref="G14:L14"/>
    <mergeCell ref="G15:L15"/>
    <mergeCell ref="G16:L16"/>
    <mergeCell ref="G17:L17"/>
    <mergeCell ref="A1:C1"/>
    <mergeCell ref="A3:C3"/>
    <mergeCell ref="A5:C5"/>
    <mergeCell ref="A7:C7"/>
    <mergeCell ref="A60:A61"/>
    <mergeCell ref="A11:A19"/>
    <mergeCell ref="D39:D40"/>
    <mergeCell ref="E39:E40"/>
    <mergeCell ref="A57:A58"/>
    <mergeCell ref="A53:A54"/>
    <mergeCell ref="A50:A51"/>
    <mergeCell ref="C40: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Y</dc:creator>
  <cp:lastModifiedBy>Bibek Shrestha</cp:lastModifiedBy>
  <dcterms:created xsi:type="dcterms:W3CDTF">2024-01-12T09:45:16Z</dcterms:created>
  <dcterms:modified xsi:type="dcterms:W3CDTF">2024-03-12T21:45:37Z</dcterms:modified>
</cp:coreProperties>
</file>