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현재_통합_문서" defaultThemeVersion="166925"/>
  <mc:AlternateContent xmlns:mc="http://schemas.openxmlformats.org/markup-compatibility/2006">
    <mc:Choice Requires="x15">
      <x15ac:absPath xmlns:x15ac="http://schemas.microsoft.com/office/spreadsheetml/2010/11/ac" url="C:\Users\rlawl\Desktop\Salaison fiches\planning fab\"/>
    </mc:Choice>
  </mc:AlternateContent>
  <xr:revisionPtr revIDLastSave="0" documentId="13_ncr:1_{0BD41FE2-7CE8-48F1-8465-8D3776C24EF9}" xr6:coauthVersionLast="47" xr6:coauthVersionMax="47" xr10:uidLastSave="{00000000-0000-0000-0000-000000000000}"/>
  <bookViews>
    <workbookView xWindow="-108" yWindow="-108" windowWidth="23256" windowHeight="12456" tabRatio="868" xr2:uid="{25556AF0-59FC-45ED-BDD4-5501B628445F}"/>
  </bookViews>
  <sheets>
    <sheet name="PLANNING DE FABRICATION" sheetId="14" r:id="rId1"/>
    <sheet name="Récap Besoin matières premières" sheetId="13" r:id="rId2"/>
    <sheet name="Recette viandes" sheetId="16" r:id="rId3"/>
    <sheet name="Halrizo 200 + GP " sheetId="1" r:id="rId4"/>
    <sheet name="Halal 350 BN Pimenté" sheetId="2" r:id="rId5"/>
    <sheet name="Halal G.P - 200 et BN " sheetId="3" r:id="rId6"/>
    <sheet name="A cuire" sheetId="4" r:id="rId7"/>
    <sheet name="Spécialité Fromagère" sheetId="5" r:id="rId8"/>
    <sheet name="Spécialité carnée" sheetId="6" r:id="rId9"/>
    <sheet name="Spécialité Autres" sheetId="7" r:id="rId10"/>
    <sheet name=" Snaking" sheetId="8" r:id="rId11"/>
    <sheet name="Viande francaise" sheetId="9" r:id="rId12"/>
    <sheet name="Haché Moyen" sheetId="11" r:id="rId13"/>
    <sheet name="SAG" sheetId="12" r:id="rId14"/>
    <sheet name="% MP" sheetId="18" r:id="rId15"/>
    <sheet name="Recettes ponctuelles" sheetId="20" r:id="rId16"/>
    <sheet name="ANCIENNCES RECETTES" sheetId="17" r:id="rId17"/>
    <sheet name="Brouillon" sheetId="19" r:id="rId18"/>
  </sheets>
  <externalReferences>
    <externalReference r:id="rId19"/>
  </externalReferences>
  <definedNames>
    <definedName name="_xlnm.Print_Area" localSheetId="10">' Snaking'!$A$1:$D$2</definedName>
    <definedName name="_xlnm.Print_Area" localSheetId="6">'A cuire'!$A$15:$D$25</definedName>
    <definedName name="_xlnm.Print_Area" localSheetId="4">'Halal 350 BN Pimenté'!$A$1:$D$18</definedName>
    <definedName name="_xlnm.Print_Area" localSheetId="5">'Halal G.P - 200 et BN '!$A$2:$D$20</definedName>
    <definedName name="_xlnm.Print_Area" localSheetId="3">'Halrizo 200 + GP '!$K$1:$N$21</definedName>
    <definedName name="_xlnm.Print_Area" localSheetId="0">'PLANNING DE FABRICATION'!$A$1:$E$90</definedName>
    <definedName name="_xlnm.Print_Area" localSheetId="1">'Récap Besoin matières premières'!$M$1:$P$22</definedName>
    <definedName name="_xlnm.Print_Area" localSheetId="13">'ANCIENNCES RECETTES'!$Z$1:$AB$23</definedName>
    <definedName name="_xlnm.Print_Area" localSheetId="9">'Spécialité Autres'!$A$1:$D$35</definedName>
    <definedName name="_xlnm.Print_Area" localSheetId="8">'Spécialité carnée'!$A$1:$D$29</definedName>
    <definedName name="_xlnm.Print_Area" localSheetId="7">'Spécialité Fromagère'!$A$1:$D$30</definedName>
    <definedName name="_xlnm.Print_Area" localSheetId="11">'Viande francaise'!$A$1:$D$28</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8" i="13" l="1"/>
  <c r="S5" i="13"/>
  <c r="Q8" i="13" l="1"/>
  <c r="S7" i="13" l="1"/>
  <c r="S6" i="13" l="1"/>
  <c r="S4" i="13"/>
  <c r="I20" i="20" l="1"/>
  <c r="I19" i="20"/>
  <c r="K18" i="20"/>
  <c r="K17" i="20"/>
  <c r="K16" i="20"/>
  <c r="K15" i="20"/>
  <c r="K14" i="20"/>
  <c r="K13" i="20"/>
  <c r="K12" i="20"/>
  <c r="I12" i="20"/>
  <c r="I13" i="20" s="1"/>
  <c r="I14" i="20" s="1"/>
  <c r="I15" i="20" s="1"/>
  <c r="I16" i="20" s="1"/>
  <c r="I17" i="20" s="1"/>
  <c r="I18" i="20" s="1"/>
  <c r="H8" i="20"/>
  <c r="H7" i="20"/>
  <c r="H6" i="20"/>
  <c r="I6" i="20" s="1"/>
  <c r="E12" i="20"/>
  <c r="C20" i="20"/>
  <c r="C19" i="20"/>
  <c r="E18" i="20"/>
  <c r="E17" i="20"/>
  <c r="E16" i="20"/>
  <c r="E15" i="20"/>
  <c r="E14" i="20"/>
  <c r="E13" i="20"/>
  <c r="C12" i="20"/>
  <c r="C13" i="20" s="1"/>
  <c r="C14" i="20" s="1"/>
  <c r="B8" i="20"/>
  <c r="B7" i="20"/>
  <c r="B6" i="20"/>
  <c r="C6" i="20" s="1"/>
  <c r="B12" i="19"/>
  <c r="B13" i="19"/>
  <c r="B14" i="19"/>
  <c r="B15" i="19"/>
  <c r="B16" i="19"/>
  <c r="B17" i="19"/>
  <c r="B18" i="19"/>
  <c r="B19" i="19"/>
  <c r="B20" i="19"/>
  <c r="B21" i="19"/>
  <c r="B22" i="19"/>
  <c r="B23" i="19"/>
  <c r="B24" i="19"/>
  <c r="B25" i="19"/>
  <c r="B26" i="19"/>
  <c r="B29" i="19"/>
  <c r="B8" i="19"/>
  <c r="B7" i="19"/>
  <c r="I7" i="20" l="1"/>
  <c r="C7" i="20"/>
  <c r="C8" i="20" s="1"/>
  <c r="C9" i="20" s="1"/>
  <c r="I8" i="20"/>
  <c r="I9" i="20" s="1"/>
  <c r="H9" i="20"/>
  <c r="K20" i="20" s="1"/>
  <c r="B9" i="20"/>
  <c r="E20" i="20" s="1"/>
  <c r="C15" i="20"/>
  <c r="C16" i="20" s="1"/>
  <c r="C17" i="20" s="1"/>
  <c r="C18" i="20" s="1"/>
  <c r="E7" i="20"/>
  <c r="AC110" i="18"/>
  <c r="AC109" i="18"/>
  <c r="AD109" i="18" s="1"/>
  <c r="K170" i="18"/>
  <c r="L170" i="18" s="1"/>
  <c r="K169" i="18"/>
  <c r="K168" i="18"/>
  <c r="K167" i="18"/>
  <c r="K166" i="18"/>
  <c r="K165" i="18"/>
  <c r="K164" i="18"/>
  <c r="K163" i="18"/>
  <c r="K158" i="18"/>
  <c r="K157" i="18"/>
  <c r="L157" i="18" s="1"/>
  <c r="K148" i="18"/>
  <c r="L148" i="18" s="1"/>
  <c r="K147" i="18"/>
  <c r="L147" i="18" s="1"/>
  <c r="K146" i="18"/>
  <c r="K145" i="18"/>
  <c r="K144" i="18"/>
  <c r="K143" i="18"/>
  <c r="K142" i="18"/>
  <c r="K141" i="18"/>
  <c r="K136" i="18"/>
  <c r="K137" i="18" s="1"/>
  <c r="AC127" i="18"/>
  <c r="AC126" i="18"/>
  <c r="AC125" i="18"/>
  <c r="AD125" i="18" s="1"/>
  <c r="AC124" i="18"/>
  <c r="AD124" i="18" s="1"/>
  <c r="AC123" i="18"/>
  <c r="AC122" i="18"/>
  <c r="AC121" i="18"/>
  <c r="AC120" i="18"/>
  <c r="AC119" i="18"/>
  <c r="AC118" i="18"/>
  <c r="AD118" i="18" s="1"/>
  <c r="W124" i="18"/>
  <c r="X124" i="18" s="1"/>
  <c r="W123" i="18"/>
  <c r="W122" i="18"/>
  <c r="W121" i="18"/>
  <c r="W120" i="18"/>
  <c r="W119" i="18"/>
  <c r="W118" i="18"/>
  <c r="X118" i="18" s="1"/>
  <c r="W113" i="18"/>
  <c r="W112" i="18"/>
  <c r="W111" i="18"/>
  <c r="W110" i="18"/>
  <c r="W109" i="18"/>
  <c r="Q124" i="18"/>
  <c r="R124" i="18" s="1"/>
  <c r="Q123" i="18"/>
  <c r="Q122" i="18"/>
  <c r="Q121" i="18"/>
  <c r="Q120" i="18"/>
  <c r="Q119" i="18"/>
  <c r="Q118" i="18"/>
  <c r="Q110" i="18"/>
  <c r="Q109" i="18"/>
  <c r="K110" i="18"/>
  <c r="K109" i="18"/>
  <c r="L109" i="18" s="1"/>
  <c r="K125" i="18"/>
  <c r="L125" i="18" s="1"/>
  <c r="K124" i="18"/>
  <c r="L124" i="18" s="1"/>
  <c r="K123" i="18"/>
  <c r="K122" i="18"/>
  <c r="K121" i="18"/>
  <c r="K120" i="18"/>
  <c r="K119" i="18"/>
  <c r="K118" i="18"/>
  <c r="L118" i="18" s="1"/>
  <c r="FK97" i="18"/>
  <c r="FL97" i="18" s="1"/>
  <c r="FK96" i="18"/>
  <c r="FK95" i="18"/>
  <c r="FK94" i="18"/>
  <c r="FK93" i="18"/>
  <c r="FK92" i="18"/>
  <c r="FK91" i="18"/>
  <c r="FK90" i="18"/>
  <c r="FL90" i="18" s="1"/>
  <c r="FK85" i="18"/>
  <c r="FK84" i="18"/>
  <c r="FK83" i="18"/>
  <c r="FK82" i="18"/>
  <c r="FL82" i="18" s="1"/>
  <c r="FE98" i="18"/>
  <c r="FF98" i="18" s="1"/>
  <c r="FE97" i="18"/>
  <c r="FF97" i="18" s="1"/>
  <c r="FE96" i="18"/>
  <c r="FE95" i="18"/>
  <c r="FE94" i="18"/>
  <c r="FE93" i="18"/>
  <c r="FE92" i="18"/>
  <c r="FE91" i="18"/>
  <c r="FE90" i="18"/>
  <c r="FF90" i="18" s="1"/>
  <c r="FE84" i="18"/>
  <c r="FE83" i="18"/>
  <c r="FE82" i="18"/>
  <c r="EY99" i="18"/>
  <c r="EY98" i="18"/>
  <c r="EZ98" i="18" s="1"/>
  <c r="EY97" i="18"/>
  <c r="EZ97" i="18" s="1"/>
  <c r="EY96" i="18"/>
  <c r="EY95" i="18"/>
  <c r="EY94" i="18"/>
  <c r="EY93" i="18"/>
  <c r="EY92" i="18"/>
  <c r="EY91" i="18"/>
  <c r="EY90" i="18"/>
  <c r="EZ90" i="18" s="1"/>
  <c r="EY84" i="18"/>
  <c r="EY83" i="18"/>
  <c r="EY82" i="18"/>
  <c r="EZ82" i="18" s="1"/>
  <c r="ES97" i="18"/>
  <c r="ET97" i="18" s="1"/>
  <c r="ES96" i="18"/>
  <c r="ES95" i="18"/>
  <c r="ES94" i="18"/>
  <c r="ES93" i="18"/>
  <c r="ES92" i="18"/>
  <c r="ES91" i="18"/>
  <c r="ES90" i="18"/>
  <c r="ET90" i="18" s="1"/>
  <c r="ES85" i="18"/>
  <c r="ES84" i="18"/>
  <c r="ES83" i="18"/>
  <c r="ES82" i="18"/>
  <c r="EM98" i="18"/>
  <c r="EN98" i="18" s="1"/>
  <c r="EM97" i="18"/>
  <c r="EN97" i="18" s="1"/>
  <c r="EM96" i="18"/>
  <c r="EM95" i="18"/>
  <c r="EM94" i="18"/>
  <c r="EM93" i="18"/>
  <c r="EM92" i="18"/>
  <c r="EM91" i="18"/>
  <c r="EM90" i="18"/>
  <c r="EN90" i="18" s="1"/>
  <c r="EM84" i="18"/>
  <c r="EM83" i="18"/>
  <c r="EM82" i="18"/>
  <c r="EN82" i="18" s="1"/>
  <c r="EG97" i="18"/>
  <c r="EH97" i="18" s="1"/>
  <c r="EG96" i="18"/>
  <c r="EG95" i="18"/>
  <c r="EG94" i="18"/>
  <c r="EG93" i="18"/>
  <c r="EG92" i="18"/>
  <c r="EG91" i="18"/>
  <c r="EG90" i="18"/>
  <c r="EG85" i="18"/>
  <c r="EG84" i="18"/>
  <c r="EG83" i="18"/>
  <c r="EG82" i="18"/>
  <c r="EH82" i="18" s="1"/>
  <c r="DU96" i="18"/>
  <c r="EA98" i="18"/>
  <c r="EB98" i="18" s="1"/>
  <c r="EA97" i="18"/>
  <c r="EB97" i="18" s="1"/>
  <c r="EA96" i="18"/>
  <c r="EA95" i="18"/>
  <c r="EA94" i="18"/>
  <c r="EA93" i="18"/>
  <c r="EA92" i="18"/>
  <c r="EA91" i="18"/>
  <c r="EA90" i="18"/>
  <c r="EB90" i="18" s="1"/>
  <c r="EA84" i="18"/>
  <c r="EA83" i="18"/>
  <c r="EA82" i="18"/>
  <c r="EB82" i="18" s="1"/>
  <c r="DU97" i="18"/>
  <c r="DV97" i="18" s="1"/>
  <c r="DU95" i="18"/>
  <c r="DU94" i="18"/>
  <c r="DU93" i="18"/>
  <c r="DU92" i="18"/>
  <c r="DU91" i="18"/>
  <c r="DU90" i="18"/>
  <c r="DV90" i="18" s="1"/>
  <c r="DU85" i="18"/>
  <c r="DU84" i="18"/>
  <c r="DU83" i="18"/>
  <c r="DU82" i="18"/>
  <c r="DO97" i="18"/>
  <c r="DP97" i="18" s="1"/>
  <c r="DO96" i="18"/>
  <c r="DO95" i="18"/>
  <c r="DO94" i="18"/>
  <c r="DO93" i="18"/>
  <c r="DO92" i="18"/>
  <c r="DO91" i="18"/>
  <c r="DO90" i="18"/>
  <c r="DO84" i="18"/>
  <c r="DO83" i="18"/>
  <c r="DO82" i="18"/>
  <c r="DI98" i="18"/>
  <c r="DJ98" i="18" s="1"/>
  <c r="DI97" i="18"/>
  <c r="DJ97" i="18" s="1"/>
  <c r="DI96" i="18"/>
  <c r="DI95" i="18"/>
  <c r="DI94" i="18"/>
  <c r="DI93" i="18"/>
  <c r="DI92" i="18"/>
  <c r="DI91" i="18"/>
  <c r="DI90" i="18"/>
  <c r="DJ90" i="18" s="1"/>
  <c r="DI84" i="18"/>
  <c r="DI83" i="18"/>
  <c r="DI82" i="18"/>
  <c r="DJ82" i="18" s="1"/>
  <c r="DC98" i="18"/>
  <c r="DD98" i="18" s="1"/>
  <c r="DC97" i="18"/>
  <c r="DD97" i="18" s="1"/>
  <c r="DC96" i="18"/>
  <c r="DC95" i="18"/>
  <c r="DC94" i="18"/>
  <c r="DC93" i="18"/>
  <c r="DC92" i="18"/>
  <c r="DC91" i="18"/>
  <c r="DC90" i="18"/>
  <c r="DC84" i="18"/>
  <c r="DC83" i="18"/>
  <c r="DC82" i="18"/>
  <c r="DD82" i="18" s="1"/>
  <c r="CW98" i="18"/>
  <c r="CX98" i="18" s="1"/>
  <c r="CW97" i="18"/>
  <c r="CX97" i="18" s="1"/>
  <c r="CW96" i="18"/>
  <c r="CW95" i="18"/>
  <c r="CW94" i="18"/>
  <c r="CW93" i="18"/>
  <c r="CW92" i="18"/>
  <c r="CW91" i="18"/>
  <c r="CW90" i="18"/>
  <c r="CX90" i="18" s="1"/>
  <c r="CW84" i="18"/>
  <c r="CW83" i="18"/>
  <c r="CW82" i="18"/>
  <c r="CX82" i="18" s="1"/>
  <c r="CQ98" i="18"/>
  <c r="CR98" i="18" s="1"/>
  <c r="CQ97" i="18"/>
  <c r="CR97" i="18" s="1"/>
  <c r="CQ96" i="18"/>
  <c r="CQ95" i="18"/>
  <c r="CQ94" i="18"/>
  <c r="CQ93" i="18"/>
  <c r="CQ92" i="18"/>
  <c r="CQ91" i="18"/>
  <c r="CQ90" i="18"/>
  <c r="CR90" i="18" s="1"/>
  <c r="CQ84" i="18"/>
  <c r="CQ83" i="18"/>
  <c r="CQ82" i="18"/>
  <c r="CK100" i="18"/>
  <c r="CK99" i="18"/>
  <c r="CK98" i="18"/>
  <c r="CL98" i="18" s="1"/>
  <c r="CK97" i="18"/>
  <c r="CK96" i="18"/>
  <c r="CK95" i="18"/>
  <c r="CK94" i="18"/>
  <c r="CK93" i="18"/>
  <c r="CK92" i="18"/>
  <c r="CK91" i="18"/>
  <c r="CK90" i="18"/>
  <c r="CL90" i="18" s="1"/>
  <c r="CK84" i="18"/>
  <c r="CK83" i="18"/>
  <c r="CK82" i="18"/>
  <c r="CL82" i="18" s="1"/>
  <c r="CE98" i="18"/>
  <c r="CF98" i="18" s="1"/>
  <c r="CE97" i="18"/>
  <c r="CF97" i="18" s="1"/>
  <c r="CE96" i="18"/>
  <c r="CE95" i="18"/>
  <c r="CE94" i="18"/>
  <c r="CE93" i="18"/>
  <c r="CE92" i="18"/>
  <c r="CE91" i="18"/>
  <c r="CE90" i="18"/>
  <c r="CF90" i="18" s="1"/>
  <c r="CE82" i="18"/>
  <c r="CF82" i="18" s="1"/>
  <c r="CE84" i="18"/>
  <c r="CE83" i="18"/>
  <c r="BZ98" i="18"/>
  <c r="BY97" i="18"/>
  <c r="BZ97" i="18" s="1"/>
  <c r="BY96" i="18"/>
  <c r="BY95" i="18"/>
  <c r="BY94" i="18"/>
  <c r="BY93" i="18"/>
  <c r="BY92" i="18"/>
  <c r="BY91" i="18"/>
  <c r="BY90" i="18"/>
  <c r="BZ90" i="18" s="1"/>
  <c r="BY84" i="18"/>
  <c r="BY83" i="18"/>
  <c r="BY82" i="18"/>
  <c r="BZ82" i="18" s="1"/>
  <c r="BS97" i="18"/>
  <c r="BT97" i="18" s="1"/>
  <c r="BS96" i="18"/>
  <c r="BS95" i="18"/>
  <c r="BS94" i="18"/>
  <c r="BS93" i="18"/>
  <c r="BS92" i="18"/>
  <c r="BS91" i="18"/>
  <c r="BS90" i="18"/>
  <c r="BT90" i="18" s="1"/>
  <c r="BS82" i="18"/>
  <c r="BS84" i="18"/>
  <c r="BS83" i="18"/>
  <c r="K84" i="18"/>
  <c r="K83" i="18"/>
  <c r="K82" i="18"/>
  <c r="L82" i="18" s="1"/>
  <c r="BM90" i="18"/>
  <c r="BM97" i="18"/>
  <c r="BN97" i="18" s="1"/>
  <c r="BM96" i="18"/>
  <c r="BM95" i="18"/>
  <c r="BM94" i="18"/>
  <c r="BM93" i="18"/>
  <c r="BM92" i="18"/>
  <c r="BM91" i="18"/>
  <c r="K73" i="18"/>
  <c r="L73" i="18" s="1"/>
  <c r="K72" i="18"/>
  <c r="K71" i="18"/>
  <c r="K70" i="18"/>
  <c r="K69" i="18"/>
  <c r="K68" i="18"/>
  <c r="K67" i="18"/>
  <c r="K66" i="18"/>
  <c r="L66" i="18" s="1"/>
  <c r="BM84" i="18"/>
  <c r="BM83" i="18"/>
  <c r="BM82" i="18"/>
  <c r="BN82" i="18" s="1"/>
  <c r="BG98" i="18"/>
  <c r="BG97" i="18"/>
  <c r="BG96" i="18"/>
  <c r="BG95" i="18"/>
  <c r="BG94" i="18"/>
  <c r="BG93" i="18"/>
  <c r="BG92" i="18"/>
  <c r="BG91" i="18"/>
  <c r="BG90" i="18"/>
  <c r="BG84" i="18"/>
  <c r="BG83" i="18"/>
  <c r="BG82" i="18"/>
  <c r="BH82" i="18" s="1"/>
  <c r="BA98" i="18"/>
  <c r="BB98" i="18" s="1"/>
  <c r="BA97" i="18"/>
  <c r="BB97" i="18" s="1"/>
  <c r="BA96" i="18"/>
  <c r="BA95" i="18"/>
  <c r="BA94" i="18"/>
  <c r="BA93" i="18"/>
  <c r="BA92" i="18"/>
  <c r="BA91" i="18"/>
  <c r="BA90" i="18"/>
  <c r="BB90" i="18" s="1"/>
  <c r="BA84" i="18"/>
  <c r="BA83" i="18"/>
  <c r="BA82" i="18"/>
  <c r="BB82" i="18" s="1"/>
  <c r="AU84" i="18"/>
  <c r="AU83" i="18"/>
  <c r="AU82" i="18"/>
  <c r="AU98" i="18"/>
  <c r="AV98" i="18" s="1"/>
  <c r="AU97" i="18"/>
  <c r="AV97" i="18" s="1"/>
  <c r="AU96" i="18"/>
  <c r="AU95" i="18"/>
  <c r="AU94" i="18"/>
  <c r="AU93" i="18"/>
  <c r="AU92" i="18"/>
  <c r="AU91" i="18"/>
  <c r="AU90" i="18"/>
  <c r="AV90" i="18" s="1"/>
  <c r="AO98" i="18"/>
  <c r="AP98" i="18" s="1"/>
  <c r="AO97" i="18"/>
  <c r="AP97" i="18" s="1"/>
  <c r="AO96" i="18"/>
  <c r="AO95" i="18"/>
  <c r="AO94" i="18"/>
  <c r="AO93" i="18"/>
  <c r="AO92" i="18"/>
  <c r="AO91" i="18"/>
  <c r="AO90" i="18"/>
  <c r="AP90" i="18" s="1"/>
  <c r="AO84" i="18"/>
  <c r="AO83" i="18"/>
  <c r="AO82" i="18"/>
  <c r="AI91" i="18"/>
  <c r="AI92" i="18"/>
  <c r="AI93" i="18"/>
  <c r="AI94" i="18"/>
  <c r="AI95" i="18"/>
  <c r="AI96" i="18"/>
  <c r="AI97" i="18"/>
  <c r="AJ97" i="18" s="1"/>
  <c r="AI90" i="18"/>
  <c r="AJ90" i="18" s="1"/>
  <c r="AI84" i="18"/>
  <c r="AC84" i="18"/>
  <c r="AI83" i="18"/>
  <c r="AC83" i="18"/>
  <c r="AI82" i="18"/>
  <c r="AC82" i="18"/>
  <c r="AD82" i="18" s="1"/>
  <c r="AC91" i="18"/>
  <c r="AC92" i="18"/>
  <c r="AC93" i="18"/>
  <c r="AC94" i="18"/>
  <c r="AC95" i="18"/>
  <c r="AC96" i="18"/>
  <c r="AC97" i="18"/>
  <c r="AD97" i="18" s="1"/>
  <c r="AC90" i="18"/>
  <c r="AD90" i="18" s="1"/>
  <c r="W90" i="18"/>
  <c r="X90" i="18" s="1"/>
  <c r="W84" i="18"/>
  <c r="W83" i="18"/>
  <c r="W82" i="18"/>
  <c r="X82" i="18" s="1"/>
  <c r="W91" i="18"/>
  <c r="W92" i="18"/>
  <c r="W93" i="18"/>
  <c r="W94" i="18"/>
  <c r="W95" i="18"/>
  <c r="W96" i="18"/>
  <c r="W97" i="18"/>
  <c r="X97" i="18" s="1"/>
  <c r="Q84" i="18"/>
  <c r="Q83" i="18"/>
  <c r="Q82" i="18"/>
  <c r="R82" i="18" s="1"/>
  <c r="Q91" i="18"/>
  <c r="Q92" i="18"/>
  <c r="Q93" i="18"/>
  <c r="Q94" i="18"/>
  <c r="Q95" i="18"/>
  <c r="Q96" i="18"/>
  <c r="Q97" i="18"/>
  <c r="R97" i="18" s="1"/>
  <c r="Q90" i="18"/>
  <c r="R90" i="18" s="1"/>
  <c r="K61" i="18"/>
  <c r="K60" i="18"/>
  <c r="K59" i="18"/>
  <c r="K100" i="18"/>
  <c r="K99" i="18"/>
  <c r="K98" i="18"/>
  <c r="L98" i="18" s="1"/>
  <c r="K97" i="18"/>
  <c r="L97" i="18" s="1"/>
  <c r="K96" i="18"/>
  <c r="K95" i="18"/>
  <c r="K94" i="18"/>
  <c r="K93" i="18"/>
  <c r="K92" i="18"/>
  <c r="K91" i="18"/>
  <c r="K90" i="18"/>
  <c r="L90" i="18" s="1"/>
  <c r="AU72" i="18"/>
  <c r="AV72" i="18" s="1"/>
  <c r="AU71" i="18"/>
  <c r="AU70" i="18"/>
  <c r="AU69" i="18"/>
  <c r="AU68" i="18"/>
  <c r="AU67" i="18"/>
  <c r="AU66" i="18"/>
  <c r="AU61" i="18"/>
  <c r="AU60" i="18"/>
  <c r="AU59" i="18"/>
  <c r="AO66" i="18"/>
  <c r="AP66" i="18" s="1"/>
  <c r="AO72" i="18"/>
  <c r="AP72" i="18" s="1"/>
  <c r="AO71" i="18"/>
  <c r="AO70" i="18"/>
  <c r="AO69" i="18"/>
  <c r="AO68" i="18"/>
  <c r="AO67" i="18"/>
  <c r="AO61" i="18"/>
  <c r="AO60" i="18"/>
  <c r="AO59" i="18"/>
  <c r="AI72" i="18"/>
  <c r="AJ72" i="18" s="1"/>
  <c r="AI71" i="18"/>
  <c r="AI70" i="18"/>
  <c r="AI69" i="18"/>
  <c r="AI68" i="18"/>
  <c r="AI67" i="18"/>
  <c r="AI66" i="18"/>
  <c r="AJ66" i="18" s="1"/>
  <c r="AI61" i="18"/>
  <c r="AC61" i="18"/>
  <c r="AI60" i="18"/>
  <c r="AC60" i="18"/>
  <c r="AI59" i="18"/>
  <c r="AC59" i="18"/>
  <c r="AC72" i="18"/>
  <c r="AD72" i="18" s="1"/>
  <c r="AC71" i="18"/>
  <c r="AC70" i="18"/>
  <c r="AC69" i="18"/>
  <c r="AC68" i="18"/>
  <c r="AC67" i="18"/>
  <c r="AC66" i="18"/>
  <c r="AD66" i="18" s="1"/>
  <c r="W61" i="18"/>
  <c r="W60" i="18"/>
  <c r="W59" i="18"/>
  <c r="W73" i="18"/>
  <c r="X73" i="18" s="1"/>
  <c r="W72" i="18"/>
  <c r="W71" i="18"/>
  <c r="W70" i="18"/>
  <c r="W69" i="18"/>
  <c r="W68" i="18"/>
  <c r="W67" i="18"/>
  <c r="W66" i="18"/>
  <c r="X66" i="18" s="1"/>
  <c r="Q61" i="18"/>
  <c r="Q60" i="18"/>
  <c r="Q59" i="18"/>
  <c r="Q72" i="18"/>
  <c r="R72" i="18" s="1"/>
  <c r="Q71" i="18"/>
  <c r="Q70" i="18"/>
  <c r="Q69" i="18"/>
  <c r="Q68" i="18"/>
  <c r="Q67" i="18"/>
  <c r="Q66" i="18"/>
  <c r="R66" i="18" s="1"/>
  <c r="AI38" i="18"/>
  <c r="AC38" i="18"/>
  <c r="AI37" i="18"/>
  <c r="AC37" i="18"/>
  <c r="AI50" i="18"/>
  <c r="AJ50" i="18" s="1"/>
  <c r="AI49" i="18"/>
  <c r="AJ49" i="18" s="1"/>
  <c r="AI48" i="18"/>
  <c r="AI47" i="18"/>
  <c r="AI46" i="18"/>
  <c r="AI45" i="18"/>
  <c r="AI44" i="18"/>
  <c r="AI43" i="18"/>
  <c r="AJ43" i="18" s="1"/>
  <c r="W38" i="18"/>
  <c r="W37" i="18"/>
  <c r="AC45" i="18"/>
  <c r="AC46" i="18"/>
  <c r="AC47" i="18"/>
  <c r="AC48" i="18"/>
  <c r="AC49" i="18"/>
  <c r="AD49" i="18" s="1"/>
  <c r="AC44" i="18"/>
  <c r="AC43" i="18"/>
  <c r="AD43" i="18" s="1"/>
  <c r="W49" i="18"/>
  <c r="X49" i="18" s="1"/>
  <c r="W48" i="18"/>
  <c r="W47" i="18"/>
  <c r="W46" i="18"/>
  <c r="W45" i="18"/>
  <c r="W44" i="18"/>
  <c r="W43" i="18"/>
  <c r="X43" i="18" s="1"/>
  <c r="Q38" i="18"/>
  <c r="Q37" i="18"/>
  <c r="R37" i="18" s="1"/>
  <c r="Q49" i="18"/>
  <c r="R49" i="18" s="1"/>
  <c r="Q48" i="18"/>
  <c r="Q47" i="18"/>
  <c r="Q46" i="18"/>
  <c r="Q45" i="18"/>
  <c r="Q44" i="18"/>
  <c r="Q43" i="18"/>
  <c r="R43" i="18" s="1"/>
  <c r="K38" i="18"/>
  <c r="K37" i="18"/>
  <c r="L37" i="18" s="1"/>
  <c r="K49" i="18"/>
  <c r="L49" i="18" s="1"/>
  <c r="K48" i="18"/>
  <c r="K47" i="18"/>
  <c r="K46" i="18"/>
  <c r="K45" i="18"/>
  <c r="K44" i="18"/>
  <c r="K43" i="18"/>
  <c r="L43" i="18" s="1"/>
  <c r="AO20" i="18"/>
  <c r="AO13" i="18"/>
  <c r="AO27" i="18"/>
  <c r="AO26" i="18"/>
  <c r="AO25" i="18"/>
  <c r="AO24" i="18"/>
  <c r="AO23" i="18"/>
  <c r="AO22" i="18"/>
  <c r="AO21" i="18"/>
  <c r="AO19" i="18"/>
  <c r="AO18" i="18"/>
  <c r="AO17" i="18"/>
  <c r="AO16" i="18"/>
  <c r="AP16" i="18" s="1"/>
  <c r="AO15" i="18"/>
  <c r="AO14" i="18"/>
  <c r="AO8" i="18"/>
  <c r="AO7" i="18"/>
  <c r="AO6" i="18"/>
  <c r="AI28" i="18"/>
  <c r="AI27" i="18"/>
  <c r="AI26" i="18"/>
  <c r="AI25" i="18"/>
  <c r="AI24" i="18"/>
  <c r="AI23" i="18"/>
  <c r="AI22" i="18"/>
  <c r="AI21" i="18"/>
  <c r="AI20" i="18"/>
  <c r="AI19" i="18"/>
  <c r="AI18" i="18"/>
  <c r="AI17" i="18"/>
  <c r="AI16" i="18"/>
  <c r="AJ16" i="18" s="1"/>
  <c r="AI15" i="18"/>
  <c r="AI14" i="18"/>
  <c r="AI13" i="18"/>
  <c r="AJ13" i="18" s="1"/>
  <c r="AI8" i="18"/>
  <c r="AI7" i="18"/>
  <c r="AI6" i="18"/>
  <c r="AJ6" i="18" s="1"/>
  <c r="AC26" i="18"/>
  <c r="AD26" i="18" s="1"/>
  <c r="AC25" i="18"/>
  <c r="AC24" i="18"/>
  <c r="AC22" i="18"/>
  <c r="AC21" i="18"/>
  <c r="AC20" i="18"/>
  <c r="AC19" i="18"/>
  <c r="AC18" i="18"/>
  <c r="AC17" i="18"/>
  <c r="AC16" i="18"/>
  <c r="AD16" i="18" s="1"/>
  <c r="AC15" i="18"/>
  <c r="AC14" i="18"/>
  <c r="AC13" i="18"/>
  <c r="AD13" i="18" s="1"/>
  <c r="AC8" i="18"/>
  <c r="W8" i="18"/>
  <c r="AC7" i="18"/>
  <c r="W7" i="18"/>
  <c r="AC6" i="18"/>
  <c r="W6" i="18"/>
  <c r="X6" i="18" s="1"/>
  <c r="W27" i="18"/>
  <c r="X27" i="18" s="1"/>
  <c r="W26" i="18"/>
  <c r="W25" i="18"/>
  <c r="W24" i="18"/>
  <c r="W23" i="18"/>
  <c r="W22" i="18"/>
  <c r="W21" i="18"/>
  <c r="W20" i="18"/>
  <c r="W19" i="18"/>
  <c r="W18" i="18"/>
  <c r="W17" i="18"/>
  <c r="W16" i="18"/>
  <c r="X16" i="18" s="1"/>
  <c r="W15" i="18"/>
  <c r="W14" i="18"/>
  <c r="W13" i="18"/>
  <c r="X13" i="18" s="1"/>
  <c r="Q8" i="18"/>
  <c r="Q7" i="18"/>
  <c r="K6" i="18"/>
  <c r="Q28" i="18"/>
  <c r="R28" i="18" s="1"/>
  <c r="Q27" i="18"/>
  <c r="Q26" i="18"/>
  <c r="Q25" i="18"/>
  <c r="Q24" i="18"/>
  <c r="Q23" i="18"/>
  <c r="Q22" i="18"/>
  <c r="Q21" i="18"/>
  <c r="Q20" i="18"/>
  <c r="Q19" i="18"/>
  <c r="Q18" i="18"/>
  <c r="Q17" i="18"/>
  <c r="Q16" i="18"/>
  <c r="R16" i="18" s="1"/>
  <c r="Q15" i="18"/>
  <c r="Q14" i="18"/>
  <c r="Q13" i="18"/>
  <c r="Q6" i="18"/>
  <c r="K8" i="18"/>
  <c r="K7" i="18"/>
  <c r="K27" i="18"/>
  <c r="K26" i="18"/>
  <c r="K25" i="18"/>
  <c r="K24" i="18"/>
  <c r="K23" i="18"/>
  <c r="K22" i="18"/>
  <c r="K21" i="18"/>
  <c r="K20" i="18"/>
  <c r="K19" i="18"/>
  <c r="K18" i="18"/>
  <c r="K17" i="18"/>
  <c r="K16" i="18"/>
  <c r="L16" i="18" s="1"/>
  <c r="K15" i="18"/>
  <c r="K14" i="18"/>
  <c r="K13" i="18"/>
  <c r="K7" i="20" l="1"/>
  <c r="K6" i="20"/>
  <c r="K8" i="20"/>
  <c r="K9" i="20" s="1"/>
  <c r="E6" i="20"/>
  <c r="E8" i="20"/>
  <c r="L158" i="18"/>
  <c r="L159" i="18" s="1"/>
  <c r="N145" i="18"/>
  <c r="K159" i="18"/>
  <c r="N158" i="18" s="1"/>
  <c r="AD126" i="18"/>
  <c r="AD127" i="18" s="1"/>
  <c r="X119" i="18"/>
  <c r="X120" i="18" s="1"/>
  <c r="X121" i="18" s="1"/>
  <c r="X122" i="18" s="1"/>
  <c r="X123" i="18" s="1"/>
  <c r="AD110" i="18"/>
  <c r="AD111" i="18" s="1"/>
  <c r="N168" i="18"/>
  <c r="L163" i="18"/>
  <c r="L164" i="18" s="1"/>
  <c r="L165" i="18" s="1"/>
  <c r="L166" i="18" s="1"/>
  <c r="L167" i="18" s="1"/>
  <c r="L168" i="18" s="1"/>
  <c r="L169" i="18" s="1"/>
  <c r="N142" i="18"/>
  <c r="N141" i="18"/>
  <c r="N146" i="18"/>
  <c r="N143" i="18"/>
  <c r="N148" i="18"/>
  <c r="N144" i="18"/>
  <c r="L136" i="18"/>
  <c r="L137" i="18" s="1"/>
  <c r="AD119" i="18"/>
  <c r="AD120" i="18" s="1"/>
  <c r="AD121" i="18" s="1"/>
  <c r="AD122" i="18" s="1"/>
  <c r="AD123" i="18" s="1"/>
  <c r="L141" i="18"/>
  <c r="L142" i="18" s="1"/>
  <c r="L143" i="18" s="1"/>
  <c r="L144" i="18" s="1"/>
  <c r="L145" i="18" s="1"/>
  <c r="L146" i="18" s="1"/>
  <c r="N136" i="18"/>
  <c r="N137" i="18" s="1"/>
  <c r="AF127" i="18"/>
  <c r="AC111" i="18"/>
  <c r="AF110" i="18" s="1"/>
  <c r="W114" i="18"/>
  <c r="ET91" i="18"/>
  <c r="ET92" i="18" s="1"/>
  <c r="ET93" i="18" s="1"/>
  <c r="ET94" i="18" s="1"/>
  <c r="ET95" i="18" s="1"/>
  <c r="ET96" i="18" s="1"/>
  <c r="EZ83" i="18"/>
  <c r="EZ84" i="18" s="1"/>
  <c r="EZ85" i="18" s="1"/>
  <c r="X109" i="18"/>
  <c r="X110" i="18" s="1"/>
  <c r="X111" i="18" s="1"/>
  <c r="X112" i="18" s="1"/>
  <c r="X113" i="18" s="1"/>
  <c r="X114" i="18" s="1"/>
  <c r="FL91" i="18"/>
  <c r="FL92" i="18" s="1"/>
  <c r="FL93" i="18" s="1"/>
  <c r="FL94" i="18" s="1"/>
  <c r="FL95" i="18" s="1"/>
  <c r="FL96" i="18" s="1"/>
  <c r="K111" i="18"/>
  <c r="N110" i="18" s="1"/>
  <c r="Q111" i="18"/>
  <c r="T110" i="18" s="1"/>
  <c r="R118" i="18"/>
  <c r="R119" i="18" s="1"/>
  <c r="R120" i="18" s="1"/>
  <c r="R121" i="18" s="1"/>
  <c r="R122" i="18" s="1"/>
  <c r="R123" i="18" s="1"/>
  <c r="R109" i="18"/>
  <c r="R110" i="18" s="1"/>
  <c r="R111" i="18" s="1"/>
  <c r="EH83" i="18"/>
  <c r="EH84" i="18" s="1"/>
  <c r="EH85" i="18" s="1"/>
  <c r="EH86" i="18" s="1"/>
  <c r="EN83" i="18"/>
  <c r="EN84" i="18" s="1"/>
  <c r="EN85" i="18" s="1"/>
  <c r="FE85" i="18"/>
  <c r="FH82" i="18" s="1"/>
  <c r="L119" i="18"/>
  <c r="L120" i="18" s="1"/>
  <c r="L121" i="18" s="1"/>
  <c r="L122" i="18" s="1"/>
  <c r="L123" i="18" s="1"/>
  <c r="EN91" i="18"/>
  <c r="EN92" i="18" s="1"/>
  <c r="EN93" i="18" s="1"/>
  <c r="EN94" i="18" s="1"/>
  <c r="EN95" i="18" s="1"/>
  <c r="EN96" i="18" s="1"/>
  <c r="FF91" i="18"/>
  <c r="FF92" i="18" s="1"/>
  <c r="FF93" i="18" s="1"/>
  <c r="FF94" i="18" s="1"/>
  <c r="FF95" i="18" s="1"/>
  <c r="FF96" i="18" s="1"/>
  <c r="L110" i="18"/>
  <c r="L111" i="18" s="1"/>
  <c r="EZ91" i="18"/>
  <c r="EZ92" i="18" s="1"/>
  <c r="EZ93" i="18" s="1"/>
  <c r="EZ94" i="18" s="1"/>
  <c r="EZ95" i="18" s="1"/>
  <c r="EZ96" i="18" s="1"/>
  <c r="FL83" i="18"/>
  <c r="FL84" i="18" s="1"/>
  <c r="FL85" i="18" s="1"/>
  <c r="FL86" i="18" s="1"/>
  <c r="FF82" i="18"/>
  <c r="FF83" i="18" s="1"/>
  <c r="FF84" i="18" s="1"/>
  <c r="FF85" i="18" s="1"/>
  <c r="CR91" i="18"/>
  <c r="CR92" i="18" s="1"/>
  <c r="CR93" i="18" s="1"/>
  <c r="CR94" i="18" s="1"/>
  <c r="CR95" i="18" s="1"/>
  <c r="CR96" i="18" s="1"/>
  <c r="EB91" i="18"/>
  <c r="EB92" i="18" s="1"/>
  <c r="EB93" i="18" s="1"/>
  <c r="EB94" i="18" s="1"/>
  <c r="EB95" i="18" s="1"/>
  <c r="EB96" i="18" s="1"/>
  <c r="FK86" i="18"/>
  <c r="FN84" i="18" s="1"/>
  <c r="EZ99" i="18"/>
  <c r="EM85" i="18"/>
  <c r="EP96" i="18" s="1"/>
  <c r="EY85" i="18"/>
  <c r="FB82" i="18" s="1"/>
  <c r="ES86" i="18"/>
  <c r="EV92" i="18" s="1"/>
  <c r="ET82" i="18"/>
  <c r="ET83" i="18" s="1"/>
  <c r="EH90" i="18"/>
  <c r="EH91" i="18" s="1"/>
  <c r="EH92" i="18" s="1"/>
  <c r="EH93" i="18" s="1"/>
  <c r="EH94" i="18" s="1"/>
  <c r="EH95" i="18" s="1"/>
  <c r="EH96" i="18" s="1"/>
  <c r="EG86" i="18"/>
  <c r="EA85" i="18"/>
  <c r="ED91" i="18" s="1"/>
  <c r="DV91" i="18"/>
  <c r="DV92" i="18" s="1"/>
  <c r="DV93" i="18" s="1"/>
  <c r="DV94" i="18" s="1"/>
  <c r="DV95" i="18" s="1"/>
  <c r="DV96" i="18" s="1"/>
  <c r="EB83" i="18"/>
  <c r="EB84" i="18" s="1"/>
  <c r="EB85" i="18" s="1"/>
  <c r="CX83" i="18"/>
  <c r="CX84" i="18" s="1"/>
  <c r="CX85" i="18" s="1"/>
  <c r="DU86" i="18"/>
  <c r="DX96" i="18" s="1"/>
  <c r="BY85" i="18"/>
  <c r="CB82" i="18" s="1"/>
  <c r="CL83" i="18"/>
  <c r="CL84" i="18" s="1"/>
  <c r="CL85" i="18" s="1"/>
  <c r="DJ91" i="18"/>
  <c r="DJ92" i="18" s="1"/>
  <c r="DJ93" i="18" s="1"/>
  <c r="DJ94" i="18" s="1"/>
  <c r="DJ95" i="18" s="1"/>
  <c r="DJ96" i="18" s="1"/>
  <c r="DV82" i="18"/>
  <c r="DV83" i="18" s="1"/>
  <c r="DV84" i="18" s="1"/>
  <c r="DV85" i="18" s="1"/>
  <c r="DV86" i="18" s="1"/>
  <c r="BB83" i="18"/>
  <c r="BB84" i="18" s="1"/>
  <c r="BB85" i="18" s="1"/>
  <c r="BH83" i="18"/>
  <c r="BH84" i="18" s="1"/>
  <c r="BH85" i="18" s="1"/>
  <c r="DC85" i="18"/>
  <c r="DF82" i="18" s="1"/>
  <c r="DJ83" i="18"/>
  <c r="DJ84" i="18" s="1"/>
  <c r="DJ85" i="18" s="1"/>
  <c r="CW85" i="18"/>
  <c r="CZ82" i="18" s="1"/>
  <c r="BT91" i="18"/>
  <c r="BT92" i="18" s="1"/>
  <c r="BT93" i="18" s="1"/>
  <c r="BT94" i="18" s="1"/>
  <c r="BT95" i="18" s="1"/>
  <c r="BT96" i="18" s="1"/>
  <c r="BZ91" i="18"/>
  <c r="BZ92" i="18" s="1"/>
  <c r="BZ93" i="18" s="1"/>
  <c r="BZ94" i="18" s="1"/>
  <c r="BZ95" i="18" s="1"/>
  <c r="BZ96" i="18" s="1"/>
  <c r="DI85" i="18"/>
  <c r="DL82" i="18" s="1"/>
  <c r="BZ83" i="18"/>
  <c r="BZ84" i="18" s="1"/>
  <c r="BZ85" i="18" s="1"/>
  <c r="CF83" i="18"/>
  <c r="CF84" i="18" s="1"/>
  <c r="CF85" i="18" s="1"/>
  <c r="DD83" i="18"/>
  <c r="DD84" i="18" s="1"/>
  <c r="DD85" i="18" s="1"/>
  <c r="DP82" i="18"/>
  <c r="DP83" i="18" s="1"/>
  <c r="DP84" i="18" s="1"/>
  <c r="DP85" i="18" s="1"/>
  <c r="DO85" i="18"/>
  <c r="DR92" i="18" s="1"/>
  <c r="DP90" i="18"/>
  <c r="DP91" i="18" s="1"/>
  <c r="DP92" i="18" s="1"/>
  <c r="DP93" i="18" s="1"/>
  <c r="DP94" i="18" s="1"/>
  <c r="DP95" i="18" s="1"/>
  <c r="DP96" i="18" s="1"/>
  <c r="DD90" i="18"/>
  <c r="DD91" i="18" s="1"/>
  <c r="DD92" i="18" s="1"/>
  <c r="DD93" i="18" s="1"/>
  <c r="DD94" i="18" s="1"/>
  <c r="DD95" i="18" s="1"/>
  <c r="DD96" i="18" s="1"/>
  <c r="CX91" i="18"/>
  <c r="CX92" i="18" s="1"/>
  <c r="CX93" i="18" s="1"/>
  <c r="CX94" i="18" s="1"/>
  <c r="CX95" i="18" s="1"/>
  <c r="CX96" i="18" s="1"/>
  <c r="AJ91" i="18"/>
  <c r="AJ92" i="18" s="1"/>
  <c r="AJ93" i="18" s="1"/>
  <c r="AJ94" i="18" s="1"/>
  <c r="AJ95" i="18" s="1"/>
  <c r="AJ96" i="18" s="1"/>
  <c r="CF91" i="18"/>
  <c r="CF92" i="18" s="1"/>
  <c r="CF93" i="18" s="1"/>
  <c r="CF94" i="18" s="1"/>
  <c r="CF95" i="18" s="1"/>
  <c r="CF96" i="18" s="1"/>
  <c r="CK85" i="18"/>
  <c r="CN99" i="18" s="1"/>
  <c r="BT98" i="18"/>
  <c r="CR82" i="18"/>
  <c r="CR83" i="18" s="1"/>
  <c r="CR84" i="18" s="1"/>
  <c r="CR85" i="18" s="1"/>
  <c r="CQ85" i="18"/>
  <c r="CT96" i="18" s="1"/>
  <c r="CL99" i="18"/>
  <c r="CL100" i="18" s="1"/>
  <c r="CL91" i="18"/>
  <c r="CL92" i="18" s="1"/>
  <c r="CL93" i="18" s="1"/>
  <c r="CL94" i="18" s="1"/>
  <c r="CL95" i="18" s="1"/>
  <c r="CL96" i="18" s="1"/>
  <c r="CE85" i="18"/>
  <c r="CH84" i="18" s="1"/>
  <c r="BG85" i="18"/>
  <c r="BJ82" i="18" s="1"/>
  <c r="L91" i="18"/>
  <c r="L92" i="18" s="1"/>
  <c r="L93" i="18" s="1"/>
  <c r="L94" i="18" s="1"/>
  <c r="L95" i="18" s="1"/>
  <c r="L96" i="18" s="1"/>
  <c r="BB91" i="18"/>
  <c r="BB92" i="18" s="1"/>
  <c r="BT82" i="18"/>
  <c r="BT83" i="18" s="1"/>
  <c r="BT84" i="18" s="1"/>
  <c r="BT85" i="18" s="1"/>
  <c r="BS85" i="18"/>
  <c r="BV98" i="18" s="1"/>
  <c r="BN90" i="18"/>
  <c r="BN91" i="18" s="1"/>
  <c r="BN92" i="18" s="1"/>
  <c r="BN93" i="18" s="1"/>
  <c r="BN94" i="18" s="1"/>
  <c r="BN95" i="18" s="1"/>
  <c r="BN96" i="18" s="1"/>
  <c r="AD91" i="18"/>
  <c r="AD92" i="18" s="1"/>
  <c r="AD93" i="18" s="1"/>
  <c r="AD94" i="18" s="1"/>
  <c r="AD95" i="18" s="1"/>
  <c r="AD96" i="18" s="1"/>
  <c r="BN83" i="18"/>
  <c r="BN84" i="18" s="1"/>
  <c r="BN85" i="18" s="1"/>
  <c r="BM85" i="18"/>
  <c r="BP92" i="18" s="1"/>
  <c r="AI85" i="18"/>
  <c r="AL96" i="18" s="1"/>
  <c r="BA85" i="18"/>
  <c r="BD84" i="18" s="1"/>
  <c r="AC85" i="18"/>
  <c r="AF82" i="18" s="1"/>
  <c r="AV91" i="18"/>
  <c r="AV92" i="18" s="1"/>
  <c r="AV93" i="18" s="1"/>
  <c r="AV94" i="18" s="1"/>
  <c r="AV95" i="18" s="1"/>
  <c r="AV96" i="18" s="1"/>
  <c r="AD83" i="18"/>
  <c r="AD84" i="18" s="1"/>
  <c r="AD85" i="18" s="1"/>
  <c r="AV82" i="18"/>
  <c r="AV83" i="18" s="1"/>
  <c r="AV84" i="18" s="1"/>
  <c r="AV85" i="18" s="1"/>
  <c r="AU85" i="18"/>
  <c r="AP91" i="18"/>
  <c r="AP92" i="18" s="1"/>
  <c r="AP93" i="18" s="1"/>
  <c r="AP94" i="18" s="1"/>
  <c r="AP95" i="18" s="1"/>
  <c r="AP96" i="18" s="1"/>
  <c r="X91" i="18"/>
  <c r="X92" i="18" s="1"/>
  <c r="X93" i="18" s="1"/>
  <c r="X94" i="18" s="1"/>
  <c r="X95" i="18" s="1"/>
  <c r="X96" i="18" s="1"/>
  <c r="L99" i="18"/>
  <c r="L100" i="18" s="1"/>
  <c r="AJ82" i="18"/>
  <c r="AJ83" i="18" s="1"/>
  <c r="AJ84" i="18" s="1"/>
  <c r="AJ85" i="18" s="1"/>
  <c r="AP82" i="18"/>
  <c r="AP83" i="18" s="1"/>
  <c r="AP84" i="18" s="1"/>
  <c r="AP85" i="18" s="1"/>
  <c r="AO85" i="18"/>
  <c r="AR84" i="18" s="1"/>
  <c r="W85" i="18"/>
  <c r="Z82" i="18" s="1"/>
  <c r="X83" i="18"/>
  <c r="X84" i="18" s="1"/>
  <c r="X85" i="18" s="1"/>
  <c r="R83" i="18"/>
  <c r="R84" i="18" s="1"/>
  <c r="R85" i="18" s="1"/>
  <c r="Q85" i="18"/>
  <c r="R91" i="18"/>
  <c r="R92" i="18" s="1"/>
  <c r="R93" i="18" s="1"/>
  <c r="R94" i="18" s="1"/>
  <c r="R95" i="18" s="1"/>
  <c r="R96" i="18" s="1"/>
  <c r="X67" i="18"/>
  <c r="X68" i="18" s="1"/>
  <c r="AO62" i="18"/>
  <c r="AR68" i="18" s="1"/>
  <c r="AV66" i="18"/>
  <c r="AV67" i="18" s="1"/>
  <c r="AV68" i="18" s="1"/>
  <c r="AV69" i="18" s="1"/>
  <c r="AV70" i="18" s="1"/>
  <c r="AV71" i="18" s="1"/>
  <c r="L83" i="18"/>
  <c r="L84" i="18" s="1"/>
  <c r="L85" i="18" s="1"/>
  <c r="K85" i="18"/>
  <c r="N97" i="18" s="1"/>
  <c r="W39" i="18"/>
  <c r="Z38" i="18" s="1"/>
  <c r="AV59" i="18"/>
  <c r="AV60" i="18" s="1"/>
  <c r="AV61" i="18" s="1"/>
  <c r="AV62" i="18" s="1"/>
  <c r="AP67" i="18"/>
  <c r="AP68" i="18" s="1"/>
  <c r="AP69" i="18" s="1"/>
  <c r="AP70" i="18" s="1"/>
  <c r="AP71" i="18" s="1"/>
  <c r="AU62" i="18"/>
  <c r="AX66" i="18" s="1"/>
  <c r="AP59" i="18"/>
  <c r="AP60" i="18" s="1"/>
  <c r="AP61" i="18" s="1"/>
  <c r="AP62" i="18" s="1"/>
  <c r="AD67" i="18"/>
  <c r="AD68" i="18" s="1"/>
  <c r="AD69" i="18" s="1"/>
  <c r="AD70" i="18" s="1"/>
  <c r="AD71" i="18" s="1"/>
  <c r="AJ67" i="18"/>
  <c r="AJ68" i="18" s="1"/>
  <c r="AJ69" i="18" s="1"/>
  <c r="AJ70" i="18" s="1"/>
  <c r="AJ71" i="18" s="1"/>
  <c r="AI62" i="18"/>
  <c r="AI39" i="18"/>
  <c r="AL47" i="18" s="1"/>
  <c r="AJ59" i="18"/>
  <c r="AJ60" i="18" s="1"/>
  <c r="AJ61" i="18" s="1"/>
  <c r="AJ62" i="18" s="1"/>
  <c r="AC62" i="18"/>
  <c r="L67" i="18"/>
  <c r="L68" i="18" s="1"/>
  <c r="L69" i="18" s="1"/>
  <c r="L70" i="18" s="1"/>
  <c r="L71" i="18" s="1"/>
  <c r="L72" i="18" s="1"/>
  <c r="AD59" i="18"/>
  <c r="AD60" i="18" s="1"/>
  <c r="AD61" i="18" s="1"/>
  <c r="AD62" i="18" s="1"/>
  <c r="X59" i="18"/>
  <c r="X60" i="18" s="1"/>
  <c r="X61" i="18" s="1"/>
  <c r="X62" i="18" s="1"/>
  <c r="W62" i="18"/>
  <c r="R67" i="18"/>
  <c r="R68" i="18" s="1"/>
  <c r="R69" i="18" s="1"/>
  <c r="R70" i="18" s="1"/>
  <c r="R71" i="18" s="1"/>
  <c r="K62" i="18"/>
  <c r="N66" i="18" s="1"/>
  <c r="Q62" i="18"/>
  <c r="R59" i="18"/>
  <c r="R60" i="18" s="1"/>
  <c r="R61" i="18" s="1"/>
  <c r="R62" i="18" s="1"/>
  <c r="L59" i="18"/>
  <c r="L60" i="18" s="1"/>
  <c r="L61" i="18" s="1"/>
  <c r="L62" i="18" s="1"/>
  <c r="AD44" i="18"/>
  <c r="AD45" i="18" s="1"/>
  <c r="AD46" i="18" s="1"/>
  <c r="AD47" i="18" s="1"/>
  <c r="AD48" i="18" s="1"/>
  <c r="AC39" i="18"/>
  <c r="AF37" i="18" s="1"/>
  <c r="AJ44" i="18"/>
  <c r="AJ45" i="18" s="1"/>
  <c r="AJ37" i="18"/>
  <c r="AJ38" i="18" s="1"/>
  <c r="AJ39" i="18" s="1"/>
  <c r="R44" i="18"/>
  <c r="R45" i="18" s="1"/>
  <c r="R46" i="18" s="1"/>
  <c r="R47" i="18" s="1"/>
  <c r="R48" i="18" s="1"/>
  <c r="X44" i="18"/>
  <c r="X45" i="18" s="1"/>
  <c r="X46" i="18" s="1"/>
  <c r="X47" i="18" s="1"/>
  <c r="X48" i="18" s="1"/>
  <c r="L44" i="18"/>
  <c r="L45" i="18" s="1"/>
  <c r="L46" i="18" s="1"/>
  <c r="L47" i="18" s="1"/>
  <c r="L48" i="18" s="1"/>
  <c r="AD37" i="18"/>
  <c r="AD38" i="18" s="1"/>
  <c r="AD39" i="18" s="1"/>
  <c r="X37" i="18"/>
  <c r="X38" i="18" s="1"/>
  <c r="X39" i="18" s="1"/>
  <c r="Q39" i="18"/>
  <c r="T37" i="18" s="1"/>
  <c r="R38" i="18"/>
  <c r="R39" i="18" s="1"/>
  <c r="L38" i="18"/>
  <c r="L39" i="18" s="1"/>
  <c r="K39" i="18"/>
  <c r="T47" i="18" s="1"/>
  <c r="L17" i="18"/>
  <c r="L18" i="18" s="1"/>
  <c r="L19" i="18" s="1"/>
  <c r="L20" i="18" s="1"/>
  <c r="L21" i="18" s="1"/>
  <c r="L22" i="18" s="1"/>
  <c r="L23" i="18" s="1"/>
  <c r="L24" i="18" s="1"/>
  <c r="L25" i="18" s="1"/>
  <c r="L26" i="18" s="1"/>
  <c r="AP17" i="18"/>
  <c r="R17" i="18"/>
  <c r="R18" i="18" s="1"/>
  <c r="AD17" i="18"/>
  <c r="AD18" i="18" s="1"/>
  <c r="AD19" i="18" s="1"/>
  <c r="AJ17" i="18"/>
  <c r="AJ18" i="18" s="1"/>
  <c r="AJ19" i="18" s="1"/>
  <c r="AJ20" i="18" s="1"/>
  <c r="AJ21" i="18" s="1"/>
  <c r="AJ22" i="18" s="1"/>
  <c r="AJ23" i="18" s="1"/>
  <c r="AJ24" i="18" s="1"/>
  <c r="AJ25" i="18" s="1"/>
  <c r="AJ26" i="18" s="1"/>
  <c r="AJ27" i="18" s="1"/>
  <c r="X17" i="18"/>
  <c r="X18" i="18" s="1"/>
  <c r="X19" i="18" s="1"/>
  <c r="X20" i="18" s="1"/>
  <c r="AO9" i="18"/>
  <c r="AR19" i="18" s="1"/>
  <c r="AP13" i="18"/>
  <c r="AP14" i="18" s="1"/>
  <c r="AP15" i="18" s="1"/>
  <c r="AP6" i="18"/>
  <c r="AP7" i="18" s="1"/>
  <c r="AP8" i="18" s="1"/>
  <c r="AP9" i="18" s="1"/>
  <c r="AJ14" i="18"/>
  <c r="AJ15" i="18" s="1"/>
  <c r="AJ7" i="18"/>
  <c r="AJ8" i="18" s="1"/>
  <c r="AJ9" i="18" s="1"/>
  <c r="X14" i="18"/>
  <c r="X15" i="18" s="1"/>
  <c r="AD14" i="18"/>
  <c r="AD15" i="18" s="1"/>
  <c r="AD6" i="18"/>
  <c r="AD7" i="18" s="1"/>
  <c r="AD8" i="18" s="1"/>
  <c r="AD9" i="18" s="1"/>
  <c r="AC9" i="18"/>
  <c r="AF25" i="18" s="1"/>
  <c r="X7" i="18"/>
  <c r="X8" i="18" s="1"/>
  <c r="X9" i="18" s="1"/>
  <c r="W9" i="18"/>
  <c r="Z20" i="18" s="1"/>
  <c r="R6" i="18"/>
  <c r="R7" i="18" s="1"/>
  <c r="R8" i="18" s="1"/>
  <c r="R9" i="18" s="1"/>
  <c r="Q9" i="18"/>
  <c r="T23" i="18" s="1"/>
  <c r="R13" i="18"/>
  <c r="R14" i="18" s="1"/>
  <c r="R15" i="18" s="1"/>
  <c r="AI9" i="18"/>
  <c r="AL7" i="18" s="1"/>
  <c r="K9" i="18"/>
  <c r="L6" i="18"/>
  <c r="L7" i="18" s="1"/>
  <c r="L8" i="18" s="1"/>
  <c r="L9" i="18" s="1"/>
  <c r="L27" i="18"/>
  <c r="L13" i="18"/>
  <c r="L14" i="18" s="1"/>
  <c r="L15" i="18" s="1"/>
  <c r="I21" i="18"/>
  <c r="I20" i="18"/>
  <c r="D20" i="18"/>
  <c r="D19" i="18"/>
  <c r="D18" i="18"/>
  <c r="D17" i="18"/>
  <c r="D16" i="18"/>
  <c r="D15" i="18"/>
  <c r="D14" i="18"/>
  <c r="D13" i="18"/>
  <c r="D12" i="18"/>
  <c r="D11" i="18"/>
  <c r="D10" i="18"/>
  <c r="I9" i="18"/>
  <c r="D9" i="18"/>
  <c r="I8" i="18"/>
  <c r="D8" i="18"/>
  <c r="I7" i="18"/>
  <c r="D7" i="18"/>
  <c r="I6" i="18"/>
  <c r="D6" i="18"/>
  <c r="R21" i="6"/>
  <c r="R22" i="6"/>
  <c r="R23" i="6"/>
  <c r="R20" i="6"/>
  <c r="Q24" i="6"/>
  <c r="Y33" i="7"/>
  <c r="Y32" i="7"/>
  <c r="Y31" i="7"/>
  <c r="AA28" i="7"/>
  <c r="AA27" i="7"/>
  <c r="AA26" i="7"/>
  <c r="AA25" i="7"/>
  <c r="AA24" i="7"/>
  <c r="AA23" i="7"/>
  <c r="AA22" i="7"/>
  <c r="AA17" i="7"/>
  <c r="AA18" i="7"/>
  <c r="AA19" i="7"/>
  <c r="AA20" i="7"/>
  <c r="AA21" i="7"/>
  <c r="AA16" i="7"/>
  <c r="P20" i="5"/>
  <c r="P19" i="5"/>
  <c r="P18" i="5"/>
  <c r="O13" i="6"/>
  <c r="O12" i="6"/>
  <c r="O11" i="6"/>
  <c r="O10" i="6"/>
  <c r="O9" i="6"/>
  <c r="O8" i="6"/>
  <c r="O7" i="6"/>
  <c r="O6" i="6"/>
  <c r="E9" i="20" l="1"/>
  <c r="N169" i="18"/>
  <c r="R24" i="6"/>
  <c r="N157" i="18"/>
  <c r="N159" i="18" s="1"/>
  <c r="N163" i="18"/>
  <c r="N166" i="18"/>
  <c r="N167" i="18"/>
  <c r="N165" i="18"/>
  <c r="N164" i="18"/>
  <c r="N125" i="18"/>
  <c r="AF126" i="18"/>
  <c r="AF120" i="18"/>
  <c r="AF121" i="18"/>
  <c r="AF125" i="18"/>
  <c r="AF119" i="18"/>
  <c r="AF118" i="18"/>
  <c r="AF122" i="18"/>
  <c r="AF123" i="18"/>
  <c r="N119" i="18"/>
  <c r="Z121" i="18"/>
  <c r="AF109" i="18"/>
  <c r="AF111" i="18" s="1"/>
  <c r="Z119" i="18"/>
  <c r="N121" i="18"/>
  <c r="Z124" i="18"/>
  <c r="N118" i="18"/>
  <c r="Z118" i="18"/>
  <c r="Z122" i="18"/>
  <c r="N123" i="18"/>
  <c r="Z113" i="18"/>
  <c r="Z123" i="18"/>
  <c r="N109" i="18"/>
  <c r="N111" i="18" s="1"/>
  <c r="N120" i="18"/>
  <c r="N122" i="18"/>
  <c r="Z120" i="18"/>
  <c r="Z112" i="18"/>
  <c r="Z111" i="18"/>
  <c r="AL84" i="18"/>
  <c r="Z110" i="18"/>
  <c r="Z109" i="18"/>
  <c r="FH94" i="18"/>
  <c r="CZ94" i="18"/>
  <c r="CZ83" i="18"/>
  <c r="CZ92" i="18"/>
  <c r="EP95" i="18"/>
  <c r="CZ90" i="18"/>
  <c r="T123" i="18"/>
  <c r="T109" i="18"/>
  <c r="T111" i="18" s="1"/>
  <c r="T120" i="18"/>
  <c r="T122" i="18"/>
  <c r="CZ98" i="18"/>
  <c r="DL94" i="18"/>
  <c r="ED82" i="18"/>
  <c r="T118" i="18"/>
  <c r="CB91" i="18"/>
  <c r="CZ93" i="18"/>
  <c r="CZ95" i="18"/>
  <c r="ED93" i="18"/>
  <c r="EP83" i="18"/>
  <c r="FH91" i="18"/>
  <c r="T119" i="18"/>
  <c r="T121" i="18"/>
  <c r="FH98" i="18"/>
  <c r="FH93" i="18"/>
  <c r="FB93" i="18"/>
  <c r="FB84" i="18"/>
  <c r="FH84" i="18"/>
  <c r="FH92" i="18"/>
  <c r="FH90" i="18"/>
  <c r="FH95" i="18"/>
  <c r="EP93" i="18"/>
  <c r="FH83" i="18"/>
  <c r="FH96" i="18"/>
  <c r="ED90" i="18"/>
  <c r="FB96" i="18"/>
  <c r="FB94" i="18"/>
  <c r="FB99" i="18"/>
  <c r="FN96" i="18"/>
  <c r="FN95" i="18"/>
  <c r="FB95" i="18"/>
  <c r="FN85" i="18"/>
  <c r="FN93" i="18"/>
  <c r="FN91" i="18"/>
  <c r="FN82" i="18"/>
  <c r="FN90" i="18"/>
  <c r="ED83" i="18"/>
  <c r="ED98" i="18"/>
  <c r="ED92" i="18"/>
  <c r="EV83" i="18"/>
  <c r="FB92" i="18"/>
  <c r="FB90" i="18"/>
  <c r="FN92" i="18"/>
  <c r="FN94" i="18"/>
  <c r="ED95" i="18"/>
  <c r="ED94" i="18"/>
  <c r="EV91" i="18"/>
  <c r="ED84" i="18"/>
  <c r="ED96" i="18"/>
  <c r="EP82" i="18"/>
  <c r="FB91" i="18"/>
  <c r="FB98" i="18"/>
  <c r="FN83" i="18"/>
  <c r="DX91" i="18"/>
  <c r="EJ82" i="18"/>
  <c r="EJ96" i="18"/>
  <c r="EJ94" i="18"/>
  <c r="ET84" i="18"/>
  <c r="ET85" i="18" s="1"/>
  <c r="ET86" i="18" s="1"/>
  <c r="DX95" i="18"/>
  <c r="DF90" i="18"/>
  <c r="DX92" i="18"/>
  <c r="EJ92" i="18"/>
  <c r="EP84" i="18"/>
  <c r="EP92" i="18"/>
  <c r="EP94" i="18"/>
  <c r="DX90" i="18"/>
  <c r="EP90" i="18"/>
  <c r="EJ93" i="18"/>
  <c r="EV94" i="18"/>
  <c r="EV90" i="18"/>
  <c r="EV93" i="18"/>
  <c r="EV96" i="18"/>
  <c r="FB83" i="18"/>
  <c r="EV95" i="18"/>
  <c r="DX93" i="18"/>
  <c r="DX84" i="18"/>
  <c r="DX94" i="18"/>
  <c r="EJ91" i="18"/>
  <c r="EP98" i="18"/>
  <c r="EP91" i="18"/>
  <c r="EV85" i="18"/>
  <c r="EJ95" i="18"/>
  <c r="EV82" i="18"/>
  <c r="EJ90" i="18"/>
  <c r="EV84" i="18"/>
  <c r="EJ85" i="18"/>
  <c r="EJ84" i="18"/>
  <c r="EJ83" i="18"/>
  <c r="CB92" i="18"/>
  <c r="CB96" i="18"/>
  <c r="DX82" i="18"/>
  <c r="CB84" i="18"/>
  <c r="DX85" i="18"/>
  <c r="CZ96" i="18"/>
  <c r="CB98" i="18"/>
  <c r="CB94" i="18"/>
  <c r="CB93" i="18"/>
  <c r="CB83" i="18"/>
  <c r="CB95" i="18"/>
  <c r="CB90" i="18"/>
  <c r="CZ84" i="18"/>
  <c r="DX83" i="18"/>
  <c r="DF83" i="18"/>
  <c r="DF91" i="18"/>
  <c r="DF93" i="18"/>
  <c r="DF84" i="18"/>
  <c r="DF95" i="18"/>
  <c r="DF98" i="18"/>
  <c r="DF96" i="18"/>
  <c r="DF94" i="18"/>
  <c r="DF92" i="18"/>
  <c r="DL92" i="18"/>
  <c r="AL90" i="18"/>
  <c r="DL96" i="18"/>
  <c r="DL91" i="18"/>
  <c r="DL84" i="18"/>
  <c r="DL93" i="18"/>
  <c r="DL95" i="18"/>
  <c r="AL91" i="18"/>
  <c r="AL92" i="18"/>
  <c r="DL83" i="18"/>
  <c r="DL90" i="18"/>
  <c r="CZ91" i="18"/>
  <c r="CN96" i="18"/>
  <c r="CT91" i="18"/>
  <c r="CT93" i="18"/>
  <c r="AL83" i="18"/>
  <c r="AL82" i="18"/>
  <c r="CN83" i="18"/>
  <c r="CN90" i="18"/>
  <c r="CH96" i="18"/>
  <c r="DR96" i="18"/>
  <c r="AF91" i="18"/>
  <c r="BJ91" i="18"/>
  <c r="CH92" i="18"/>
  <c r="CT84" i="18"/>
  <c r="CT94" i="18"/>
  <c r="CT98" i="18"/>
  <c r="CT92" i="18"/>
  <c r="DR84" i="18"/>
  <c r="DR94" i="18"/>
  <c r="DR91" i="18"/>
  <c r="DR95" i="18"/>
  <c r="AL95" i="18"/>
  <c r="AL93" i="18"/>
  <c r="BJ83" i="18"/>
  <c r="CT90" i="18"/>
  <c r="CT95" i="18"/>
  <c r="DL98" i="18"/>
  <c r="DR93" i="18"/>
  <c r="DR90" i="18"/>
  <c r="DR83" i="18"/>
  <c r="DR82" i="18"/>
  <c r="CN82" i="18"/>
  <c r="BV84" i="18"/>
  <c r="BV95" i="18"/>
  <c r="BV91" i="18"/>
  <c r="BV93" i="18"/>
  <c r="BV90" i="18"/>
  <c r="CH82" i="18"/>
  <c r="CH90" i="18"/>
  <c r="CH94" i="18"/>
  <c r="CH98" i="18"/>
  <c r="CN84" i="18"/>
  <c r="CN98" i="18"/>
  <c r="CN91" i="18"/>
  <c r="CN95" i="18"/>
  <c r="CN94" i="18"/>
  <c r="BV96" i="18"/>
  <c r="AL94" i="18"/>
  <c r="BJ84" i="18"/>
  <c r="CH83" i="18"/>
  <c r="CH95" i="18"/>
  <c r="CH91" i="18"/>
  <c r="CN92" i="18"/>
  <c r="CN100" i="18"/>
  <c r="CN93" i="18"/>
  <c r="CH93" i="18"/>
  <c r="BV92" i="18"/>
  <c r="BV94" i="18"/>
  <c r="CT83" i="18"/>
  <c r="CT82" i="18"/>
  <c r="AF48" i="18"/>
  <c r="BJ98" i="18"/>
  <c r="Z45" i="18"/>
  <c r="AF46" i="18"/>
  <c r="AR59" i="18"/>
  <c r="BD98" i="18"/>
  <c r="BD96" i="18"/>
  <c r="BJ94" i="18"/>
  <c r="Z46" i="18"/>
  <c r="AF43" i="18"/>
  <c r="Z37" i="18"/>
  <c r="Z39" i="18" s="1"/>
  <c r="AR66" i="18"/>
  <c r="AF95" i="18"/>
  <c r="BD91" i="18"/>
  <c r="BJ96" i="18"/>
  <c r="BJ95" i="18"/>
  <c r="BP82" i="18"/>
  <c r="BP93" i="18"/>
  <c r="BP90" i="18"/>
  <c r="BP91" i="18"/>
  <c r="Z47" i="18"/>
  <c r="Z44" i="18"/>
  <c r="AF44" i="18"/>
  <c r="AF45" i="18"/>
  <c r="AR71" i="18"/>
  <c r="AF96" i="18"/>
  <c r="BJ90" i="18"/>
  <c r="BJ92" i="18"/>
  <c r="BJ93" i="18"/>
  <c r="BP94" i="18"/>
  <c r="Z48" i="18"/>
  <c r="Z43" i="18"/>
  <c r="AF47" i="18"/>
  <c r="AF84" i="18"/>
  <c r="BP95" i="18"/>
  <c r="BP96" i="18"/>
  <c r="BV83" i="18"/>
  <c r="BV82" i="18"/>
  <c r="AL44" i="18"/>
  <c r="AF83" i="18"/>
  <c r="AF93" i="18"/>
  <c r="BD82" i="18"/>
  <c r="BD95" i="18"/>
  <c r="BD93" i="18"/>
  <c r="BD90" i="18"/>
  <c r="AL48" i="18"/>
  <c r="BB93" i="18"/>
  <c r="BB94" i="18" s="1"/>
  <c r="AF94" i="18"/>
  <c r="AF92" i="18"/>
  <c r="AF90" i="18"/>
  <c r="BD83" i="18"/>
  <c r="BD94" i="18"/>
  <c r="BD92" i="18"/>
  <c r="BP83" i="18"/>
  <c r="BP84" i="18"/>
  <c r="AR67" i="18"/>
  <c r="AR90" i="18"/>
  <c r="AX90" i="18"/>
  <c r="AX95" i="18"/>
  <c r="AX94" i="18"/>
  <c r="AX91" i="18"/>
  <c r="AX96" i="18"/>
  <c r="AX92" i="18"/>
  <c r="AX98" i="18"/>
  <c r="AX93" i="18"/>
  <c r="AX84" i="18"/>
  <c r="AR61" i="18"/>
  <c r="AR69" i="18"/>
  <c r="AR70" i="18"/>
  <c r="AR95" i="18"/>
  <c r="AR96" i="18"/>
  <c r="AR60" i="18"/>
  <c r="AR94" i="18"/>
  <c r="AR98" i="18"/>
  <c r="AR93" i="18"/>
  <c r="AR91" i="18"/>
  <c r="AR92" i="18"/>
  <c r="AX83" i="18"/>
  <c r="AX82" i="18"/>
  <c r="Z96" i="18"/>
  <c r="Z92" i="18"/>
  <c r="Z83" i="18"/>
  <c r="Z93" i="18"/>
  <c r="Z95" i="18"/>
  <c r="Z94" i="18"/>
  <c r="Z84" i="18"/>
  <c r="Z91" i="18"/>
  <c r="Z90" i="18"/>
  <c r="N94" i="18"/>
  <c r="N96" i="18"/>
  <c r="N95" i="18"/>
  <c r="N100" i="18"/>
  <c r="N98" i="18"/>
  <c r="N92" i="18"/>
  <c r="N84" i="18"/>
  <c r="N90" i="18"/>
  <c r="N93" i="18"/>
  <c r="N99" i="18"/>
  <c r="N91" i="18"/>
  <c r="AR83" i="18"/>
  <c r="AR82" i="18"/>
  <c r="T94" i="18"/>
  <c r="T82" i="18"/>
  <c r="T91" i="18"/>
  <c r="T95" i="18"/>
  <c r="T92" i="18"/>
  <c r="T96" i="18"/>
  <c r="T84" i="18"/>
  <c r="T93" i="18"/>
  <c r="T90" i="18"/>
  <c r="T83" i="18"/>
  <c r="N67" i="18"/>
  <c r="AL37" i="18"/>
  <c r="AL43" i="18"/>
  <c r="AX70" i="18"/>
  <c r="AX69" i="18"/>
  <c r="AX67" i="18"/>
  <c r="AX71" i="18"/>
  <c r="AX68" i="18"/>
  <c r="N82" i="18"/>
  <c r="N83" i="18"/>
  <c r="AX61" i="18"/>
  <c r="AX60" i="18"/>
  <c r="AX59" i="18"/>
  <c r="N60" i="18"/>
  <c r="AL50" i="18"/>
  <c r="AL49" i="18"/>
  <c r="AL46" i="18"/>
  <c r="AL45" i="18"/>
  <c r="AL38" i="18"/>
  <c r="AL59" i="18"/>
  <c r="AL67" i="18"/>
  <c r="AL71" i="18"/>
  <c r="AL68" i="18"/>
  <c r="AL66" i="18"/>
  <c r="AL69" i="18"/>
  <c r="AL70" i="18"/>
  <c r="AL60" i="18"/>
  <c r="N61" i="18"/>
  <c r="AL61" i="18"/>
  <c r="AF61" i="18"/>
  <c r="AF67" i="18"/>
  <c r="AF71" i="18"/>
  <c r="AF68" i="18"/>
  <c r="AF66" i="18"/>
  <c r="AF69" i="18"/>
  <c r="AF70" i="18"/>
  <c r="AF60" i="18"/>
  <c r="X69" i="18"/>
  <c r="X70" i="18" s="1"/>
  <c r="X71" i="18" s="1"/>
  <c r="X72" i="18" s="1"/>
  <c r="AF59" i="18"/>
  <c r="Z61" i="18"/>
  <c r="Z67" i="18"/>
  <c r="Z71" i="18"/>
  <c r="Z68" i="18"/>
  <c r="Z72" i="18"/>
  <c r="Z70" i="18"/>
  <c r="Z69" i="18"/>
  <c r="Z66" i="18"/>
  <c r="N68" i="18"/>
  <c r="Z59" i="18"/>
  <c r="T61" i="18"/>
  <c r="T60" i="18"/>
  <c r="T70" i="18"/>
  <c r="T67" i="18"/>
  <c r="T71" i="18"/>
  <c r="T69" i="18"/>
  <c r="T68" i="18"/>
  <c r="T66" i="18"/>
  <c r="T59" i="18"/>
  <c r="Z60" i="18"/>
  <c r="N59" i="18"/>
  <c r="N69" i="18"/>
  <c r="N72" i="18"/>
  <c r="N71" i="18"/>
  <c r="N70" i="18"/>
  <c r="N38" i="18"/>
  <c r="T38" i="18"/>
  <c r="N37" i="18"/>
  <c r="AF38" i="18"/>
  <c r="AJ46" i="18"/>
  <c r="AJ47" i="18" s="1"/>
  <c r="AJ48" i="18" s="1"/>
  <c r="T43" i="18"/>
  <c r="T45" i="18"/>
  <c r="T46" i="18"/>
  <c r="T48" i="18"/>
  <c r="T44" i="18"/>
  <c r="N18" i="18"/>
  <c r="N43" i="18"/>
  <c r="N47" i="18"/>
  <c r="N44" i="18"/>
  <c r="N48" i="18"/>
  <c r="N46" i="18"/>
  <c r="N45" i="18"/>
  <c r="AP18" i="18"/>
  <c r="AP19" i="18" s="1"/>
  <c r="AP20" i="18" s="1"/>
  <c r="AP21" i="18" s="1"/>
  <c r="AP22" i="18" s="1"/>
  <c r="AP23" i="18" s="1"/>
  <c r="AP24" i="18" s="1"/>
  <c r="AP25" i="18" s="1"/>
  <c r="AP26" i="18" s="1"/>
  <c r="AR25" i="18"/>
  <c r="AR21" i="18"/>
  <c r="AR24" i="18"/>
  <c r="AR26" i="18"/>
  <c r="AR15" i="18"/>
  <c r="AR7" i="18"/>
  <c r="AR8" i="18"/>
  <c r="AR23" i="18"/>
  <c r="AR22" i="18"/>
  <c r="AR20" i="18"/>
  <c r="Z25" i="18"/>
  <c r="AL13" i="18"/>
  <c r="AR6" i="18"/>
  <c r="AL18" i="18"/>
  <c r="AR16" i="18"/>
  <c r="AL8" i="18"/>
  <c r="AR17" i="18"/>
  <c r="AR13" i="18"/>
  <c r="AF21" i="18"/>
  <c r="AD20" i="18"/>
  <c r="AD21" i="18" s="1"/>
  <c r="AD22" i="18" s="1"/>
  <c r="AD23" i="18" s="1"/>
  <c r="AD24" i="18" s="1"/>
  <c r="AD25" i="18" s="1"/>
  <c r="Z13" i="18"/>
  <c r="Z16" i="18"/>
  <c r="AF14" i="18"/>
  <c r="Z22" i="18"/>
  <c r="AL23" i="18"/>
  <c r="AR18" i="18"/>
  <c r="AF18" i="18"/>
  <c r="X21" i="18"/>
  <c r="X22" i="18" s="1"/>
  <c r="X23" i="18" s="1"/>
  <c r="X24" i="18" s="1"/>
  <c r="X25" i="18" s="1"/>
  <c r="X26" i="18" s="1"/>
  <c r="AR14" i="18"/>
  <c r="N7" i="18"/>
  <c r="T27" i="18"/>
  <c r="N15" i="18"/>
  <c r="T8" i="18"/>
  <c r="AL6" i="18"/>
  <c r="AF13" i="18"/>
  <c r="AL14" i="18"/>
  <c r="AF7" i="18"/>
  <c r="T22" i="18"/>
  <c r="N24" i="18"/>
  <c r="N19" i="18"/>
  <c r="T15" i="18"/>
  <c r="AL25" i="18"/>
  <c r="AF17" i="18"/>
  <c r="Z18" i="18"/>
  <c r="T21" i="18"/>
  <c r="AL27" i="18"/>
  <c r="T19" i="18"/>
  <c r="AL24" i="18"/>
  <c r="Z21" i="18"/>
  <c r="N22" i="18"/>
  <c r="T26" i="18"/>
  <c r="T13" i="18"/>
  <c r="T25" i="18"/>
  <c r="N26" i="18"/>
  <c r="Z24" i="18"/>
  <c r="Z6" i="18"/>
  <c r="Z19" i="18"/>
  <c r="Z15" i="18"/>
  <c r="AF19" i="18"/>
  <c r="AF8" i="18"/>
  <c r="AF15" i="18"/>
  <c r="AF23" i="18"/>
  <c r="AF16" i="18"/>
  <c r="AL26" i="18"/>
  <c r="AF22" i="18"/>
  <c r="Z23" i="18"/>
  <c r="T18" i="18"/>
  <c r="N20" i="18"/>
  <c r="AL15" i="18"/>
  <c r="AL21" i="18"/>
  <c r="Z7" i="18"/>
  <c r="Z14" i="18"/>
  <c r="T17" i="18"/>
  <c r="AL19" i="18"/>
  <c r="AL20" i="18"/>
  <c r="AF20" i="18"/>
  <c r="Z17" i="18"/>
  <c r="N25" i="18"/>
  <c r="N17" i="18"/>
  <c r="N8" i="18"/>
  <c r="N21" i="18"/>
  <c r="T16" i="18"/>
  <c r="T6" i="18"/>
  <c r="T20" i="18"/>
  <c r="AL22" i="18"/>
  <c r="T7" i="18"/>
  <c r="T14" i="18"/>
  <c r="N16" i="18"/>
  <c r="Z8" i="18"/>
  <c r="AL17" i="18"/>
  <c r="Z26" i="18"/>
  <c r="N6" i="18"/>
  <c r="N23" i="18"/>
  <c r="AF24" i="18"/>
  <c r="AL16" i="18"/>
  <c r="AF6" i="18"/>
  <c r="T24" i="18"/>
  <c r="N14" i="18"/>
  <c r="N13" i="18"/>
  <c r="R19" i="18"/>
  <c r="R20" i="18" s="1"/>
  <c r="P13" i="6"/>
  <c r="P9" i="6"/>
  <c r="P12" i="6"/>
  <c r="P8" i="6"/>
  <c r="P11" i="6"/>
  <c r="P7" i="6"/>
  <c r="P6" i="6"/>
  <c r="P10" i="6"/>
  <c r="O17" i="5"/>
  <c r="O16" i="5"/>
  <c r="O15" i="5"/>
  <c r="O14" i="5"/>
  <c r="O13" i="5"/>
  <c r="O12" i="5"/>
  <c r="O11" i="5"/>
  <c r="O10" i="5"/>
  <c r="O9" i="5"/>
  <c r="O8" i="5"/>
  <c r="O7" i="5"/>
  <c r="O6" i="5"/>
  <c r="G88" i="14" a="1"/>
  <c r="G88" i="14" s="1"/>
  <c r="G81" i="14" a="1"/>
  <c r="G81" i="14" s="1"/>
  <c r="G56" i="14" a="1"/>
  <c r="G56" i="14" s="1"/>
  <c r="G38" i="14" a="1"/>
  <c r="G38" i="14" s="1"/>
  <c r="G35" i="14" a="1"/>
  <c r="G35" i="14" s="1"/>
  <c r="G34" i="14" a="1"/>
  <c r="G34" i="14" s="1"/>
  <c r="G33" i="14" a="1"/>
  <c r="G33" i="14" s="1"/>
  <c r="G32" i="14" a="1"/>
  <c r="G32" i="14" s="1"/>
  <c r="G10" i="14" a="1"/>
  <c r="G10" i="14" s="1"/>
  <c r="G9" i="14" a="1"/>
  <c r="G9" i="14" s="1"/>
  <c r="G7" i="14" a="1"/>
  <c r="G7" i="14" s="1"/>
  <c r="G12" i="14" a="1"/>
  <c r="G12" i="14" s="1"/>
  <c r="CZ85" i="18" l="1"/>
  <c r="FH85" i="18"/>
  <c r="Z114" i="18"/>
  <c r="ED85" i="18"/>
  <c r="FN86" i="18"/>
  <c r="FB85" i="18"/>
  <c r="EP85" i="18"/>
  <c r="CB85" i="18"/>
  <c r="DX86" i="18"/>
  <c r="EV86" i="18"/>
  <c r="DF85" i="18"/>
  <c r="EJ86" i="18"/>
  <c r="BJ85" i="18"/>
  <c r="AL85" i="18"/>
  <c r="DL85" i="18"/>
  <c r="CN85" i="18"/>
  <c r="DR85" i="18"/>
  <c r="CT85" i="18"/>
  <c r="BV85" i="18"/>
  <c r="CH85" i="18"/>
  <c r="AR85" i="18"/>
  <c r="AF85" i="18"/>
  <c r="BP85" i="18"/>
  <c r="BD85" i="18"/>
  <c r="BB95" i="18"/>
  <c r="BB96" i="18" s="1"/>
  <c r="Z85" i="18"/>
  <c r="AR62" i="18"/>
  <c r="AX85" i="18"/>
  <c r="T85" i="18"/>
  <c r="AX62" i="18"/>
  <c r="N85" i="18"/>
  <c r="N62" i="18"/>
  <c r="AL62" i="18"/>
  <c r="AF62" i="18"/>
  <c r="Z62" i="18"/>
  <c r="T62" i="18"/>
  <c r="AL39" i="18"/>
  <c r="AF39" i="18"/>
  <c r="T39" i="18"/>
  <c r="N39" i="18"/>
  <c r="AL9" i="18"/>
  <c r="AR9" i="18"/>
  <c r="N9" i="18"/>
  <c r="R21" i="18"/>
  <c r="R22" i="18" s="1"/>
  <c r="R23" i="18" s="1"/>
  <c r="R24" i="18" s="1"/>
  <c r="R25" i="18" s="1"/>
  <c r="R26" i="18" s="1"/>
  <c r="R27" i="18" s="1"/>
  <c r="AF9" i="18"/>
  <c r="Z9" i="18"/>
  <c r="T9" i="18"/>
  <c r="P8" i="5"/>
  <c r="R15" i="5"/>
  <c r="Q14" i="5"/>
  <c r="Q7" i="5"/>
  <c r="Q11" i="5"/>
  <c r="P12" i="5"/>
  <c r="S16" i="5"/>
  <c r="S10" i="5"/>
  <c r="Q9" i="5"/>
  <c r="P13" i="5"/>
  <c r="P6" i="5"/>
  <c r="P10" i="5"/>
  <c r="Q12" i="5"/>
  <c r="Q8" i="5"/>
  <c r="R6" i="5"/>
  <c r="R9" i="5"/>
  <c r="S6" i="5"/>
  <c r="S9" i="5"/>
  <c r="S17" i="5"/>
  <c r="P9" i="5"/>
  <c r="R12" i="5"/>
  <c r="R8" i="5"/>
  <c r="S12" i="5"/>
  <c r="S8" i="5"/>
  <c r="Q10" i="5"/>
  <c r="Q6" i="5"/>
  <c r="R11" i="5"/>
  <c r="R7" i="5"/>
  <c r="S11" i="5"/>
  <c r="S7" i="5"/>
  <c r="P11" i="5"/>
  <c r="P7" i="5"/>
  <c r="R10" i="5"/>
  <c r="S33" i="11"/>
  <c r="S35" i="11" s="1"/>
  <c r="S20" i="11"/>
  <c r="S26" i="11" s="1"/>
  <c r="Q40" i="11"/>
  <c r="Q34" i="11"/>
  <c r="Q35" i="11" s="1"/>
  <c r="Q36" i="11" s="1"/>
  <c r="Q37" i="11" s="1"/>
  <c r="Q38" i="11" s="1"/>
  <c r="Q39" i="11" s="1"/>
  <c r="Q27" i="11"/>
  <c r="Q21" i="11"/>
  <c r="Q22" i="11" s="1"/>
  <c r="Q23" i="11" s="1"/>
  <c r="Q24" i="11" s="1"/>
  <c r="Q25" i="11" s="1"/>
  <c r="Q26" i="11" s="1"/>
  <c r="Q69" i="7"/>
  <c r="Q72" i="7" s="1"/>
  <c r="U5" i="3"/>
  <c r="U8" i="3" s="1"/>
  <c r="M5" i="3"/>
  <c r="M13" i="3" s="1"/>
  <c r="E5" i="3"/>
  <c r="Z5" i="1"/>
  <c r="Z7" i="1" s="1"/>
  <c r="O5" i="1"/>
  <c r="AC5" i="17"/>
  <c r="AC8" i="17" s="1"/>
  <c r="AC19" i="17"/>
  <c r="AC21" i="17" s="1"/>
  <c r="V14" i="17"/>
  <c r="V7" i="17"/>
  <c r="V8" i="17" s="1"/>
  <c r="V9" i="17" s="1"/>
  <c r="V10" i="17" s="1"/>
  <c r="V11" i="17" s="1"/>
  <c r="V12" i="17" s="1"/>
  <c r="V13" i="17" s="1"/>
  <c r="X6" i="17"/>
  <c r="X14" i="17" s="1"/>
  <c r="O13" i="17"/>
  <c r="O7" i="17"/>
  <c r="O8" i="17" s="1"/>
  <c r="O9" i="17" s="1"/>
  <c r="O10" i="17" s="1"/>
  <c r="O11" i="17" s="1"/>
  <c r="O12" i="17" s="1"/>
  <c r="Q6" i="17"/>
  <c r="Q9" i="17" s="1"/>
  <c r="E6" i="17"/>
  <c r="E11" i="17" s="1"/>
  <c r="K6" i="17"/>
  <c r="K12" i="17" s="1"/>
  <c r="C7" i="17"/>
  <c r="C8" i="17" s="1"/>
  <c r="C9" i="17" s="1"/>
  <c r="C10" i="17" s="1"/>
  <c r="C11" i="17" s="1"/>
  <c r="C12" i="17" s="1"/>
  <c r="C13" i="17" s="1"/>
  <c r="I7" i="17"/>
  <c r="I8" i="17" s="1"/>
  <c r="I9" i="17" s="1"/>
  <c r="I10" i="17" s="1"/>
  <c r="I11" i="17" s="1"/>
  <c r="I12" i="17" s="1"/>
  <c r="I13" i="17"/>
  <c r="C14" i="17"/>
  <c r="C15" i="17"/>
  <c r="S20" i="3"/>
  <c r="S19" i="3"/>
  <c r="S9" i="3"/>
  <c r="S10" i="3" s="1"/>
  <c r="S11" i="3" s="1"/>
  <c r="S12" i="3" s="1"/>
  <c r="S13" i="3" s="1"/>
  <c r="S14" i="3" s="1"/>
  <c r="S15" i="3" s="1"/>
  <c r="S16" i="3" s="1"/>
  <c r="S17" i="3" s="1"/>
  <c r="S18" i="3" s="1"/>
  <c r="S6" i="3"/>
  <c r="S7" i="3" s="1"/>
  <c r="S8" i="3" s="1"/>
  <c r="K20" i="3"/>
  <c r="K19" i="3"/>
  <c r="K9" i="3"/>
  <c r="K10" i="3" s="1"/>
  <c r="K11" i="3" s="1"/>
  <c r="K12" i="3" s="1"/>
  <c r="K13" i="3" s="1"/>
  <c r="K14" i="3" s="1"/>
  <c r="K15" i="3" s="1"/>
  <c r="K16" i="3" s="1"/>
  <c r="K17" i="3" s="1"/>
  <c r="K18" i="3" s="1"/>
  <c r="K6" i="3"/>
  <c r="K7" i="3" s="1"/>
  <c r="K8" i="3" s="1"/>
  <c r="X12" i="17" l="1"/>
  <c r="AC25" i="17"/>
  <c r="AC26" i="17"/>
  <c r="E14" i="17"/>
  <c r="AC22" i="17"/>
  <c r="AC24" i="17"/>
  <c r="AC23" i="17"/>
  <c r="AC20" i="17"/>
  <c r="S39" i="11"/>
  <c r="U16" i="3"/>
  <c r="Z20" i="1"/>
  <c r="Z16" i="1"/>
  <c r="Z8" i="1"/>
  <c r="Z12" i="1"/>
  <c r="U6" i="3"/>
  <c r="U12" i="3"/>
  <c r="U7" i="3"/>
  <c r="S34" i="11"/>
  <c r="Q75" i="7"/>
  <c r="Q71" i="7"/>
  <c r="Q70" i="7"/>
  <c r="M12" i="3"/>
  <c r="S24" i="11"/>
  <c r="K7" i="17"/>
  <c r="X8" i="17"/>
  <c r="Z19" i="1"/>
  <c r="Z15" i="1"/>
  <c r="Z11" i="1"/>
  <c r="Z9" i="1"/>
  <c r="M17" i="3"/>
  <c r="M11" i="3"/>
  <c r="M10" i="3"/>
  <c r="U20" i="3"/>
  <c r="U15" i="3"/>
  <c r="U10" i="3"/>
  <c r="U11" i="3"/>
  <c r="Q78" i="7"/>
  <c r="Q74" i="7"/>
  <c r="S21" i="11"/>
  <c r="S23" i="11"/>
  <c r="S38" i="11"/>
  <c r="S37" i="11"/>
  <c r="Q13" i="17"/>
  <c r="Z6" i="1"/>
  <c r="Z18" i="1"/>
  <c r="Z14" i="1"/>
  <c r="Z10" i="1"/>
  <c r="M6" i="3"/>
  <c r="M15" i="3"/>
  <c r="M9" i="3"/>
  <c r="M16" i="3"/>
  <c r="U19" i="3"/>
  <c r="U14" i="3"/>
  <c r="U9" i="3"/>
  <c r="U17" i="3"/>
  <c r="Q77" i="7"/>
  <c r="Q73" i="7"/>
  <c r="S27" i="11"/>
  <c r="S22" i="11"/>
  <c r="S36" i="11"/>
  <c r="S25" i="11"/>
  <c r="M18" i="3"/>
  <c r="M7" i="3"/>
  <c r="Z21" i="1"/>
  <c r="Z17" i="1"/>
  <c r="Z13" i="1"/>
  <c r="M19" i="3"/>
  <c r="M14" i="3"/>
  <c r="M8" i="3"/>
  <c r="M20" i="3"/>
  <c r="U18" i="3"/>
  <c r="U13" i="3"/>
  <c r="Q76" i="7"/>
  <c r="S40" i="11"/>
  <c r="E13" i="17"/>
  <c r="Q7" i="17"/>
  <c r="Q10" i="17"/>
  <c r="E12" i="17"/>
  <c r="K9" i="17"/>
  <c r="Q11" i="17"/>
  <c r="AC12" i="17"/>
  <c r="AC11" i="17"/>
  <c r="AC10" i="17"/>
  <c r="K8" i="17"/>
  <c r="AC9" i="17"/>
  <c r="AC7" i="17"/>
  <c r="AC6" i="17"/>
  <c r="K10" i="17"/>
  <c r="X9" i="17"/>
  <c r="X13" i="17"/>
  <c r="K11" i="17"/>
  <c r="E10" i="17"/>
  <c r="E9" i="17"/>
  <c r="E8" i="17"/>
  <c r="E7" i="17"/>
  <c r="Q8" i="17"/>
  <c r="Q12" i="17"/>
  <c r="X10" i="17"/>
  <c r="E15" i="17"/>
  <c r="K13" i="17"/>
  <c r="X7" i="17"/>
  <c r="X11" i="17"/>
  <c r="C20" i="3" l="1"/>
  <c r="O70" i="7"/>
  <c r="O71" i="7" s="1"/>
  <c r="O72" i="7" s="1"/>
  <c r="O73" i="7" s="1"/>
  <c r="O74" i="7" s="1"/>
  <c r="O75" i="7" s="1"/>
  <c r="O76" i="7" s="1"/>
  <c r="O78" i="7"/>
  <c r="O77" i="7"/>
  <c r="Y14" i="7"/>
  <c r="Y7" i="7"/>
  <c r="Y8" i="7" s="1"/>
  <c r="Y9" i="7" s="1"/>
  <c r="Y10" i="7" s="1"/>
  <c r="Y11" i="7" s="1"/>
  <c r="Y12" i="7" s="1"/>
  <c r="Y13" i="7" s="1"/>
  <c r="D13" i="12" l="1"/>
  <c r="D12" i="12"/>
  <c r="D6" i="12"/>
  <c r="D7" i="12" s="1"/>
  <c r="D8" i="12" s="1"/>
  <c r="D9" i="12" s="1"/>
  <c r="D10" i="12" s="1"/>
  <c r="D11" i="12" s="1"/>
  <c r="Q13" i="11"/>
  <c r="Q6" i="11"/>
  <c r="Q7" i="11" s="1"/>
  <c r="Q8" i="11" s="1"/>
  <c r="Q9" i="11" s="1"/>
  <c r="Q10" i="11" s="1"/>
  <c r="K27" i="11"/>
  <c r="K21" i="11"/>
  <c r="K22" i="11" s="1"/>
  <c r="K23" i="11" s="1"/>
  <c r="K24" i="11" s="1"/>
  <c r="K25" i="11" s="1"/>
  <c r="K26" i="11" s="1"/>
  <c r="K13" i="11"/>
  <c r="K6" i="11"/>
  <c r="K7" i="11" s="1"/>
  <c r="K8" i="11" s="1"/>
  <c r="K9" i="11" s="1"/>
  <c r="K10" i="11" s="1"/>
  <c r="K11" i="11" s="1"/>
  <c r="K12" i="11" s="1"/>
  <c r="C6" i="11"/>
  <c r="C7" i="11" s="1"/>
  <c r="C8" i="11" s="1"/>
  <c r="C9" i="11" s="1"/>
  <c r="C10" i="11" s="1"/>
  <c r="C11" i="11" s="1"/>
  <c r="C21" i="11"/>
  <c r="C22" i="11" s="1"/>
  <c r="C23" i="11" s="1"/>
  <c r="C24" i="11" s="1"/>
  <c r="C25" i="11" s="1"/>
  <c r="C26" i="11" s="1"/>
  <c r="C27" i="11"/>
  <c r="C12" i="11"/>
  <c r="O13" i="9"/>
  <c r="O7" i="9"/>
  <c r="O8" i="9" s="1"/>
  <c r="O9" i="9" s="1"/>
  <c r="O10" i="9" s="1"/>
  <c r="O11" i="9" s="1"/>
  <c r="O12" i="9" s="1"/>
  <c r="I29" i="9"/>
  <c r="I28" i="9"/>
  <c r="I22" i="9"/>
  <c r="I23" i="9" s="1"/>
  <c r="I24" i="9" s="1"/>
  <c r="I25" i="9" s="1"/>
  <c r="I26" i="9" s="1"/>
  <c r="I27" i="9" s="1"/>
  <c r="I13" i="9"/>
  <c r="I7" i="9"/>
  <c r="I8" i="9" s="1"/>
  <c r="I9" i="9" s="1"/>
  <c r="I10" i="9" s="1"/>
  <c r="I11" i="9" s="1"/>
  <c r="I12" i="9" s="1"/>
  <c r="C22" i="9"/>
  <c r="C23" i="9" s="1"/>
  <c r="C24" i="9" s="1"/>
  <c r="C25" i="9" s="1"/>
  <c r="C26" i="9" s="1"/>
  <c r="C27" i="9" s="1"/>
  <c r="C28" i="9"/>
  <c r="C13" i="9"/>
  <c r="C7" i="9"/>
  <c r="C8" i="9" s="1"/>
  <c r="C9" i="9" s="1"/>
  <c r="C10" i="9" s="1"/>
  <c r="C11" i="9" s="1"/>
  <c r="C12" i="9" s="1"/>
  <c r="C14" i="8"/>
  <c r="C7" i="8"/>
  <c r="C8" i="8" s="1"/>
  <c r="C9" i="8" s="1"/>
  <c r="C10" i="8" s="1"/>
  <c r="O62" i="7"/>
  <c r="O61" i="7"/>
  <c r="O54" i="7"/>
  <c r="O55" i="7" s="1"/>
  <c r="O56" i="7" s="1"/>
  <c r="O57" i="7" s="1"/>
  <c r="O58" i="7" s="1"/>
  <c r="O59" i="7" s="1"/>
  <c r="O60" i="7" s="1"/>
  <c r="O44" i="7"/>
  <c r="O43" i="7"/>
  <c r="O36" i="7"/>
  <c r="O37" i="7" s="1"/>
  <c r="O38" i="7" s="1"/>
  <c r="O39" i="7" s="1"/>
  <c r="C62" i="7"/>
  <c r="C63" i="7" s="1"/>
  <c r="C64" i="7" s="1"/>
  <c r="C61" i="7"/>
  <c r="C54" i="7"/>
  <c r="C55" i="7" s="1"/>
  <c r="C56" i="7" s="1"/>
  <c r="C57" i="7" s="1"/>
  <c r="C58" i="7" s="1"/>
  <c r="C59" i="7" s="1"/>
  <c r="C60" i="7" s="1"/>
  <c r="O28" i="7"/>
  <c r="O27" i="7"/>
  <c r="O20" i="7"/>
  <c r="O21" i="7" s="1"/>
  <c r="O22" i="7" s="1"/>
  <c r="O14" i="7"/>
  <c r="O13" i="7"/>
  <c r="O6" i="7"/>
  <c r="O7" i="7" s="1"/>
  <c r="O8" i="7" s="1"/>
  <c r="O9" i="7" s="1"/>
  <c r="O10" i="7" s="1"/>
  <c r="O11" i="7" s="1"/>
  <c r="O12" i="7" s="1"/>
  <c r="I62" i="7"/>
  <c r="I61" i="7"/>
  <c r="I54" i="7"/>
  <c r="I55" i="7" s="1"/>
  <c r="I56" i="7" s="1"/>
  <c r="I57" i="7" s="1"/>
  <c r="I58" i="7" s="1"/>
  <c r="I59" i="7" s="1"/>
  <c r="I60" i="7" s="1"/>
  <c r="I14" i="7"/>
  <c r="I46" i="7"/>
  <c r="I45" i="7"/>
  <c r="I44" i="7"/>
  <c r="I43" i="7"/>
  <c r="I36" i="7"/>
  <c r="I37" i="7" s="1"/>
  <c r="I38" i="7" s="1"/>
  <c r="I39" i="7" s="1"/>
  <c r="I40" i="7" s="1"/>
  <c r="I41" i="7" s="1"/>
  <c r="I42" i="7" s="1"/>
  <c r="C44" i="7"/>
  <c r="C43" i="7"/>
  <c r="C36" i="7"/>
  <c r="C37" i="7" s="1"/>
  <c r="C38" i="7" s="1"/>
  <c r="C39" i="7" s="1"/>
  <c r="C40" i="7" s="1"/>
  <c r="C41" i="7" s="1"/>
  <c r="C42" i="7" s="1"/>
  <c r="I28" i="7"/>
  <c r="I27" i="7"/>
  <c r="I20" i="7"/>
  <c r="I21" i="7" s="1"/>
  <c r="I22" i="7" s="1"/>
  <c r="I23" i="7" s="1"/>
  <c r="I24" i="7" s="1"/>
  <c r="I25" i="7" s="1"/>
  <c r="I26" i="7" s="1"/>
  <c r="I13" i="7"/>
  <c r="I6" i="7"/>
  <c r="I7" i="7" s="1"/>
  <c r="I8" i="7" s="1"/>
  <c r="I9" i="7" s="1"/>
  <c r="I10" i="7" s="1"/>
  <c r="I11" i="7" s="1"/>
  <c r="I12" i="7" s="1"/>
  <c r="C28" i="7"/>
  <c r="C27" i="7"/>
  <c r="C20" i="7"/>
  <c r="C21" i="7" s="1"/>
  <c r="C22" i="7" s="1"/>
  <c r="C23" i="7" s="1"/>
  <c r="C24" i="7" s="1"/>
  <c r="C25" i="7" s="1"/>
  <c r="C26" i="7" s="1"/>
  <c r="C14" i="7"/>
  <c r="C13" i="7"/>
  <c r="C6" i="7"/>
  <c r="C7" i="7" s="1"/>
  <c r="C8" i="7" s="1"/>
  <c r="C9" i="7" s="1"/>
  <c r="C10" i="7" s="1"/>
  <c r="C11" i="7" s="1"/>
  <c r="C12" i="7" s="1"/>
  <c r="I29" i="6"/>
  <c r="I28" i="6"/>
  <c r="I21" i="6"/>
  <c r="I22" i="6" s="1"/>
  <c r="I23" i="6" s="1"/>
  <c r="I24" i="6" s="1"/>
  <c r="I25" i="6" s="1"/>
  <c r="I26" i="6" s="1"/>
  <c r="I27" i="6" s="1"/>
  <c r="I14" i="6"/>
  <c r="I13" i="6"/>
  <c r="I6" i="6"/>
  <c r="I7" i="6" s="1"/>
  <c r="I8" i="6" s="1"/>
  <c r="I9" i="6" s="1"/>
  <c r="I10" i="6" s="1"/>
  <c r="I11" i="6" s="1"/>
  <c r="I12" i="6" s="1"/>
  <c r="C29" i="6"/>
  <c r="C28" i="6"/>
  <c r="C14" i="6"/>
  <c r="C13" i="6"/>
  <c r="C6" i="6"/>
  <c r="C7" i="6" s="1"/>
  <c r="C8" i="6" s="1"/>
  <c r="C9" i="6" s="1"/>
  <c r="C10" i="6" s="1"/>
  <c r="C11" i="6" s="1"/>
  <c r="C12" i="6" s="1"/>
  <c r="Q11" i="11" l="1"/>
  <c r="Q12" i="11" s="1"/>
  <c r="O40" i="7"/>
  <c r="O41" i="7" s="1"/>
  <c r="O42" i="7" s="1"/>
  <c r="C11" i="8"/>
  <c r="C12" i="8" s="1"/>
  <c r="C13" i="8" s="1"/>
  <c r="O23" i="7"/>
  <c r="O24" i="7" s="1"/>
  <c r="O25" i="7" s="1"/>
  <c r="O26" i="7" s="1"/>
  <c r="I30" i="5" l="1"/>
  <c r="I29" i="5"/>
  <c r="I28" i="5"/>
  <c r="I21" i="5"/>
  <c r="I22" i="5" s="1"/>
  <c r="I23" i="5" s="1"/>
  <c r="I24" i="5" s="1"/>
  <c r="I25" i="5" s="1"/>
  <c r="I26" i="5" s="1"/>
  <c r="I27" i="5" s="1"/>
  <c r="I14" i="5"/>
  <c r="I13" i="5"/>
  <c r="I6" i="5"/>
  <c r="I7" i="5" s="1"/>
  <c r="I8" i="5" s="1"/>
  <c r="I9" i="5" s="1"/>
  <c r="I10" i="5" s="1"/>
  <c r="I11" i="5" s="1"/>
  <c r="I12" i="5" s="1"/>
  <c r="C29" i="5"/>
  <c r="C28" i="5"/>
  <c r="C21" i="5"/>
  <c r="C22" i="5" s="1"/>
  <c r="C23" i="5" s="1"/>
  <c r="C24" i="5" s="1"/>
  <c r="C25" i="5" s="1"/>
  <c r="C26" i="5" s="1"/>
  <c r="C27" i="5" s="1"/>
  <c r="C14" i="5"/>
  <c r="C13" i="5"/>
  <c r="C6" i="5"/>
  <c r="C7" i="5" s="1"/>
  <c r="C8" i="5" s="1"/>
  <c r="C9" i="5" s="1"/>
  <c r="C10" i="5" s="1"/>
  <c r="C11" i="5" s="1"/>
  <c r="C12" i="5" s="1"/>
  <c r="I28" i="4"/>
  <c r="I27" i="4"/>
  <c r="I26" i="4"/>
  <c r="I25" i="4"/>
  <c r="I19" i="4"/>
  <c r="I13" i="4"/>
  <c r="I12" i="4"/>
  <c r="I6" i="4"/>
  <c r="C25" i="4"/>
  <c r="C19" i="4"/>
  <c r="C20" i="4" s="1"/>
  <c r="C12" i="4"/>
  <c r="C6" i="4"/>
  <c r="C19" i="3"/>
  <c r="C9" i="3"/>
  <c r="C10" i="3" s="1"/>
  <c r="C11" i="3" s="1"/>
  <c r="C12" i="3" s="1"/>
  <c r="C13" i="3" s="1"/>
  <c r="C14" i="3" s="1"/>
  <c r="C15" i="3" s="1"/>
  <c r="C16" i="3" s="1"/>
  <c r="C17" i="3" s="1"/>
  <c r="C18" i="3" s="1"/>
  <c r="C6" i="3"/>
  <c r="C7" i="3" s="1"/>
  <c r="C8" i="3" s="1"/>
  <c r="E4" i="2"/>
  <c r="E9" i="2" s="1"/>
  <c r="C8" i="2"/>
  <c r="C9" i="2" s="1"/>
  <c r="C10" i="2" s="1"/>
  <c r="C11" i="2" s="1"/>
  <c r="C12" i="2" s="1"/>
  <c r="C13" i="2" s="1"/>
  <c r="C14" i="2" s="1"/>
  <c r="C15" i="2" s="1"/>
  <c r="C16" i="2" s="1"/>
  <c r="C17" i="2" s="1"/>
  <c r="C5" i="2"/>
  <c r="C6" i="2" s="1"/>
  <c r="C7" i="2" s="1"/>
  <c r="X9" i="1"/>
  <c r="X10" i="1" s="1"/>
  <c r="X11" i="1" s="1"/>
  <c r="X12" i="1" s="1"/>
  <c r="X13" i="1" s="1"/>
  <c r="X14" i="1" s="1"/>
  <c r="X15" i="1" s="1"/>
  <c r="X16" i="1" s="1"/>
  <c r="X17" i="1" s="1"/>
  <c r="X18" i="1" s="1"/>
  <c r="X19" i="1" s="1"/>
  <c r="X20" i="1" s="1"/>
  <c r="X6" i="1"/>
  <c r="X7" i="1" s="1"/>
  <c r="X8" i="1" s="1"/>
  <c r="M6" i="1"/>
  <c r="M7" i="1" s="1"/>
  <c r="M8" i="1" s="1"/>
  <c r="M9" i="1"/>
  <c r="M10" i="1" s="1"/>
  <c r="M11" i="1" s="1"/>
  <c r="M12" i="1" s="1"/>
  <c r="M13" i="1" s="1"/>
  <c r="M14" i="1" s="1"/>
  <c r="M15" i="1" s="1"/>
  <c r="M16" i="1" s="1"/>
  <c r="M17" i="1" s="1"/>
  <c r="M18" i="1" s="1"/>
  <c r="M19" i="1" s="1"/>
  <c r="M20" i="1" s="1"/>
  <c r="N3" i="13"/>
  <c r="AF18" i="13"/>
  <c r="C7" i="4" l="1"/>
  <c r="C8" i="4" s="1"/>
  <c r="C9" i="4" s="1"/>
  <c r="C10" i="4" s="1"/>
  <c r="C11" i="4" s="1"/>
  <c r="I20" i="4"/>
  <c r="I21" i="4" s="1"/>
  <c r="I22" i="4" s="1"/>
  <c r="I23" i="4" s="1"/>
  <c r="I24" i="4" s="1"/>
  <c r="I7" i="4"/>
  <c r="I8" i="4" s="1"/>
  <c r="I9" i="4" s="1"/>
  <c r="I10" i="4" s="1"/>
  <c r="I11" i="4" s="1"/>
  <c r="C21" i="4"/>
  <c r="C22" i="4" s="1"/>
  <c r="C23" i="4" s="1"/>
  <c r="C24" i="4" s="1"/>
  <c r="L19" i="16"/>
  <c r="J19" i="16"/>
  <c r="H19" i="16"/>
  <c r="G77" i="14" a="1"/>
  <c r="G77" i="14" s="1"/>
  <c r="G76" i="14" a="1"/>
  <c r="G76" i="14" s="1"/>
  <c r="G75" i="14" a="1"/>
  <c r="G75" i="14" s="1"/>
  <c r="G74" i="14" a="1"/>
  <c r="G74" i="14" s="1"/>
  <c r="G72" i="14" a="1"/>
  <c r="G72" i="14" s="1"/>
  <c r="G68" i="14" a="1"/>
  <c r="G68" i="14" s="1"/>
  <c r="G67" i="14" a="1"/>
  <c r="G67" i="14" s="1"/>
  <c r="D28" i="16"/>
  <c r="D19" i="16"/>
  <c r="I22" i="16" l="1"/>
  <c r="K22" i="16"/>
  <c r="N28" i="16"/>
  <c r="P3" i="13"/>
  <c r="I23" i="16" l="1"/>
  <c r="E30" i="14"/>
  <c r="Y5" i="13"/>
  <c r="Y4" i="13"/>
  <c r="AB4" i="13" s="1"/>
  <c r="Y17" i="13" l="1"/>
  <c r="AF17" i="13" l="1"/>
  <c r="AF16" i="13"/>
  <c r="AF7" i="13"/>
  <c r="AF5" i="13"/>
  <c r="AF4" i="13"/>
  <c r="AE4" i="13"/>
  <c r="AB17" i="13"/>
  <c r="AE17" i="13" s="1"/>
  <c r="AB14" i="13"/>
  <c r="AH13" i="13"/>
  <c r="AB13" i="13"/>
  <c r="AH12" i="13"/>
  <c r="AB12" i="13"/>
  <c r="AH11" i="13"/>
  <c r="AB11" i="13"/>
  <c r="AB10" i="13"/>
  <c r="AH9" i="13"/>
  <c r="AB9" i="13"/>
  <c r="AB5" i="13"/>
  <c r="H28" i="16"/>
  <c r="Z28" i="16"/>
  <c r="X28" i="16"/>
  <c r="V28" i="16"/>
  <c r="T28" i="16"/>
  <c r="R28" i="16"/>
  <c r="P28" i="16"/>
  <c r="L28" i="16"/>
  <c r="J28" i="16"/>
  <c r="F28" i="16"/>
  <c r="B28" i="16"/>
  <c r="AA14" i="16"/>
  <c r="Y14" i="16"/>
  <c r="W14" i="16"/>
  <c r="U14" i="16"/>
  <c r="S14" i="16"/>
  <c r="B12" i="16"/>
  <c r="J8" i="16"/>
  <c r="AH4" i="13" l="1"/>
  <c r="AE5" i="13"/>
  <c r="AH5" i="13" s="1"/>
  <c r="AH17" i="13"/>
  <c r="I25" i="16"/>
  <c r="I27" i="16"/>
  <c r="I26" i="16"/>
  <c r="I20" i="16"/>
  <c r="I24" i="16"/>
  <c r="I21" i="16"/>
  <c r="T7" i="1"/>
  <c r="I28" i="16" l="1"/>
  <c r="T6" i="1"/>
  <c r="T9" i="1"/>
  <c r="T8" i="1"/>
  <c r="J18" i="13" s="1"/>
  <c r="D12" i="16" l="1"/>
  <c r="Y16" i="13" l="1"/>
  <c r="AB16" i="13" s="1"/>
  <c r="AE16" i="13" s="1"/>
  <c r="AH16" i="13" s="1"/>
  <c r="Y7" i="13" l="1"/>
  <c r="AB7" i="13" s="1"/>
  <c r="AE7" i="13" s="1"/>
  <c r="AH7" i="13" s="1"/>
  <c r="E5" i="14"/>
  <c r="M20" i="16" l="1"/>
  <c r="M25" i="16"/>
  <c r="M22" i="16"/>
  <c r="M24" i="16"/>
  <c r="M23" i="16"/>
  <c r="M21" i="16"/>
  <c r="M26" i="16"/>
  <c r="M27" i="16"/>
  <c r="R3" i="13"/>
  <c r="T3" i="13" s="1"/>
  <c r="U3" i="13" s="1"/>
  <c r="E14" i="14" l="1"/>
  <c r="E24" i="14"/>
  <c r="E42" i="14"/>
  <c r="E92" i="14"/>
  <c r="E64" i="14"/>
  <c r="M5" i="14" l="1"/>
  <c r="Y18" i="13"/>
  <c r="AB18" i="13" s="1"/>
  <c r="AE18" i="13" s="1"/>
  <c r="AH18" i="13" s="1"/>
  <c r="B5" i="16"/>
  <c r="C11" i="16" s="1"/>
  <c r="D5" i="16"/>
  <c r="E11" i="16" s="1"/>
  <c r="AA5" i="16"/>
  <c r="Y5" i="16"/>
  <c r="W5" i="16"/>
  <c r="U5" i="16"/>
  <c r="S5" i="16"/>
  <c r="L5" i="16"/>
  <c r="J5" i="16"/>
  <c r="Z19" i="16"/>
  <c r="X19" i="16"/>
  <c r="V19" i="16"/>
  <c r="T19" i="16"/>
  <c r="R19" i="16"/>
  <c r="P19" i="16"/>
  <c r="N19" i="16"/>
  <c r="O23" i="16" s="1"/>
  <c r="F19" i="16"/>
  <c r="B19" i="16"/>
  <c r="C21" i="16" s="1"/>
  <c r="L8" i="16"/>
  <c r="F11" i="16" l="1"/>
  <c r="N22" i="13" s="1"/>
  <c r="K7" i="16"/>
  <c r="K6" i="16"/>
  <c r="M7" i="16"/>
  <c r="M6" i="16"/>
  <c r="AA21" i="16"/>
  <c r="AA25" i="16"/>
  <c r="AA22" i="16"/>
  <c r="AA26" i="16"/>
  <c r="AA23" i="16"/>
  <c r="AA27" i="16"/>
  <c r="AA24" i="16"/>
  <c r="AA20" i="16"/>
  <c r="U21" i="16"/>
  <c r="U25" i="16"/>
  <c r="U26" i="16"/>
  <c r="U23" i="16"/>
  <c r="U27" i="16"/>
  <c r="U24" i="16"/>
  <c r="U20" i="16"/>
  <c r="U22" i="16"/>
  <c r="W21" i="16"/>
  <c r="W25" i="16"/>
  <c r="W27" i="16"/>
  <c r="W24" i="16"/>
  <c r="W22" i="16"/>
  <c r="W26" i="16"/>
  <c r="W20" i="16"/>
  <c r="W23" i="16"/>
  <c r="E7" i="16"/>
  <c r="E6" i="16"/>
  <c r="E9" i="16"/>
  <c r="E8" i="16"/>
  <c r="E10" i="16"/>
  <c r="C10" i="16"/>
  <c r="C9" i="16"/>
  <c r="C7" i="16"/>
  <c r="C8" i="16"/>
  <c r="C6" i="16"/>
  <c r="X7" i="16"/>
  <c r="X11" i="16"/>
  <c r="X12" i="16"/>
  <c r="X13" i="16"/>
  <c r="X6" i="16"/>
  <c r="X8" i="16"/>
  <c r="X10" i="16"/>
  <c r="X9" i="16"/>
  <c r="V13" i="16"/>
  <c r="V10" i="16"/>
  <c r="V11" i="16"/>
  <c r="V12" i="16"/>
  <c r="V6" i="16"/>
  <c r="V7" i="16"/>
  <c r="V8" i="16"/>
  <c r="V9" i="16"/>
  <c r="Z7" i="16"/>
  <c r="Z11" i="16"/>
  <c r="Z6" i="16"/>
  <c r="Z8" i="16"/>
  <c r="Z12" i="16"/>
  <c r="Z9" i="16"/>
  <c r="Z13" i="16"/>
  <c r="Z10" i="16"/>
  <c r="AB10" i="16"/>
  <c r="AB6" i="16"/>
  <c r="AB9" i="16"/>
  <c r="AB7" i="16"/>
  <c r="AB11" i="16"/>
  <c r="AB8" i="16"/>
  <c r="AB12" i="16"/>
  <c r="AB13" i="16"/>
  <c r="S27" i="16"/>
  <c r="S24" i="16"/>
  <c r="S20" i="16"/>
  <c r="S21" i="16"/>
  <c r="S25" i="16"/>
  <c r="S22" i="16"/>
  <c r="S26" i="16"/>
  <c r="S23" i="16"/>
  <c r="Q21" i="16"/>
  <c r="Q25" i="16"/>
  <c r="Q27" i="16"/>
  <c r="Q20" i="16"/>
  <c r="Q22" i="16"/>
  <c r="Q26" i="16"/>
  <c r="Q24" i="16"/>
  <c r="Q23" i="16"/>
  <c r="Y21" i="16"/>
  <c r="Y25" i="16"/>
  <c r="Y20" i="16"/>
  <c r="Y22" i="16"/>
  <c r="Y26" i="16"/>
  <c r="Y24" i="16"/>
  <c r="Y23" i="16"/>
  <c r="Y27" i="16"/>
  <c r="C25" i="16"/>
  <c r="C27" i="16"/>
  <c r="C22" i="16"/>
  <c r="C26" i="16"/>
  <c r="C24" i="16"/>
  <c r="C23" i="16"/>
  <c r="C20" i="16"/>
  <c r="E21" i="16"/>
  <c r="E25" i="16"/>
  <c r="E20" i="16"/>
  <c r="E22" i="16"/>
  <c r="E26" i="16"/>
  <c r="E23" i="16"/>
  <c r="E27" i="16"/>
  <c r="E24" i="16"/>
  <c r="O21" i="16"/>
  <c r="O25" i="16"/>
  <c r="O22" i="16"/>
  <c r="O26" i="16"/>
  <c r="O27" i="16"/>
  <c r="O24" i="16"/>
  <c r="O20" i="16"/>
  <c r="K21" i="16"/>
  <c r="K25" i="16"/>
  <c r="K20" i="16"/>
  <c r="K26" i="16"/>
  <c r="K23" i="16"/>
  <c r="K27" i="16"/>
  <c r="K24" i="16"/>
  <c r="G21" i="16"/>
  <c r="G25" i="16"/>
  <c r="G20" i="16"/>
  <c r="G22" i="16"/>
  <c r="G26" i="16"/>
  <c r="G23" i="16"/>
  <c r="G27" i="16"/>
  <c r="G24" i="16"/>
  <c r="T6" i="16"/>
  <c r="T10" i="16"/>
  <c r="T7" i="16"/>
  <c r="T11" i="16"/>
  <c r="T8" i="16"/>
  <c r="T12" i="16"/>
  <c r="T9" i="16"/>
  <c r="T13" i="16"/>
  <c r="E28" i="16" l="1"/>
  <c r="AD22" i="16"/>
  <c r="AD23" i="16"/>
  <c r="AD27" i="16"/>
  <c r="N11" i="13" s="1"/>
  <c r="P11" i="13" s="1"/>
  <c r="AD20" i="16"/>
  <c r="N6" i="13" s="1"/>
  <c r="F10" i="16"/>
  <c r="N20" i="13" s="1"/>
  <c r="F9" i="16"/>
  <c r="N18" i="13" s="1"/>
  <c r="X14" i="16"/>
  <c r="AC12" i="16"/>
  <c r="N16" i="13" s="1"/>
  <c r="V14" i="16"/>
  <c r="AC10" i="16"/>
  <c r="N14" i="13" s="1"/>
  <c r="AC8" i="16"/>
  <c r="F8" i="16"/>
  <c r="N19" i="13" s="1"/>
  <c r="AD21" i="16"/>
  <c r="N5" i="13" s="1"/>
  <c r="AD25" i="16"/>
  <c r="AD26" i="16"/>
  <c r="N10" i="13" s="1"/>
  <c r="C12" i="16"/>
  <c r="F6" i="16"/>
  <c r="N21" i="13" s="1"/>
  <c r="E12" i="16"/>
  <c r="AC13" i="16"/>
  <c r="N17" i="13" s="1"/>
  <c r="Z14" i="16"/>
  <c r="AD24" i="16"/>
  <c r="AC6" i="16"/>
  <c r="T14" i="16"/>
  <c r="AC7" i="16"/>
  <c r="AB14" i="16"/>
  <c r="F7" i="16"/>
  <c r="AA28" i="16"/>
  <c r="M8" i="16"/>
  <c r="M28" i="16"/>
  <c r="N6" i="16"/>
  <c r="N12" i="13" s="1"/>
  <c r="K8" i="16"/>
  <c r="N7" i="16"/>
  <c r="N13" i="13" s="1"/>
  <c r="AC11" i="16"/>
  <c r="N15" i="13" s="1"/>
  <c r="U28" i="16"/>
  <c r="Q28" i="16"/>
  <c r="W28" i="16"/>
  <c r="C28" i="16"/>
  <c r="O28" i="16"/>
  <c r="AC9" i="16"/>
  <c r="S28" i="16"/>
  <c r="Y28" i="16"/>
  <c r="K28" i="16"/>
  <c r="G28" i="16"/>
  <c r="N7" i="13" l="1"/>
  <c r="N4" i="13"/>
  <c r="P4" i="13" s="1"/>
  <c r="R11" i="13"/>
  <c r="T11" i="13" s="1"/>
  <c r="U11" i="13" s="1"/>
  <c r="P14" i="13"/>
  <c r="R14" i="13" s="1"/>
  <c r="T14" i="13" s="1"/>
  <c r="U14" i="13" s="1"/>
  <c r="P15" i="13"/>
  <c r="R15" i="13" s="1"/>
  <c r="T15" i="13" s="1"/>
  <c r="U15" i="13" s="1"/>
  <c r="P12" i="13"/>
  <c r="R12" i="13" s="1"/>
  <c r="T12" i="13" s="1"/>
  <c r="P16" i="13"/>
  <c r="R16" i="13" s="1"/>
  <c r="T16" i="13" s="1"/>
  <c r="U16" i="13" s="1"/>
  <c r="P6" i="13"/>
  <c r="R6" i="13" s="1"/>
  <c r="T6" i="13" s="1"/>
  <c r="P17" i="13"/>
  <c r="R17" i="13" s="1"/>
  <c r="T17" i="13" s="1"/>
  <c r="U17" i="13" s="1"/>
  <c r="P13" i="13"/>
  <c r="R13" i="13" s="1"/>
  <c r="T13" i="13" s="1"/>
  <c r="P10" i="13"/>
  <c r="R10" i="13" s="1"/>
  <c r="T10" i="13" s="1"/>
  <c r="U10" i="13" s="1"/>
  <c r="P20" i="13"/>
  <c r="R20" i="13" s="1"/>
  <c r="T20" i="13" s="1"/>
  <c r="U20" i="13" s="1"/>
  <c r="P18" i="13"/>
  <c r="R18" i="13" s="1"/>
  <c r="T18" i="13" s="1"/>
  <c r="P19" i="13"/>
  <c r="R19" i="13" s="1"/>
  <c r="T19" i="13" s="1"/>
  <c r="U19" i="13" s="1"/>
  <c r="P22" i="13"/>
  <c r="R22" i="13" s="1"/>
  <c r="T22" i="13" s="1"/>
  <c r="U22" i="13" s="1"/>
  <c r="P21" i="13"/>
  <c r="R21" i="13" s="1"/>
  <c r="T21" i="13" s="1"/>
  <c r="U21" i="13" s="1"/>
  <c r="F12" i="16"/>
  <c r="N9" i="13"/>
  <c r="N8" i="13"/>
  <c r="P5" i="13" l="1"/>
  <c r="R5" i="13" s="1"/>
  <c r="T5" i="13" s="1"/>
  <c r="P9" i="13"/>
  <c r="R9" i="13" s="1"/>
  <c r="T9" i="13" s="1"/>
  <c r="P8" i="13"/>
  <c r="R8" i="13" s="1"/>
  <c r="T8" i="13" s="1"/>
  <c r="U8" i="13" s="1"/>
  <c r="P7" i="13"/>
  <c r="R7" i="13" s="1"/>
  <c r="T7" i="13" s="1"/>
  <c r="R4" i="13"/>
  <c r="T4" i="13" s="1"/>
  <c r="F5" i="12"/>
  <c r="K21" i="9"/>
  <c r="E21" i="9"/>
  <c r="Q6" i="9"/>
  <c r="K6" i="9"/>
  <c r="E6" i="9"/>
  <c r="E6" i="8"/>
  <c r="F20" i="11"/>
  <c r="M20" i="11"/>
  <c r="S5" i="11"/>
  <c r="M5" i="11"/>
  <c r="F5" i="11"/>
  <c r="E19" i="7"/>
  <c r="Q35" i="7"/>
  <c r="Q53" i="7"/>
  <c r="K53" i="7"/>
  <c r="E53" i="7"/>
  <c r="K35" i="7"/>
  <c r="E35" i="7"/>
  <c r="Q19" i="7"/>
  <c r="K19" i="7"/>
  <c r="Q5" i="7"/>
  <c r="K5" i="7"/>
  <c r="E5" i="7"/>
  <c r="K20" i="6"/>
  <c r="E20" i="6"/>
  <c r="K5" i="6"/>
  <c r="E5" i="6"/>
  <c r="E6" i="6" s="1"/>
  <c r="K20" i="5"/>
  <c r="E20" i="5"/>
  <c r="K5" i="5"/>
  <c r="E5" i="5"/>
  <c r="E14" i="5" s="1"/>
  <c r="J5" i="13" s="1"/>
  <c r="K18" i="4"/>
  <c r="E18" i="4"/>
  <c r="E19" i="4" s="1"/>
  <c r="K5" i="4"/>
  <c r="K6" i="4" s="1"/>
  <c r="E5" i="4"/>
  <c r="K27" i="4" l="1"/>
  <c r="J21" i="13" s="1"/>
  <c r="K21" i="4"/>
  <c r="J22" i="13"/>
  <c r="F12" i="12"/>
  <c r="F11" i="12"/>
  <c r="F10" i="12"/>
  <c r="F9" i="12"/>
  <c r="F8" i="12"/>
  <c r="F7" i="12"/>
  <c r="E20" i="3"/>
  <c r="F11" i="13" s="1"/>
  <c r="E8" i="3"/>
  <c r="K19" i="4"/>
  <c r="E6" i="4"/>
  <c r="O6" i="1"/>
  <c r="O10" i="1"/>
  <c r="O7" i="1"/>
  <c r="O11" i="1"/>
  <c r="O8" i="1"/>
  <c r="O12" i="1"/>
  <c r="O9" i="1"/>
  <c r="F6" i="12" l="1"/>
  <c r="K28" i="4" l="1"/>
  <c r="K46" i="7" l="1"/>
  <c r="J10" i="13" l="1"/>
  <c r="F13" i="12"/>
  <c r="M22" i="11"/>
  <c r="M23" i="11"/>
  <c r="M24" i="11"/>
  <c r="M25" i="11"/>
  <c r="M26" i="11"/>
  <c r="M27" i="11"/>
  <c r="M21" i="11"/>
  <c r="F25" i="11"/>
  <c r="G25" i="11" s="1"/>
  <c r="F22" i="11"/>
  <c r="G22" i="11" s="1"/>
  <c r="F23" i="11"/>
  <c r="G23" i="11" s="1"/>
  <c r="F24" i="11"/>
  <c r="G24" i="11" s="1"/>
  <c r="F26" i="11"/>
  <c r="G26" i="11" s="1"/>
  <c r="F27" i="11"/>
  <c r="G27" i="11" s="1"/>
  <c r="F21" i="11"/>
  <c r="G21" i="11" s="1"/>
  <c r="S7" i="11"/>
  <c r="S8" i="11"/>
  <c r="S9" i="11"/>
  <c r="S10" i="11"/>
  <c r="S11" i="11"/>
  <c r="S12" i="11"/>
  <c r="S13" i="11"/>
  <c r="S6" i="11"/>
  <c r="M6" i="11"/>
  <c r="M12" i="11"/>
  <c r="M7" i="11"/>
  <c r="M8" i="11"/>
  <c r="M9" i="11"/>
  <c r="M10" i="11"/>
  <c r="M11" i="11"/>
  <c r="M13" i="11"/>
  <c r="F7" i="11"/>
  <c r="G7" i="11" s="1"/>
  <c r="F8" i="11"/>
  <c r="G8" i="11" s="1"/>
  <c r="F9" i="11"/>
  <c r="G9" i="11" s="1"/>
  <c r="F10" i="11"/>
  <c r="G10" i="11" s="1"/>
  <c r="F11" i="11"/>
  <c r="G11" i="11" s="1"/>
  <c r="F12" i="11"/>
  <c r="G12" i="11" s="1"/>
  <c r="F6" i="11"/>
  <c r="G6" i="11" s="1"/>
  <c r="Q7" i="9"/>
  <c r="E7" i="9"/>
  <c r="K7" i="9"/>
  <c r="E22" i="9"/>
  <c r="K22" i="9"/>
  <c r="E12" i="9"/>
  <c r="K12" i="9"/>
  <c r="Q8" i="9"/>
  <c r="Q9" i="9"/>
  <c r="Q10" i="9"/>
  <c r="Q11" i="9"/>
  <c r="Q12" i="9"/>
  <c r="Q13" i="9"/>
  <c r="K27" i="9"/>
  <c r="E26" i="9"/>
  <c r="K23" i="9"/>
  <c r="K24" i="9"/>
  <c r="K25" i="9"/>
  <c r="K26" i="9"/>
  <c r="K28" i="9"/>
  <c r="K29" i="9"/>
  <c r="E23" i="9"/>
  <c r="E24" i="9"/>
  <c r="E25" i="9"/>
  <c r="E27" i="9"/>
  <c r="E28" i="9"/>
  <c r="K13" i="9"/>
  <c r="E13" i="9"/>
  <c r="E8" i="9"/>
  <c r="E9" i="9"/>
  <c r="E10" i="9"/>
  <c r="E11" i="9"/>
  <c r="G13" i="11" l="1"/>
  <c r="G28" i="11"/>
  <c r="I20" i="1"/>
  <c r="I21" i="1"/>
  <c r="K8" i="9"/>
  <c r="K9" i="9"/>
  <c r="K10" i="9"/>
  <c r="K11" i="9"/>
  <c r="E7" i="8"/>
  <c r="E14" i="8"/>
  <c r="B17" i="13" s="1"/>
  <c r="E8" i="8"/>
  <c r="E9" i="8"/>
  <c r="E10" i="8"/>
  <c r="E11" i="8"/>
  <c r="E12" i="8"/>
  <c r="E13" i="8"/>
  <c r="E10" i="7"/>
  <c r="E9" i="7"/>
  <c r="E8" i="7"/>
  <c r="E7" i="7"/>
  <c r="Q7" i="7"/>
  <c r="Q8" i="7"/>
  <c r="Q9" i="7"/>
  <c r="Q10" i="7"/>
  <c r="Q11" i="7"/>
  <c r="Q12" i="7"/>
  <c r="Q13" i="7"/>
  <c r="Q14" i="7"/>
  <c r="J9" i="13" s="1"/>
  <c r="Q6" i="7"/>
  <c r="K7" i="7"/>
  <c r="K14" i="7"/>
  <c r="K8" i="7"/>
  <c r="K9" i="7"/>
  <c r="K10" i="7"/>
  <c r="K11" i="7"/>
  <c r="K12" i="7"/>
  <c r="K13" i="7"/>
  <c r="K6" i="7"/>
  <c r="E14" i="7"/>
  <c r="J3" i="13" s="1"/>
  <c r="E11" i="7"/>
  <c r="E12" i="7"/>
  <c r="E13" i="7"/>
  <c r="E6" i="7"/>
  <c r="Q21" i="7"/>
  <c r="Q20" i="7"/>
  <c r="Q22" i="7"/>
  <c r="Q23" i="7"/>
  <c r="Q24" i="7"/>
  <c r="Q25" i="7"/>
  <c r="Q26" i="7"/>
  <c r="Q27" i="7"/>
  <c r="Q28" i="7"/>
  <c r="F8" i="13" s="1"/>
  <c r="K21" i="7"/>
  <c r="K22" i="7"/>
  <c r="K23" i="7"/>
  <c r="K24" i="7"/>
  <c r="K25" i="7"/>
  <c r="K26" i="7"/>
  <c r="K27" i="7"/>
  <c r="K28" i="7"/>
  <c r="F9" i="13" s="1"/>
  <c r="K20" i="7"/>
  <c r="E21" i="7"/>
  <c r="E22" i="7"/>
  <c r="E23" i="7"/>
  <c r="E24" i="7"/>
  <c r="E25" i="7"/>
  <c r="E26" i="7"/>
  <c r="E27" i="7"/>
  <c r="E28" i="7"/>
  <c r="J13" i="13" s="1"/>
  <c r="E20" i="7"/>
  <c r="Q37" i="7"/>
  <c r="Q38" i="7"/>
  <c r="Q39" i="7"/>
  <c r="Q40" i="7"/>
  <c r="Q41" i="7"/>
  <c r="Q42" i="7"/>
  <c r="Q43" i="7"/>
  <c r="Q44" i="7"/>
  <c r="Q36" i="7"/>
  <c r="K37" i="7"/>
  <c r="K38" i="7"/>
  <c r="K39" i="7"/>
  <c r="K40" i="7"/>
  <c r="K41" i="7"/>
  <c r="K42" i="7"/>
  <c r="K43" i="7"/>
  <c r="K44" i="7"/>
  <c r="J16" i="13" s="1"/>
  <c r="K45" i="7"/>
  <c r="J11" i="13" s="1"/>
  <c r="K36" i="7"/>
  <c r="E36" i="7"/>
  <c r="E37" i="7"/>
  <c r="E38" i="7"/>
  <c r="E39" i="7"/>
  <c r="E40" i="7"/>
  <c r="E41" i="7"/>
  <c r="E42" i="7"/>
  <c r="E43" i="7"/>
  <c r="E44" i="7"/>
  <c r="J14" i="13" s="1"/>
  <c r="Q55" i="7"/>
  <c r="Q56" i="7"/>
  <c r="Q57" i="7"/>
  <c r="Q58" i="7"/>
  <c r="Q59" i="7"/>
  <c r="Q60" i="7"/>
  <c r="Q61" i="7"/>
  <c r="Q62" i="7"/>
  <c r="F10" i="13" s="1"/>
  <c r="Q54" i="7"/>
  <c r="K62" i="7"/>
  <c r="J12" i="13" s="1"/>
  <c r="K55" i="7"/>
  <c r="K56" i="7"/>
  <c r="K57" i="7"/>
  <c r="K58" i="7"/>
  <c r="K59" i="7"/>
  <c r="K60" i="7"/>
  <c r="K61" i="7"/>
  <c r="K54" i="7"/>
  <c r="E55" i="7"/>
  <c r="E56" i="7"/>
  <c r="E57" i="7"/>
  <c r="E58" i="7"/>
  <c r="E59" i="7"/>
  <c r="E60" i="7"/>
  <c r="E61" i="7"/>
  <c r="E62" i="7"/>
  <c r="E63" i="7"/>
  <c r="E64" i="7"/>
  <c r="E54" i="7"/>
  <c r="J4" i="13" l="1"/>
  <c r="E21" i="5"/>
  <c r="K23" i="5"/>
  <c r="K24" i="5"/>
  <c r="K25" i="5"/>
  <c r="K26" i="5"/>
  <c r="K27" i="5"/>
  <c r="K28" i="5"/>
  <c r="K29" i="5"/>
  <c r="J15" i="13" s="1"/>
  <c r="K30" i="5"/>
  <c r="J8" i="13" s="1"/>
  <c r="K22" i="5"/>
  <c r="K21" i="5"/>
  <c r="K23" i="6"/>
  <c r="K24" i="6"/>
  <c r="K25" i="6"/>
  <c r="K26" i="6"/>
  <c r="K27" i="6"/>
  <c r="K28" i="6"/>
  <c r="K29" i="6"/>
  <c r="K22" i="6"/>
  <c r="K21" i="6"/>
  <c r="E24" i="6"/>
  <c r="E22" i="6"/>
  <c r="E21" i="6"/>
  <c r="K6" i="6"/>
  <c r="E23" i="6"/>
  <c r="E25" i="6"/>
  <c r="E26" i="6"/>
  <c r="E27" i="6"/>
  <c r="E28" i="6"/>
  <c r="E29" i="6"/>
  <c r="K8" i="6"/>
  <c r="K9" i="6"/>
  <c r="K10" i="6"/>
  <c r="K11" i="6"/>
  <c r="K12" i="6"/>
  <c r="K13" i="6"/>
  <c r="K14" i="6"/>
  <c r="K7" i="6"/>
  <c r="E14" i="6"/>
  <c r="E7" i="6"/>
  <c r="E8" i="6"/>
  <c r="E9" i="6"/>
  <c r="E10" i="6"/>
  <c r="E11" i="6"/>
  <c r="E12" i="6"/>
  <c r="E13" i="6"/>
  <c r="K7" i="5"/>
  <c r="K6" i="5"/>
  <c r="E6" i="5"/>
  <c r="E22" i="5"/>
  <c r="E23" i="5"/>
  <c r="E24" i="5"/>
  <c r="E25" i="5"/>
  <c r="E26" i="5"/>
  <c r="E27" i="5"/>
  <c r="E28" i="5"/>
  <c r="E29" i="5"/>
  <c r="J6" i="13" s="1"/>
  <c r="K14" i="5"/>
  <c r="J7" i="13" s="1"/>
  <c r="K8" i="5"/>
  <c r="K9" i="5"/>
  <c r="K10" i="5"/>
  <c r="K11" i="5"/>
  <c r="K12" i="5"/>
  <c r="K13" i="5"/>
  <c r="E7" i="5"/>
  <c r="E8" i="5"/>
  <c r="E9" i="5"/>
  <c r="E10" i="5"/>
  <c r="E11" i="5"/>
  <c r="E12" i="5"/>
  <c r="E13" i="5"/>
  <c r="E18" i="3"/>
  <c r="K20" i="4"/>
  <c r="K22" i="4"/>
  <c r="K23" i="4"/>
  <c r="K24" i="4"/>
  <c r="K25" i="4"/>
  <c r="K26" i="4"/>
  <c r="J20" i="13" s="1"/>
  <c r="K7" i="4"/>
  <c r="K8" i="4"/>
  <c r="K9" i="4"/>
  <c r="K10" i="4"/>
  <c r="K11" i="4"/>
  <c r="K12" i="4"/>
  <c r="K13" i="4"/>
  <c r="J19" i="13" s="1"/>
  <c r="E21" i="4"/>
  <c r="E20" i="4"/>
  <c r="E25" i="4"/>
  <c r="J17" i="13" s="1"/>
  <c r="E22" i="4"/>
  <c r="E23" i="4"/>
  <c r="E24" i="4"/>
  <c r="E7" i="4"/>
  <c r="E8" i="4"/>
  <c r="E9" i="4"/>
  <c r="E10" i="4"/>
  <c r="E11" i="4"/>
  <c r="E12" i="4"/>
  <c r="E7" i="3"/>
  <c r="E9" i="3"/>
  <c r="E10" i="3"/>
  <c r="B8" i="13" s="1"/>
  <c r="E11" i="3"/>
  <c r="E12" i="3"/>
  <c r="E13" i="3"/>
  <c r="E14" i="3"/>
  <c r="E15" i="3"/>
  <c r="E16" i="3"/>
  <c r="E17" i="3"/>
  <c r="E19" i="3"/>
  <c r="E6" i="3"/>
  <c r="B16" i="13" l="1"/>
  <c r="B12" i="13"/>
  <c r="B18" i="13"/>
  <c r="E6" i="2"/>
  <c r="B3" i="13" s="1"/>
  <c r="E7" i="2"/>
  <c r="B5" i="13" s="1"/>
  <c r="E8" i="2"/>
  <c r="B7" i="13" s="1"/>
  <c r="E10" i="2"/>
  <c r="B6" i="13" s="1"/>
  <c r="E11" i="2"/>
  <c r="B9" i="13" s="1"/>
  <c r="E12" i="2"/>
  <c r="B10" i="13" s="1"/>
  <c r="E13" i="2"/>
  <c r="E14" i="2"/>
  <c r="E15" i="2"/>
  <c r="E16" i="2"/>
  <c r="E17" i="2"/>
  <c r="E18" i="2"/>
  <c r="E5" i="2"/>
  <c r="B4" i="13" s="1"/>
  <c r="I6" i="1"/>
  <c r="D7" i="1"/>
  <c r="D8" i="1"/>
  <c r="D9" i="1"/>
  <c r="D10" i="1"/>
  <c r="D11" i="1"/>
  <c r="D12" i="1"/>
  <c r="D13" i="1"/>
  <c r="D14" i="1"/>
  <c r="D15" i="1"/>
  <c r="D16" i="1"/>
  <c r="D17" i="1"/>
  <c r="D18" i="1"/>
  <c r="D19" i="1"/>
  <c r="D20" i="1"/>
  <c r="D6" i="1"/>
  <c r="O21" i="1"/>
  <c r="O13" i="1"/>
  <c r="O14" i="1"/>
  <c r="O15" i="1"/>
  <c r="O16" i="1"/>
  <c r="F3" i="13" s="1"/>
  <c r="O17" i="1"/>
  <c r="F5" i="13" s="1"/>
  <c r="O18" i="1"/>
  <c r="O19" i="1"/>
  <c r="O20" i="1"/>
  <c r="I9" i="1"/>
  <c r="I7" i="1"/>
  <c r="I8" i="1"/>
  <c r="F4" i="13" l="1"/>
  <c r="B19" i="13"/>
  <c r="F6" i="13"/>
  <c r="F7" i="13"/>
  <c r="B13" i="13"/>
  <c r="B11" i="13"/>
  <c r="F12" i="13"/>
  <c r="G87" i="14" l="1" a="1"/>
  <c r="G87" i="14" s="1"/>
  <c r="G80" i="14" a="1"/>
  <c r="G80" i="14" s="1"/>
  <c r="G79" i="14" a="1"/>
  <c r="G79" i="14" s="1"/>
  <c r="G61" i="14" l="1" a="1"/>
  <c r="G61" i="14" s="1"/>
  <c r="G89" i="14" l="1" a="1"/>
  <c r="G89" i="14" s="1"/>
  <c r="G69" i="14" a="1"/>
  <c r="G69" i="14" s="1"/>
  <c r="G8" i="14" l="1" a="1"/>
  <c r="G8" i="14" s="1"/>
  <c r="G44" i="14" l="1" a="1"/>
  <c r="G44" i="14" s="1"/>
  <c r="G66" i="14" l="1" a="1"/>
  <c r="G66" i="14" s="1"/>
  <c r="G45" i="14" a="1"/>
  <c r="G45" i="14" s="1"/>
  <c r="G58" i="14" l="1" a="1"/>
  <c r="G58" i="14" s="1"/>
  <c r="G16" i="14" l="1" a="1"/>
  <c r="G16" i="14" s="1"/>
  <c r="G11" i="14" l="1" a="1"/>
  <c r="G11" i="14" s="1"/>
  <c r="G78" i="14" l="1" a="1"/>
  <c r="G78" i="14" s="1"/>
  <c r="G71" i="14" l="1" a="1"/>
  <c r="G71" i="14" s="1"/>
  <c r="G73" i="14" l="1" a="1"/>
  <c r="G73" i="14" s="1"/>
  <c r="G70" i="14" a="1"/>
  <c r="G70" i="14" s="1"/>
  <c r="G59" i="14" a="1"/>
  <c r="G59" i="14" s="1"/>
  <c r="G57" i="14" a="1"/>
  <c r="G57" i="14" s="1"/>
  <c r="G37" i="14" a="1"/>
  <c r="G37" i="14" s="1"/>
  <c r="H89" i="14"/>
  <c r="H88" i="14"/>
  <c r="H87" i="14"/>
  <c r="H81" i="14"/>
  <c r="H80" i="14"/>
  <c r="H79" i="14"/>
  <c r="H78" i="14"/>
  <c r="H77" i="14"/>
  <c r="H76" i="14"/>
  <c r="H75" i="14"/>
  <c r="H74" i="14"/>
  <c r="H73" i="14"/>
  <c r="H72" i="14"/>
  <c r="H71" i="14"/>
  <c r="H70" i="14"/>
  <c r="H69" i="14"/>
  <c r="H68" i="14"/>
  <c r="H67" i="14"/>
  <c r="H66" i="14"/>
  <c r="H61" i="14"/>
  <c r="H59" i="14"/>
  <c r="H58" i="14"/>
  <c r="H57" i="14"/>
  <c r="H56" i="14"/>
  <c r="H45" i="14"/>
  <c r="H44" i="14"/>
  <c r="H38" i="14"/>
  <c r="H35" i="14"/>
  <c r="H34" i="14"/>
  <c r="H33" i="14"/>
  <c r="H32" i="14"/>
  <c r="H16" i="14"/>
  <c r="H12" i="14"/>
  <c r="H11" i="14"/>
  <c r="H10" i="14"/>
  <c r="H9" i="14"/>
  <c r="H8" i="14"/>
  <c r="H7" i="14"/>
  <c r="H37" i="1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tc={828A5329-B24E-4536-A52B-C417CE9728C8}</author>
    <author>tc={ED20E222-B550-4000-9EFB-0D98D072BA6F}</author>
    <author>tc={3F4A1451-3716-4555-81DE-F06BD661BEB9}</author>
    <author>tc={CF0B4355-9524-494A-AE4A-2844E398CAC5}</author>
    <author>tc={21B74CF3-606A-40FB-85C1-5F6561CBDCE7}</author>
    <author>tc={326C103D-DB20-477A-95ED-FD0972BE08EB}</author>
    <author>tc={E246F47A-D82D-4BA0-98E5-2E4D5403FD68}</author>
  </authors>
  <commentList>
    <comment ref="A5" authorId="0" shapeId="0" xr:uid="{828A5329-B24E-4536-A52B-C417CE9728C8}">
      <text>
        <r>
          <rPr>
            <sz val="11"/>
            <color theme="1"/>
            <rFont val="Calibri"/>
            <family val="2"/>
            <scheme val="minor"/>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Manueva 29/06/2023 : Au moins 7 mêlées pour produire du halal</t>
        </r>
      </text>
    </comment>
    <comment ref="A32" authorId="1" shapeId="0" xr:uid="{ED20E222-B550-4000-9EFB-0D98D072BA6F}">
      <text>
        <r>
          <rPr>
            <sz val="11"/>
            <color theme="1"/>
            <rFont val="Calibri"/>
            <family val="2"/>
            <scheme val="minor"/>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Manueva 29/06/2023 : produit qui part dans les CSE. Faire attention à ne pas être en rupture pendant la période des CSE</t>
        </r>
      </text>
    </comment>
    <comment ref="A34" authorId="2" shapeId="0" xr:uid="{3F4A1451-3716-4555-81DE-F06BD661BEB9}">
      <text>
        <r>
          <rPr>
            <sz val="11"/>
            <color theme="1"/>
            <rFont val="Calibri"/>
            <family val="2"/>
            <scheme val="minor"/>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Manueva 29/06/2023 : Temps d'embossage plus long car nécessite bridage à la main</t>
        </r>
      </text>
    </comment>
    <comment ref="A38" authorId="3" shapeId="0" xr:uid="{CF0B4355-9524-494A-AE4A-2844E398CAC5}">
      <text>
        <r>
          <rPr>
            <sz val="11"/>
            <color theme="1"/>
            <rFont val="Calibri"/>
            <family val="2"/>
            <scheme val="minor"/>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Manueva 29/06/2023 : Fabrication à la demande du client (Service des Gourmands)</t>
        </r>
      </text>
    </comment>
    <comment ref="A56" authorId="4" shapeId="0" xr:uid="{21B74CF3-606A-40FB-85C1-5F6561CBDCE7}">
      <text>
        <r>
          <rPr>
            <sz val="11"/>
            <color theme="1"/>
            <rFont val="Calibri"/>
            <family val="2"/>
            <scheme val="minor"/>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Manueva 29/06/2023 : à produire par 2 mêlées</t>
        </r>
      </text>
    </comment>
    <comment ref="A59" authorId="5" shapeId="0" xr:uid="{326C103D-DB20-477A-95ED-FD0972BE08EB}">
      <text>
        <r>
          <rPr>
            <sz val="11"/>
            <color theme="1"/>
            <rFont val="Calibri"/>
            <family val="2"/>
            <scheme val="minor"/>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Manueva 29/06/2023 : Production par 30 pièces : soit 0.3 mêlée</t>
        </r>
      </text>
    </comment>
    <comment ref="A64" authorId="6" shapeId="0" xr:uid="{E246F47A-D82D-4BA0-98E5-2E4D5403FD68}">
      <text>
        <r>
          <rPr>
            <sz val="11"/>
            <color theme="1"/>
            <rFont val="Calibri"/>
            <family val="2"/>
            <scheme val="minor"/>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Manueva 29/06/2023 : Pour les spé, évitez les demi-mêlée, privilégiez mêlée complète, sauf pour petite référence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marjolaine</author>
    <author>yves</author>
    <author>Maintenance</author>
  </authors>
  <commentList>
    <comment ref="I3" authorId="0" shapeId="0" xr:uid="{76380115-2786-4235-9FBA-FB97694FAF97}">
      <text>
        <r>
          <rPr>
            <b/>
            <sz val="9"/>
            <color indexed="81"/>
            <rFont val="Tahoma"/>
            <family val="2"/>
          </rPr>
          <t>marjolaine:</t>
        </r>
        <r>
          <rPr>
            <sz val="9"/>
            <color indexed="81"/>
            <rFont val="Tahoma"/>
            <family val="2"/>
          </rPr>
          <t xml:space="preserve">
Récupéré par Christophe 
Commande à passer en amont, 24-48h avant </t>
        </r>
      </text>
    </comment>
    <comment ref="I4" authorId="0" shapeId="0" xr:uid="{ED17CB4D-2220-480E-8EB6-4ABFCA9CC0A9}">
      <text>
        <r>
          <rPr>
            <b/>
            <sz val="9"/>
            <color indexed="81"/>
            <rFont val="Tahoma"/>
            <family val="2"/>
          </rPr>
          <t>marjolaine:</t>
        </r>
        <r>
          <rPr>
            <sz val="9"/>
            <color indexed="81"/>
            <rFont val="Tahoma"/>
            <family val="2"/>
          </rPr>
          <t xml:space="preserve">
délai de livraison +/- 10 jours
Cmde coopenoix: 
Intitulé "cerneaux dauphiné invalides arlequins"</t>
        </r>
      </text>
    </comment>
    <comment ref="Y4" authorId="1" shapeId="0" xr:uid="{1A3E74B4-C262-411C-825E-E1D9240D43C3}">
      <text>
        <r>
          <rPr>
            <b/>
            <sz val="24"/>
            <color indexed="81"/>
            <rFont val="Tahoma"/>
            <family val="2"/>
          </rPr>
          <t>Besoin x2</t>
        </r>
      </text>
    </comment>
    <comment ref="AC4" authorId="1" shapeId="0" xr:uid="{5E5D7F76-A742-4F05-9A30-D9285CF33E8C}">
      <text>
        <r>
          <rPr>
            <b/>
            <sz val="24"/>
            <color indexed="81"/>
            <rFont val="Tahoma"/>
            <family val="2"/>
          </rPr>
          <t>1 carton = 80 stick</t>
        </r>
      </text>
    </comment>
    <comment ref="I5" authorId="0" shapeId="0" xr:uid="{F91BCA6A-B2EE-4D89-AE49-8B76D250C0F6}">
      <text>
        <r>
          <rPr>
            <b/>
            <sz val="9"/>
            <color indexed="81"/>
            <rFont val="Tahoma"/>
            <family val="2"/>
          </rPr>
          <t>marjolaine:</t>
        </r>
        <r>
          <rPr>
            <sz val="9"/>
            <color indexed="81"/>
            <rFont val="Tahoma"/>
            <family val="2"/>
          </rPr>
          <t xml:space="preserve">
délai de livraison +/- 10 jours</t>
        </r>
      </text>
    </comment>
    <comment ref="Y5" authorId="1" shapeId="0" xr:uid="{38A40AE2-D481-424E-ACD7-F37BCAE991C1}">
      <text>
        <r>
          <rPr>
            <b/>
            <sz val="24"/>
            <color indexed="81"/>
            <rFont val="Tahoma"/>
            <family val="2"/>
          </rPr>
          <t>Besoin x 2</t>
        </r>
        <r>
          <rPr>
            <sz val="9"/>
            <color indexed="81"/>
            <rFont val="Tahoma"/>
            <family val="2"/>
          </rPr>
          <t xml:space="preserve">
</t>
        </r>
      </text>
    </comment>
    <comment ref="AC5" authorId="1" shapeId="0" xr:uid="{70E4EA98-592A-44D3-8D23-4AE6536C1B27}">
      <text>
        <r>
          <rPr>
            <b/>
            <sz val="24"/>
            <color indexed="81"/>
            <rFont val="Tahoma"/>
            <family val="2"/>
          </rPr>
          <t>1 carton = 500 bouts</t>
        </r>
      </text>
    </comment>
    <comment ref="I6" authorId="0" shapeId="0" xr:uid="{09753615-8F0D-4FEF-B41B-D8AB8267A256}">
      <text>
        <r>
          <rPr>
            <b/>
            <sz val="9"/>
            <color indexed="81"/>
            <rFont val="Tahoma"/>
            <family val="2"/>
          </rPr>
          <t>marjolaine:</t>
        </r>
        <r>
          <rPr>
            <sz val="9"/>
            <color indexed="81"/>
            <rFont val="Tahoma"/>
            <family val="2"/>
          </rPr>
          <t xml:space="preserve">
Commander lundi pour livraison Mercredi
"roquefort cave blanche 1/2 AOP"</t>
        </r>
      </text>
    </comment>
    <comment ref="I7" authorId="0" shapeId="0" xr:uid="{F1677F64-251E-4A8F-8764-33FE1EF27BB9}">
      <text>
        <r>
          <rPr>
            <b/>
            <sz val="9"/>
            <color indexed="81"/>
            <rFont val="Tahoma"/>
            <family val="2"/>
          </rPr>
          <t>marjolaine:</t>
        </r>
        <r>
          <rPr>
            <sz val="9"/>
            <color indexed="81"/>
            <rFont val="Tahoma"/>
            <family val="2"/>
          </rPr>
          <t xml:space="preserve">
Commander lundi pour livraison Mercredi
"buche de chevre 1kg"</t>
        </r>
      </text>
    </comment>
    <comment ref="AC7" authorId="1" shapeId="0" xr:uid="{A52A1108-E0EE-4380-AC8C-71F368B99552}">
      <text>
        <r>
          <rPr>
            <b/>
            <sz val="24"/>
            <color indexed="81"/>
            <rFont val="Tahoma"/>
            <family val="2"/>
          </rPr>
          <t>1 fût = 10 000 bouts</t>
        </r>
      </text>
    </comment>
    <comment ref="I8" authorId="0" shapeId="0" xr:uid="{55426494-CAA1-4EC8-9BAD-3CFE44B2D148}">
      <text>
        <r>
          <rPr>
            <b/>
            <sz val="9"/>
            <color indexed="81"/>
            <rFont val="Tahoma"/>
            <family val="2"/>
          </rPr>
          <t>marjolaine:</t>
        </r>
        <r>
          <rPr>
            <sz val="9"/>
            <color indexed="81"/>
            <rFont val="Tahoma"/>
            <family val="2"/>
          </rPr>
          <t xml:space="preserve">
délai de livraison +/- 10 jours</t>
        </r>
      </text>
    </comment>
    <comment ref="I9" authorId="0" shapeId="0" xr:uid="{326CEC6B-5E0E-4B93-88F8-9595E4BC9BE4}">
      <text>
        <r>
          <rPr>
            <b/>
            <sz val="9"/>
            <color indexed="81"/>
            <rFont val="Tahoma"/>
            <family val="2"/>
          </rPr>
          <t>marjolaine:</t>
        </r>
        <r>
          <rPr>
            <sz val="9"/>
            <color indexed="81"/>
            <rFont val="Tahoma"/>
            <family val="2"/>
          </rPr>
          <t xml:space="preserve">
Délai de livraison 1 mois minimum</t>
        </r>
      </text>
    </comment>
    <comment ref="I10" authorId="0" shapeId="0" xr:uid="{82BB74B5-060B-41C1-82B0-A0C2BA12DE2A}">
      <text>
        <r>
          <rPr>
            <b/>
            <sz val="9"/>
            <color indexed="81"/>
            <rFont val="Tahoma"/>
            <family val="2"/>
          </rPr>
          <t>marjolaine:</t>
        </r>
        <r>
          <rPr>
            <sz val="9"/>
            <color indexed="81"/>
            <rFont val="Tahoma"/>
            <family val="2"/>
          </rPr>
          <t xml:space="preserve">
Délai de livraison 1 mois minimum</t>
        </r>
      </text>
    </comment>
    <comment ref="I11" authorId="0" shapeId="0" xr:uid="{2FBB073A-0516-4C5A-972A-85989F2F9450}">
      <text>
        <r>
          <rPr>
            <b/>
            <sz val="9"/>
            <color indexed="81"/>
            <rFont val="Tahoma"/>
            <family val="2"/>
          </rPr>
          <t>marjolaine:</t>
        </r>
        <r>
          <rPr>
            <sz val="9"/>
            <color indexed="81"/>
            <rFont val="Tahoma"/>
            <family val="2"/>
          </rPr>
          <t xml:space="preserve">
Récupérer par Christophe ou acheter à INTER CHAZELLES</t>
        </r>
      </text>
    </comment>
    <comment ref="B12" authorId="2" shapeId="0" xr:uid="{87F02722-162D-4A3E-92DA-8C7267780A37}">
      <text>
        <r>
          <rPr>
            <b/>
            <sz val="9"/>
            <color indexed="81"/>
            <rFont val="Tahoma"/>
            <family val="2"/>
          </rPr>
          <t>Manueva 29/03</t>
        </r>
        <r>
          <rPr>
            <sz val="9"/>
            <color indexed="81"/>
            <rFont val="Tahoma"/>
            <family val="2"/>
          </rPr>
          <t>: 
Dans la formule y était additionné l'erythorbate de sodium de la recette Halal G.P - 200 et BN. Or il n'y en a pas</t>
        </r>
      </text>
    </comment>
    <comment ref="I12" authorId="0" shapeId="0" xr:uid="{E0F0FF85-5105-485C-8E6E-68639F474EBE}">
      <text>
        <r>
          <rPr>
            <b/>
            <sz val="9"/>
            <color indexed="81"/>
            <rFont val="Tahoma"/>
            <family val="2"/>
          </rPr>
          <t>marjolaine:</t>
        </r>
        <r>
          <rPr>
            <sz val="9"/>
            <color indexed="81"/>
            <rFont val="Tahoma"/>
            <family val="2"/>
          </rPr>
          <t xml:space="preserve">
Récupérer par Christophe</t>
        </r>
      </text>
    </comment>
    <comment ref="I13" authorId="0" shapeId="0" xr:uid="{8D9F9B40-18A9-4A47-88F5-9CCC992FD359}">
      <text>
        <r>
          <rPr>
            <b/>
            <sz val="9"/>
            <color indexed="81"/>
            <rFont val="Tahoma"/>
            <family val="2"/>
          </rPr>
          <t>marjolaine:</t>
        </r>
        <r>
          <rPr>
            <sz val="9"/>
            <color indexed="81"/>
            <rFont val="Tahoma"/>
            <family val="2"/>
          </rPr>
          <t xml:space="preserve">
Commander lundi et voir comment Mr Boutheon peux nous récuperer la marchandise dans la semaine
"Myrtilles sauvages congelées en sac de 1kg" code article : BIMY60XD02</t>
        </r>
      </text>
    </comment>
    <comment ref="I14" authorId="0" shapeId="0" xr:uid="{E640043F-8119-414D-898F-7872B2AB83FA}">
      <text>
        <r>
          <rPr>
            <b/>
            <sz val="9"/>
            <color indexed="81"/>
            <rFont val="Tahoma"/>
            <family val="2"/>
          </rPr>
          <t>marjolaine:</t>
        </r>
        <r>
          <rPr>
            <sz val="9"/>
            <color indexed="81"/>
            <rFont val="Tahoma"/>
            <family val="2"/>
          </rPr>
          <t xml:space="preserve">
délai de livraison +/- 15 jours
Cèpes granulés 2/6MM 1KG</t>
        </r>
      </text>
    </comment>
    <comment ref="I15" authorId="0" shapeId="0" xr:uid="{B37E3269-1250-48BF-9671-57D795856B1D}">
      <text>
        <r>
          <rPr>
            <b/>
            <sz val="9"/>
            <color indexed="81"/>
            <rFont val="Tahoma"/>
            <family val="2"/>
          </rPr>
          <t>marjolaine:</t>
        </r>
        <r>
          <rPr>
            <sz val="9"/>
            <color indexed="81"/>
            <rFont val="Tahoma"/>
            <family val="2"/>
          </rPr>
          <t xml:space="preserve">
Delai de livraison 8 jours</t>
        </r>
      </text>
    </comment>
    <comment ref="I16" authorId="0" shapeId="0" xr:uid="{CDC2F407-76C9-4D46-AEC4-54AF726E8311}">
      <text>
        <r>
          <rPr>
            <b/>
            <sz val="9"/>
            <color indexed="81"/>
            <rFont val="Tahoma"/>
            <family val="2"/>
          </rPr>
          <t>marjolaine:</t>
        </r>
        <r>
          <rPr>
            <sz val="9"/>
            <color indexed="81"/>
            <rFont val="Tahoma"/>
            <family val="2"/>
          </rPr>
          <t xml:space="preserve">
Récupérer par Christophe
</t>
        </r>
      </text>
    </comment>
    <comment ref="Y16" authorId="1" shapeId="0" xr:uid="{D25931A8-D957-4586-879D-F78DA5CD3784}">
      <text>
        <r>
          <rPr>
            <b/>
            <sz val="24"/>
            <color indexed="81"/>
            <rFont val="Tahoma"/>
            <family val="2"/>
          </rPr>
          <t>Besoin x 2</t>
        </r>
      </text>
    </comment>
    <comment ref="AC16" authorId="1" shapeId="0" xr:uid="{17B24FDA-1AE7-442C-810A-841BB2A36C40}">
      <text>
        <r>
          <rPr>
            <b/>
            <sz val="24"/>
            <color indexed="81"/>
            <rFont val="Tahoma"/>
            <family val="2"/>
          </rPr>
          <t>1 fût = 3 200 bouts</t>
        </r>
        <r>
          <rPr>
            <sz val="9"/>
            <color indexed="81"/>
            <rFont val="Tahoma"/>
            <family val="2"/>
          </rPr>
          <t xml:space="preserve">
</t>
        </r>
      </text>
    </comment>
    <comment ref="I17" authorId="0" shapeId="0" xr:uid="{8937718B-DF93-4C76-A206-4D7AEA364811}">
      <text>
        <r>
          <rPr>
            <b/>
            <sz val="9"/>
            <color indexed="81"/>
            <rFont val="Tahoma"/>
            <family val="2"/>
          </rPr>
          <t>marjolaine:</t>
        </r>
        <r>
          <rPr>
            <sz val="9"/>
            <color indexed="81"/>
            <rFont val="Tahoma"/>
            <family val="2"/>
          </rPr>
          <t xml:space="preserve">
Acheter soit à INTER soit a la CBA par J. Michel
Soit à Metro (par Christophe)</t>
        </r>
      </text>
    </comment>
    <comment ref="AC17" authorId="1" shapeId="0" xr:uid="{84AFB5C8-7C9E-4110-B529-14155084094F}">
      <text>
        <r>
          <rPr>
            <b/>
            <sz val="24"/>
            <color indexed="81"/>
            <rFont val="Tahoma"/>
            <family val="2"/>
          </rPr>
          <t>1 fût = 1 500 bouts</t>
        </r>
        <r>
          <rPr>
            <sz val="9"/>
            <color indexed="81"/>
            <rFont val="Tahoma"/>
            <family val="2"/>
          </rPr>
          <t xml:space="preserve">
</t>
        </r>
      </text>
    </comment>
    <comment ref="I18" authorId="0" shapeId="0" xr:uid="{CAA4846D-D877-4035-8871-726A2948A4E3}">
      <text>
        <r>
          <rPr>
            <b/>
            <sz val="9"/>
            <color indexed="81"/>
            <rFont val="Tahoma"/>
            <family val="2"/>
          </rPr>
          <t>marjolaine:</t>
        </r>
        <r>
          <rPr>
            <sz val="9"/>
            <color indexed="81"/>
            <rFont val="Tahoma"/>
            <family val="2"/>
          </rPr>
          <t xml:space="preserve">
Délai de livraison 8 à 10 jours
</t>
        </r>
      </text>
    </comment>
    <comment ref="AC18" authorId="1" shapeId="0" xr:uid="{0E1D65BC-9647-4DC0-A652-C4CB4C361570}">
      <text>
        <r>
          <rPr>
            <b/>
            <sz val="24"/>
            <color indexed="81"/>
            <rFont val="Tahoma"/>
            <family val="2"/>
          </rPr>
          <t>1 fût = 4 200 bouts</t>
        </r>
      </text>
    </comment>
    <comment ref="I19" authorId="0" shapeId="0" xr:uid="{2FDCBC51-7CCC-4393-A40A-5ED28A52410E}">
      <text>
        <r>
          <rPr>
            <b/>
            <sz val="9"/>
            <color indexed="81"/>
            <rFont val="Tahoma"/>
            <family val="2"/>
          </rPr>
          <t>marjolaine:</t>
        </r>
        <r>
          <rPr>
            <sz val="9"/>
            <color indexed="81"/>
            <rFont val="Tahoma"/>
            <family val="2"/>
          </rPr>
          <t xml:space="preserve">
Délai de livraison minimum 3 semaines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A6" authorId="0" shapeId="0" xr:uid="{8BAD28F3-D078-4204-9C2F-2B0E9A83371B}">
      <text>
        <r>
          <rPr>
            <b/>
            <sz val="8"/>
            <color indexed="81"/>
            <rFont val="Tahoma"/>
            <family val="2"/>
          </rPr>
          <t>.....:</t>
        </r>
        <r>
          <rPr>
            <sz val="8"/>
            <color indexed="81"/>
            <rFont val="Tahoma"/>
            <family val="2"/>
          </rPr>
          <t xml:space="preserve">
PA 0,124
</t>
        </r>
      </text>
    </comment>
    <comment ref="K6" authorId="0" shapeId="0" xr:uid="{94F98D83-DF7E-40CF-AB86-3FC3B28350F7}">
      <text>
        <r>
          <rPr>
            <b/>
            <sz val="8"/>
            <color indexed="81"/>
            <rFont val="Tahoma"/>
            <family val="2"/>
          </rPr>
          <t>.....:</t>
        </r>
        <r>
          <rPr>
            <sz val="8"/>
            <color indexed="81"/>
            <rFont val="Tahoma"/>
            <family val="2"/>
          </rPr>
          <t xml:space="preserve">
PA 0,124
</t>
        </r>
      </text>
    </comment>
    <comment ref="V6" authorId="0" shapeId="0" xr:uid="{28746FB4-8106-44B7-9353-1749D10FF850}">
      <text>
        <r>
          <rPr>
            <b/>
            <sz val="8"/>
            <color indexed="81"/>
            <rFont val="Tahoma"/>
            <family val="2"/>
          </rPr>
          <t>.....:</t>
        </r>
        <r>
          <rPr>
            <sz val="8"/>
            <color indexed="81"/>
            <rFont val="Tahoma"/>
            <family val="2"/>
          </rPr>
          <t xml:space="preserve">
PA 0,124
</t>
        </r>
      </text>
    </comment>
    <comment ref="A8" authorId="0" shapeId="0" xr:uid="{CDB50FD9-29C5-41DE-ADCA-EA39BDF9B50B}">
      <text>
        <r>
          <rPr>
            <b/>
            <sz val="8"/>
            <color indexed="81"/>
            <rFont val="Tahoma"/>
            <family val="2"/>
          </rPr>
          <t>.....:</t>
        </r>
        <r>
          <rPr>
            <sz val="8"/>
            <color indexed="81"/>
            <rFont val="Tahoma"/>
            <family val="2"/>
          </rPr>
          <t xml:space="preserve">
PA 7,95</t>
        </r>
      </text>
    </comment>
    <comment ref="K8" authorId="0" shapeId="0" xr:uid="{E5C13DCD-3712-4FE4-B50F-DB516C90E4E2}">
      <text>
        <r>
          <rPr>
            <b/>
            <sz val="8"/>
            <color indexed="81"/>
            <rFont val="Tahoma"/>
            <family val="2"/>
          </rPr>
          <t>.....:</t>
        </r>
        <r>
          <rPr>
            <sz val="8"/>
            <color indexed="81"/>
            <rFont val="Tahoma"/>
            <family val="2"/>
          </rPr>
          <t xml:space="preserve">
PA 7,95</t>
        </r>
      </text>
    </comment>
    <comment ref="V8" authorId="0" shapeId="0" xr:uid="{B63733CA-2A8A-416D-8B7D-93EF8191F214}">
      <text>
        <r>
          <rPr>
            <b/>
            <sz val="8"/>
            <color indexed="81"/>
            <rFont val="Tahoma"/>
            <family val="2"/>
          </rPr>
          <t>.....:</t>
        </r>
        <r>
          <rPr>
            <sz val="8"/>
            <color indexed="81"/>
            <rFont val="Tahoma"/>
            <family val="2"/>
          </rPr>
          <t xml:space="preserve">
PA 7,95</t>
        </r>
      </text>
    </comment>
    <comment ref="A9" authorId="0" shapeId="0" xr:uid="{6CD54C95-A1D8-4324-967B-48B11BF189F2}">
      <text>
        <r>
          <rPr>
            <b/>
            <sz val="8"/>
            <color indexed="81"/>
            <rFont val="Tahoma"/>
            <family val="2"/>
          </rPr>
          <t>.....:</t>
        </r>
        <r>
          <rPr>
            <sz val="8"/>
            <color indexed="81"/>
            <rFont val="Tahoma"/>
            <family val="2"/>
          </rPr>
          <t xml:space="preserve">
PA0,88
</t>
        </r>
      </text>
    </comment>
    <comment ref="K9" authorId="0" shapeId="0" xr:uid="{AE247112-1A45-4E05-9AA2-51E5BC9AAFD5}">
      <text>
        <r>
          <rPr>
            <b/>
            <sz val="8"/>
            <color indexed="81"/>
            <rFont val="Tahoma"/>
            <family val="2"/>
          </rPr>
          <t>.....:</t>
        </r>
        <r>
          <rPr>
            <sz val="8"/>
            <color indexed="81"/>
            <rFont val="Tahoma"/>
            <family val="2"/>
          </rPr>
          <t xml:space="preserve">
PA0,88
</t>
        </r>
      </text>
    </comment>
    <comment ref="V9" authorId="0" shapeId="0" xr:uid="{74B67D71-F740-4D05-B9C3-214FBF70B663}">
      <text>
        <r>
          <rPr>
            <b/>
            <sz val="8"/>
            <color indexed="81"/>
            <rFont val="Tahoma"/>
            <family val="2"/>
          </rPr>
          <t>.....:</t>
        </r>
        <r>
          <rPr>
            <sz val="8"/>
            <color indexed="81"/>
            <rFont val="Tahoma"/>
            <family val="2"/>
          </rPr>
          <t xml:space="preserve">
PA0,88
</t>
        </r>
      </text>
    </comment>
    <comment ref="A10" authorId="0" shapeId="0" xr:uid="{B60A5964-437E-49AA-82D6-3598A4001535}">
      <text>
        <r>
          <rPr>
            <b/>
            <sz val="8"/>
            <color indexed="81"/>
            <rFont val="Tahoma"/>
            <family val="2"/>
          </rPr>
          <t>.....:</t>
        </r>
        <r>
          <rPr>
            <sz val="8"/>
            <color indexed="81"/>
            <rFont val="Tahoma"/>
            <family val="2"/>
          </rPr>
          <t xml:space="preserve">
PA 1,15
</t>
        </r>
      </text>
    </comment>
    <comment ref="K10" authorId="0" shapeId="0" xr:uid="{42128F85-AA20-4E70-834C-FB4343E0A168}">
      <text>
        <r>
          <rPr>
            <b/>
            <sz val="8"/>
            <color indexed="81"/>
            <rFont val="Tahoma"/>
            <family val="2"/>
          </rPr>
          <t>.....:</t>
        </r>
        <r>
          <rPr>
            <sz val="8"/>
            <color indexed="81"/>
            <rFont val="Tahoma"/>
            <family val="2"/>
          </rPr>
          <t xml:space="preserve">
PA 1,15
</t>
        </r>
      </text>
    </comment>
    <comment ref="V10" authorId="0" shapeId="0" xr:uid="{0D146D59-50A4-4D90-8A05-1A051978BEB3}">
      <text>
        <r>
          <rPr>
            <b/>
            <sz val="8"/>
            <color indexed="81"/>
            <rFont val="Tahoma"/>
            <family val="2"/>
          </rPr>
          <t>.....:</t>
        </r>
        <r>
          <rPr>
            <sz val="8"/>
            <color indexed="81"/>
            <rFont val="Tahoma"/>
            <family val="2"/>
          </rPr>
          <t xml:space="preserve">
PA 1,15
</t>
        </r>
      </text>
    </comment>
    <comment ref="A11" authorId="0" shapeId="0" xr:uid="{31FD4C99-1518-44D0-BA02-A85A5B16E1A7}">
      <text>
        <r>
          <rPr>
            <b/>
            <sz val="8"/>
            <color indexed="81"/>
            <rFont val="Tahoma"/>
            <family val="2"/>
          </rPr>
          <t>.....:</t>
        </r>
        <r>
          <rPr>
            <sz val="8"/>
            <color indexed="81"/>
            <rFont val="Tahoma"/>
            <family val="2"/>
          </rPr>
          <t xml:space="preserve">
PA 0,79
</t>
        </r>
      </text>
    </comment>
    <comment ref="K11" authorId="0" shapeId="0" xr:uid="{C32EB3B4-32EB-4C1F-9E31-C4AEECEBC5ED}">
      <text>
        <r>
          <rPr>
            <b/>
            <sz val="8"/>
            <color indexed="81"/>
            <rFont val="Tahoma"/>
            <family val="2"/>
          </rPr>
          <t>.....:</t>
        </r>
        <r>
          <rPr>
            <sz val="8"/>
            <color indexed="81"/>
            <rFont val="Tahoma"/>
            <family val="2"/>
          </rPr>
          <t xml:space="preserve">
PA 0,79
</t>
        </r>
      </text>
    </comment>
    <comment ref="V11" authorId="0" shapeId="0" xr:uid="{9CAEEDEC-00E7-41E5-B1FF-D8C652CA0AE0}">
      <text>
        <r>
          <rPr>
            <b/>
            <sz val="8"/>
            <color indexed="81"/>
            <rFont val="Tahoma"/>
            <family val="2"/>
          </rPr>
          <t>.....:</t>
        </r>
        <r>
          <rPr>
            <sz val="8"/>
            <color indexed="81"/>
            <rFont val="Tahoma"/>
            <family val="2"/>
          </rPr>
          <t xml:space="preserve">
PA 0,79
</t>
        </r>
      </text>
    </comment>
    <comment ref="A12" authorId="0" shapeId="0" xr:uid="{23722B43-4EC5-485A-BDFD-D5AF6525068D}">
      <text>
        <r>
          <rPr>
            <b/>
            <sz val="8"/>
            <color indexed="81"/>
            <rFont val="Tahoma"/>
            <family val="2"/>
          </rPr>
          <t>.....:</t>
        </r>
        <r>
          <rPr>
            <sz val="8"/>
            <color indexed="81"/>
            <rFont val="Tahoma"/>
            <family val="2"/>
          </rPr>
          <t xml:space="preserve">
PA 3,50
</t>
        </r>
      </text>
    </comment>
    <comment ref="K12" authorId="0" shapeId="0" xr:uid="{28548373-01BA-49AC-8171-540E36E51E8E}">
      <text>
        <r>
          <rPr>
            <b/>
            <sz val="8"/>
            <color indexed="81"/>
            <rFont val="Tahoma"/>
            <family val="2"/>
          </rPr>
          <t>.....:</t>
        </r>
        <r>
          <rPr>
            <sz val="8"/>
            <color indexed="81"/>
            <rFont val="Tahoma"/>
            <family val="2"/>
          </rPr>
          <t xml:space="preserve">
PA 3,50
</t>
        </r>
      </text>
    </comment>
    <comment ref="V12" authorId="0" shapeId="0" xr:uid="{B9D264FE-6D7C-4F25-9C9D-42EC373D91B8}">
      <text>
        <r>
          <rPr>
            <b/>
            <sz val="8"/>
            <color indexed="81"/>
            <rFont val="Tahoma"/>
            <family val="2"/>
          </rPr>
          <t>.....:</t>
        </r>
        <r>
          <rPr>
            <sz val="8"/>
            <color indexed="81"/>
            <rFont val="Tahoma"/>
            <family val="2"/>
          </rPr>
          <t xml:space="preserve">
PA 3,50
</t>
        </r>
      </text>
    </comment>
    <comment ref="A13" authorId="0" shapeId="0" xr:uid="{2DC0710D-F7C9-49A5-A7F7-B3F67854C02A}">
      <text>
        <r>
          <rPr>
            <b/>
            <sz val="8"/>
            <color indexed="81"/>
            <rFont val="Tahoma"/>
            <family val="2"/>
          </rPr>
          <t>.....:</t>
        </r>
        <r>
          <rPr>
            <sz val="8"/>
            <color indexed="81"/>
            <rFont val="Tahoma"/>
            <family val="2"/>
          </rPr>
          <t xml:space="preserve">
PA 8,15
</t>
        </r>
      </text>
    </comment>
    <comment ref="K13" authorId="0" shapeId="0" xr:uid="{723A845B-856B-41F2-AC3C-3288A1D16F1A}">
      <text>
        <r>
          <rPr>
            <b/>
            <sz val="8"/>
            <color indexed="81"/>
            <rFont val="Tahoma"/>
            <family val="2"/>
          </rPr>
          <t>.....:</t>
        </r>
        <r>
          <rPr>
            <sz val="8"/>
            <color indexed="81"/>
            <rFont val="Tahoma"/>
            <family val="2"/>
          </rPr>
          <t xml:space="preserve">
PA 8,15
</t>
        </r>
      </text>
    </comment>
    <comment ref="V13" authorId="0" shapeId="0" xr:uid="{D1D19E07-5F15-4191-8A2F-38C7A4DBB76A}">
      <text>
        <r>
          <rPr>
            <b/>
            <sz val="8"/>
            <color indexed="81"/>
            <rFont val="Tahoma"/>
            <family val="2"/>
          </rPr>
          <t>.....:</t>
        </r>
        <r>
          <rPr>
            <sz val="8"/>
            <color indexed="81"/>
            <rFont val="Tahoma"/>
            <family val="2"/>
          </rPr>
          <t xml:space="preserve">
PA 8,15
</t>
        </r>
      </text>
    </comment>
    <comment ref="A14" authorId="0" shapeId="0" xr:uid="{F474C918-0D65-4C59-BEEC-06C8CB3BCDC1}">
      <text>
        <r>
          <rPr>
            <b/>
            <sz val="8"/>
            <color indexed="81"/>
            <rFont val="Tahoma"/>
            <family val="2"/>
          </rPr>
          <t>.....:</t>
        </r>
        <r>
          <rPr>
            <sz val="8"/>
            <color indexed="81"/>
            <rFont val="Tahoma"/>
            <family val="2"/>
          </rPr>
          <t xml:space="preserve">
PA 1,60
</t>
        </r>
      </text>
    </comment>
    <comment ref="K14" authorId="0" shapeId="0" xr:uid="{3EFDE1F3-A18C-483C-B28F-63C43F9DC4FE}">
      <text>
        <r>
          <rPr>
            <b/>
            <sz val="8"/>
            <color indexed="81"/>
            <rFont val="Tahoma"/>
            <family val="2"/>
          </rPr>
          <t>.....:</t>
        </r>
        <r>
          <rPr>
            <sz val="8"/>
            <color indexed="81"/>
            <rFont val="Tahoma"/>
            <family val="2"/>
          </rPr>
          <t xml:space="preserve">
PA 1,60
</t>
        </r>
      </text>
    </comment>
    <comment ref="V14" authorId="0" shapeId="0" xr:uid="{51F2CE9D-B1A5-4113-BF92-11AB95BE9264}">
      <text>
        <r>
          <rPr>
            <b/>
            <sz val="8"/>
            <color indexed="81"/>
            <rFont val="Tahoma"/>
            <family val="2"/>
          </rPr>
          <t>.....:</t>
        </r>
        <r>
          <rPr>
            <sz val="8"/>
            <color indexed="81"/>
            <rFont val="Tahoma"/>
            <family val="2"/>
          </rPr>
          <t xml:space="preserve">
PA 1,60
</t>
        </r>
      </text>
    </comment>
    <comment ref="A15" authorId="0" shapeId="0" xr:uid="{205FA97D-7E0D-4C66-B65F-226096AEAF8F}">
      <text>
        <r>
          <rPr>
            <b/>
            <sz val="8"/>
            <color indexed="81"/>
            <rFont val="Tahoma"/>
            <family val="2"/>
          </rPr>
          <t>.....:</t>
        </r>
        <r>
          <rPr>
            <sz val="8"/>
            <color indexed="81"/>
            <rFont val="Tahoma"/>
            <family val="2"/>
          </rPr>
          <t xml:space="preserve">
PA 1,84
</t>
        </r>
      </text>
    </comment>
    <comment ref="K15" authorId="0" shapeId="0" xr:uid="{E19274CD-B41D-4CAC-B0F8-B43F1DF8AE4B}">
      <text>
        <r>
          <rPr>
            <b/>
            <sz val="8"/>
            <color indexed="81"/>
            <rFont val="Tahoma"/>
            <family val="2"/>
          </rPr>
          <t>.....:</t>
        </r>
        <r>
          <rPr>
            <sz val="8"/>
            <color indexed="81"/>
            <rFont val="Tahoma"/>
            <family val="2"/>
          </rPr>
          <t xml:space="preserve">
PA 1,84
</t>
        </r>
      </text>
    </comment>
    <comment ref="V15" authorId="0" shapeId="0" xr:uid="{5BF2B6DA-1E62-4B00-9A64-9C8A1164E19B}">
      <text>
        <r>
          <rPr>
            <b/>
            <sz val="8"/>
            <color indexed="81"/>
            <rFont val="Tahoma"/>
            <family val="2"/>
          </rPr>
          <t>.....:</t>
        </r>
        <r>
          <rPr>
            <sz val="8"/>
            <color indexed="81"/>
            <rFont val="Tahoma"/>
            <family val="2"/>
          </rPr>
          <t xml:space="preserve">
PA 1,84
</t>
        </r>
      </text>
    </comment>
    <comment ref="A16" authorId="0" shapeId="0" xr:uid="{1D4499B3-8375-4A02-BD8C-46A08D8AF9DF}">
      <text>
        <r>
          <rPr>
            <b/>
            <sz val="8"/>
            <color indexed="81"/>
            <rFont val="Tahoma"/>
            <family val="2"/>
          </rPr>
          <t>.....:</t>
        </r>
        <r>
          <rPr>
            <sz val="8"/>
            <color indexed="81"/>
            <rFont val="Tahoma"/>
            <family val="2"/>
          </rPr>
          <t xml:space="preserve">
PA 4,02
</t>
        </r>
      </text>
    </comment>
    <comment ref="K16" authorId="0" shapeId="0" xr:uid="{6C5374E1-E0D8-430A-B60C-408F413779BC}">
      <text>
        <r>
          <rPr>
            <b/>
            <sz val="8"/>
            <color indexed="81"/>
            <rFont val="Tahoma"/>
            <family val="2"/>
          </rPr>
          <t>.....:</t>
        </r>
        <r>
          <rPr>
            <sz val="8"/>
            <color indexed="81"/>
            <rFont val="Tahoma"/>
            <family val="2"/>
          </rPr>
          <t xml:space="preserve">
PA 4,02
</t>
        </r>
      </text>
    </comment>
    <comment ref="V16" authorId="0" shapeId="0" xr:uid="{40E966B6-F15E-4C28-9157-0011344F2FF6}">
      <text>
        <r>
          <rPr>
            <b/>
            <sz val="8"/>
            <color indexed="81"/>
            <rFont val="Tahoma"/>
            <family val="2"/>
          </rPr>
          <t>.....:</t>
        </r>
        <r>
          <rPr>
            <sz val="8"/>
            <color indexed="81"/>
            <rFont val="Tahoma"/>
            <family val="2"/>
          </rPr>
          <t xml:space="preserve">
PA 4,02
</t>
        </r>
      </text>
    </comment>
    <comment ref="A17" authorId="0" shapeId="0" xr:uid="{A18CBDF4-FB94-4A86-A1C0-BB6743BE2689}">
      <text>
        <r>
          <rPr>
            <b/>
            <sz val="8"/>
            <color indexed="81"/>
            <rFont val="Tahoma"/>
            <family val="2"/>
          </rPr>
          <t>.....:</t>
        </r>
        <r>
          <rPr>
            <sz val="8"/>
            <color indexed="81"/>
            <rFont val="Tahoma"/>
            <family val="2"/>
          </rPr>
          <t xml:space="preserve">
PA 23,55
</t>
        </r>
      </text>
    </comment>
    <comment ref="K17" authorId="0" shapeId="0" xr:uid="{5EAA17FF-A204-4D55-BFF8-BEA694AB628F}">
      <text>
        <r>
          <rPr>
            <b/>
            <sz val="8"/>
            <color indexed="81"/>
            <rFont val="Tahoma"/>
            <family val="2"/>
          </rPr>
          <t>.....:</t>
        </r>
        <r>
          <rPr>
            <sz val="8"/>
            <color indexed="81"/>
            <rFont val="Tahoma"/>
            <family val="2"/>
          </rPr>
          <t xml:space="preserve">
PA 23,55
</t>
        </r>
      </text>
    </comment>
    <comment ref="V17" authorId="0" shapeId="0" xr:uid="{8111CBE8-39E9-43BB-8CCE-0A36BDBF844C}">
      <text>
        <r>
          <rPr>
            <b/>
            <sz val="8"/>
            <color indexed="81"/>
            <rFont val="Tahoma"/>
            <family val="2"/>
          </rPr>
          <t>.....:</t>
        </r>
        <r>
          <rPr>
            <sz val="8"/>
            <color indexed="81"/>
            <rFont val="Tahoma"/>
            <family val="2"/>
          </rPr>
          <t xml:space="preserve">
PA 23,55
</t>
        </r>
      </text>
    </comment>
    <comment ref="A20" authorId="0" shapeId="0" xr:uid="{D8F1A29C-3226-4213-AFC4-2C60439BA4FE}">
      <text>
        <r>
          <rPr>
            <b/>
            <sz val="8"/>
            <color indexed="81"/>
            <rFont val="Tahoma"/>
            <family val="2"/>
          </rPr>
          <t>.....:</t>
        </r>
        <r>
          <rPr>
            <sz val="8"/>
            <color indexed="81"/>
            <rFont val="Tahoma"/>
            <family val="2"/>
          </rPr>
          <t xml:space="preserve">
PA 2,36
</t>
        </r>
      </text>
    </comment>
    <comment ref="K21" authorId="0" shapeId="0" xr:uid="{E772CB63-719E-4E38-BE77-78AFA72A882D}">
      <text>
        <r>
          <rPr>
            <b/>
            <sz val="8"/>
            <color indexed="81"/>
            <rFont val="Tahoma"/>
            <family val="2"/>
          </rPr>
          <t>.....:</t>
        </r>
        <r>
          <rPr>
            <sz val="8"/>
            <color indexed="81"/>
            <rFont val="Tahoma"/>
            <family val="2"/>
          </rPr>
          <t xml:space="preserve">
PA 2,36
</t>
        </r>
      </text>
    </comment>
    <comment ref="V21" authorId="0" shapeId="0" xr:uid="{D18C7F2E-6FE1-4E80-8F9C-3F41F3376E5F}">
      <text>
        <r>
          <rPr>
            <b/>
            <sz val="8"/>
            <color indexed="81"/>
            <rFont val="Tahoma"/>
            <family val="2"/>
          </rPr>
          <t>.....:</t>
        </r>
        <r>
          <rPr>
            <sz val="8"/>
            <color indexed="81"/>
            <rFont val="Tahoma"/>
            <family val="2"/>
          </rPr>
          <t xml:space="preserve">
PA 2,36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A6" authorId="0" shapeId="0" xr:uid="{4D3B92B2-20A7-458F-869D-3E9C3B3528EA}">
      <text>
        <r>
          <rPr>
            <b/>
            <sz val="8"/>
            <color indexed="81"/>
            <rFont val="Tahoma"/>
            <family val="2"/>
          </rPr>
          <t>.....:</t>
        </r>
        <r>
          <rPr>
            <sz val="8"/>
            <color indexed="81"/>
            <rFont val="Tahoma"/>
            <family val="2"/>
          </rPr>
          <t xml:space="preserve">
PA 0,124
</t>
        </r>
      </text>
    </comment>
    <comment ref="A7" authorId="0" shapeId="0" xr:uid="{1A3943B2-A390-4166-AB3D-15D6902B3F82}">
      <text>
        <r>
          <rPr>
            <b/>
            <sz val="8"/>
            <color indexed="81"/>
            <rFont val="Tahoma"/>
            <family val="2"/>
          </rPr>
          <t>.....:</t>
        </r>
        <r>
          <rPr>
            <sz val="8"/>
            <color indexed="81"/>
            <rFont val="Tahoma"/>
            <family val="2"/>
          </rPr>
          <t xml:space="preserve">
PA 1,30
</t>
        </r>
      </text>
    </comment>
    <comment ref="A8" authorId="0" shapeId="0" xr:uid="{04F21C6D-2A71-461C-AB65-2E21BACD7203}">
      <text>
        <r>
          <rPr>
            <b/>
            <sz val="8"/>
            <color indexed="81"/>
            <rFont val="Tahoma"/>
            <family val="2"/>
          </rPr>
          <t>.....:</t>
        </r>
        <r>
          <rPr>
            <sz val="8"/>
            <color indexed="81"/>
            <rFont val="Tahoma"/>
            <family val="2"/>
          </rPr>
          <t xml:space="preserve">
PA 0,88
</t>
        </r>
      </text>
    </comment>
    <comment ref="A9" authorId="0" shapeId="0" xr:uid="{5DADF466-63B9-444D-9E81-E84CF5B5E0C8}">
      <text>
        <r>
          <rPr>
            <b/>
            <sz val="8"/>
            <color indexed="81"/>
            <rFont val="Tahoma"/>
            <family val="2"/>
          </rPr>
          <t>.....:</t>
        </r>
        <r>
          <rPr>
            <sz val="8"/>
            <color indexed="81"/>
            <rFont val="Tahoma"/>
            <family val="2"/>
          </rPr>
          <t xml:space="preserve">
PA 1,15
</t>
        </r>
      </text>
    </comment>
    <comment ref="A10" authorId="0" shapeId="0" xr:uid="{10548C09-7E9D-4F86-830B-258C3AF9A57F}">
      <text>
        <r>
          <rPr>
            <b/>
            <sz val="8"/>
            <color indexed="81"/>
            <rFont val="Tahoma"/>
            <family val="2"/>
          </rPr>
          <t>.....:</t>
        </r>
        <r>
          <rPr>
            <sz val="8"/>
            <color indexed="81"/>
            <rFont val="Tahoma"/>
            <family val="2"/>
          </rPr>
          <t xml:space="preserve">
PA 0,79
</t>
        </r>
      </text>
    </comment>
    <comment ref="A11" authorId="0" shapeId="0" xr:uid="{6DA1FA1F-D3A7-44CA-8941-595E7134871B}">
      <text>
        <r>
          <rPr>
            <b/>
            <sz val="8"/>
            <color indexed="81"/>
            <rFont val="Tahoma"/>
            <family val="2"/>
          </rPr>
          <t>.....:</t>
        </r>
        <r>
          <rPr>
            <sz val="8"/>
            <color indexed="81"/>
            <rFont val="Tahoma"/>
            <family val="2"/>
          </rPr>
          <t xml:space="preserve">
PA 3,50
</t>
        </r>
      </text>
    </comment>
    <comment ref="A12" authorId="0" shapeId="0" xr:uid="{0E26C485-7B9C-4E80-90EE-DEAEEC2E7E77}">
      <text>
        <r>
          <rPr>
            <b/>
            <sz val="8"/>
            <color indexed="81"/>
            <rFont val="Tahoma"/>
            <family val="2"/>
          </rPr>
          <t>.....:</t>
        </r>
        <r>
          <rPr>
            <sz val="8"/>
            <color indexed="81"/>
            <rFont val="Tahoma"/>
            <family val="2"/>
          </rPr>
          <t xml:space="preserve">
PA 2,99</t>
        </r>
      </text>
    </comment>
    <comment ref="A13" authorId="0" shapeId="0" xr:uid="{1974E719-3C53-46D2-B071-F4FEDF3D4AAC}">
      <text>
        <r>
          <rPr>
            <b/>
            <sz val="8"/>
            <color indexed="81"/>
            <rFont val="Tahoma"/>
            <family val="2"/>
          </rPr>
          <t>.....:</t>
        </r>
        <r>
          <rPr>
            <sz val="8"/>
            <color indexed="81"/>
            <rFont val="Tahoma"/>
            <family val="2"/>
          </rPr>
          <t xml:space="preserve">
PA 2,10
</t>
        </r>
      </text>
    </comment>
    <comment ref="A14" authorId="0" shapeId="0" xr:uid="{7F427675-73AF-41DE-AA9C-73BA3312E6A0}">
      <text>
        <r>
          <rPr>
            <b/>
            <sz val="8"/>
            <color indexed="81"/>
            <rFont val="Tahoma"/>
            <family val="2"/>
          </rPr>
          <t>.....:</t>
        </r>
        <r>
          <rPr>
            <sz val="8"/>
            <color indexed="81"/>
            <rFont val="Tahoma"/>
            <family val="2"/>
          </rPr>
          <t xml:space="preserve">
PA 1,60
</t>
        </r>
      </text>
    </comment>
    <comment ref="A15" authorId="0" shapeId="0" xr:uid="{C5DCF0D5-E6AE-44F3-AC64-5A21C0499F05}">
      <text>
        <r>
          <rPr>
            <b/>
            <sz val="8"/>
            <color indexed="81"/>
            <rFont val="Tahoma"/>
            <family val="2"/>
          </rPr>
          <t>.....:</t>
        </r>
        <r>
          <rPr>
            <sz val="8"/>
            <color indexed="81"/>
            <rFont val="Tahoma"/>
            <family val="2"/>
          </rPr>
          <t xml:space="preserve">
PA 1,84
</t>
        </r>
      </text>
    </comment>
    <comment ref="A16" authorId="0" shapeId="0" xr:uid="{1CAE5E8F-4B38-40AE-880F-054668E6E7FE}">
      <text>
        <r>
          <rPr>
            <b/>
            <sz val="8"/>
            <color indexed="81"/>
            <rFont val="Tahoma"/>
            <family val="2"/>
          </rPr>
          <t>.....:</t>
        </r>
        <r>
          <rPr>
            <sz val="8"/>
            <color indexed="81"/>
            <rFont val="Tahoma"/>
            <family val="2"/>
          </rPr>
          <t xml:space="preserve">
PA 4,60
</t>
        </r>
      </text>
    </comment>
    <comment ref="A17" authorId="0" shapeId="0" xr:uid="{F9269183-7C77-4FBA-A50B-049CF9726F32}">
      <text>
        <r>
          <rPr>
            <b/>
            <sz val="8"/>
            <color indexed="81"/>
            <rFont val="Tahoma"/>
            <family val="2"/>
          </rPr>
          <t>.....:</t>
        </r>
        <r>
          <rPr>
            <sz val="8"/>
            <color indexed="81"/>
            <rFont val="Tahoma"/>
            <family val="2"/>
          </rPr>
          <t xml:space="preserve">
PA 5,03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A7" authorId="0" shapeId="0" xr:uid="{F324FC48-FE71-4DF4-B51C-65AC8678A96B}">
      <text>
        <r>
          <rPr>
            <b/>
            <sz val="8"/>
            <color indexed="81"/>
            <rFont val="Tahoma"/>
            <family val="2"/>
          </rPr>
          <t>.....:</t>
        </r>
        <r>
          <rPr>
            <sz val="8"/>
            <color indexed="81"/>
            <rFont val="Tahoma"/>
            <family val="2"/>
          </rPr>
          <t xml:space="preserve">
PA 0,124</t>
        </r>
      </text>
    </comment>
    <comment ref="I7" authorId="0" shapeId="0" xr:uid="{2D290FDA-BAA0-4125-BBA2-6A581F87421F}">
      <text>
        <r>
          <rPr>
            <b/>
            <sz val="8"/>
            <color indexed="81"/>
            <rFont val="Tahoma"/>
            <family val="2"/>
          </rPr>
          <t>.....:</t>
        </r>
        <r>
          <rPr>
            <sz val="8"/>
            <color indexed="81"/>
            <rFont val="Tahoma"/>
            <family val="2"/>
          </rPr>
          <t xml:space="preserve">
PA 0,124</t>
        </r>
      </text>
    </comment>
    <comment ref="Q7" authorId="0" shapeId="0" xr:uid="{F884BDD1-902C-48EC-909B-F48ACA7125E8}">
      <text>
        <r>
          <rPr>
            <b/>
            <sz val="8"/>
            <color indexed="81"/>
            <rFont val="Tahoma"/>
            <family val="2"/>
          </rPr>
          <t>.....:</t>
        </r>
        <r>
          <rPr>
            <sz val="8"/>
            <color indexed="81"/>
            <rFont val="Tahoma"/>
            <family val="2"/>
          </rPr>
          <t xml:space="preserve">
PA 0,124</t>
        </r>
      </text>
    </comment>
    <comment ref="A8" authorId="0" shapeId="0" xr:uid="{A7D862E3-897C-4A39-AED2-7F5C0002A827}">
      <text>
        <r>
          <rPr>
            <b/>
            <sz val="8"/>
            <color indexed="81"/>
            <rFont val="Tahoma"/>
            <family val="2"/>
          </rPr>
          <t>.....:</t>
        </r>
        <r>
          <rPr>
            <sz val="8"/>
            <color indexed="81"/>
            <rFont val="Tahoma"/>
            <family val="2"/>
          </rPr>
          <t xml:space="preserve">
PA 1,30
</t>
        </r>
      </text>
    </comment>
    <comment ref="I8" authorId="0" shapeId="0" xr:uid="{D0B38F93-2678-40B4-8A52-334AB0776C52}">
      <text>
        <r>
          <rPr>
            <b/>
            <sz val="8"/>
            <color indexed="81"/>
            <rFont val="Tahoma"/>
            <family val="2"/>
          </rPr>
          <t>.....:</t>
        </r>
        <r>
          <rPr>
            <sz val="8"/>
            <color indexed="81"/>
            <rFont val="Tahoma"/>
            <family val="2"/>
          </rPr>
          <t xml:space="preserve">
PA 1,30
</t>
        </r>
      </text>
    </comment>
    <comment ref="Q8" authorId="0" shapeId="0" xr:uid="{879D449B-93C4-4C0B-8553-E13A5C127280}">
      <text>
        <r>
          <rPr>
            <b/>
            <sz val="8"/>
            <color indexed="81"/>
            <rFont val="Tahoma"/>
            <family val="2"/>
          </rPr>
          <t>.....:</t>
        </r>
        <r>
          <rPr>
            <sz val="8"/>
            <color indexed="81"/>
            <rFont val="Tahoma"/>
            <family val="2"/>
          </rPr>
          <t xml:space="preserve">
PA 1,30
</t>
        </r>
      </text>
    </comment>
    <comment ref="A9" authorId="0" shapeId="0" xr:uid="{80F7F18B-183F-47FC-A96A-A77783E7C883}">
      <text>
        <r>
          <rPr>
            <b/>
            <sz val="8"/>
            <color indexed="81"/>
            <rFont val="Tahoma"/>
            <family val="2"/>
          </rPr>
          <t>.....:</t>
        </r>
        <r>
          <rPr>
            <sz val="8"/>
            <color indexed="81"/>
            <rFont val="Tahoma"/>
            <family val="2"/>
          </rPr>
          <t xml:space="preserve">
PA ,88
</t>
        </r>
      </text>
    </comment>
    <comment ref="I9" authorId="0" shapeId="0" xr:uid="{E52D737D-B7CE-482C-9076-D9271904D611}">
      <text>
        <r>
          <rPr>
            <b/>
            <sz val="8"/>
            <color indexed="81"/>
            <rFont val="Tahoma"/>
            <family val="2"/>
          </rPr>
          <t>.....:</t>
        </r>
        <r>
          <rPr>
            <sz val="8"/>
            <color indexed="81"/>
            <rFont val="Tahoma"/>
            <family val="2"/>
          </rPr>
          <t xml:space="preserve">
PA ,88
</t>
        </r>
      </text>
    </comment>
    <comment ref="Q9" authorId="0" shapeId="0" xr:uid="{6BEEBDA3-95A2-429B-A0AC-09EDD5742A44}">
      <text>
        <r>
          <rPr>
            <b/>
            <sz val="8"/>
            <color indexed="81"/>
            <rFont val="Tahoma"/>
            <family val="2"/>
          </rPr>
          <t>.....:</t>
        </r>
        <r>
          <rPr>
            <sz val="8"/>
            <color indexed="81"/>
            <rFont val="Tahoma"/>
            <family val="2"/>
          </rPr>
          <t xml:space="preserve">
PA ,88
</t>
        </r>
      </text>
    </comment>
    <comment ref="A10" authorId="0" shapeId="0" xr:uid="{E3AF7E47-21C4-4237-8356-8070C5E8D345}">
      <text>
        <r>
          <rPr>
            <b/>
            <sz val="8"/>
            <color indexed="81"/>
            <rFont val="Tahoma"/>
            <family val="2"/>
          </rPr>
          <t>.....:</t>
        </r>
        <r>
          <rPr>
            <sz val="8"/>
            <color indexed="81"/>
            <rFont val="Tahoma"/>
            <family val="2"/>
          </rPr>
          <t xml:space="preserve">
PA 1,20
</t>
        </r>
      </text>
    </comment>
    <comment ref="I10" authorId="0" shapeId="0" xr:uid="{A378DBC0-643B-4BF3-8A40-3D875A889084}">
      <text>
        <r>
          <rPr>
            <b/>
            <sz val="8"/>
            <color indexed="81"/>
            <rFont val="Tahoma"/>
            <family val="2"/>
          </rPr>
          <t>.....:</t>
        </r>
        <r>
          <rPr>
            <sz val="8"/>
            <color indexed="81"/>
            <rFont val="Tahoma"/>
            <family val="2"/>
          </rPr>
          <t xml:space="preserve">
PA 1,20
</t>
        </r>
      </text>
    </comment>
    <comment ref="Q10" authorId="0" shapeId="0" xr:uid="{1CC161D7-9320-4F6D-BC72-0F170FE94F07}">
      <text>
        <r>
          <rPr>
            <b/>
            <sz val="8"/>
            <color indexed="81"/>
            <rFont val="Tahoma"/>
            <family val="2"/>
          </rPr>
          <t>.....:</t>
        </r>
        <r>
          <rPr>
            <sz val="8"/>
            <color indexed="81"/>
            <rFont val="Tahoma"/>
            <family val="2"/>
          </rPr>
          <t xml:space="preserve">
PA 1,20
</t>
        </r>
      </text>
    </comment>
    <comment ref="A11" authorId="0" shapeId="0" xr:uid="{B330A662-8D0E-4466-8EF5-C54AED059E76}">
      <text>
        <r>
          <rPr>
            <b/>
            <sz val="8"/>
            <color indexed="81"/>
            <rFont val="Tahoma"/>
            <family val="2"/>
          </rPr>
          <t>.....:</t>
        </r>
        <r>
          <rPr>
            <sz val="8"/>
            <color indexed="81"/>
            <rFont val="Tahoma"/>
            <family val="2"/>
          </rPr>
          <t xml:space="preserve">
PA 0,79
</t>
        </r>
      </text>
    </comment>
    <comment ref="I11" authorId="0" shapeId="0" xr:uid="{E58CBF23-761D-403E-B4A2-E3E6D456CCA6}">
      <text>
        <r>
          <rPr>
            <b/>
            <sz val="8"/>
            <color indexed="81"/>
            <rFont val="Tahoma"/>
            <family val="2"/>
          </rPr>
          <t>.....:</t>
        </r>
        <r>
          <rPr>
            <sz val="8"/>
            <color indexed="81"/>
            <rFont val="Tahoma"/>
            <family val="2"/>
          </rPr>
          <t xml:space="preserve">
PA 0,79
</t>
        </r>
      </text>
    </comment>
    <comment ref="Q11" authorId="0" shapeId="0" xr:uid="{EB8BFFD7-87F5-4EEC-8BA8-FB4B58F4D515}">
      <text>
        <r>
          <rPr>
            <b/>
            <sz val="8"/>
            <color indexed="81"/>
            <rFont val="Tahoma"/>
            <family val="2"/>
          </rPr>
          <t>.....:</t>
        </r>
        <r>
          <rPr>
            <sz val="8"/>
            <color indexed="81"/>
            <rFont val="Tahoma"/>
            <family val="2"/>
          </rPr>
          <t xml:space="preserve">
PA 0,79
</t>
        </r>
      </text>
    </comment>
    <comment ref="A12" authorId="0" shapeId="0" xr:uid="{D4F41BD2-B753-422C-8520-EA909846A554}">
      <text>
        <r>
          <rPr>
            <b/>
            <sz val="8"/>
            <color indexed="81"/>
            <rFont val="Tahoma"/>
            <family val="2"/>
          </rPr>
          <t>.....:</t>
        </r>
        <r>
          <rPr>
            <sz val="8"/>
            <color indexed="81"/>
            <rFont val="Tahoma"/>
            <family val="2"/>
          </rPr>
          <t xml:space="preserve">
PA 3,50
</t>
        </r>
      </text>
    </comment>
    <comment ref="I12" authorId="0" shapeId="0" xr:uid="{ED03832D-1138-4B2B-8A4A-C9D3FEDE66CD}">
      <text>
        <r>
          <rPr>
            <b/>
            <sz val="8"/>
            <color indexed="81"/>
            <rFont val="Tahoma"/>
            <family val="2"/>
          </rPr>
          <t>.....:</t>
        </r>
        <r>
          <rPr>
            <sz val="8"/>
            <color indexed="81"/>
            <rFont val="Tahoma"/>
            <family val="2"/>
          </rPr>
          <t xml:space="preserve">
PA 3,50
</t>
        </r>
      </text>
    </comment>
    <comment ref="Q12" authorId="0" shapeId="0" xr:uid="{A27CD501-FD35-4D99-A305-4074A583D93B}">
      <text>
        <r>
          <rPr>
            <b/>
            <sz val="8"/>
            <color indexed="81"/>
            <rFont val="Tahoma"/>
            <family val="2"/>
          </rPr>
          <t>.....:</t>
        </r>
        <r>
          <rPr>
            <sz val="8"/>
            <color indexed="81"/>
            <rFont val="Tahoma"/>
            <family val="2"/>
          </rPr>
          <t xml:space="preserve">
PA 3,50
</t>
        </r>
      </text>
    </comment>
    <comment ref="A13" authorId="0" shapeId="0" xr:uid="{AE7992D2-B567-4201-A0BE-0C90D6C1D454}">
      <text>
        <r>
          <rPr>
            <b/>
            <sz val="8"/>
            <color indexed="81"/>
            <rFont val="Tahoma"/>
            <family val="2"/>
          </rPr>
          <t>.....:</t>
        </r>
        <r>
          <rPr>
            <sz val="8"/>
            <color indexed="81"/>
            <rFont val="Tahoma"/>
            <family val="2"/>
          </rPr>
          <t xml:space="preserve">
PA 2,99
</t>
        </r>
      </text>
    </comment>
    <comment ref="I13" authorId="0" shapeId="0" xr:uid="{CDD5D607-2F9A-4EC4-ABBE-3236EAB39957}">
      <text>
        <r>
          <rPr>
            <b/>
            <sz val="8"/>
            <color indexed="81"/>
            <rFont val="Tahoma"/>
            <family val="2"/>
          </rPr>
          <t>.....:</t>
        </r>
        <r>
          <rPr>
            <sz val="8"/>
            <color indexed="81"/>
            <rFont val="Tahoma"/>
            <family val="2"/>
          </rPr>
          <t xml:space="preserve">
PA 2,99
</t>
        </r>
      </text>
    </comment>
    <comment ref="Q13" authorId="0" shapeId="0" xr:uid="{5250908F-A19D-4289-8B09-6312D1FBFFC1}">
      <text>
        <r>
          <rPr>
            <b/>
            <sz val="8"/>
            <color indexed="81"/>
            <rFont val="Tahoma"/>
            <family val="2"/>
          </rPr>
          <t>.....:</t>
        </r>
        <r>
          <rPr>
            <sz val="8"/>
            <color indexed="81"/>
            <rFont val="Tahoma"/>
            <family val="2"/>
          </rPr>
          <t xml:space="preserve">
PA 2,99
</t>
        </r>
      </text>
    </comment>
    <comment ref="A14" authorId="0" shapeId="0" xr:uid="{87FE1A69-E5AF-46E3-98F8-3597901677C4}">
      <text>
        <r>
          <rPr>
            <b/>
            <sz val="8"/>
            <color indexed="81"/>
            <rFont val="Tahoma"/>
            <family val="2"/>
          </rPr>
          <t>.....:</t>
        </r>
        <r>
          <rPr>
            <sz val="8"/>
            <color indexed="81"/>
            <rFont val="Tahoma"/>
            <family val="2"/>
          </rPr>
          <t xml:space="preserve">
PA 2,10
</t>
        </r>
      </text>
    </comment>
    <comment ref="I14" authorId="0" shapeId="0" xr:uid="{C8CDC027-D859-4EAC-9E67-D7D716E12C60}">
      <text>
        <r>
          <rPr>
            <b/>
            <sz val="8"/>
            <color indexed="81"/>
            <rFont val="Tahoma"/>
            <family val="2"/>
          </rPr>
          <t>.....:</t>
        </r>
        <r>
          <rPr>
            <sz val="8"/>
            <color indexed="81"/>
            <rFont val="Tahoma"/>
            <family val="2"/>
          </rPr>
          <t xml:space="preserve">
PA 2,10
</t>
        </r>
      </text>
    </comment>
    <comment ref="Q14" authorId="0" shapeId="0" xr:uid="{BB980C86-1AB6-4D0E-BF60-77B3E6CC9081}">
      <text>
        <r>
          <rPr>
            <b/>
            <sz val="8"/>
            <color indexed="81"/>
            <rFont val="Tahoma"/>
            <family val="2"/>
          </rPr>
          <t>.....:</t>
        </r>
        <r>
          <rPr>
            <sz val="8"/>
            <color indexed="81"/>
            <rFont val="Tahoma"/>
            <family val="2"/>
          </rPr>
          <t xml:space="preserve">
PA 2,10
</t>
        </r>
      </text>
    </comment>
    <comment ref="A15" authorId="0" shapeId="0" xr:uid="{34D5EDC3-8DF8-40CA-912E-2D2ED8124F0A}">
      <text>
        <r>
          <rPr>
            <b/>
            <sz val="8"/>
            <color indexed="81"/>
            <rFont val="Tahoma"/>
            <family val="2"/>
          </rPr>
          <t>.....:</t>
        </r>
        <r>
          <rPr>
            <sz val="8"/>
            <color indexed="81"/>
            <rFont val="Tahoma"/>
            <family val="2"/>
          </rPr>
          <t xml:space="preserve">
PA 1,60
</t>
        </r>
      </text>
    </comment>
    <comment ref="I15" authorId="0" shapeId="0" xr:uid="{C935427E-F44A-4D92-A163-AC52308273EF}">
      <text>
        <r>
          <rPr>
            <b/>
            <sz val="8"/>
            <color indexed="81"/>
            <rFont val="Tahoma"/>
            <family val="2"/>
          </rPr>
          <t>.....:</t>
        </r>
        <r>
          <rPr>
            <sz val="8"/>
            <color indexed="81"/>
            <rFont val="Tahoma"/>
            <family val="2"/>
          </rPr>
          <t xml:space="preserve">
PA 1,60
</t>
        </r>
      </text>
    </comment>
    <comment ref="Q15" authorId="0" shapeId="0" xr:uid="{D5BE31C4-103E-4749-95F1-74496A59474E}">
      <text>
        <r>
          <rPr>
            <b/>
            <sz val="8"/>
            <color indexed="81"/>
            <rFont val="Tahoma"/>
            <family val="2"/>
          </rPr>
          <t>.....:</t>
        </r>
        <r>
          <rPr>
            <sz val="8"/>
            <color indexed="81"/>
            <rFont val="Tahoma"/>
            <family val="2"/>
          </rPr>
          <t xml:space="preserve">
PA 1,60
</t>
        </r>
      </text>
    </comment>
    <comment ref="A16" authorId="0" shapeId="0" xr:uid="{F4CF9E47-D49F-4345-B399-D260E1978960}">
      <text>
        <r>
          <rPr>
            <b/>
            <sz val="8"/>
            <color indexed="81"/>
            <rFont val="Tahoma"/>
            <family val="2"/>
          </rPr>
          <t>.....:</t>
        </r>
        <r>
          <rPr>
            <sz val="8"/>
            <color indexed="81"/>
            <rFont val="Tahoma"/>
            <family val="2"/>
          </rPr>
          <t xml:space="preserve">
PA 4,60
</t>
        </r>
      </text>
    </comment>
    <comment ref="I16" authorId="0" shapeId="0" xr:uid="{D189FFC3-20CA-4491-8708-79BE10126D87}">
      <text>
        <r>
          <rPr>
            <b/>
            <sz val="8"/>
            <color indexed="81"/>
            <rFont val="Tahoma"/>
            <family val="2"/>
          </rPr>
          <t>.....:</t>
        </r>
        <r>
          <rPr>
            <sz val="8"/>
            <color indexed="81"/>
            <rFont val="Tahoma"/>
            <family val="2"/>
          </rPr>
          <t xml:space="preserve">
PA 4,60
</t>
        </r>
      </text>
    </comment>
    <comment ref="Q16" authorId="0" shapeId="0" xr:uid="{A96B2C4B-3A45-4DCD-A3A3-54191454A4C4}">
      <text>
        <r>
          <rPr>
            <b/>
            <sz val="8"/>
            <color indexed="81"/>
            <rFont val="Tahoma"/>
            <family val="2"/>
          </rPr>
          <t>.....:</t>
        </r>
        <r>
          <rPr>
            <sz val="8"/>
            <color indexed="81"/>
            <rFont val="Tahoma"/>
            <family val="2"/>
          </rPr>
          <t xml:space="preserve">
PA 4,60
</t>
        </r>
      </text>
    </comment>
    <comment ref="A17" authorId="0" shapeId="0" xr:uid="{5BCBE5CC-CFC6-46A1-B5A4-7A43D83E0F3F}">
      <text>
        <r>
          <rPr>
            <b/>
            <sz val="8"/>
            <color indexed="81"/>
            <rFont val="Tahoma"/>
            <family val="2"/>
          </rPr>
          <t>.....:</t>
        </r>
        <r>
          <rPr>
            <sz val="8"/>
            <color indexed="81"/>
            <rFont val="Tahoma"/>
            <family val="2"/>
          </rPr>
          <t xml:space="preserve">
PA 5,03
</t>
        </r>
      </text>
    </comment>
    <comment ref="I17" authorId="0" shapeId="0" xr:uid="{73C256AB-992D-44F1-BF85-F797F8602D7A}">
      <text>
        <r>
          <rPr>
            <b/>
            <sz val="8"/>
            <color indexed="81"/>
            <rFont val="Tahoma"/>
            <family val="2"/>
          </rPr>
          <t>.....:</t>
        </r>
        <r>
          <rPr>
            <sz val="8"/>
            <color indexed="81"/>
            <rFont val="Tahoma"/>
            <family val="2"/>
          </rPr>
          <t xml:space="preserve">
PA 5,03
</t>
        </r>
      </text>
    </comment>
    <comment ref="Q17" authorId="0" shapeId="0" xr:uid="{EDB747E2-6ED3-4534-8B90-F91CDA19C085}">
      <text>
        <r>
          <rPr>
            <b/>
            <sz val="8"/>
            <color indexed="81"/>
            <rFont val="Tahoma"/>
            <family val="2"/>
          </rPr>
          <t>.....:</t>
        </r>
        <r>
          <rPr>
            <sz val="8"/>
            <color indexed="81"/>
            <rFont val="Tahoma"/>
            <family val="2"/>
          </rPr>
          <t xml:space="preserve">
PA 5,03
</t>
        </r>
      </text>
    </comment>
    <comment ref="A18" authorId="0" shapeId="0" xr:uid="{A434A964-C387-426B-B32B-0458DB14736E}">
      <text>
        <r>
          <rPr>
            <b/>
            <sz val="8"/>
            <color indexed="81"/>
            <rFont val="Tahoma"/>
            <family val="2"/>
          </rPr>
          <t>.....:</t>
        </r>
        <r>
          <rPr>
            <sz val="8"/>
            <color indexed="81"/>
            <rFont val="Tahoma"/>
            <family val="2"/>
          </rPr>
          <t xml:space="preserve">
PA 1,84
</t>
        </r>
      </text>
    </comment>
    <comment ref="I18" authorId="0" shapeId="0" xr:uid="{FDB10841-5FCA-4514-8908-D3049003755A}">
      <text>
        <r>
          <rPr>
            <b/>
            <sz val="8"/>
            <color indexed="81"/>
            <rFont val="Tahoma"/>
            <family val="2"/>
          </rPr>
          <t>.....:</t>
        </r>
        <r>
          <rPr>
            <sz val="8"/>
            <color indexed="81"/>
            <rFont val="Tahoma"/>
            <family val="2"/>
          </rPr>
          <t xml:space="preserve">
PA 1,84
</t>
        </r>
      </text>
    </comment>
    <comment ref="Q18" authorId="0" shapeId="0" xr:uid="{3BA6D6F8-3962-4984-BB81-E1E6BDEB494A}">
      <text>
        <r>
          <rPr>
            <b/>
            <sz val="8"/>
            <color indexed="81"/>
            <rFont val="Tahoma"/>
            <family val="2"/>
          </rPr>
          <t>.....:</t>
        </r>
        <r>
          <rPr>
            <sz val="8"/>
            <color indexed="81"/>
            <rFont val="Tahoma"/>
            <family val="2"/>
          </rPr>
          <t xml:space="preserve">
PA 1,84
</t>
        </r>
      </text>
    </comment>
    <comment ref="A19" authorId="0" shapeId="0" xr:uid="{480EFB77-7320-4CB8-B575-F2DB5D253A26}">
      <text>
        <r>
          <rPr>
            <b/>
            <sz val="8"/>
            <color indexed="81"/>
            <rFont val="Tahoma"/>
            <family val="2"/>
          </rPr>
          <t>.....:</t>
        </r>
        <r>
          <rPr>
            <sz val="8"/>
            <color indexed="81"/>
            <rFont val="Tahoma"/>
            <family val="2"/>
          </rPr>
          <t xml:space="preserve">
PA 2,36
</t>
        </r>
      </text>
    </comment>
    <comment ref="I19" authorId="0" shapeId="0" xr:uid="{BA8DABEC-1ABB-4C7D-9469-07BB956CA9DA}">
      <text>
        <r>
          <rPr>
            <b/>
            <sz val="8"/>
            <color indexed="81"/>
            <rFont val="Tahoma"/>
            <family val="2"/>
          </rPr>
          <t>.....:</t>
        </r>
        <r>
          <rPr>
            <sz val="8"/>
            <color indexed="81"/>
            <rFont val="Tahoma"/>
            <family val="2"/>
          </rPr>
          <t xml:space="preserve">
PA 2,36
</t>
        </r>
      </text>
    </comment>
    <comment ref="Q19" authorId="0" shapeId="0" xr:uid="{C1DF69B5-3528-4B88-95AF-14EADB2A124E}">
      <text>
        <r>
          <rPr>
            <b/>
            <sz val="8"/>
            <color indexed="81"/>
            <rFont val="Tahoma"/>
            <family val="2"/>
          </rPr>
          <t>.....:</t>
        </r>
        <r>
          <rPr>
            <sz val="8"/>
            <color indexed="81"/>
            <rFont val="Tahoma"/>
            <family val="2"/>
          </rPr>
          <t xml:space="preserve">
PA 2,36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
    <author>.....</author>
  </authors>
  <commentList>
    <comment ref="A7" authorId="0" shapeId="0" xr:uid="{C629802B-606E-4982-8095-741DC901CB7A}">
      <text>
        <r>
          <rPr>
            <b/>
            <sz val="8"/>
            <color indexed="81"/>
            <rFont val="Tahoma"/>
            <family val="2"/>
          </rPr>
          <t>*:</t>
        </r>
        <r>
          <rPr>
            <sz val="8"/>
            <color indexed="81"/>
            <rFont val="Tahoma"/>
            <family val="2"/>
          </rPr>
          <t xml:space="preserve">
PA 7,62
</t>
        </r>
      </text>
    </comment>
    <comment ref="G7" authorId="0" shapeId="0" xr:uid="{54D7A446-A20B-47CF-A295-41E43DC8E9E3}">
      <text>
        <r>
          <rPr>
            <b/>
            <sz val="8"/>
            <color indexed="81"/>
            <rFont val="Tahoma"/>
            <family val="2"/>
          </rPr>
          <t>*:</t>
        </r>
        <r>
          <rPr>
            <sz val="8"/>
            <color indexed="81"/>
            <rFont val="Tahoma"/>
            <family val="2"/>
          </rPr>
          <t xml:space="preserve">
PA 7,62
</t>
        </r>
      </text>
    </comment>
    <comment ref="A8" authorId="1" shapeId="0" xr:uid="{3855AFCB-F629-4D3C-A1D4-7E43D6D7708B}">
      <text>
        <r>
          <rPr>
            <b/>
            <sz val="8"/>
            <color indexed="81"/>
            <rFont val="Tahoma"/>
            <family val="2"/>
          </rPr>
          <t>.....:</t>
        </r>
        <r>
          <rPr>
            <sz val="8"/>
            <color indexed="81"/>
            <rFont val="Tahoma"/>
            <family val="2"/>
          </rPr>
          <t xml:space="preserve">
PA 1,30
</t>
        </r>
      </text>
    </comment>
    <comment ref="G8" authorId="1" shapeId="0" xr:uid="{7B92B8D8-0C11-423F-9255-C45290580960}">
      <text>
        <r>
          <rPr>
            <b/>
            <sz val="8"/>
            <color indexed="81"/>
            <rFont val="Tahoma"/>
            <family val="2"/>
          </rPr>
          <t>.....:</t>
        </r>
        <r>
          <rPr>
            <sz val="8"/>
            <color indexed="81"/>
            <rFont val="Tahoma"/>
            <family val="2"/>
          </rPr>
          <t xml:space="preserve">
PA 1,30
</t>
        </r>
      </text>
    </comment>
    <comment ref="A9" authorId="1" shapeId="0" xr:uid="{4B36EB8B-FF17-4CE1-BB4A-1A756BFB72E2}">
      <text>
        <r>
          <rPr>
            <b/>
            <sz val="8"/>
            <color indexed="81"/>
            <rFont val="Tahoma"/>
            <family val="2"/>
          </rPr>
          <t>.....:</t>
        </r>
        <r>
          <rPr>
            <sz val="8"/>
            <color indexed="81"/>
            <rFont val="Tahoma"/>
            <family val="2"/>
          </rPr>
          <t xml:space="preserve">
PA ,88
</t>
        </r>
      </text>
    </comment>
    <comment ref="G9" authorId="1" shapeId="0" xr:uid="{198A59E4-CC05-46AC-BA9B-D627BF3F8FB2}">
      <text>
        <r>
          <rPr>
            <b/>
            <sz val="8"/>
            <color indexed="81"/>
            <rFont val="Tahoma"/>
            <family val="2"/>
          </rPr>
          <t>.....:</t>
        </r>
        <r>
          <rPr>
            <sz val="8"/>
            <color indexed="81"/>
            <rFont val="Tahoma"/>
            <family val="2"/>
          </rPr>
          <t xml:space="preserve">
PA ,88
</t>
        </r>
      </text>
    </comment>
    <comment ref="A10" authorId="1" shapeId="0" xr:uid="{B04EB268-6E86-4C44-90C8-CD88FAD76AEF}">
      <text>
        <r>
          <rPr>
            <b/>
            <sz val="8"/>
            <color indexed="81"/>
            <rFont val="Tahoma"/>
            <family val="2"/>
          </rPr>
          <t>.....:</t>
        </r>
        <r>
          <rPr>
            <sz val="8"/>
            <color indexed="81"/>
            <rFont val="Tahoma"/>
            <family val="2"/>
          </rPr>
          <t xml:space="preserve">
PA 1,20
</t>
        </r>
      </text>
    </comment>
    <comment ref="G10" authorId="1" shapeId="0" xr:uid="{3308B8E1-EE49-4B6F-A12F-9AE928690E12}">
      <text>
        <r>
          <rPr>
            <b/>
            <sz val="8"/>
            <color indexed="81"/>
            <rFont val="Tahoma"/>
            <family val="2"/>
          </rPr>
          <t>.....:</t>
        </r>
        <r>
          <rPr>
            <sz val="8"/>
            <color indexed="81"/>
            <rFont val="Tahoma"/>
            <family val="2"/>
          </rPr>
          <t xml:space="preserve">
PA 1,20
</t>
        </r>
      </text>
    </comment>
    <comment ref="A11" authorId="1" shapeId="0" xr:uid="{5375A030-CE32-4B6C-8572-D1B00B6B0568}">
      <text>
        <r>
          <rPr>
            <b/>
            <sz val="8"/>
            <color indexed="81"/>
            <rFont val="Tahoma"/>
            <family val="2"/>
          </rPr>
          <t>.....:</t>
        </r>
        <r>
          <rPr>
            <sz val="8"/>
            <color indexed="81"/>
            <rFont val="Tahoma"/>
            <family val="2"/>
          </rPr>
          <t xml:space="preserve">
PA 0,79
</t>
        </r>
      </text>
    </comment>
    <comment ref="G11" authorId="1" shapeId="0" xr:uid="{A17499FE-DD93-4662-91DC-211F4F81B273}">
      <text>
        <r>
          <rPr>
            <b/>
            <sz val="8"/>
            <color indexed="81"/>
            <rFont val="Tahoma"/>
            <family val="2"/>
          </rPr>
          <t>.....:</t>
        </r>
        <r>
          <rPr>
            <sz val="8"/>
            <color indexed="81"/>
            <rFont val="Tahoma"/>
            <family val="2"/>
          </rPr>
          <t xml:space="preserve">
PA 0,79
</t>
        </r>
      </text>
    </comment>
    <comment ref="A20" authorId="0" shapeId="0" xr:uid="{830EE68D-EFD5-422D-9730-5171FB61C92D}">
      <text>
        <r>
          <rPr>
            <b/>
            <sz val="8"/>
            <color indexed="81"/>
            <rFont val="Tahoma"/>
            <family val="2"/>
          </rPr>
          <t>*:</t>
        </r>
        <r>
          <rPr>
            <sz val="8"/>
            <color indexed="81"/>
            <rFont val="Tahoma"/>
            <family val="2"/>
          </rPr>
          <t xml:space="preserve">
PA 7,62
</t>
        </r>
      </text>
    </comment>
    <comment ref="G20" authorId="0" shapeId="0" xr:uid="{66353FA7-4F9F-41A2-B7C6-B46F54A06700}">
      <text>
        <r>
          <rPr>
            <b/>
            <sz val="8"/>
            <color indexed="81"/>
            <rFont val="Tahoma"/>
            <family val="2"/>
          </rPr>
          <t>*:</t>
        </r>
        <r>
          <rPr>
            <sz val="8"/>
            <color indexed="81"/>
            <rFont val="Tahoma"/>
            <family val="2"/>
          </rPr>
          <t xml:space="preserve">
PA 7,62
</t>
        </r>
      </text>
    </comment>
    <comment ref="A21" authorId="1" shapeId="0" xr:uid="{217F7780-7161-4D82-9689-7AE851224A1F}">
      <text>
        <r>
          <rPr>
            <b/>
            <sz val="8"/>
            <color indexed="81"/>
            <rFont val="Tahoma"/>
            <family val="2"/>
          </rPr>
          <t>.....:</t>
        </r>
        <r>
          <rPr>
            <sz val="8"/>
            <color indexed="81"/>
            <rFont val="Tahoma"/>
            <family val="2"/>
          </rPr>
          <t xml:space="preserve">
PA 1,30
</t>
        </r>
      </text>
    </comment>
    <comment ref="G21" authorId="1" shapeId="0" xr:uid="{F757EF74-5ED6-4416-8477-68EE9B5B5AAE}">
      <text>
        <r>
          <rPr>
            <b/>
            <sz val="8"/>
            <color indexed="81"/>
            <rFont val="Tahoma"/>
            <family val="2"/>
          </rPr>
          <t>.....:</t>
        </r>
        <r>
          <rPr>
            <sz val="8"/>
            <color indexed="81"/>
            <rFont val="Tahoma"/>
            <family val="2"/>
          </rPr>
          <t xml:space="preserve">
PA 1,30
</t>
        </r>
      </text>
    </comment>
    <comment ref="A22" authorId="1" shapeId="0" xr:uid="{FB5CC787-73C1-4BCF-9748-69EC03DD90EB}">
      <text>
        <r>
          <rPr>
            <b/>
            <sz val="8"/>
            <color indexed="81"/>
            <rFont val="Tahoma"/>
            <family val="2"/>
          </rPr>
          <t>.....:</t>
        </r>
        <r>
          <rPr>
            <sz val="8"/>
            <color indexed="81"/>
            <rFont val="Tahoma"/>
            <family val="2"/>
          </rPr>
          <t xml:space="preserve">
PA ,88
</t>
        </r>
      </text>
    </comment>
    <comment ref="G22" authorId="1" shapeId="0" xr:uid="{C2486CAA-EF98-4068-800F-3E6159175636}">
      <text>
        <r>
          <rPr>
            <b/>
            <sz val="8"/>
            <color indexed="81"/>
            <rFont val="Tahoma"/>
            <family val="2"/>
          </rPr>
          <t>.....:</t>
        </r>
        <r>
          <rPr>
            <sz val="8"/>
            <color indexed="81"/>
            <rFont val="Tahoma"/>
            <family val="2"/>
          </rPr>
          <t xml:space="preserve">
PA ,88
</t>
        </r>
      </text>
    </comment>
    <comment ref="A23" authorId="1" shapeId="0" xr:uid="{584D24A1-11D7-44E3-AC8E-7748DF0565BC}">
      <text>
        <r>
          <rPr>
            <b/>
            <sz val="8"/>
            <color indexed="81"/>
            <rFont val="Tahoma"/>
            <family val="2"/>
          </rPr>
          <t>.....:</t>
        </r>
        <r>
          <rPr>
            <sz val="8"/>
            <color indexed="81"/>
            <rFont val="Tahoma"/>
            <family val="2"/>
          </rPr>
          <t xml:space="preserve">
PA 1,20
</t>
        </r>
      </text>
    </comment>
    <comment ref="G23" authorId="1" shapeId="0" xr:uid="{4F75817E-14CB-4BC1-AE4A-8FC4BAC629C2}">
      <text>
        <r>
          <rPr>
            <b/>
            <sz val="8"/>
            <color indexed="81"/>
            <rFont val="Tahoma"/>
            <family val="2"/>
          </rPr>
          <t>.....:</t>
        </r>
        <r>
          <rPr>
            <sz val="8"/>
            <color indexed="81"/>
            <rFont val="Tahoma"/>
            <family val="2"/>
          </rPr>
          <t xml:space="preserve">
PA 1,20
</t>
        </r>
      </text>
    </comment>
    <comment ref="A24" authorId="1" shapeId="0" xr:uid="{F21C410D-5470-4797-8618-50CBAB1EF301}">
      <text>
        <r>
          <rPr>
            <b/>
            <sz val="8"/>
            <color indexed="81"/>
            <rFont val="Tahoma"/>
            <family val="2"/>
          </rPr>
          <t>.....:</t>
        </r>
        <r>
          <rPr>
            <sz val="8"/>
            <color indexed="81"/>
            <rFont val="Tahoma"/>
            <family val="2"/>
          </rPr>
          <t xml:space="preserve">
PA 0,79
</t>
        </r>
      </text>
    </comment>
    <comment ref="G24" authorId="1" shapeId="0" xr:uid="{84DB305D-B9F6-4386-A553-0B9F32BDCA9B}">
      <text>
        <r>
          <rPr>
            <b/>
            <sz val="8"/>
            <color indexed="81"/>
            <rFont val="Tahoma"/>
            <family val="2"/>
          </rPr>
          <t>.....:</t>
        </r>
        <r>
          <rPr>
            <sz val="8"/>
            <color indexed="81"/>
            <rFont val="Tahoma"/>
            <family val="2"/>
          </rPr>
          <t xml:space="preserve">
PA 0,79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
    <author>*</author>
  </authors>
  <commentList>
    <comment ref="A7" authorId="0" shapeId="0" xr:uid="{83DB59F6-AD19-4649-99B4-ADEEA258BFEF}">
      <text>
        <r>
          <rPr>
            <b/>
            <sz val="8"/>
            <color indexed="81"/>
            <rFont val="Tahoma"/>
            <family val="2"/>
          </rPr>
          <t>.....:</t>
        </r>
        <r>
          <rPr>
            <sz val="8"/>
            <color indexed="81"/>
            <rFont val="Tahoma"/>
            <family val="2"/>
          </rPr>
          <t xml:space="preserve">
PA 0,124</t>
        </r>
      </text>
    </comment>
    <comment ref="G7" authorId="0" shapeId="0" xr:uid="{FEB2FB7E-CEE1-40C7-831B-3BF17685C53E}">
      <text>
        <r>
          <rPr>
            <b/>
            <sz val="8"/>
            <color indexed="81"/>
            <rFont val="Tahoma"/>
            <family val="2"/>
          </rPr>
          <t>.....:</t>
        </r>
        <r>
          <rPr>
            <sz val="8"/>
            <color indexed="81"/>
            <rFont val="Tahoma"/>
            <family val="2"/>
          </rPr>
          <t xml:space="preserve">
PA 0,124</t>
        </r>
      </text>
    </comment>
    <comment ref="N7" authorId="0" shapeId="0" xr:uid="{C1C3C5AA-899C-455D-B7E7-3E6BE0D2DE57}">
      <text>
        <r>
          <rPr>
            <b/>
            <sz val="8"/>
            <color indexed="81"/>
            <rFont val="Tahoma"/>
            <family val="2"/>
          </rPr>
          <t>.....:</t>
        </r>
        <r>
          <rPr>
            <sz val="8"/>
            <color indexed="81"/>
            <rFont val="Tahoma"/>
            <family val="2"/>
          </rPr>
          <t xml:space="preserve">
PA 0,124</t>
        </r>
      </text>
    </comment>
    <comment ref="A8" authorId="1" shapeId="0" xr:uid="{F432C339-9C50-4D94-A81F-7AB6064228E7}">
      <text>
        <r>
          <rPr>
            <b/>
            <sz val="8"/>
            <color indexed="81"/>
            <rFont val="Tahoma"/>
            <family val="2"/>
          </rPr>
          <t>*:</t>
        </r>
        <r>
          <rPr>
            <sz val="8"/>
            <color indexed="81"/>
            <rFont val="Tahoma"/>
            <family val="2"/>
          </rPr>
          <t xml:space="preserve">
PA 7,62
</t>
        </r>
      </text>
    </comment>
    <comment ref="G8" authorId="1" shapeId="0" xr:uid="{2D3A9B44-CDB6-41AD-B020-09E35E70BE0B}">
      <text>
        <r>
          <rPr>
            <b/>
            <sz val="8"/>
            <color indexed="81"/>
            <rFont val="Tahoma"/>
            <family val="2"/>
          </rPr>
          <t>*:</t>
        </r>
        <r>
          <rPr>
            <sz val="8"/>
            <color indexed="81"/>
            <rFont val="Tahoma"/>
            <family val="2"/>
          </rPr>
          <t xml:space="preserve">
PA 7,62
</t>
        </r>
      </text>
    </comment>
    <comment ref="N8" authorId="1" shapeId="0" xr:uid="{25A74901-A02B-4409-B326-7079F6C38287}">
      <text>
        <r>
          <rPr>
            <b/>
            <sz val="8"/>
            <color indexed="81"/>
            <rFont val="Tahoma"/>
            <family val="2"/>
          </rPr>
          <t>*:</t>
        </r>
        <r>
          <rPr>
            <sz val="8"/>
            <color indexed="81"/>
            <rFont val="Tahoma"/>
            <family val="2"/>
          </rPr>
          <t xml:space="preserve">
PA 7,62
</t>
        </r>
      </text>
    </comment>
    <comment ref="A9" authorId="0" shapeId="0" xr:uid="{BE484E7E-E2D9-4B39-979A-CC4E7115017B}">
      <text>
        <r>
          <rPr>
            <b/>
            <sz val="8"/>
            <color indexed="81"/>
            <rFont val="Tahoma"/>
            <family val="2"/>
          </rPr>
          <t>.....:</t>
        </r>
        <r>
          <rPr>
            <sz val="8"/>
            <color indexed="81"/>
            <rFont val="Tahoma"/>
            <family val="2"/>
          </rPr>
          <t xml:space="preserve">
PA 1,30
</t>
        </r>
      </text>
    </comment>
    <comment ref="G9" authorId="0" shapeId="0" xr:uid="{7B524B70-0250-428F-ADA7-751C9810D6DF}">
      <text>
        <r>
          <rPr>
            <b/>
            <sz val="8"/>
            <color indexed="81"/>
            <rFont val="Tahoma"/>
            <family val="2"/>
          </rPr>
          <t>.....:</t>
        </r>
        <r>
          <rPr>
            <sz val="8"/>
            <color indexed="81"/>
            <rFont val="Tahoma"/>
            <family val="2"/>
          </rPr>
          <t xml:space="preserve">
PA 1,30
</t>
        </r>
      </text>
    </comment>
    <comment ref="N9" authorId="0" shapeId="0" xr:uid="{0DD8D495-CD6B-4A56-9675-936195A2DC50}">
      <text>
        <r>
          <rPr>
            <b/>
            <sz val="8"/>
            <color indexed="81"/>
            <rFont val="Tahoma"/>
            <family val="2"/>
          </rPr>
          <t>.....:</t>
        </r>
        <r>
          <rPr>
            <sz val="8"/>
            <color indexed="81"/>
            <rFont val="Tahoma"/>
            <family val="2"/>
          </rPr>
          <t xml:space="preserve">
PA 1,30
</t>
        </r>
      </text>
    </comment>
    <comment ref="A10" authorId="0" shapeId="0" xr:uid="{61566135-AF46-4C14-A2A4-CC81B9734504}">
      <text>
        <r>
          <rPr>
            <b/>
            <sz val="8"/>
            <color indexed="81"/>
            <rFont val="Tahoma"/>
            <family val="2"/>
          </rPr>
          <t>.....:</t>
        </r>
        <r>
          <rPr>
            <sz val="8"/>
            <color indexed="81"/>
            <rFont val="Tahoma"/>
            <family val="2"/>
          </rPr>
          <t xml:space="preserve">
PA ,88
</t>
        </r>
      </text>
    </comment>
    <comment ref="G10" authorId="0" shapeId="0" xr:uid="{8FAA7BF2-B26C-49A4-BB19-F0049ACC5E32}">
      <text>
        <r>
          <rPr>
            <b/>
            <sz val="8"/>
            <color indexed="81"/>
            <rFont val="Tahoma"/>
            <family val="2"/>
          </rPr>
          <t>.....:</t>
        </r>
        <r>
          <rPr>
            <sz val="8"/>
            <color indexed="81"/>
            <rFont val="Tahoma"/>
            <family val="2"/>
          </rPr>
          <t xml:space="preserve">
PA ,88
</t>
        </r>
      </text>
    </comment>
    <comment ref="N10" authorId="0" shapeId="0" xr:uid="{53152FEA-1B16-4424-BF8F-9B36CA241CD4}">
      <text>
        <r>
          <rPr>
            <b/>
            <sz val="8"/>
            <color indexed="81"/>
            <rFont val="Tahoma"/>
            <family val="2"/>
          </rPr>
          <t>.....:</t>
        </r>
        <r>
          <rPr>
            <sz val="8"/>
            <color indexed="81"/>
            <rFont val="Tahoma"/>
            <family val="2"/>
          </rPr>
          <t xml:space="preserve">
PA ,88
</t>
        </r>
      </text>
    </comment>
    <comment ref="A11" authorId="0" shapeId="0" xr:uid="{8A6A24D7-592A-4AB3-9CB3-A26D75EC4C5E}">
      <text>
        <r>
          <rPr>
            <b/>
            <sz val="8"/>
            <color indexed="81"/>
            <rFont val="Tahoma"/>
            <family val="2"/>
          </rPr>
          <t>.....:</t>
        </r>
        <r>
          <rPr>
            <sz val="8"/>
            <color indexed="81"/>
            <rFont val="Tahoma"/>
            <family val="2"/>
          </rPr>
          <t xml:space="preserve">
PA 1,20
</t>
        </r>
      </text>
    </comment>
    <comment ref="G11" authorId="0" shapeId="0" xr:uid="{7E0DB793-D9BA-4D35-BA57-50F0FF459138}">
      <text>
        <r>
          <rPr>
            <b/>
            <sz val="8"/>
            <color indexed="81"/>
            <rFont val="Tahoma"/>
            <family val="2"/>
          </rPr>
          <t>.....:</t>
        </r>
        <r>
          <rPr>
            <sz val="8"/>
            <color indexed="81"/>
            <rFont val="Tahoma"/>
            <family val="2"/>
          </rPr>
          <t xml:space="preserve">
PA 1,20
</t>
        </r>
      </text>
    </comment>
    <comment ref="N11" authorId="0" shapeId="0" xr:uid="{877F8DB9-F91E-4122-8A70-263F92055F38}">
      <text>
        <r>
          <rPr>
            <b/>
            <sz val="8"/>
            <color indexed="81"/>
            <rFont val="Tahoma"/>
            <family val="2"/>
          </rPr>
          <t>.....:</t>
        </r>
        <r>
          <rPr>
            <sz val="8"/>
            <color indexed="81"/>
            <rFont val="Tahoma"/>
            <family val="2"/>
          </rPr>
          <t xml:space="preserve">
PA 1,20
</t>
        </r>
      </text>
    </comment>
    <comment ref="A12" authorId="0" shapeId="0" xr:uid="{6E26670C-1216-4C0C-8E34-7AB0B7765D85}">
      <text>
        <r>
          <rPr>
            <b/>
            <sz val="8"/>
            <color indexed="81"/>
            <rFont val="Tahoma"/>
            <family val="2"/>
          </rPr>
          <t>.....:</t>
        </r>
        <r>
          <rPr>
            <sz val="8"/>
            <color indexed="81"/>
            <rFont val="Tahoma"/>
            <family val="2"/>
          </rPr>
          <t xml:space="preserve">
PA 0,79
</t>
        </r>
      </text>
    </comment>
    <comment ref="G12" authorId="0" shapeId="0" xr:uid="{06808AC7-416F-4DB5-87E8-B272B66BA6D2}">
      <text>
        <r>
          <rPr>
            <b/>
            <sz val="8"/>
            <color indexed="81"/>
            <rFont val="Tahoma"/>
            <family val="2"/>
          </rPr>
          <t>.....:</t>
        </r>
        <r>
          <rPr>
            <sz val="8"/>
            <color indexed="81"/>
            <rFont val="Tahoma"/>
            <family val="2"/>
          </rPr>
          <t xml:space="preserve">
PA 0,79
</t>
        </r>
      </text>
    </comment>
    <comment ref="N12" authorId="0" shapeId="0" xr:uid="{23350A3C-E7A3-42CF-8149-06F1270F51AE}">
      <text>
        <r>
          <rPr>
            <b/>
            <sz val="8"/>
            <color indexed="81"/>
            <rFont val="Tahoma"/>
            <family val="2"/>
          </rPr>
          <t>.....:</t>
        </r>
        <r>
          <rPr>
            <sz val="8"/>
            <color indexed="81"/>
            <rFont val="Tahoma"/>
            <family val="2"/>
          </rPr>
          <t xml:space="preserve">
PA 0,79
</t>
        </r>
      </text>
    </comment>
    <comment ref="A22" authorId="0" shapeId="0" xr:uid="{74550C84-72BA-471D-B252-4A32B06DD408}">
      <text>
        <r>
          <rPr>
            <b/>
            <sz val="8"/>
            <color indexed="81"/>
            <rFont val="Tahoma"/>
            <family val="2"/>
          </rPr>
          <t>.....:</t>
        </r>
        <r>
          <rPr>
            <sz val="8"/>
            <color indexed="81"/>
            <rFont val="Tahoma"/>
            <family val="2"/>
          </rPr>
          <t xml:space="preserve">
PA 0,124</t>
        </r>
      </text>
    </comment>
    <comment ref="G22" authorId="0" shapeId="0" xr:uid="{DEDC85ED-1C0A-41E4-8305-E809A8EFCE5E}">
      <text>
        <r>
          <rPr>
            <b/>
            <sz val="8"/>
            <color indexed="81"/>
            <rFont val="Tahoma"/>
            <family val="2"/>
          </rPr>
          <t>.....:</t>
        </r>
        <r>
          <rPr>
            <sz val="8"/>
            <color indexed="81"/>
            <rFont val="Tahoma"/>
            <family val="2"/>
          </rPr>
          <t xml:space="preserve">
PA 0,124</t>
        </r>
      </text>
    </comment>
    <comment ref="A23" authorId="1" shapeId="0" xr:uid="{AD67941F-21E6-403E-932F-7282128347CF}">
      <text>
        <r>
          <rPr>
            <b/>
            <sz val="8"/>
            <color indexed="81"/>
            <rFont val="Tahoma"/>
            <family val="2"/>
          </rPr>
          <t>*:</t>
        </r>
        <r>
          <rPr>
            <sz val="8"/>
            <color indexed="81"/>
            <rFont val="Tahoma"/>
            <family val="2"/>
          </rPr>
          <t xml:space="preserve">
PA 7,62
</t>
        </r>
      </text>
    </comment>
    <comment ref="G23" authorId="1" shapeId="0" xr:uid="{5DC383AF-6900-4C47-A9BE-7E7360FB1E3F}">
      <text>
        <r>
          <rPr>
            <b/>
            <sz val="8"/>
            <color indexed="81"/>
            <rFont val="Tahoma"/>
            <family val="2"/>
          </rPr>
          <t>*:</t>
        </r>
        <r>
          <rPr>
            <sz val="8"/>
            <color indexed="81"/>
            <rFont val="Tahoma"/>
            <family val="2"/>
          </rPr>
          <t xml:space="preserve">
PA 7,62
</t>
        </r>
      </text>
    </comment>
    <comment ref="A24" authorId="0" shapeId="0" xr:uid="{287D85DA-E317-425E-A9A8-81E9E8A10276}">
      <text>
        <r>
          <rPr>
            <b/>
            <sz val="8"/>
            <color indexed="81"/>
            <rFont val="Tahoma"/>
            <family val="2"/>
          </rPr>
          <t>.....:</t>
        </r>
        <r>
          <rPr>
            <sz val="8"/>
            <color indexed="81"/>
            <rFont val="Tahoma"/>
            <family val="2"/>
          </rPr>
          <t xml:space="preserve">
PA 1,30
</t>
        </r>
      </text>
    </comment>
    <comment ref="G24" authorId="0" shapeId="0" xr:uid="{BA4191CC-4BC2-4768-92FC-C36095B2C84D}">
      <text>
        <r>
          <rPr>
            <b/>
            <sz val="8"/>
            <color indexed="81"/>
            <rFont val="Tahoma"/>
            <family val="2"/>
          </rPr>
          <t>.....:</t>
        </r>
        <r>
          <rPr>
            <sz val="8"/>
            <color indexed="81"/>
            <rFont val="Tahoma"/>
            <family val="2"/>
          </rPr>
          <t xml:space="preserve">
PA 1,30
</t>
        </r>
      </text>
    </comment>
    <comment ref="A25" authorId="0" shapeId="0" xr:uid="{150FE038-876E-4EEC-B701-CFF5AE864EA4}">
      <text>
        <r>
          <rPr>
            <b/>
            <sz val="8"/>
            <color indexed="81"/>
            <rFont val="Tahoma"/>
            <family val="2"/>
          </rPr>
          <t>.....:</t>
        </r>
        <r>
          <rPr>
            <sz val="8"/>
            <color indexed="81"/>
            <rFont val="Tahoma"/>
            <family val="2"/>
          </rPr>
          <t xml:space="preserve">
PA ,88
</t>
        </r>
      </text>
    </comment>
    <comment ref="G25" authorId="0" shapeId="0" xr:uid="{94A3B1E9-759A-447B-A27E-EC0D4C4317F2}">
      <text>
        <r>
          <rPr>
            <b/>
            <sz val="8"/>
            <color indexed="81"/>
            <rFont val="Tahoma"/>
            <family val="2"/>
          </rPr>
          <t>.....:</t>
        </r>
        <r>
          <rPr>
            <sz val="8"/>
            <color indexed="81"/>
            <rFont val="Tahoma"/>
            <family val="2"/>
          </rPr>
          <t xml:space="preserve">
PA ,88
</t>
        </r>
      </text>
    </comment>
    <comment ref="A26" authorId="0" shapeId="0" xr:uid="{8BAE53CF-6FE8-49A7-8A04-1B0BAFEA4B6E}">
      <text>
        <r>
          <rPr>
            <b/>
            <sz val="8"/>
            <color indexed="81"/>
            <rFont val="Tahoma"/>
            <family val="2"/>
          </rPr>
          <t>.....:</t>
        </r>
        <r>
          <rPr>
            <sz val="8"/>
            <color indexed="81"/>
            <rFont val="Tahoma"/>
            <family val="2"/>
          </rPr>
          <t xml:space="preserve">
PA 1,20
</t>
        </r>
      </text>
    </comment>
    <comment ref="G26" authorId="0" shapeId="0" xr:uid="{BD33487B-8A93-4075-B4B2-326014BC7E49}">
      <text>
        <r>
          <rPr>
            <b/>
            <sz val="8"/>
            <color indexed="81"/>
            <rFont val="Tahoma"/>
            <family val="2"/>
          </rPr>
          <t>.....:</t>
        </r>
        <r>
          <rPr>
            <sz val="8"/>
            <color indexed="81"/>
            <rFont val="Tahoma"/>
            <family val="2"/>
          </rPr>
          <t xml:space="preserve">
PA 1,20
</t>
        </r>
      </text>
    </comment>
    <comment ref="A27" authorId="0" shapeId="0" xr:uid="{9E55DE26-B390-4444-B006-AF62680D5C12}">
      <text>
        <r>
          <rPr>
            <b/>
            <sz val="8"/>
            <color indexed="81"/>
            <rFont val="Tahoma"/>
            <family val="2"/>
          </rPr>
          <t>.....:</t>
        </r>
        <r>
          <rPr>
            <sz val="8"/>
            <color indexed="81"/>
            <rFont val="Tahoma"/>
            <family val="2"/>
          </rPr>
          <t xml:space="preserve">
PA 0,79
</t>
        </r>
      </text>
    </comment>
    <comment ref="G27" authorId="0" shapeId="0" xr:uid="{674DEDBA-1863-4A3C-A60E-2FC4C4F1E29F}">
      <text>
        <r>
          <rPr>
            <b/>
            <sz val="8"/>
            <color indexed="81"/>
            <rFont val="Tahoma"/>
            <family val="2"/>
          </rPr>
          <t>.....:</t>
        </r>
        <r>
          <rPr>
            <sz val="8"/>
            <color indexed="81"/>
            <rFont val="Tahoma"/>
            <family val="2"/>
          </rPr>
          <t xml:space="preserve">
PA 0,79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uthor>
    <author>*</author>
  </authors>
  <commentList>
    <comment ref="A7" authorId="0" shapeId="0" xr:uid="{3E9DF17D-BEA4-414D-BD0C-FD7BCEB85024}">
      <text>
        <r>
          <rPr>
            <b/>
            <sz val="8"/>
            <color indexed="81"/>
            <rFont val="Tahoma"/>
            <family val="2"/>
          </rPr>
          <t>.....:</t>
        </r>
        <r>
          <rPr>
            <sz val="8"/>
            <color indexed="81"/>
            <rFont val="Tahoma"/>
            <family val="2"/>
          </rPr>
          <t xml:space="preserve">
PA 0,124</t>
        </r>
      </text>
    </comment>
    <comment ref="G7" authorId="0" shapeId="0" xr:uid="{20DB0D12-EB0A-4A46-BA78-B2A53D00F4F9}">
      <text>
        <r>
          <rPr>
            <b/>
            <sz val="8"/>
            <color indexed="81"/>
            <rFont val="Tahoma"/>
            <family val="2"/>
          </rPr>
          <t>.....:</t>
        </r>
        <r>
          <rPr>
            <sz val="8"/>
            <color indexed="81"/>
            <rFont val="Tahoma"/>
            <family val="2"/>
          </rPr>
          <t xml:space="preserve">
PA 0,124</t>
        </r>
      </text>
    </comment>
    <comment ref="N7" authorId="0" shapeId="0" xr:uid="{C53A58B7-28A6-4EAE-91B4-6724DA8592F8}">
      <text>
        <r>
          <rPr>
            <b/>
            <sz val="8"/>
            <color indexed="81"/>
            <rFont val="Tahoma"/>
            <family val="2"/>
          </rPr>
          <t>.....:</t>
        </r>
        <r>
          <rPr>
            <sz val="8"/>
            <color indexed="81"/>
            <rFont val="Tahoma"/>
            <family val="2"/>
          </rPr>
          <t xml:space="preserve">
PA 0,124</t>
        </r>
      </text>
    </comment>
    <comment ref="A8" authorId="1" shapeId="0" xr:uid="{26CE55DC-DDA7-4B12-8F8E-E51437A22543}">
      <text>
        <r>
          <rPr>
            <b/>
            <sz val="8"/>
            <color indexed="81"/>
            <rFont val="Tahoma"/>
            <family val="2"/>
          </rPr>
          <t>*:</t>
        </r>
        <r>
          <rPr>
            <sz val="8"/>
            <color indexed="81"/>
            <rFont val="Tahoma"/>
            <family val="2"/>
          </rPr>
          <t xml:space="preserve">
PA 7,62
</t>
        </r>
      </text>
    </comment>
    <comment ref="G8" authorId="1" shapeId="0" xr:uid="{59FB1E69-4170-40D7-8D0C-17E25B0B685A}">
      <text>
        <r>
          <rPr>
            <b/>
            <sz val="8"/>
            <color indexed="81"/>
            <rFont val="Tahoma"/>
            <family val="2"/>
          </rPr>
          <t>*:</t>
        </r>
        <r>
          <rPr>
            <sz val="8"/>
            <color indexed="81"/>
            <rFont val="Tahoma"/>
            <family val="2"/>
          </rPr>
          <t xml:space="preserve">
PA 7,62
</t>
        </r>
      </text>
    </comment>
    <comment ref="N8" authorId="1" shapeId="0" xr:uid="{438630EC-A333-4385-B6C1-759FFC1DB051}">
      <text>
        <r>
          <rPr>
            <b/>
            <sz val="8"/>
            <color indexed="81"/>
            <rFont val="Tahoma"/>
            <family val="2"/>
          </rPr>
          <t>*:</t>
        </r>
        <r>
          <rPr>
            <sz val="8"/>
            <color indexed="81"/>
            <rFont val="Tahoma"/>
            <family val="2"/>
          </rPr>
          <t xml:space="preserve">
PA 7,62
</t>
        </r>
      </text>
    </comment>
    <comment ref="A9" authorId="0" shapeId="0" xr:uid="{C02DBC1D-1876-41AB-9BA9-89FB2855495F}">
      <text>
        <r>
          <rPr>
            <b/>
            <sz val="8"/>
            <color indexed="81"/>
            <rFont val="Tahoma"/>
            <family val="2"/>
          </rPr>
          <t>.....:</t>
        </r>
        <r>
          <rPr>
            <sz val="8"/>
            <color indexed="81"/>
            <rFont val="Tahoma"/>
            <family val="2"/>
          </rPr>
          <t xml:space="preserve">
PA 1,30
</t>
        </r>
      </text>
    </comment>
    <comment ref="G9" authorId="0" shapeId="0" xr:uid="{54E05C5E-CE57-45A2-AC7B-BA469042A25E}">
      <text>
        <r>
          <rPr>
            <b/>
            <sz val="8"/>
            <color indexed="81"/>
            <rFont val="Tahoma"/>
            <family val="2"/>
          </rPr>
          <t>.....:</t>
        </r>
        <r>
          <rPr>
            <sz val="8"/>
            <color indexed="81"/>
            <rFont val="Tahoma"/>
            <family val="2"/>
          </rPr>
          <t xml:space="preserve">
PA 1,30
</t>
        </r>
      </text>
    </comment>
    <comment ref="N9" authorId="0" shapeId="0" xr:uid="{4B068DE9-F08E-450A-B3B0-8697743B08DE}">
      <text>
        <r>
          <rPr>
            <b/>
            <sz val="8"/>
            <color indexed="81"/>
            <rFont val="Tahoma"/>
            <family val="2"/>
          </rPr>
          <t>.....:</t>
        </r>
        <r>
          <rPr>
            <sz val="8"/>
            <color indexed="81"/>
            <rFont val="Tahoma"/>
            <family val="2"/>
          </rPr>
          <t xml:space="preserve">
PA 1,30
</t>
        </r>
      </text>
    </comment>
    <comment ref="A10" authorId="0" shapeId="0" xr:uid="{17F621A3-1652-4903-A18F-EC4D6725A338}">
      <text>
        <r>
          <rPr>
            <b/>
            <sz val="8"/>
            <color indexed="81"/>
            <rFont val="Tahoma"/>
            <family val="2"/>
          </rPr>
          <t>.....:</t>
        </r>
        <r>
          <rPr>
            <sz val="8"/>
            <color indexed="81"/>
            <rFont val="Tahoma"/>
            <family val="2"/>
          </rPr>
          <t xml:space="preserve">
PA ,88
</t>
        </r>
      </text>
    </comment>
    <comment ref="G10" authorId="0" shapeId="0" xr:uid="{7522E7F9-ADCB-4264-921C-165D8560791E}">
      <text>
        <r>
          <rPr>
            <b/>
            <sz val="8"/>
            <color indexed="81"/>
            <rFont val="Tahoma"/>
            <family val="2"/>
          </rPr>
          <t>.....:</t>
        </r>
        <r>
          <rPr>
            <sz val="8"/>
            <color indexed="81"/>
            <rFont val="Tahoma"/>
            <family val="2"/>
          </rPr>
          <t xml:space="preserve">
PA ,88
</t>
        </r>
      </text>
    </comment>
    <comment ref="N10" authorId="0" shapeId="0" xr:uid="{224387F1-371A-4D38-A49F-40D18138BC10}">
      <text>
        <r>
          <rPr>
            <b/>
            <sz val="8"/>
            <color indexed="81"/>
            <rFont val="Tahoma"/>
            <family val="2"/>
          </rPr>
          <t>.....:</t>
        </r>
        <r>
          <rPr>
            <sz val="8"/>
            <color indexed="81"/>
            <rFont val="Tahoma"/>
            <family val="2"/>
          </rPr>
          <t xml:space="preserve">
PA ,88
</t>
        </r>
      </text>
    </comment>
    <comment ref="A11" authorId="0" shapeId="0" xr:uid="{F1E66F78-40BA-40F7-A7D8-2DC17547AEEF}">
      <text>
        <r>
          <rPr>
            <b/>
            <sz val="8"/>
            <color indexed="81"/>
            <rFont val="Tahoma"/>
            <family val="2"/>
          </rPr>
          <t>.....:</t>
        </r>
        <r>
          <rPr>
            <sz val="8"/>
            <color indexed="81"/>
            <rFont val="Tahoma"/>
            <family val="2"/>
          </rPr>
          <t xml:space="preserve">
PA 1,20
</t>
        </r>
      </text>
    </comment>
    <comment ref="G11" authorId="0" shapeId="0" xr:uid="{3970B665-7209-4F87-AA2B-2C000265DC86}">
      <text>
        <r>
          <rPr>
            <b/>
            <sz val="8"/>
            <color indexed="81"/>
            <rFont val="Tahoma"/>
            <family val="2"/>
          </rPr>
          <t>.....:</t>
        </r>
        <r>
          <rPr>
            <sz val="8"/>
            <color indexed="81"/>
            <rFont val="Tahoma"/>
            <family val="2"/>
          </rPr>
          <t xml:space="preserve">
PA 1,20
</t>
        </r>
      </text>
    </comment>
    <comment ref="N11" authorId="0" shapeId="0" xr:uid="{6DBA4432-952E-4CDA-89A3-CC4F8A76F5DE}">
      <text>
        <r>
          <rPr>
            <b/>
            <sz val="8"/>
            <color indexed="81"/>
            <rFont val="Tahoma"/>
            <family val="2"/>
          </rPr>
          <t>.....:</t>
        </r>
        <r>
          <rPr>
            <sz val="8"/>
            <color indexed="81"/>
            <rFont val="Tahoma"/>
            <family val="2"/>
          </rPr>
          <t xml:space="preserve">
PA 1,20
</t>
        </r>
      </text>
    </comment>
    <comment ref="A12" authorId="0" shapeId="0" xr:uid="{78C5F82E-206D-4820-A26C-6A6388A32394}">
      <text>
        <r>
          <rPr>
            <b/>
            <sz val="8"/>
            <color indexed="81"/>
            <rFont val="Tahoma"/>
            <family val="2"/>
          </rPr>
          <t>.....:</t>
        </r>
        <r>
          <rPr>
            <sz val="8"/>
            <color indexed="81"/>
            <rFont val="Tahoma"/>
            <family val="2"/>
          </rPr>
          <t xml:space="preserve">
PA 0,79
</t>
        </r>
      </text>
    </comment>
    <comment ref="G12" authorId="0" shapeId="0" xr:uid="{2A302598-1C81-4686-8923-616DB87ACB62}">
      <text>
        <r>
          <rPr>
            <b/>
            <sz val="8"/>
            <color indexed="81"/>
            <rFont val="Tahoma"/>
            <family val="2"/>
          </rPr>
          <t>.....:</t>
        </r>
        <r>
          <rPr>
            <sz val="8"/>
            <color indexed="81"/>
            <rFont val="Tahoma"/>
            <family val="2"/>
          </rPr>
          <t xml:space="preserve">
PA 0,79
</t>
        </r>
      </text>
    </comment>
    <comment ref="N12" authorId="0" shapeId="0" xr:uid="{D95AC8E3-B31B-4E7B-833A-9E203F111346}">
      <text>
        <r>
          <rPr>
            <b/>
            <sz val="8"/>
            <color indexed="81"/>
            <rFont val="Tahoma"/>
            <family val="2"/>
          </rPr>
          <t>.....:</t>
        </r>
        <r>
          <rPr>
            <sz val="8"/>
            <color indexed="81"/>
            <rFont val="Tahoma"/>
            <family val="2"/>
          </rPr>
          <t xml:space="preserve">
PA 0,79
</t>
        </r>
      </text>
    </comment>
    <comment ref="A22" authorId="0" shapeId="0" xr:uid="{7245742D-8D03-4AAE-9F0D-27AF0B18AAE6}">
      <text>
        <r>
          <rPr>
            <b/>
            <sz val="8"/>
            <color indexed="81"/>
            <rFont val="Tahoma"/>
            <family val="2"/>
          </rPr>
          <t>.....:</t>
        </r>
        <r>
          <rPr>
            <sz val="8"/>
            <color indexed="81"/>
            <rFont val="Tahoma"/>
            <family val="2"/>
          </rPr>
          <t xml:space="preserve">
PA 0,124</t>
        </r>
      </text>
    </comment>
    <comment ref="G22" authorId="0" shapeId="0" xr:uid="{2FBE9238-109E-41E7-BFE9-EBC7B0CA1955}">
      <text>
        <r>
          <rPr>
            <b/>
            <sz val="8"/>
            <color indexed="81"/>
            <rFont val="Tahoma"/>
            <family val="2"/>
          </rPr>
          <t>.....:</t>
        </r>
        <r>
          <rPr>
            <sz val="8"/>
            <color indexed="81"/>
            <rFont val="Tahoma"/>
            <family val="2"/>
          </rPr>
          <t xml:space="preserve">
PA 0,124</t>
        </r>
      </text>
    </comment>
    <comment ref="A23" authorId="1" shapeId="0" xr:uid="{36D08B1F-24BC-4F26-9C27-53F122553D8A}">
      <text>
        <r>
          <rPr>
            <b/>
            <sz val="8"/>
            <color indexed="81"/>
            <rFont val="Tahoma"/>
            <family val="2"/>
          </rPr>
          <t>*:</t>
        </r>
        <r>
          <rPr>
            <sz val="8"/>
            <color indexed="81"/>
            <rFont val="Tahoma"/>
            <family val="2"/>
          </rPr>
          <t xml:space="preserve">
PA 7,62
</t>
        </r>
      </text>
    </comment>
    <comment ref="G23" authorId="1" shapeId="0" xr:uid="{994B2F19-1623-47E7-9065-A5E8BD28ADD7}">
      <text>
        <r>
          <rPr>
            <b/>
            <sz val="8"/>
            <color indexed="81"/>
            <rFont val="Tahoma"/>
            <family val="2"/>
          </rPr>
          <t>*:</t>
        </r>
        <r>
          <rPr>
            <sz val="8"/>
            <color indexed="81"/>
            <rFont val="Tahoma"/>
            <family val="2"/>
          </rPr>
          <t xml:space="preserve">
PA 7,62
</t>
        </r>
      </text>
    </comment>
    <comment ref="A24" authorId="0" shapeId="0" xr:uid="{427A1B09-4CC5-40EF-BBCA-72CBDD023F2A}">
      <text>
        <r>
          <rPr>
            <b/>
            <sz val="8"/>
            <color indexed="81"/>
            <rFont val="Tahoma"/>
            <family val="2"/>
          </rPr>
          <t>.....:</t>
        </r>
        <r>
          <rPr>
            <sz val="8"/>
            <color indexed="81"/>
            <rFont val="Tahoma"/>
            <family val="2"/>
          </rPr>
          <t xml:space="preserve">
PA 1,30
</t>
        </r>
      </text>
    </comment>
    <comment ref="G24" authorId="0" shapeId="0" xr:uid="{B89E0751-7B90-4682-BA9F-4694BC6549D1}">
      <text>
        <r>
          <rPr>
            <b/>
            <sz val="8"/>
            <color indexed="81"/>
            <rFont val="Tahoma"/>
            <family val="2"/>
          </rPr>
          <t>.....:</t>
        </r>
        <r>
          <rPr>
            <sz val="8"/>
            <color indexed="81"/>
            <rFont val="Tahoma"/>
            <family val="2"/>
          </rPr>
          <t xml:space="preserve">
PA 1,30
</t>
        </r>
      </text>
    </comment>
    <comment ref="A25" authorId="0" shapeId="0" xr:uid="{9E08679C-00F9-49EA-86CA-130283A535E7}">
      <text>
        <r>
          <rPr>
            <b/>
            <sz val="8"/>
            <color indexed="81"/>
            <rFont val="Tahoma"/>
            <family val="2"/>
          </rPr>
          <t>.....:</t>
        </r>
        <r>
          <rPr>
            <sz val="8"/>
            <color indexed="81"/>
            <rFont val="Tahoma"/>
            <family val="2"/>
          </rPr>
          <t xml:space="preserve">
PA ,88
</t>
        </r>
      </text>
    </comment>
    <comment ref="G25" authorId="0" shapeId="0" xr:uid="{9A301B79-7E05-47F6-874E-D10D28A9F1C2}">
      <text>
        <r>
          <rPr>
            <b/>
            <sz val="8"/>
            <color indexed="81"/>
            <rFont val="Tahoma"/>
            <family val="2"/>
          </rPr>
          <t>.....:</t>
        </r>
        <r>
          <rPr>
            <sz val="8"/>
            <color indexed="81"/>
            <rFont val="Tahoma"/>
            <family val="2"/>
          </rPr>
          <t xml:space="preserve">
PA ,88
</t>
        </r>
      </text>
    </comment>
    <comment ref="A26" authorId="0" shapeId="0" xr:uid="{B7606319-A80B-4D84-A242-79C5BAFF32D2}">
      <text>
        <r>
          <rPr>
            <b/>
            <sz val="8"/>
            <color indexed="81"/>
            <rFont val="Tahoma"/>
            <family val="2"/>
          </rPr>
          <t>.....:</t>
        </r>
        <r>
          <rPr>
            <sz val="8"/>
            <color indexed="81"/>
            <rFont val="Tahoma"/>
            <family val="2"/>
          </rPr>
          <t xml:space="preserve">
PA 1,20
</t>
        </r>
      </text>
    </comment>
    <comment ref="G26" authorId="0" shapeId="0" xr:uid="{1E1B7ABE-96C6-407F-BC09-411A44E22031}">
      <text>
        <r>
          <rPr>
            <b/>
            <sz val="8"/>
            <color indexed="81"/>
            <rFont val="Tahoma"/>
            <family val="2"/>
          </rPr>
          <t>.....:</t>
        </r>
        <r>
          <rPr>
            <sz val="8"/>
            <color indexed="81"/>
            <rFont val="Tahoma"/>
            <family val="2"/>
          </rPr>
          <t xml:space="preserve">
PA 1,20
</t>
        </r>
      </text>
    </comment>
    <comment ref="A27" authorId="0" shapeId="0" xr:uid="{06DB541A-3EEB-4D17-B3F4-34DA4C186B4D}">
      <text>
        <r>
          <rPr>
            <b/>
            <sz val="8"/>
            <color indexed="81"/>
            <rFont val="Tahoma"/>
            <family val="2"/>
          </rPr>
          <t>.....:</t>
        </r>
        <r>
          <rPr>
            <sz val="8"/>
            <color indexed="81"/>
            <rFont val="Tahoma"/>
            <family val="2"/>
          </rPr>
          <t xml:space="preserve">
PA 0,79
</t>
        </r>
      </text>
    </comment>
    <comment ref="G27" authorId="0" shapeId="0" xr:uid="{396BAE68-CB90-4D27-8654-6C12EC0CB82F}">
      <text>
        <r>
          <rPr>
            <b/>
            <sz val="8"/>
            <color indexed="81"/>
            <rFont val="Tahoma"/>
            <family val="2"/>
          </rPr>
          <t>.....:</t>
        </r>
        <r>
          <rPr>
            <sz val="8"/>
            <color indexed="81"/>
            <rFont val="Tahoma"/>
            <family val="2"/>
          </rPr>
          <t xml:space="preserve">
PA 0,79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uthor>
    <author>*</author>
  </authors>
  <commentList>
    <comment ref="A7" authorId="0" shapeId="0" xr:uid="{87187A83-387F-4B08-A117-0B956A1E1EBF}">
      <text>
        <r>
          <rPr>
            <b/>
            <sz val="8"/>
            <color indexed="81"/>
            <rFont val="Tahoma"/>
            <family val="2"/>
          </rPr>
          <t>.....:</t>
        </r>
        <r>
          <rPr>
            <sz val="8"/>
            <color indexed="81"/>
            <rFont val="Tahoma"/>
            <family val="2"/>
          </rPr>
          <t xml:space="preserve">
PA 0,124</t>
        </r>
      </text>
    </comment>
    <comment ref="G7" authorId="0" shapeId="0" xr:uid="{9E40ABC6-BACB-4CC5-B00C-EF68386BF018}">
      <text>
        <r>
          <rPr>
            <b/>
            <sz val="8"/>
            <color indexed="81"/>
            <rFont val="Tahoma"/>
            <family val="2"/>
          </rPr>
          <t>.....:</t>
        </r>
        <r>
          <rPr>
            <sz val="8"/>
            <color indexed="81"/>
            <rFont val="Tahoma"/>
            <family val="2"/>
          </rPr>
          <t xml:space="preserve">
PA 0,124</t>
        </r>
      </text>
    </comment>
    <comment ref="M7" authorId="0" shapeId="0" xr:uid="{3DE830ED-BDAD-4034-BF2C-5E9F1C832E57}">
      <text>
        <r>
          <rPr>
            <b/>
            <sz val="8"/>
            <color indexed="81"/>
            <rFont val="Tahoma"/>
            <family val="2"/>
          </rPr>
          <t>.....:</t>
        </r>
        <r>
          <rPr>
            <sz val="8"/>
            <color indexed="81"/>
            <rFont val="Tahoma"/>
            <family val="2"/>
          </rPr>
          <t xml:space="preserve">
PA 0,124</t>
        </r>
      </text>
    </comment>
    <comment ref="A8" authorId="1" shapeId="0" xr:uid="{01DAE800-C1CF-4C2F-86C4-E2DE0CDA4E65}">
      <text>
        <r>
          <rPr>
            <b/>
            <sz val="8"/>
            <color indexed="81"/>
            <rFont val="Tahoma"/>
            <family val="2"/>
          </rPr>
          <t>*:</t>
        </r>
        <r>
          <rPr>
            <sz val="8"/>
            <color indexed="81"/>
            <rFont val="Tahoma"/>
            <family val="2"/>
          </rPr>
          <t xml:space="preserve">
PA 7,62
</t>
        </r>
      </text>
    </comment>
    <comment ref="G8" authorId="1" shapeId="0" xr:uid="{B21AC493-82AC-4CCE-8FEA-AC833CA7149E}">
      <text>
        <r>
          <rPr>
            <b/>
            <sz val="8"/>
            <color indexed="81"/>
            <rFont val="Tahoma"/>
            <family val="2"/>
          </rPr>
          <t>*:</t>
        </r>
        <r>
          <rPr>
            <sz val="8"/>
            <color indexed="81"/>
            <rFont val="Tahoma"/>
            <family val="2"/>
          </rPr>
          <t xml:space="preserve">
PA 7,62
</t>
        </r>
      </text>
    </comment>
    <comment ref="M8" authorId="1" shapeId="0" xr:uid="{21AF71AD-0B8C-4112-9A9F-A55321EEBD4E}">
      <text>
        <r>
          <rPr>
            <b/>
            <sz val="8"/>
            <color indexed="81"/>
            <rFont val="Tahoma"/>
            <family val="2"/>
          </rPr>
          <t>*:</t>
        </r>
        <r>
          <rPr>
            <sz val="8"/>
            <color indexed="81"/>
            <rFont val="Tahoma"/>
            <family val="2"/>
          </rPr>
          <t xml:space="preserve">
PA 7,62
</t>
        </r>
      </text>
    </comment>
    <comment ref="W8" authorId="0" shapeId="0" xr:uid="{5D9F4E2C-0B9B-4715-B8C8-FA95D1237B5C}">
      <text>
        <r>
          <rPr>
            <b/>
            <sz val="8"/>
            <color indexed="81"/>
            <rFont val="Tahoma"/>
            <family val="2"/>
          </rPr>
          <t>.....:</t>
        </r>
        <r>
          <rPr>
            <sz val="8"/>
            <color indexed="81"/>
            <rFont val="Tahoma"/>
            <family val="2"/>
          </rPr>
          <t xml:space="preserve">
PA 0,124</t>
        </r>
      </text>
    </comment>
    <comment ref="A9" authorId="0" shapeId="0" xr:uid="{05EB1D08-4121-449D-BF5E-8B6346C352A3}">
      <text>
        <r>
          <rPr>
            <b/>
            <sz val="8"/>
            <color indexed="81"/>
            <rFont val="Tahoma"/>
            <family val="2"/>
          </rPr>
          <t>.....:</t>
        </r>
        <r>
          <rPr>
            <sz val="8"/>
            <color indexed="81"/>
            <rFont val="Tahoma"/>
            <family val="2"/>
          </rPr>
          <t xml:space="preserve">
PA 1,30
</t>
        </r>
      </text>
    </comment>
    <comment ref="G9" authorId="0" shapeId="0" xr:uid="{75D37F03-70D5-451C-8CE2-49B92A766788}">
      <text>
        <r>
          <rPr>
            <b/>
            <sz val="8"/>
            <color indexed="81"/>
            <rFont val="Tahoma"/>
            <family val="2"/>
          </rPr>
          <t>.....:</t>
        </r>
        <r>
          <rPr>
            <sz val="8"/>
            <color indexed="81"/>
            <rFont val="Tahoma"/>
            <family val="2"/>
          </rPr>
          <t xml:space="preserve">
PA 1,30
</t>
        </r>
      </text>
    </comment>
    <comment ref="M9" authorId="0" shapeId="0" xr:uid="{FC79DE5C-24F7-4A6B-99A6-9C7642FF151F}">
      <text>
        <r>
          <rPr>
            <b/>
            <sz val="8"/>
            <color indexed="81"/>
            <rFont val="Tahoma"/>
            <family val="2"/>
          </rPr>
          <t>.....:</t>
        </r>
        <r>
          <rPr>
            <sz val="8"/>
            <color indexed="81"/>
            <rFont val="Tahoma"/>
            <family val="2"/>
          </rPr>
          <t xml:space="preserve">
PA 1,30
</t>
        </r>
      </text>
    </comment>
    <comment ref="W9" authorId="1" shapeId="0" xr:uid="{222D44BF-F8AE-4913-AE58-C68BABB93ED1}">
      <text>
        <r>
          <rPr>
            <b/>
            <sz val="8"/>
            <color indexed="81"/>
            <rFont val="Tahoma"/>
            <family val="2"/>
          </rPr>
          <t>*:</t>
        </r>
        <r>
          <rPr>
            <sz val="8"/>
            <color indexed="81"/>
            <rFont val="Tahoma"/>
            <family val="2"/>
          </rPr>
          <t xml:space="preserve">
PA 7,62
</t>
        </r>
      </text>
    </comment>
    <comment ref="A10" authorId="0" shapeId="0" xr:uid="{A4589AEF-4DD9-4E7D-812D-6056AB546F5F}">
      <text>
        <r>
          <rPr>
            <b/>
            <sz val="8"/>
            <color indexed="81"/>
            <rFont val="Tahoma"/>
            <family val="2"/>
          </rPr>
          <t>.....:</t>
        </r>
        <r>
          <rPr>
            <sz val="8"/>
            <color indexed="81"/>
            <rFont val="Tahoma"/>
            <family val="2"/>
          </rPr>
          <t xml:space="preserve">
PA ,88
</t>
        </r>
      </text>
    </comment>
    <comment ref="G10" authorId="0" shapeId="0" xr:uid="{F4411FBE-D07B-4CA1-A027-355398AE4FEB}">
      <text>
        <r>
          <rPr>
            <b/>
            <sz val="8"/>
            <color indexed="81"/>
            <rFont val="Tahoma"/>
            <family val="2"/>
          </rPr>
          <t>.....:</t>
        </r>
        <r>
          <rPr>
            <sz val="8"/>
            <color indexed="81"/>
            <rFont val="Tahoma"/>
            <family val="2"/>
          </rPr>
          <t xml:space="preserve">
PA ,88
</t>
        </r>
      </text>
    </comment>
    <comment ref="M10" authorId="0" shapeId="0" xr:uid="{5AFF2264-72A7-4805-8E1D-F65BDDB76D03}">
      <text>
        <r>
          <rPr>
            <b/>
            <sz val="8"/>
            <color indexed="81"/>
            <rFont val="Tahoma"/>
            <family val="2"/>
          </rPr>
          <t>.....:</t>
        </r>
        <r>
          <rPr>
            <sz val="8"/>
            <color indexed="81"/>
            <rFont val="Tahoma"/>
            <family val="2"/>
          </rPr>
          <t xml:space="preserve">
PA ,88
</t>
        </r>
      </text>
    </comment>
    <comment ref="W10" authorId="0" shapeId="0" xr:uid="{99A455C9-205A-49AF-926B-CD753A3EB835}">
      <text>
        <r>
          <rPr>
            <b/>
            <sz val="8"/>
            <color indexed="81"/>
            <rFont val="Tahoma"/>
            <family val="2"/>
          </rPr>
          <t>.....:</t>
        </r>
        <r>
          <rPr>
            <sz val="8"/>
            <color indexed="81"/>
            <rFont val="Tahoma"/>
            <family val="2"/>
          </rPr>
          <t xml:space="preserve">
PA 1,30
</t>
        </r>
      </text>
    </comment>
    <comment ref="A11" authorId="0" shapeId="0" xr:uid="{C4ACA10B-8B6C-401B-A627-CDEE731CE16F}">
      <text>
        <r>
          <rPr>
            <b/>
            <sz val="8"/>
            <color indexed="81"/>
            <rFont val="Tahoma"/>
            <family val="2"/>
          </rPr>
          <t>.....:</t>
        </r>
        <r>
          <rPr>
            <sz val="8"/>
            <color indexed="81"/>
            <rFont val="Tahoma"/>
            <family val="2"/>
          </rPr>
          <t xml:space="preserve">
PA 1,20
</t>
        </r>
      </text>
    </comment>
    <comment ref="G11" authorId="0" shapeId="0" xr:uid="{CDB14AE5-6EF6-4240-820E-508FA81DF844}">
      <text>
        <r>
          <rPr>
            <b/>
            <sz val="8"/>
            <color indexed="81"/>
            <rFont val="Tahoma"/>
            <family val="2"/>
          </rPr>
          <t>.....:</t>
        </r>
        <r>
          <rPr>
            <sz val="8"/>
            <color indexed="81"/>
            <rFont val="Tahoma"/>
            <family val="2"/>
          </rPr>
          <t xml:space="preserve">
PA 1,20
</t>
        </r>
      </text>
    </comment>
    <comment ref="M11" authorId="0" shapeId="0" xr:uid="{F957C283-F4D8-4939-B8D8-3B72F299ED81}">
      <text>
        <r>
          <rPr>
            <b/>
            <sz val="8"/>
            <color indexed="81"/>
            <rFont val="Tahoma"/>
            <family val="2"/>
          </rPr>
          <t>.....:</t>
        </r>
        <r>
          <rPr>
            <sz val="8"/>
            <color indexed="81"/>
            <rFont val="Tahoma"/>
            <family val="2"/>
          </rPr>
          <t xml:space="preserve">
PA 1,20
</t>
        </r>
      </text>
    </comment>
    <comment ref="W11" authorId="0" shapeId="0" xr:uid="{F53D6F34-CEF8-4F0A-8ED5-0281F74E38DE}">
      <text>
        <r>
          <rPr>
            <b/>
            <sz val="8"/>
            <color indexed="81"/>
            <rFont val="Tahoma"/>
            <family val="2"/>
          </rPr>
          <t>.....:</t>
        </r>
        <r>
          <rPr>
            <sz val="8"/>
            <color indexed="81"/>
            <rFont val="Tahoma"/>
            <family val="2"/>
          </rPr>
          <t xml:space="preserve">
PA ,88
</t>
        </r>
      </text>
    </comment>
    <comment ref="A12" authorId="0" shapeId="0" xr:uid="{652BA5A9-87F1-4597-9DBC-DC52B7B111F5}">
      <text>
        <r>
          <rPr>
            <b/>
            <sz val="8"/>
            <color indexed="81"/>
            <rFont val="Tahoma"/>
            <family val="2"/>
          </rPr>
          <t>.....:</t>
        </r>
        <r>
          <rPr>
            <sz val="8"/>
            <color indexed="81"/>
            <rFont val="Tahoma"/>
            <family val="2"/>
          </rPr>
          <t xml:space="preserve">
PA 0,79
</t>
        </r>
      </text>
    </comment>
    <comment ref="G12" authorId="0" shapeId="0" xr:uid="{4FC5E0FC-16BD-47C5-95B2-B2C19A64D2FD}">
      <text>
        <r>
          <rPr>
            <b/>
            <sz val="8"/>
            <color indexed="81"/>
            <rFont val="Tahoma"/>
            <family val="2"/>
          </rPr>
          <t>.....:</t>
        </r>
        <r>
          <rPr>
            <sz val="8"/>
            <color indexed="81"/>
            <rFont val="Tahoma"/>
            <family val="2"/>
          </rPr>
          <t xml:space="preserve">
PA 0,79
</t>
        </r>
      </text>
    </comment>
    <comment ref="M12" authorId="0" shapeId="0" xr:uid="{858F3490-B2FD-405E-BE54-AAA08E43184F}">
      <text>
        <r>
          <rPr>
            <b/>
            <sz val="8"/>
            <color indexed="81"/>
            <rFont val="Tahoma"/>
            <family val="2"/>
          </rPr>
          <t>.....:</t>
        </r>
        <r>
          <rPr>
            <sz val="8"/>
            <color indexed="81"/>
            <rFont val="Tahoma"/>
            <family val="2"/>
          </rPr>
          <t xml:space="preserve">
PA 0,79
</t>
        </r>
      </text>
    </comment>
    <comment ref="W12" authorId="0" shapeId="0" xr:uid="{0458AD95-3132-420B-A84A-6F6B8BF1F1AA}">
      <text>
        <r>
          <rPr>
            <b/>
            <sz val="8"/>
            <color indexed="81"/>
            <rFont val="Tahoma"/>
            <family val="2"/>
          </rPr>
          <t>.....:</t>
        </r>
        <r>
          <rPr>
            <sz val="8"/>
            <color indexed="81"/>
            <rFont val="Tahoma"/>
            <family val="2"/>
          </rPr>
          <t xml:space="preserve">
PA 1,20
</t>
        </r>
      </text>
    </comment>
    <comment ref="W13" authorId="0" shapeId="0" xr:uid="{4D8FFFD1-A331-4E07-B315-680672500186}">
      <text>
        <r>
          <rPr>
            <b/>
            <sz val="8"/>
            <color indexed="81"/>
            <rFont val="Tahoma"/>
            <family val="2"/>
          </rPr>
          <t>.....:</t>
        </r>
        <r>
          <rPr>
            <sz val="8"/>
            <color indexed="81"/>
            <rFont val="Tahoma"/>
            <family val="2"/>
          </rPr>
          <t xml:space="preserve">
PA 0,79
</t>
        </r>
      </text>
    </comment>
    <comment ref="A21" authorId="0" shapeId="0" xr:uid="{FC6DF408-EFF5-4BD4-9070-3CEE183C7B4A}">
      <text>
        <r>
          <rPr>
            <b/>
            <sz val="8"/>
            <color indexed="81"/>
            <rFont val="Tahoma"/>
            <family val="2"/>
          </rPr>
          <t>.....:</t>
        </r>
        <r>
          <rPr>
            <sz val="8"/>
            <color indexed="81"/>
            <rFont val="Tahoma"/>
            <family val="2"/>
          </rPr>
          <t xml:space="preserve">
PA 0,124</t>
        </r>
      </text>
    </comment>
    <comment ref="G21" authorId="0" shapeId="0" xr:uid="{CC9D2A68-B9F1-42D2-B4FF-316188B9E2E4}">
      <text>
        <r>
          <rPr>
            <b/>
            <sz val="8"/>
            <color indexed="81"/>
            <rFont val="Tahoma"/>
            <family val="2"/>
          </rPr>
          <t>.....:</t>
        </r>
        <r>
          <rPr>
            <sz val="8"/>
            <color indexed="81"/>
            <rFont val="Tahoma"/>
            <family val="2"/>
          </rPr>
          <t xml:space="preserve">
PA 0,124</t>
        </r>
      </text>
    </comment>
    <comment ref="M21" authorId="0" shapeId="0" xr:uid="{3DF67746-5733-4ED2-A1B3-D364C6BE63C9}">
      <text>
        <r>
          <rPr>
            <b/>
            <sz val="8"/>
            <color indexed="81"/>
            <rFont val="Tahoma"/>
            <family val="2"/>
          </rPr>
          <t>.....:</t>
        </r>
        <r>
          <rPr>
            <sz val="8"/>
            <color indexed="81"/>
            <rFont val="Tahoma"/>
            <family val="2"/>
          </rPr>
          <t xml:space="preserve">
PA 0,124</t>
        </r>
      </text>
    </comment>
    <comment ref="A22" authorId="1" shapeId="0" xr:uid="{A4579A1C-6DE0-47C9-8AC6-8FC26AA077EB}">
      <text>
        <r>
          <rPr>
            <b/>
            <sz val="8"/>
            <color indexed="81"/>
            <rFont val="Tahoma"/>
            <family val="2"/>
          </rPr>
          <t>*:</t>
        </r>
        <r>
          <rPr>
            <sz val="8"/>
            <color indexed="81"/>
            <rFont val="Tahoma"/>
            <family val="2"/>
          </rPr>
          <t xml:space="preserve">
PA 7,62
</t>
        </r>
      </text>
    </comment>
    <comment ref="G22" authorId="1" shapeId="0" xr:uid="{C544E64D-6D47-466A-B530-B01DE18A108E}">
      <text>
        <r>
          <rPr>
            <b/>
            <sz val="8"/>
            <color indexed="81"/>
            <rFont val="Tahoma"/>
            <family val="2"/>
          </rPr>
          <t>*:</t>
        </r>
        <r>
          <rPr>
            <sz val="8"/>
            <color indexed="81"/>
            <rFont val="Tahoma"/>
            <family val="2"/>
          </rPr>
          <t xml:space="preserve">
PA 7,62
</t>
        </r>
      </text>
    </comment>
    <comment ref="M22" authorId="1" shapeId="0" xr:uid="{CD473F4E-D2F2-4EFC-9C4B-766BA884975C}">
      <text>
        <r>
          <rPr>
            <b/>
            <sz val="8"/>
            <color indexed="81"/>
            <rFont val="Tahoma"/>
            <family val="2"/>
          </rPr>
          <t>*:</t>
        </r>
        <r>
          <rPr>
            <sz val="8"/>
            <color indexed="81"/>
            <rFont val="Tahoma"/>
            <family val="2"/>
          </rPr>
          <t xml:space="preserve">
PA 7,62
</t>
        </r>
      </text>
    </comment>
    <comment ref="A23" authorId="0" shapeId="0" xr:uid="{8F9E2DE3-D0BC-4328-BA7C-087699D8C594}">
      <text>
        <r>
          <rPr>
            <b/>
            <sz val="8"/>
            <color indexed="81"/>
            <rFont val="Tahoma"/>
            <family val="2"/>
          </rPr>
          <t>.....:</t>
        </r>
        <r>
          <rPr>
            <sz val="8"/>
            <color indexed="81"/>
            <rFont val="Tahoma"/>
            <family val="2"/>
          </rPr>
          <t xml:space="preserve">
PA 1,30
</t>
        </r>
      </text>
    </comment>
    <comment ref="G23" authorId="0" shapeId="0" xr:uid="{3AA7D2C0-BA16-494F-9E94-E9AB788AC86E}">
      <text>
        <r>
          <rPr>
            <b/>
            <sz val="8"/>
            <color indexed="81"/>
            <rFont val="Tahoma"/>
            <family val="2"/>
          </rPr>
          <t>.....:</t>
        </r>
        <r>
          <rPr>
            <sz val="8"/>
            <color indexed="81"/>
            <rFont val="Tahoma"/>
            <family val="2"/>
          </rPr>
          <t xml:space="preserve">
PA 1,30
</t>
        </r>
      </text>
    </comment>
    <comment ref="M23" authorId="0" shapeId="0" xr:uid="{32FEA493-DE9D-4948-94EB-9CF4B0CC3745}">
      <text>
        <r>
          <rPr>
            <b/>
            <sz val="8"/>
            <color indexed="81"/>
            <rFont val="Tahoma"/>
            <family val="2"/>
          </rPr>
          <t>.....:</t>
        </r>
        <r>
          <rPr>
            <sz val="8"/>
            <color indexed="81"/>
            <rFont val="Tahoma"/>
            <family val="2"/>
          </rPr>
          <t xml:space="preserve">
PA 1,30
</t>
        </r>
      </text>
    </comment>
    <comment ref="A24" authorId="0" shapeId="0" xr:uid="{800D4BA7-8DC3-4C04-9A49-C5297C2443BE}">
      <text>
        <r>
          <rPr>
            <b/>
            <sz val="8"/>
            <color indexed="81"/>
            <rFont val="Tahoma"/>
            <family val="2"/>
          </rPr>
          <t>.....:</t>
        </r>
        <r>
          <rPr>
            <sz val="8"/>
            <color indexed="81"/>
            <rFont val="Tahoma"/>
            <family val="2"/>
          </rPr>
          <t xml:space="preserve">
PA ,88
</t>
        </r>
      </text>
    </comment>
    <comment ref="G24" authorId="0" shapeId="0" xr:uid="{BE3898ED-49E1-40FB-9F95-37BB36EE11A5}">
      <text>
        <r>
          <rPr>
            <b/>
            <sz val="8"/>
            <color indexed="81"/>
            <rFont val="Tahoma"/>
            <family val="2"/>
          </rPr>
          <t>.....:</t>
        </r>
        <r>
          <rPr>
            <sz val="8"/>
            <color indexed="81"/>
            <rFont val="Tahoma"/>
            <family val="2"/>
          </rPr>
          <t xml:space="preserve">
PA ,88
</t>
        </r>
      </text>
    </comment>
    <comment ref="M24" authorId="0" shapeId="0" xr:uid="{8489C3B9-D203-432E-9511-1AB929058128}">
      <text>
        <r>
          <rPr>
            <b/>
            <sz val="8"/>
            <color indexed="81"/>
            <rFont val="Tahoma"/>
            <family val="2"/>
          </rPr>
          <t>.....:</t>
        </r>
        <r>
          <rPr>
            <sz val="8"/>
            <color indexed="81"/>
            <rFont val="Tahoma"/>
            <family val="2"/>
          </rPr>
          <t xml:space="preserve">
PA ,88
</t>
        </r>
      </text>
    </comment>
    <comment ref="A25" authorId="0" shapeId="0" xr:uid="{B612A0D7-7319-4DD3-ACA3-26853107649A}">
      <text>
        <r>
          <rPr>
            <b/>
            <sz val="8"/>
            <color indexed="81"/>
            <rFont val="Tahoma"/>
            <family val="2"/>
          </rPr>
          <t>.....:</t>
        </r>
        <r>
          <rPr>
            <sz val="8"/>
            <color indexed="81"/>
            <rFont val="Tahoma"/>
            <family val="2"/>
          </rPr>
          <t xml:space="preserve">
PA 1,20
</t>
        </r>
      </text>
    </comment>
    <comment ref="G25" authorId="0" shapeId="0" xr:uid="{AF5B0358-06CC-47A6-BF98-41AE2811096A}">
      <text>
        <r>
          <rPr>
            <b/>
            <sz val="8"/>
            <color indexed="81"/>
            <rFont val="Tahoma"/>
            <family val="2"/>
          </rPr>
          <t>.....:</t>
        </r>
        <r>
          <rPr>
            <sz val="8"/>
            <color indexed="81"/>
            <rFont val="Tahoma"/>
            <family val="2"/>
          </rPr>
          <t xml:space="preserve">
PA 1,20
</t>
        </r>
      </text>
    </comment>
    <comment ref="M25" authorId="0" shapeId="0" xr:uid="{719EE1D4-A970-4048-93AA-D86EFB38DA06}">
      <text>
        <r>
          <rPr>
            <b/>
            <sz val="8"/>
            <color indexed="81"/>
            <rFont val="Tahoma"/>
            <family val="2"/>
          </rPr>
          <t>.....:</t>
        </r>
        <r>
          <rPr>
            <sz val="8"/>
            <color indexed="81"/>
            <rFont val="Tahoma"/>
            <family val="2"/>
          </rPr>
          <t xml:space="preserve">
PA 1,20
</t>
        </r>
      </text>
    </comment>
    <comment ref="A26" authorId="0" shapeId="0" xr:uid="{F1D11443-1FD0-4980-B4E2-958712D4CFCD}">
      <text>
        <r>
          <rPr>
            <b/>
            <sz val="8"/>
            <color indexed="81"/>
            <rFont val="Tahoma"/>
            <family val="2"/>
          </rPr>
          <t>.....:</t>
        </r>
        <r>
          <rPr>
            <sz val="8"/>
            <color indexed="81"/>
            <rFont val="Tahoma"/>
            <family val="2"/>
          </rPr>
          <t xml:space="preserve">
PA 0,79
</t>
        </r>
      </text>
    </comment>
    <comment ref="G26" authorId="0" shapeId="0" xr:uid="{B69189BF-E5F0-4004-8F37-F70414BBA85E}">
      <text>
        <r>
          <rPr>
            <b/>
            <sz val="8"/>
            <color indexed="81"/>
            <rFont val="Tahoma"/>
            <family val="2"/>
          </rPr>
          <t>.....:</t>
        </r>
        <r>
          <rPr>
            <sz val="8"/>
            <color indexed="81"/>
            <rFont val="Tahoma"/>
            <family val="2"/>
          </rPr>
          <t xml:space="preserve">
PA 0,79
</t>
        </r>
      </text>
    </comment>
    <comment ref="M26" authorId="0" shapeId="0" xr:uid="{CCB5AFCC-5806-42CD-B40D-CFBB66FA6B04}">
      <text>
        <r>
          <rPr>
            <b/>
            <sz val="8"/>
            <color indexed="81"/>
            <rFont val="Tahoma"/>
            <family val="2"/>
          </rPr>
          <t>.....:</t>
        </r>
        <r>
          <rPr>
            <sz val="8"/>
            <color indexed="81"/>
            <rFont val="Tahoma"/>
            <family val="2"/>
          </rPr>
          <t xml:space="preserve">
PA 0,79
</t>
        </r>
      </text>
    </comment>
    <comment ref="A37" authorId="0" shapeId="0" xr:uid="{C45FDEBB-49EF-48F2-9745-A9259CCC348C}">
      <text>
        <r>
          <rPr>
            <b/>
            <sz val="8"/>
            <color indexed="81"/>
            <rFont val="Tahoma"/>
            <family val="2"/>
          </rPr>
          <t>.....:</t>
        </r>
        <r>
          <rPr>
            <sz val="8"/>
            <color indexed="81"/>
            <rFont val="Tahoma"/>
            <family val="2"/>
          </rPr>
          <t xml:space="preserve">
PA 0,124</t>
        </r>
      </text>
    </comment>
    <comment ref="G37" authorId="0" shapeId="0" xr:uid="{32D07802-A892-407B-98E7-4616D983C8F4}">
      <text>
        <r>
          <rPr>
            <b/>
            <sz val="8"/>
            <color indexed="81"/>
            <rFont val="Tahoma"/>
            <family val="2"/>
          </rPr>
          <t>.....:</t>
        </r>
        <r>
          <rPr>
            <sz val="8"/>
            <color indexed="81"/>
            <rFont val="Tahoma"/>
            <family val="2"/>
          </rPr>
          <t xml:space="preserve">
PA 0,124</t>
        </r>
      </text>
    </comment>
    <comment ref="M37" authorId="0" shapeId="0" xr:uid="{1D5830F7-B65D-46A1-96E1-2EEBDF3F0D52}">
      <text>
        <r>
          <rPr>
            <b/>
            <sz val="8"/>
            <color indexed="81"/>
            <rFont val="Tahoma"/>
            <family val="2"/>
          </rPr>
          <t>.....:</t>
        </r>
        <r>
          <rPr>
            <sz val="8"/>
            <color indexed="81"/>
            <rFont val="Tahoma"/>
            <family val="2"/>
          </rPr>
          <t xml:space="preserve">
PA 0,124</t>
        </r>
      </text>
    </comment>
    <comment ref="A38" authorId="1" shapeId="0" xr:uid="{E40EE01A-8BAD-47BD-AB61-C396A05D9974}">
      <text>
        <r>
          <rPr>
            <b/>
            <sz val="8"/>
            <color indexed="81"/>
            <rFont val="Tahoma"/>
            <family val="2"/>
          </rPr>
          <t>*:</t>
        </r>
        <r>
          <rPr>
            <sz val="8"/>
            <color indexed="81"/>
            <rFont val="Tahoma"/>
            <family val="2"/>
          </rPr>
          <t xml:space="preserve">
PA 7,62
</t>
        </r>
      </text>
    </comment>
    <comment ref="G38" authorId="1" shapeId="0" xr:uid="{C8BEA6F0-A48B-4F49-BFA3-9CBD8E4A4164}">
      <text>
        <r>
          <rPr>
            <b/>
            <sz val="8"/>
            <color indexed="81"/>
            <rFont val="Tahoma"/>
            <family val="2"/>
          </rPr>
          <t>*:</t>
        </r>
        <r>
          <rPr>
            <sz val="8"/>
            <color indexed="81"/>
            <rFont val="Tahoma"/>
            <family val="2"/>
          </rPr>
          <t xml:space="preserve">
PA 7,62
</t>
        </r>
      </text>
    </comment>
    <comment ref="M38" authorId="1" shapeId="0" xr:uid="{BC04E60D-9977-4BA1-A2F7-3250A4042CDB}">
      <text>
        <r>
          <rPr>
            <b/>
            <sz val="8"/>
            <color indexed="81"/>
            <rFont val="Tahoma"/>
            <family val="2"/>
          </rPr>
          <t>*:</t>
        </r>
        <r>
          <rPr>
            <sz val="8"/>
            <color indexed="81"/>
            <rFont val="Tahoma"/>
            <family val="2"/>
          </rPr>
          <t xml:space="preserve">
PA 7,62
</t>
        </r>
      </text>
    </comment>
    <comment ref="A39" authorId="0" shapeId="0" xr:uid="{6AAF9B0B-6DF4-4AFC-AD40-7725B7E36242}">
      <text>
        <r>
          <rPr>
            <b/>
            <sz val="8"/>
            <color indexed="81"/>
            <rFont val="Tahoma"/>
            <family val="2"/>
          </rPr>
          <t>.....:</t>
        </r>
        <r>
          <rPr>
            <sz val="8"/>
            <color indexed="81"/>
            <rFont val="Tahoma"/>
            <family val="2"/>
          </rPr>
          <t xml:space="preserve">
PA 1,30
</t>
        </r>
      </text>
    </comment>
    <comment ref="G39" authorId="0" shapeId="0" xr:uid="{578629AD-81E8-4878-AE08-5CC971D7737B}">
      <text>
        <r>
          <rPr>
            <b/>
            <sz val="8"/>
            <color indexed="81"/>
            <rFont val="Tahoma"/>
            <family val="2"/>
          </rPr>
          <t>.....:</t>
        </r>
        <r>
          <rPr>
            <sz val="8"/>
            <color indexed="81"/>
            <rFont val="Tahoma"/>
            <family val="2"/>
          </rPr>
          <t xml:space="preserve">
PA 1,30
</t>
        </r>
      </text>
    </comment>
    <comment ref="M39" authorId="0" shapeId="0" xr:uid="{951C01C2-AD14-4957-9AA0-36C788E2B6F0}">
      <text>
        <r>
          <rPr>
            <b/>
            <sz val="8"/>
            <color indexed="81"/>
            <rFont val="Tahoma"/>
            <family val="2"/>
          </rPr>
          <t>.....:</t>
        </r>
        <r>
          <rPr>
            <sz val="8"/>
            <color indexed="81"/>
            <rFont val="Tahoma"/>
            <family val="2"/>
          </rPr>
          <t xml:space="preserve">
PA 1,30
</t>
        </r>
      </text>
    </comment>
    <comment ref="A40" authorId="0" shapeId="0" xr:uid="{8E2856D8-3C2F-44DF-97CF-A22A20697FA0}">
      <text>
        <r>
          <rPr>
            <b/>
            <sz val="8"/>
            <color indexed="81"/>
            <rFont val="Tahoma"/>
            <family val="2"/>
          </rPr>
          <t>.....:</t>
        </r>
        <r>
          <rPr>
            <sz val="8"/>
            <color indexed="81"/>
            <rFont val="Tahoma"/>
            <family val="2"/>
          </rPr>
          <t xml:space="preserve">
PA ,88
</t>
        </r>
      </text>
    </comment>
    <comment ref="G40" authorId="0" shapeId="0" xr:uid="{9C037D37-EC72-4DEA-B596-BC744E584B64}">
      <text>
        <r>
          <rPr>
            <b/>
            <sz val="8"/>
            <color indexed="81"/>
            <rFont val="Tahoma"/>
            <family val="2"/>
          </rPr>
          <t>.....:</t>
        </r>
        <r>
          <rPr>
            <sz val="8"/>
            <color indexed="81"/>
            <rFont val="Tahoma"/>
            <family val="2"/>
          </rPr>
          <t xml:space="preserve">
PA ,88
</t>
        </r>
      </text>
    </comment>
    <comment ref="M40" authorId="0" shapeId="0" xr:uid="{DDE2F336-C489-412D-84DD-C15CE63AEFB6}">
      <text>
        <r>
          <rPr>
            <b/>
            <sz val="8"/>
            <color indexed="81"/>
            <rFont val="Tahoma"/>
            <family val="2"/>
          </rPr>
          <t>.....:</t>
        </r>
        <r>
          <rPr>
            <sz val="8"/>
            <color indexed="81"/>
            <rFont val="Tahoma"/>
            <family val="2"/>
          </rPr>
          <t xml:space="preserve">
PA ,88
</t>
        </r>
      </text>
    </comment>
    <comment ref="A41" authorId="0" shapeId="0" xr:uid="{D95F6210-F910-4DAB-AB47-1D5240E808D3}">
      <text>
        <r>
          <rPr>
            <b/>
            <sz val="8"/>
            <color indexed="81"/>
            <rFont val="Tahoma"/>
            <family val="2"/>
          </rPr>
          <t>.....:</t>
        </r>
        <r>
          <rPr>
            <sz val="8"/>
            <color indexed="81"/>
            <rFont val="Tahoma"/>
            <family val="2"/>
          </rPr>
          <t xml:space="preserve">
PA 1,20
</t>
        </r>
      </text>
    </comment>
    <comment ref="G41" authorId="0" shapeId="0" xr:uid="{99A58793-D16D-4B85-8E64-51D4B6627D34}">
      <text>
        <r>
          <rPr>
            <b/>
            <sz val="8"/>
            <color indexed="81"/>
            <rFont val="Tahoma"/>
            <family val="2"/>
          </rPr>
          <t>.....:</t>
        </r>
        <r>
          <rPr>
            <sz val="8"/>
            <color indexed="81"/>
            <rFont val="Tahoma"/>
            <family val="2"/>
          </rPr>
          <t xml:space="preserve">
PA 1,20
</t>
        </r>
      </text>
    </comment>
    <comment ref="M41" authorId="0" shapeId="0" xr:uid="{122B6396-6EDE-45C5-B1F6-B404F413DF76}">
      <text>
        <r>
          <rPr>
            <b/>
            <sz val="8"/>
            <color indexed="81"/>
            <rFont val="Tahoma"/>
            <family val="2"/>
          </rPr>
          <t>.....:</t>
        </r>
        <r>
          <rPr>
            <sz val="8"/>
            <color indexed="81"/>
            <rFont val="Tahoma"/>
            <family val="2"/>
          </rPr>
          <t xml:space="preserve">
PA 1,20
</t>
        </r>
      </text>
    </comment>
    <comment ref="A42" authorId="0" shapeId="0" xr:uid="{6BDE17D8-B943-4ADD-A902-A0A2FF689F08}">
      <text>
        <r>
          <rPr>
            <b/>
            <sz val="8"/>
            <color indexed="81"/>
            <rFont val="Tahoma"/>
            <family val="2"/>
          </rPr>
          <t>.....:</t>
        </r>
        <r>
          <rPr>
            <sz val="8"/>
            <color indexed="81"/>
            <rFont val="Tahoma"/>
            <family val="2"/>
          </rPr>
          <t xml:space="preserve">
PA 0,79
</t>
        </r>
      </text>
    </comment>
    <comment ref="G42" authorId="0" shapeId="0" xr:uid="{E1A5753A-6D39-41A1-9BD1-6FA163C14BD8}">
      <text>
        <r>
          <rPr>
            <b/>
            <sz val="8"/>
            <color indexed="81"/>
            <rFont val="Tahoma"/>
            <family val="2"/>
          </rPr>
          <t>.....:</t>
        </r>
        <r>
          <rPr>
            <sz val="8"/>
            <color indexed="81"/>
            <rFont val="Tahoma"/>
            <family val="2"/>
          </rPr>
          <t xml:space="preserve">
PA 0,79
</t>
        </r>
      </text>
    </comment>
    <comment ref="M42" authorId="0" shapeId="0" xr:uid="{8C89C319-AD07-4E22-9969-C57EE3B1AC1B}">
      <text>
        <r>
          <rPr>
            <b/>
            <sz val="8"/>
            <color indexed="81"/>
            <rFont val="Tahoma"/>
            <family val="2"/>
          </rPr>
          <t>.....:</t>
        </r>
        <r>
          <rPr>
            <sz val="8"/>
            <color indexed="81"/>
            <rFont val="Tahoma"/>
            <family val="2"/>
          </rPr>
          <t xml:space="preserve">
PA 0,79
</t>
        </r>
      </text>
    </comment>
    <comment ref="A55" authorId="0" shapeId="0" xr:uid="{AE2A0945-3D35-4311-A2E2-7AD59FB3DE33}">
      <text>
        <r>
          <rPr>
            <b/>
            <sz val="8"/>
            <color indexed="81"/>
            <rFont val="Tahoma"/>
            <family val="2"/>
          </rPr>
          <t>.....:</t>
        </r>
        <r>
          <rPr>
            <sz val="8"/>
            <color indexed="81"/>
            <rFont val="Tahoma"/>
            <family val="2"/>
          </rPr>
          <t xml:space="preserve">
PA 0,124</t>
        </r>
      </text>
    </comment>
    <comment ref="G55" authorId="0" shapeId="0" xr:uid="{E2D4B4A8-6C61-422D-96ED-70099A1E7E0B}">
      <text>
        <r>
          <rPr>
            <b/>
            <sz val="8"/>
            <color indexed="81"/>
            <rFont val="Tahoma"/>
            <family val="2"/>
          </rPr>
          <t>.....:</t>
        </r>
        <r>
          <rPr>
            <sz val="8"/>
            <color indexed="81"/>
            <rFont val="Tahoma"/>
            <family val="2"/>
          </rPr>
          <t xml:space="preserve">
PA 0,124</t>
        </r>
      </text>
    </comment>
    <comment ref="M55" authorId="0" shapeId="0" xr:uid="{A39A93B9-FA74-4BA0-BBFB-B319A1E01CBB}">
      <text>
        <r>
          <rPr>
            <b/>
            <sz val="8"/>
            <color indexed="81"/>
            <rFont val="Tahoma"/>
            <family val="2"/>
          </rPr>
          <t>.....:</t>
        </r>
        <r>
          <rPr>
            <sz val="8"/>
            <color indexed="81"/>
            <rFont val="Tahoma"/>
            <family val="2"/>
          </rPr>
          <t xml:space="preserve">
PA 0,124</t>
        </r>
      </text>
    </comment>
    <comment ref="A56" authorId="1" shapeId="0" xr:uid="{9C31659E-BFA5-4D0E-9637-DB6234ED8103}">
      <text>
        <r>
          <rPr>
            <b/>
            <sz val="8"/>
            <color indexed="81"/>
            <rFont val="Tahoma"/>
            <family val="2"/>
          </rPr>
          <t>*:</t>
        </r>
        <r>
          <rPr>
            <sz val="8"/>
            <color indexed="81"/>
            <rFont val="Tahoma"/>
            <family val="2"/>
          </rPr>
          <t xml:space="preserve">
PA 7,62
</t>
        </r>
      </text>
    </comment>
    <comment ref="G56" authorId="1" shapeId="0" xr:uid="{4BDCBFAA-8216-4CA3-BFAE-A250A45EFB75}">
      <text>
        <r>
          <rPr>
            <b/>
            <sz val="8"/>
            <color indexed="81"/>
            <rFont val="Tahoma"/>
            <family val="2"/>
          </rPr>
          <t>*:</t>
        </r>
        <r>
          <rPr>
            <sz val="8"/>
            <color indexed="81"/>
            <rFont val="Tahoma"/>
            <family val="2"/>
          </rPr>
          <t xml:space="preserve">
PA 7,62
</t>
        </r>
      </text>
    </comment>
    <comment ref="M56" authorId="1" shapeId="0" xr:uid="{B97B35F3-1DCC-4D69-B1AE-F90661CEE0DE}">
      <text>
        <r>
          <rPr>
            <b/>
            <sz val="8"/>
            <color indexed="81"/>
            <rFont val="Tahoma"/>
            <family val="2"/>
          </rPr>
          <t>*:</t>
        </r>
        <r>
          <rPr>
            <sz val="8"/>
            <color indexed="81"/>
            <rFont val="Tahoma"/>
            <family val="2"/>
          </rPr>
          <t xml:space="preserve">
PA 7,62
</t>
        </r>
      </text>
    </comment>
    <comment ref="A57" authorId="0" shapeId="0" xr:uid="{45D2C603-0206-4022-B905-0796D435E863}">
      <text>
        <r>
          <rPr>
            <b/>
            <sz val="8"/>
            <color indexed="81"/>
            <rFont val="Tahoma"/>
            <family val="2"/>
          </rPr>
          <t>.....:</t>
        </r>
        <r>
          <rPr>
            <sz val="8"/>
            <color indexed="81"/>
            <rFont val="Tahoma"/>
            <family val="2"/>
          </rPr>
          <t xml:space="preserve">
PA 1,30
</t>
        </r>
      </text>
    </comment>
    <comment ref="G57" authorId="0" shapeId="0" xr:uid="{785FCE2E-A4F9-4C1F-BE4E-9CE7E76E8D6B}">
      <text>
        <r>
          <rPr>
            <b/>
            <sz val="8"/>
            <color indexed="81"/>
            <rFont val="Tahoma"/>
            <family val="2"/>
          </rPr>
          <t>.....:</t>
        </r>
        <r>
          <rPr>
            <sz val="8"/>
            <color indexed="81"/>
            <rFont val="Tahoma"/>
            <family val="2"/>
          </rPr>
          <t xml:space="preserve">
PA 1,30
</t>
        </r>
      </text>
    </comment>
    <comment ref="M57" authorId="0" shapeId="0" xr:uid="{6064A369-1D7E-40EC-900D-4F867CFA7C76}">
      <text>
        <r>
          <rPr>
            <b/>
            <sz val="8"/>
            <color indexed="81"/>
            <rFont val="Tahoma"/>
            <family val="2"/>
          </rPr>
          <t>.....:</t>
        </r>
        <r>
          <rPr>
            <sz val="8"/>
            <color indexed="81"/>
            <rFont val="Tahoma"/>
            <family val="2"/>
          </rPr>
          <t xml:space="preserve">
PA 1,30
</t>
        </r>
      </text>
    </comment>
    <comment ref="A58" authorId="0" shapeId="0" xr:uid="{9F36D785-8619-419C-93EA-E7A90B377740}">
      <text>
        <r>
          <rPr>
            <b/>
            <sz val="8"/>
            <color indexed="81"/>
            <rFont val="Tahoma"/>
            <family val="2"/>
          </rPr>
          <t>.....:</t>
        </r>
        <r>
          <rPr>
            <sz val="8"/>
            <color indexed="81"/>
            <rFont val="Tahoma"/>
            <family val="2"/>
          </rPr>
          <t xml:space="preserve">
PA ,88
</t>
        </r>
      </text>
    </comment>
    <comment ref="G58" authorId="0" shapeId="0" xr:uid="{DF62473F-88A1-430D-9916-5F5D16C8CAEF}">
      <text>
        <r>
          <rPr>
            <b/>
            <sz val="8"/>
            <color indexed="81"/>
            <rFont val="Tahoma"/>
            <family val="2"/>
          </rPr>
          <t>.....:</t>
        </r>
        <r>
          <rPr>
            <sz val="8"/>
            <color indexed="81"/>
            <rFont val="Tahoma"/>
            <family val="2"/>
          </rPr>
          <t xml:space="preserve">
PA ,88
</t>
        </r>
      </text>
    </comment>
    <comment ref="M58" authorId="0" shapeId="0" xr:uid="{FF37C844-3E12-45C3-9089-654FF9DA328C}">
      <text>
        <r>
          <rPr>
            <b/>
            <sz val="8"/>
            <color indexed="81"/>
            <rFont val="Tahoma"/>
            <family val="2"/>
          </rPr>
          <t>.....:</t>
        </r>
        <r>
          <rPr>
            <sz val="8"/>
            <color indexed="81"/>
            <rFont val="Tahoma"/>
            <family val="2"/>
          </rPr>
          <t xml:space="preserve">
PA ,88
</t>
        </r>
      </text>
    </comment>
    <comment ref="A59" authorId="0" shapeId="0" xr:uid="{4643F19C-2ADA-4696-BD8A-4F2755BBFA0C}">
      <text>
        <r>
          <rPr>
            <b/>
            <sz val="8"/>
            <color indexed="81"/>
            <rFont val="Tahoma"/>
            <family val="2"/>
          </rPr>
          <t>.....:</t>
        </r>
        <r>
          <rPr>
            <sz val="8"/>
            <color indexed="81"/>
            <rFont val="Tahoma"/>
            <family val="2"/>
          </rPr>
          <t xml:space="preserve">
PA 1,20
</t>
        </r>
      </text>
    </comment>
    <comment ref="G59" authorId="0" shapeId="0" xr:uid="{0550484B-3791-4FF8-99B6-6E84F02C1CD6}">
      <text>
        <r>
          <rPr>
            <b/>
            <sz val="8"/>
            <color indexed="81"/>
            <rFont val="Tahoma"/>
            <family val="2"/>
          </rPr>
          <t>.....:</t>
        </r>
        <r>
          <rPr>
            <sz val="8"/>
            <color indexed="81"/>
            <rFont val="Tahoma"/>
            <family val="2"/>
          </rPr>
          <t xml:space="preserve">
PA 1,20
</t>
        </r>
      </text>
    </comment>
    <comment ref="M59" authorId="0" shapeId="0" xr:uid="{91E1068B-8327-41A0-B9DD-834D3DFCCAD2}">
      <text>
        <r>
          <rPr>
            <b/>
            <sz val="8"/>
            <color indexed="81"/>
            <rFont val="Tahoma"/>
            <family val="2"/>
          </rPr>
          <t>.....:</t>
        </r>
        <r>
          <rPr>
            <sz val="8"/>
            <color indexed="81"/>
            <rFont val="Tahoma"/>
            <family val="2"/>
          </rPr>
          <t xml:space="preserve">
PA 1,20
</t>
        </r>
      </text>
    </comment>
    <comment ref="A60" authorId="0" shapeId="0" xr:uid="{902D22FB-254C-4111-AC33-3AAAE2E44214}">
      <text>
        <r>
          <rPr>
            <b/>
            <sz val="8"/>
            <color indexed="81"/>
            <rFont val="Tahoma"/>
            <family val="2"/>
          </rPr>
          <t>.....:</t>
        </r>
        <r>
          <rPr>
            <sz val="8"/>
            <color indexed="81"/>
            <rFont val="Tahoma"/>
            <family val="2"/>
          </rPr>
          <t xml:space="preserve">
PA 0,79
</t>
        </r>
      </text>
    </comment>
    <comment ref="G60" authorId="0" shapeId="0" xr:uid="{320E4CE1-66A3-4689-9482-8452846194AE}">
      <text>
        <r>
          <rPr>
            <b/>
            <sz val="8"/>
            <color indexed="81"/>
            <rFont val="Tahoma"/>
            <family val="2"/>
          </rPr>
          <t>.....:</t>
        </r>
        <r>
          <rPr>
            <sz val="8"/>
            <color indexed="81"/>
            <rFont val="Tahoma"/>
            <family val="2"/>
          </rPr>
          <t xml:space="preserve">
PA 0,79
</t>
        </r>
      </text>
    </comment>
    <comment ref="M60" authorId="0" shapeId="0" xr:uid="{CAC6E753-29E7-4834-AC8C-F3F1D2FD9E04}">
      <text>
        <r>
          <rPr>
            <b/>
            <sz val="8"/>
            <color indexed="81"/>
            <rFont val="Tahoma"/>
            <family val="2"/>
          </rPr>
          <t>.....:</t>
        </r>
        <r>
          <rPr>
            <sz val="8"/>
            <color indexed="81"/>
            <rFont val="Tahoma"/>
            <family val="2"/>
          </rPr>
          <t xml:space="preserve">
PA 0,79
</t>
        </r>
      </text>
    </comment>
    <comment ref="M71" authorId="0" shapeId="0" xr:uid="{9430138C-16CA-4FF1-9925-650AC60FF476}">
      <text>
        <r>
          <rPr>
            <b/>
            <sz val="8"/>
            <color indexed="81"/>
            <rFont val="Tahoma"/>
            <family val="2"/>
          </rPr>
          <t>.....:</t>
        </r>
        <r>
          <rPr>
            <sz val="8"/>
            <color indexed="81"/>
            <rFont val="Tahoma"/>
            <family val="2"/>
          </rPr>
          <t xml:space="preserve">
PA 0,124</t>
        </r>
      </text>
    </comment>
    <comment ref="M72" authorId="1" shapeId="0" xr:uid="{8119CE3D-9CC5-4B22-A864-DB26A1A0A501}">
      <text>
        <r>
          <rPr>
            <b/>
            <sz val="8"/>
            <color indexed="81"/>
            <rFont val="Tahoma"/>
            <family val="2"/>
          </rPr>
          <t>*:</t>
        </r>
        <r>
          <rPr>
            <sz val="8"/>
            <color indexed="81"/>
            <rFont val="Tahoma"/>
            <family val="2"/>
          </rPr>
          <t xml:space="preserve">
PA 7,62
</t>
        </r>
      </text>
    </comment>
    <comment ref="M73" authorId="0" shapeId="0" xr:uid="{6F48D36E-7D41-432C-A329-6B511E28772A}">
      <text>
        <r>
          <rPr>
            <b/>
            <sz val="8"/>
            <color indexed="81"/>
            <rFont val="Tahoma"/>
            <family val="2"/>
          </rPr>
          <t>.....:</t>
        </r>
        <r>
          <rPr>
            <sz val="8"/>
            <color indexed="81"/>
            <rFont val="Tahoma"/>
            <family val="2"/>
          </rPr>
          <t xml:space="preserve">
PA 1,30
</t>
        </r>
      </text>
    </comment>
    <comment ref="M74" authorId="0" shapeId="0" xr:uid="{D4E6DFBE-DEB9-4D06-9442-8EC84730758B}">
      <text>
        <r>
          <rPr>
            <b/>
            <sz val="8"/>
            <color indexed="81"/>
            <rFont val="Tahoma"/>
            <family val="2"/>
          </rPr>
          <t>.....:</t>
        </r>
        <r>
          <rPr>
            <sz val="8"/>
            <color indexed="81"/>
            <rFont val="Tahoma"/>
            <family val="2"/>
          </rPr>
          <t xml:space="preserve">
PA ,88
</t>
        </r>
      </text>
    </comment>
    <comment ref="M75" authorId="0" shapeId="0" xr:uid="{BA12AD73-2874-40E4-A0BB-6A9E0A212433}">
      <text>
        <r>
          <rPr>
            <b/>
            <sz val="8"/>
            <color indexed="81"/>
            <rFont val="Tahoma"/>
            <family val="2"/>
          </rPr>
          <t>.....:</t>
        </r>
        <r>
          <rPr>
            <sz val="8"/>
            <color indexed="81"/>
            <rFont val="Tahoma"/>
            <family val="2"/>
          </rPr>
          <t xml:space="preserve">
PA 1,20
</t>
        </r>
      </text>
    </comment>
    <comment ref="M76" authorId="0" shapeId="0" xr:uid="{07AAB92E-D8A5-4FCA-90CE-A885EE2C5856}">
      <text>
        <r>
          <rPr>
            <b/>
            <sz val="8"/>
            <color indexed="81"/>
            <rFont val="Tahoma"/>
            <family val="2"/>
          </rPr>
          <t>.....:</t>
        </r>
        <r>
          <rPr>
            <sz val="8"/>
            <color indexed="81"/>
            <rFont val="Tahoma"/>
            <family val="2"/>
          </rPr>
          <t xml:space="preserve">
PA 0,79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uthor>
    <author>*</author>
  </authors>
  <commentList>
    <comment ref="A8" authorId="0" shapeId="0" xr:uid="{2511D088-840B-4726-BD60-FF99B4D883E8}">
      <text>
        <r>
          <rPr>
            <b/>
            <sz val="8"/>
            <color indexed="81"/>
            <rFont val="Tahoma"/>
            <family val="2"/>
          </rPr>
          <t>.....:</t>
        </r>
        <r>
          <rPr>
            <sz val="8"/>
            <color indexed="81"/>
            <rFont val="Tahoma"/>
            <family val="2"/>
          </rPr>
          <t xml:space="preserve">
PA 0,124</t>
        </r>
      </text>
    </comment>
    <comment ref="A9" authorId="1" shapeId="0" xr:uid="{6022B356-218C-4E6C-9864-69C8634DFCBD}">
      <text>
        <r>
          <rPr>
            <b/>
            <sz val="8"/>
            <color indexed="81"/>
            <rFont val="Tahoma"/>
            <family val="2"/>
          </rPr>
          <t>*:</t>
        </r>
        <r>
          <rPr>
            <sz val="8"/>
            <color indexed="81"/>
            <rFont val="Tahoma"/>
            <family val="2"/>
          </rPr>
          <t xml:space="preserve">
PA 7,62
</t>
        </r>
      </text>
    </comment>
    <comment ref="A10" authorId="0" shapeId="0" xr:uid="{E6A63273-2D0C-4EF0-8EC2-C49FAF4B0F22}">
      <text>
        <r>
          <rPr>
            <b/>
            <sz val="8"/>
            <color indexed="81"/>
            <rFont val="Tahoma"/>
            <family val="2"/>
          </rPr>
          <t>.....:</t>
        </r>
        <r>
          <rPr>
            <sz val="8"/>
            <color indexed="81"/>
            <rFont val="Tahoma"/>
            <family val="2"/>
          </rPr>
          <t xml:space="preserve">
PA 1,30
</t>
        </r>
      </text>
    </comment>
    <comment ref="A11" authorId="0" shapeId="0" xr:uid="{5633E68D-9762-4952-B4A1-26439736C535}">
      <text>
        <r>
          <rPr>
            <b/>
            <sz val="8"/>
            <color indexed="81"/>
            <rFont val="Tahoma"/>
            <family val="2"/>
          </rPr>
          <t>.....:</t>
        </r>
        <r>
          <rPr>
            <sz val="8"/>
            <color indexed="81"/>
            <rFont val="Tahoma"/>
            <family val="2"/>
          </rPr>
          <t xml:space="preserve">
PA ,88
</t>
        </r>
      </text>
    </comment>
    <comment ref="A12" authorId="0" shapeId="0" xr:uid="{6129DAFB-0191-4476-BC1C-713C6579AE9F}">
      <text>
        <r>
          <rPr>
            <b/>
            <sz val="8"/>
            <color indexed="81"/>
            <rFont val="Tahoma"/>
            <family val="2"/>
          </rPr>
          <t>.....:</t>
        </r>
        <r>
          <rPr>
            <sz val="8"/>
            <color indexed="81"/>
            <rFont val="Tahoma"/>
            <family val="2"/>
          </rPr>
          <t xml:space="preserve">
PA 1,20
</t>
        </r>
      </text>
    </comment>
    <comment ref="A13" authorId="0" shapeId="0" xr:uid="{D4FBC47E-67C6-4D8C-BCD2-654A3D9BC8DD}">
      <text>
        <r>
          <rPr>
            <b/>
            <sz val="8"/>
            <color indexed="81"/>
            <rFont val="Tahoma"/>
            <family val="2"/>
          </rPr>
          <t>.....:</t>
        </r>
        <r>
          <rPr>
            <sz val="8"/>
            <color indexed="81"/>
            <rFont val="Tahoma"/>
            <family val="2"/>
          </rPr>
          <t xml:space="preserve">
PA 0,79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uthor>
    <author>*</author>
  </authors>
  <commentList>
    <comment ref="A7" authorId="0" shapeId="0" xr:uid="{4247A2B1-DBB9-4974-AEAC-1AE0DF878B71}">
      <text>
        <r>
          <rPr>
            <b/>
            <sz val="8"/>
            <color indexed="81"/>
            <rFont val="Tahoma"/>
            <family val="2"/>
          </rPr>
          <t>.....:</t>
        </r>
        <r>
          <rPr>
            <sz val="8"/>
            <color indexed="81"/>
            <rFont val="Tahoma"/>
            <family val="2"/>
          </rPr>
          <t xml:space="preserve">
PA 0,124</t>
        </r>
      </text>
    </comment>
    <comment ref="G7" authorId="0" shapeId="0" xr:uid="{8FA5F9A6-8B98-4A70-A2D5-A6670FCB8D19}">
      <text>
        <r>
          <rPr>
            <b/>
            <sz val="8"/>
            <color indexed="81"/>
            <rFont val="Tahoma"/>
            <family val="2"/>
          </rPr>
          <t>.....:</t>
        </r>
        <r>
          <rPr>
            <sz val="8"/>
            <color indexed="81"/>
            <rFont val="Tahoma"/>
            <family val="2"/>
          </rPr>
          <t xml:space="preserve">
PA 0,124</t>
        </r>
      </text>
    </comment>
    <comment ref="M7" authorId="0" shapeId="0" xr:uid="{964DBF99-2B3B-4A91-BCB7-CB73FAC233D6}">
      <text>
        <r>
          <rPr>
            <b/>
            <sz val="8"/>
            <color indexed="81"/>
            <rFont val="Tahoma"/>
            <family val="2"/>
          </rPr>
          <t>.....:</t>
        </r>
        <r>
          <rPr>
            <sz val="8"/>
            <color indexed="81"/>
            <rFont val="Tahoma"/>
            <family val="2"/>
          </rPr>
          <t xml:space="preserve">
PA 0,124</t>
        </r>
      </text>
    </comment>
    <comment ref="A8" authorId="1" shapeId="0" xr:uid="{94FB49CA-011D-4C84-8C1F-00BEF77F8BA9}">
      <text>
        <r>
          <rPr>
            <b/>
            <sz val="8"/>
            <color indexed="81"/>
            <rFont val="Tahoma"/>
            <family val="2"/>
          </rPr>
          <t>*:</t>
        </r>
        <r>
          <rPr>
            <sz val="8"/>
            <color indexed="81"/>
            <rFont val="Tahoma"/>
            <family val="2"/>
          </rPr>
          <t xml:space="preserve">
PA 7,62
</t>
        </r>
      </text>
    </comment>
    <comment ref="G8" authorId="1" shapeId="0" xr:uid="{B18A8C97-2F16-469A-9F47-F3E3F3F13BCF}">
      <text>
        <r>
          <rPr>
            <b/>
            <sz val="8"/>
            <color indexed="81"/>
            <rFont val="Tahoma"/>
            <family val="2"/>
          </rPr>
          <t>*:</t>
        </r>
        <r>
          <rPr>
            <sz val="8"/>
            <color indexed="81"/>
            <rFont val="Tahoma"/>
            <family val="2"/>
          </rPr>
          <t xml:space="preserve">
PA 7,62
</t>
        </r>
      </text>
    </comment>
    <comment ref="M8" authorId="1" shapeId="0" xr:uid="{79BB7773-A64C-4E6B-BC22-0BD294F74F23}">
      <text>
        <r>
          <rPr>
            <b/>
            <sz val="8"/>
            <color indexed="81"/>
            <rFont val="Tahoma"/>
            <family val="2"/>
          </rPr>
          <t>*:</t>
        </r>
        <r>
          <rPr>
            <sz val="8"/>
            <color indexed="81"/>
            <rFont val="Tahoma"/>
            <family val="2"/>
          </rPr>
          <t xml:space="preserve">
PA 7,62
</t>
        </r>
      </text>
    </comment>
    <comment ref="A9" authorId="0" shapeId="0" xr:uid="{A04816A4-B35B-4AA0-B72D-5B02A0C5BB6C}">
      <text>
        <r>
          <rPr>
            <b/>
            <sz val="8"/>
            <color indexed="81"/>
            <rFont val="Tahoma"/>
            <family val="2"/>
          </rPr>
          <t>.....:</t>
        </r>
        <r>
          <rPr>
            <sz val="8"/>
            <color indexed="81"/>
            <rFont val="Tahoma"/>
            <family val="2"/>
          </rPr>
          <t xml:space="preserve">
PA 1,30
</t>
        </r>
      </text>
    </comment>
    <comment ref="G9" authorId="0" shapeId="0" xr:uid="{74796731-0B21-4E90-A8B2-25DFA92FEE40}">
      <text>
        <r>
          <rPr>
            <b/>
            <sz val="8"/>
            <color indexed="81"/>
            <rFont val="Tahoma"/>
            <family val="2"/>
          </rPr>
          <t>.....:</t>
        </r>
        <r>
          <rPr>
            <sz val="8"/>
            <color indexed="81"/>
            <rFont val="Tahoma"/>
            <family val="2"/>
          </rPr>
          <t xml:space="preserve">
PA 1,30
</t>
        </r>
      </text>
    </comment>
    <comment ref="M9" authorId="0" shapeId="0" xr:uid="{BF48F78C-7A4E-43EF-B82A-BF3BD10A2144}">
      <text>
        <r>
          <rPr>
            <b/>
            <sz val="8"/>
            <color indexed="81"/>
            <rFont val="Tahoma"/>
            <family val="2"/>
          </rPr>
          <t>.....:</t>
        </r>
        <r>
          <rPr>
            <sz val="8"/>
            <color indexed="81"/>
            <rFont val="Tahoma"/>
            <family val="2"/>
          </rPr>
          <t xml:space="preserve">
PA 1,30
</t>
        </r>
      </text>
    </comment>
    <comment ref="A10" authorId="0" shapeId="0" xr:uid="{100B6739-7730-418C-B24D-03ECFA602982}">
      <text>
        <r>
          <rPr>
            <b/>
            <sz val="8"/>
            <color indexed="81"/>
            <rFont val="Tahoma"/>
            <family val="2"/>
          </rPr>
          <t>.....:</t>
        </r>
        <r>
          <rPr>
            <sz val="8"/>
            <color indexed="81"/>
            <rFont val="Tahoma"/>
            <family val="2"/>
          </rPr>
          <t xml:space="preserve">
PA ,88
</t>
        </r>
      </text>
    </comment>
    <comment ref="G10" authorId="0" shapeId="0" xr:uid="{D4D16182-D578-4D9C-83A5-D7415507FB79}">
      <text>
        <r>
          <rPr>
            <b/>
            <sz val="8"/>
            <color indexed="81"/>
            <rFont val="Tahoma"/>
            <family val="2"/>
          </rPr>
          <t>.....:</t>
        </r>
        <r>
          <rPr>
            <sz val="8"/>
            <color indexed="81"/>
            <rFont val="Tahoma"/>
            <family val="2"/>
          </rPr>
          <t xml:space="preserve">
PA ,88
</t>
        </r>
      </text>
    </comment>
    <comment ref="M10" authorId="0" shapeId="0" xr:uid="{AD5C6669-49D4-4191-A4F2-682519F6FE71}">
      <text>
        <r>
          <rPr>
            <b/>
            <sz val="8"/>
            <color indexed="81"/>
            <rFont val="Tahoma"/>
            <family val="2"/>
          </rPr>
          <t>.....:</t>
        </r>
        <r>
          <rPr>
            <sz val="8"/>
            <color indexed="81"/>
            <rFont val="Tahoma"/>
            <family val="2"/>
          </rPr>
          <t xml:space="preserve">
PA ,88
</t>
        </r>
      </text>
    </comment>
    <comment ref="A11" authorId="0" shapeId="0" xr:uid="{A473D9E4-53EC-4E1B-B9E3-A60F22CD6DDA}">
      <text>
        <r>
          <rPr>
            <b/>
            <sz val="8"/>
            <color indexed="81"/>
            <rFont val="Tahoma"/>
            <family val="2"/>
          </rPr>
          <t>.....:</t>
        </r>
        <r>
          <rPr>
            <sz val="8"/>
            <color indexed="81"/>
            <rFont val="Tahoma"/>
            <family val="2"/>
          </rPr>
          <t xml:space="preserve">
PA 1,20
</t>
        </r>
      </text>
    </comment>
    <comment ref="G11" authorId="0" shapeId="0" xr:uid="{BEAD9CA7-EC4A-4935-A303-225275EDDC4C}">
      <text>
        <r>
          <rPr>
            <b/>
            <sz val="8"/>
            <color indexed="81"/>
            <rFont val="Tahoma"/>
            <family val="2"/>
          </rPr>
          <t>.....:</t>
        </r>
        <r>
          <rPr>
            <sz val="8"/>
            <color indexed="81"/>
            <rFont val="Tahoma"/>
            <family val="2"/>
          </rPr>
          <t xml:space="preserve">
PA 1,20
</t>
        </r>
      </text>
    </comment>
    <comment ref="M11" authorId="0" shapeId="0" xr:uid="{8E77F3AF-4233-414D-923F-199B112DD2FC}">
      <text>
        <r>
          <rPr>
            <b/>
            <sz val="8"/>
            <color indexed="81"/>
            <rFont val="Tahoma"/>
            <family val="2"/>
          </rPr>
          <t>.....:</t>
        </r>
        <r>
          <rPr>
            <sz val="8"/>
            <color indexed="81"/>
            <rFont val="Tahoma"/>
            <family val="2"/>
          </rPr>
          <t xml:space="preserve">
PA 1,20
</t>
        </r>
      </text>
    </comment>
    <comment ref="A12" authorId="0" shapeId="0" xr:uid="{8569BFF0-4525-4DE3-99C7-151B3D56E8B6}">
      <text>
        <r>
          <rPr>
            <b/>
            <sz val="8"/>
            <color indexed="81"/>
            <rFont val="Tahoma"/>
            <family val="2"/>
          </rPr>
          <t>.....:</t>
        </r>
        <r>
          <rPr>
            <sz val="8"/>
            <color indexed="81"/>
            <rFont val="Tahoma"/>
            <family val="2"/>
          </rPr>
          <t xml:space="preserve">
PA 0,79
</t>
        </r>
      </text>
    </comment>
    <comment ref="G12" authorId="0" shapeId="0" xr:uid="{688E9120-CC8E-4579-A8BE-D9586B0D81B0}">
      <text>
        <r>
          <rPr>
            <b/>
            <sz val="8"/>
            <color indexed="81"/>
            <rFont val="Tahoma"/>
            <family val="2"/>
          </rPr>
          <t>.....:</t>
        </r>
        <r>
          <rPr>
            <sz val="8"/>
            <color indexed="81"/>
            <rFont val="Tahoma"/>
            <family val="2"/>
          </rPr>
          <t xml:space="preserve">
PA 0,79
</t>
        </r>
      </text>
    </comment>
    <comment ref="M12" authorId="0" shapeId="0" xr:uid="{70567157-7BD1-4985-92C4-B6048E05A1A2}">
      <text>
        <r>
          <rPr>
            <b/>
            <sz val="8"/>
            <color indexed="81"/>
            <rFont val="Tahoma"/>
            <family val="2"/>
          </rPr>
          <t>.....:</t>
        </r>
        <r>
          <rPr>
            <sz val="8"/>
            <color indexed="81"/>
            <rFont val="Tahoma"/>
            <family val="2"/>
          </rPr>
          <t xml:space="preserve">
PA 0,79
</t>
        </r>
      </text>
    </comment>
    <comment ref="A22" authorId="0" shapeId="0" xr:uid="{A304CE8A-418F-4414-8AB1-EA6CA97379A7}">
      <text>
        <r>
          <rPr>
            <b/>
            <sz val="8"/>
            <color indexed="81"/>
            <rFont val="Tahoma"/>
            <family val="2"/>
          </rPr>
          <t>.....:</t>
        </r>
        <r>
          <rPr>
            <sz val="8"/>
            <color indexed="81"/>
            <rFont val="Tahoma"/>
            <family val="2"/>
          </rPr>
          <t xml:space="preserve">
PA 0,124</t>
        </r>
      </text>
    </comment>
    <comment ref="G22" authorId="0" shapeId="0" xr:uid="{662E2D8F-B76E-4C15-AD6D-54034FCB4AC8}">
      <text>
        <r>
          <rPr>
            <b/>
            <sz val="8"/>
            <color indexed="81"/>
            <rFont val="Tahoma"/>
            <family val="2"/>
          </rPr>
          <t>.....:</t>
        </r>
        <r>
          <rPr>
            <sz val="8"/>
            <color indexed="81"/>
            <rFont val="Tahoma"/>
            <family val="2"/>
          </rPr>
          <t xml:space="preserve">
PA 0,124</t>
        </r>
      </text>
    </comment>
    <comment ref="A23" authorId="1" shapeId="0" xr:uid="{BD9AD53D-1AA6-4F6E-83B7-A4C196892E4F}">
      <text>
        <r>
          <rPr>
            <b/>
            <sz val="8"/>
            <color indexed="81"/>
            <rFont val="Tahoma"/>
            <family val="2"/>
          </rPr>
          <t>*:</t>
        </r>
        <r>
          <rPr>
            <sz val="8"/>
            <color indexed="81"/>
            <rFont val="Tahoma"/>
            <family val="2"/>
          </rPr>
          <t xml:space="preserve">
PA 7,62
</t>
        </r>
      </text>
    </comment>
    <comment ref="G23" authorId="1" shapeId="0" xr:uid="{EA2DD741-385A-4BBD-987F-F38D27681675}">
      <text>
        <r>
          <rPr>
            <b/>
            <sz val="8"/>
            <color indexed="81"/>
            <rFont val="Tahoma"/>
            <family val="2"/>
          </rPr>
          <t>*:</t>
        </r>
        <r>
          <rPr>
            <sz val="8"/>
            <color indexed="81"/>
            <rFont val="Tahoma"/>
            <family val="2"/>
          </rPr>
          <t xml:space="preserve">
PA 7,62
</t>
        </r>
      </text>
    </comment>
    <comment ref="A24" authorId="0" shapeId="0" xr:uid="{D6A57A20-40F2-4439-87FD-BDDB463896EB}">
      <text>
        <r>
          <rPr>
            <b/>
            <sz val="8"/>
            <color indexed="81"/>
            <rFont val="Tahoma"/>
            <family val="2"/>
          </rPr>
          <t>.....:</t>
        </r>
        <r>
          <rPr>
            <sz val="8"/>
            <color indexed="81"/>
            <rFont val="Tahoma"/>
            <family val="2"/>
          </rPr>
          <t xml:space="preserve">
PA 1,30
</t>
        </r>
      </text>
    </comment>
    <comment ref="G24" authorId="0" shapeId="0" xr:uid="{166550AD-733A-4437-A3F3-399BF43AC948}">
      <text>
        <r>
          <rPr>
            <b/>
            <sz val="8"/>
            <color indexed="81"/>
            <rFont val="Tahoma"/>
            <family val="2"/>
          </rPr>
          <t>.....:</t>
        </r>
        <r>
          <rPr>
            <sz val="8"/>
            <color indexed="81"/>
            <rFont val="Tahoma"/>
            <family val="2"/>
          </rPr>
          <t xml:space="preserve">
PA 1,30
</t>
        </r>
      </text>
    </comment>
    <comment ref="A25" authorId="0" shapeId="0" xr:uid="{33CE8BAC-DD6A-4A1E-818B-7A4739D80615}">
      <text>
        <r>
          <rPr>
            <b/>
            <sz val="8"/>
            <color indexed="81"/>
            <rFont val="Tahoma"/>
            <family val="2"/>
          </rPr>
          <t>.....:</t>
        </r>
        <r>
          <rPr>
            <sz val="8"/>
            <color indexed="81"/>
            <rFont val="Tahoma"/>
            <family val="2"/>
          </rPr>
          <t xml:space="preserve">
PA ,88
</t>
        </r>
      </text>
    </comment>
    <comment ref="G25" authorId="0" shapeId="0" xr:uid="{1FB5CB5D-F2A4-4D11-8052-627A8C1D0907}">
      <text>
        <r>
          <rPr>
            <b/>
            <sz val="8"/>
            <color indexed="81"/>
            <rFont val="Tahoma"/>
            <family val="2"/>
          </rPr>
          <t>.....:</t>
        </r>
        <r>
          <rPr>
            <sz val="8"/>
            <color indexed="81"/>
            <rFont val="Tahoma"/>
            <family val="2"/>
          </rPr>
          <t xml:space="preserve">
PA ,88
</t>
        </r>
      </text>
    </comment>
    <comment ref="A26" authorId="0" shapeId="0" xr:uid="{6E609515-CD0A-45AD-BD85-7A5568D3621E}">
      <text>
        <r>
          <rPr>
            <b/>
            <sz val="8"/>
            <color indexed="81"/>
            <rFont val="Tahoma"/>
            <family val="2"/>
          </rPr>
          <t>.....:</t>
        </r>
        <r>
          <rPr>
            <sz val="8"/>
            <color indexed="81"/>
            <rFont val="Tahoma"/>
            <family val="2"/>
          </rPr>
          <t xml:space="preserve">
PA 1,20
</t>
        </r>
      </text>
    </comment>
    <comment ref="G26" authorId="0" shapeId="0" xr:uid="{C5D5D521-23EA-4268-BB44-AA22CBC29577}">
      <text>
        <r>
          <rPr>
            <b/>
            <sz val="8"/>
            <color indexed="81"/>
            <rFont val="Tahoma"/>
            <family val="2"/>
          </rPr>
          <t>.....:</t>
        </r>
        <r>
          <rPr>
            <sz val="8"/>
            <color indexed="81"/>
            <rFont val="Tahoma"/>
            <family val="2"/>
          </rPr>
          <t xml:space="preserve">
PA 1,20
</t>
        </r>
      </text>
    </comment>
    <comment ref="A27" authorId="0" shapeId="0" xr:uid="{94C49E6E-FAEF-4A41-A559-76C893BB2615}">
      <text>
        <r>
          <rPr>
            <b/>
            <sz val="8"/>
            <color indexed="81"/>
            <rFont val="Tahoma"/>
            <family val="2"/>
          </rPr>
          <t>.....:</t>
        </r>
        <r>
          <rPr>
            <sz val="8"/>
            <color indexed="81"/>
            <rFont val="Tahoma"/>
            <family val="2"/>
          </rPr>
          <t xml:space="preserve">
PA 0,79
</t>
        </r>
      </text>
    </comment>
    <comment ref="G27" authorId="0" shapeId="0" xr:uid="{B207F6F2-B56D-4ADC-8070-FFBEE982C879}">
      <text>
        <r>
          <rPr>
            <b/>
            <sz val="8"/>
            <color indexed="81"/>
            <rFont val="Tahoma"/>
            <family val="2"/>
          </rPr>
          <t>.....:</t>
        </r>
        <r>
          <rPr>
            <sz val="8"/>
            <color indexed="81"/>
            <rFont val="Tahoma"/>
            <family val="2"/>
          </rPr>
          <t xml:space="preserve">
PA 0,79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uthor>
    <author>*</author>
  </authors>
  <commentList>
    <comment ref="A6" authorId="0" shapeId="0" xr:uid="{169F3154-90FA-4EB4-BEF0-2DB93772C50C}">
      <text>
        <r>
          <rPr>
            <b/>
            <sz val="8"/>
            <color indexed="81"/>
            <rFont val="Tahoma"/>
            <family val="2"/>
          </rPr>
          <t>.....:</t>
        </r>
        <r>
          <rPr>
            <sz val="8"/>
            <color indexed="81"/>
            <rFont val="Tahoma"/>
            <family val="2"/>
          </rPr>
          <t xml:space="preserve">
PA 0,124</t>
        </r>
      </text>
    </comment>
    <comment ref="I6" authorId="0" shapeId="0" xr:uid="{215F39DC-328D-41DE-A358-88ECEACA7F91}">
      <text>
        <r>
          <rPr>
            <b/>
            <sz val="8"/>
            <color indexed="81"/>
            <rFont val="Tahoma"/>
            <family val="2"/>
          </rPr>
          <t>.....:</t>
        </r>
        <r>
          <rPr>
            <sz val="8"/>
            <color indexed="81"/>
            <rFont val="Tahoma"/>
            <family val="2"/>
          </rPr>
          <t xml:space="preserve">
PA 0,124</t>
        </r>
      </text>
    </comment>
    <comment ref="A7" authorId="1" shapeId="0" xr:uid="{A944798A-06EF-41EB-9536-269256C06F32}">
      <text>
        <r>
          <rPr>
            <b/>
            <sz val="8"/>
            <color indexed="81"/>
            <rFont val="Tahoma"/>
            <family val="2"/>
          </rPr>
          <t>*:</t>
        </r>
        <r>
          <rPr>
            <sz val="8"/>
            <color indexed="81"/>
            <rFont val="Tahoma"/>
            <family val="2"/>
          </rPr>
          <t xml:space="preserve">
PA 7,62
</t>
        </r>
      </text>
    </comment>
    <comment ref="I7" authorId="1" shapeId="0" xr:uid="{19A2EE95-B226-469B-87B2-B183CE42C1AB}">
      <text>
        <r>
          <rPr>
            <b/>
            <sz val="8"/>
            <color indexed="81"/>
            <rFont val="Tahoma"/>
            <family val="2"/>
          </rPr>
          <t>*:</t>
        </r>
        <r>
          <rPr>
            <sz val="8"/>
            <color indexed="81"/>
            <rFont val="Tahoma"/>
            <family val="2"/>
          </rPr>
          <t xml:space="preserve">
PA 7,62
</t>
        </r>
      </text>
    </comment>
    <comment ref="O7" authorId="0" shapeId="0" xr:uid="{5B7EB8A9-3465-412D-BE91-94E7D520110F}">
      <text>
        <r>
          <rPr>
            <b/>
            <sz val="8"/>
            <color indexed="81"/>
            <rFont val="Tahoma"/>
            <family val="2"/>
          </rPr>
          <t>.....:</t>
        </r>
        <r>
          <rPr>
            <sz val="8"/>
            <color indexed="81"/>
            <rFont val="Tahoma"/>
            <family val="2"/>
          </rPr>
          <t xml:space="preserve">
PA 0,124</t>
        </r>
      </text>
    </comment>
    <comment ref="A8" authorId="0" shapeId="0" xr:uid="{67899983-E54F-40FC-B12F-92CB283F58A5}">
      <text>
        <r>
          <rPr>
            <b/>
            <sz val="8"/>
            <color indexed="81"/>
            <rFont val="Tahoma"/>
            <family val="2"/>
          </rPr>
          <t>.....:</t>
        </r>
        <r>
          <rPr>
            <sz val="8"/>
            <color indexed="81"/>
            <rFont val="Tahoma"/>
            <family val="2"/>
          </rPr>
          <t xml:space="preserve">
PA 1,30
</t>
        </r>
      </text>
    </comment>
    <comment ref="I8" authorId="0" shapeId="0" xr:uid="{26AF4535-5DC2-416C-B4F1-697D2A9C1A93}">
      <text>
        <r>
          <rPr>
            <b/>
            <sz val="8"/>
            <color indexed="81"/>
            <rFont val="Tahoma"/>
            <family val="2"/>
          </rPr>
          <t>.....:</t>
        </r>
        <r>
          <rPr>
            <sz val="8"/>
            <color indexed="81"/>
            <rFont val="Tahoma"/>
            <family val="2"/>
          </rPr>
          <t xml:space="preserve">
PA 1,30
</t>
        </r>
      </text>
    </comment>
    <comment ref="O8" authorId="1" shapeId="0" xr:uid="{3674F782-12F5-4B61-9DCA-844B789C1C36}">
      <text>
        <r>
          <rPr>
            <b/>
            <sz val="8"/>
            <color indexed="81"/>
            <rFont val="Tahoma"/>
            <family val="2"/>
          </rPr>
          <t>*:</t>
        </r>
        <r>
          <rPr>
            <sz val="8"/>
            <color indexed="81"/>
            <rFont val="Tahoma"/>
            <family val="2"/>
          </rPr>
          <t xml:space="preserve">
PA 7,62
</t>
        </r>
      </text>
    </comment>
    <comment ref="A9" authorId="0" shapeId="0" xr:uid="{9E7E9D5C-5FAD-4A91-9D8F-3E6BC9A9F1AE}">
      <text>
        <r>
          <rPr>
            <b/>
            <sz val="8"/>
            <color indexed="81"/>
            <rFont val="Tahoma"/>
            <family val="2"/>
          </rPr>
          <t>.....:</t>
        </r>
        <r>
          <rPr>
            <sz val="8"/>
            <color indexed="81"/>
            <rFont val="Tahoma"/>
            <family val="2"/>
          </rPr>
          <t xml:space="preserve">
PA ,88
</t>
        </r>
      </text>
    </comment>
    <comment ref="I9" authorId="0" shapeId="0" xr:uid="{D4B876E2-F415-4D34-959C-E9098B7556B5}">
      <text>
        <r>
          <rPr>
            <b/>
            <sz val="8"/>
            <color indexed="81"/>
            <rFont val="Tahoma"/>
            <family val="2"/>
          </rPr>
          <t>.....:</t>
        </r>
        <r>
          <rPr>
            <sz val="8"/>
            <color indexed="81"/>
            <rFont val="Tahoma"/>
            <family val="2"/>
          </rPr>
          <t xml:space="preserve">
PA ,88
</t>
        </r>
      </text>
    </comment>
    <comment ref="O9" authorId="0" shapeId="0" xr:uid="{E35103C1-8EF7-424A-BE8B-6C722394B0FB}">
      <text>
        <r>
          <rPr>
            <b/>
            <sz val="8"/>
            <color indexed="81"/>
            <rFont val="Tahoma"/>
            <family val="2"/>
          </rPr>
          <t>.....:</t>
        </r>
        <r>
          <rPr>
            <sz val="8"/>
            <color indexed="81"/>
            <rFont val="Tahoma"/>
            <family val="2"/>
          </rPr>
          <t xml:space="preserve">
PA 1,30
</t>
        </r>
      </text>
    </comment>
    <comment ref="A10" authorId="0" shapeId="0" xr:uid="{15103540-C31B-4E0F-AC25-4DFDA6DE485B}">
      <text>
        <r>
          <rPr>
            <b/>
            <sz val="8"/>
            <color indexed="81"/>
            <rFont val="Tahoma"/>
            <family val="2"/>
          </rPr>
          <t>.....:</t>
        </r>
        <r>
          <rPr>
            <sz val="8"/>
            <color indexed="81"/>
            <rFont val="Tahoma"/>
            <family val="2"/>
          </rPr>
          <t xml:space="preserve">
PA 1,20
</t>
        </r>
      </text>
    </comment>
    <comment ref="I10" authorId="0" shapeId="0" xr:uid="{88406CEE-CCB3-4AC8-9208-1416FE16955A}">
      <text>
        <r>
          <rPr>
            <b/>
            <sz val="8"/>
            <color indexed="81"/>
            <rFont val="Tahoma"/>
            <family val="2"/>
          </rPr>
          <t>.....:</t>
        </r>
        <r>
          <rPr>
            <sz val="8"/>
            <color indexed="81"/>
            <rFont val="Tahoma"/>
            <family val="2"/>
          </rPr>
          <t xml:space="preserve">
PA 1,20
</t>
        </r>
      </text>
    </comment>
    <comment ref="O10" authorId="0" shapeId="0" xr:uid="{2602CFF8-1EA5-4B74-B144-F3969CC3EB0E}">
      <text>
        <r>
          <rPr>
            <b/>
            <sz val="8"/>
            <color indexed="81"/>
            <rFont val="Tahoma"/>
            <family val="2"/>
          </rPr>
          <t>.....:</t>
        </r>
        <r>
          <rPr>
            <sz val="8"/>
            <color indexed="81"/>
            <rFont val="Tahoma"/>
            <family val="2"/>
          </rPr>
          <t xml:space="preserve">
PA ,88
</t>
        </r>
      </text>
    </comment>
    <comment ref="A11" authorId="0" shapeId="0" xr:uid="{D0137706-52D6-4B8A-A166-4B61F24C798E}">
      <text>
        <r>
          <rPr>
            <b/>
            <sz val="8"/>
            <color indexed="81"/>
            <rFont val="Tahoma"/>
            <family val="2"/>
          </rPr>
          <t>.....:</t>
        </r>
        <r>
          <rPr>
            <sz val="8"/>
            <color indexed="81"/>
            <rFont val="Tahoma"/>
            <family val="2"/>
          </rPr>
          <t xml:space="preserve">
PA 0,79
</t>
        </r>
      </text>
    </comment>
    <comment ref="O11" authorId="0" shapeId="0" xr:uid="{C391C101-9984-4CEA-B01E-15EE8836BBB7}">
      <text>
        <r>
          <rPr>
            <b/>
            <sz val="8"/>
            <color indexed="81"/>
            <rFont val="Tahoma"/>
            <family val="2"/>
          </rPr>
          <t>.....:</t>
        </r>
        <r>
          <rPr>
            <sz val="8"/>
            <color indexed="81"/>
            <rFont val="Tahoma"/>
            <family val="2"/>
          </rPr>
          <t xml:space="preserve">
PA 1,20
</t>
        </r>
      </text>
    </comment>
    <comment ref="I12" authorId="0" shapeId="0" xr:uid="{56F2FD23-8854-4614-BA7E-8B0E6A66EA54}">
      <text>
        <r>
          <rPr>
            <b/>
            <sz val="8"/>
            <color indexed="81"/>
            <rFont val="Tahoma"/>
            <family val="2"/>
          </rPr>
          <t>.....:</t>
        </r>
        <r>
          <rPr>
            <sz val="8"/>
            <color indexed="81"/>
            <rFont val="Tahoma"/>
            <family val="2"/>
          </rPr>
          <t xml:space="preserve">
PA 0,79
</t>
        </r>
      </text>
    </comment>
    <comment ref="O12" authorId="0" shapeId="0" xr:uid="{790905BA-C21E-49FF-A132-597DEAE1DFDF}">
      <text>
        <r>
          <rPr>
            <b/>
            <sz val="8"/>
            <color indexed="81"/>
            <rFont val="Tahoma"/>
            <family val="2"/>
          </rPr>
          <t>.....:</t>
        </r>
        <r>
          <rPr>
            <sz val="8"/>
            <color indexed="81"/>
            <rFont val="Tahoma"/>
            <family val="2"/>
          </rPr>
          <t xml:space="preserve">
PA 0,79
</t>
        </r>
      </text>
    </comment>
    <comment ref="A21" authorId="0" shapeId="0" xr:uid="{2BBC800F-67C3-495C-BFAE-50976A57972B}">
      <text>
        <r>
          <rPr>
            <b/>
            <sz val="8"/>
            <color indexed="81"/>
            <rFont val="Tahoma"/>
            <family val="2"/>
          </rPr>
          <t>.....:</t>
        </r>
        <r>
          <rPr>
            <sz val="8"/>
            <color indexed="81"/>
            <rFont val="Tahoma"/>
            <family val="2"/>
          </rPr>
          <t xml:space="preserve">
PA 0,124</t>
        </r>
      </text>
    </comment>
    <comment ref="I21" authorId="0" shapeId="0" xr:uid="{55CFBA26-7F1C-4882-9017-46DA69AA703A}">
      <text>
        <r>
          <rPr>
            <b/>
            <sz val="8"/>
            <color indexed="81"/>
            <rFont val="Tahoma"/>
            <family val="2"/>
          </rPr>
          <t>.....:</t>
        </r>
        <r>
          <rPr>
            <sz val="8"/>
            <color indexed="81"/>
            <rFont val="Tahoma"/>
            <family val="2"/>
          </rPr>
          <t xml:space="preserve">
PA 0,124</t>
        </r>
      </text>
    </comment>
    <comment ref="O21" authorId="0" shapeId="0" xr:uid="{7C03942F-091F-44BF-8823-8A6543795967}">
      <text>
        <r>
          <rPr>
            <b/>
            <sz val="8"/>
            <color indexed="81"/>
            <rFont val="Tahoma"/>
            <family val="2"/>
          </rPr>
          <t>.....:</t>
        </r>
        <r>
          <rPr>
            <sz val="8"/>
            <color indexed="81"/>
            <rFont val="Tahoma"/>
            <family val="2"/>
          </rPr>
          <t xml:space="preserve">
PA 0,124</t>
        </r>
      </text>
    </comment>
    <comment ref="A22" authorId="1" shapeId="0" xr:uid="{B5C8EA7C-1E68-4A4B-B145-D810DAD6D6BB}">
      <text>
        <r>
          <rPr>
            <b/>
            <sz val="8"/>
            <color indexed="81"/>
            <rFont val="Tahoma"/>
            <family val="2"/>
          </rPr>
          <t>*:</t>
        </r>
        <r>
          <rPr>
            <sz val="8"/>
            <color indexed="81"/>
            <rFont val="Tahoma"/>
            <family val="2"/>
          </rPr>
          <t xml:space="preserve">
PA 7,62
</t>
        </r>
      </text>
    </comment>
    <comment ref="I22" authorId="1" shapeId="0" xr:uid="{3F3AAD09-3695-49CE-9E82-CCF569706BFF}">
      <text>
        <r>
          <rPr>
            <b/>
            <sz val="8"/>
            <color indexed="81"/>
            <rFont val="Tahoma"/>
            <family val="2"/>
          </rPr>
          <t>*:</t>
        </r>
        <r>
          <rPr>
            <sz val="8"/>
            <color indexed="81"/>
            <rFont val="Tahoma"/>
            <family val="2"/>
          </rPr>
          <t xml:space="preserve">
PA 7,62
</t>
        </r>
      </text>
    </comment>
    <comment ref="O22" authorId="1" shapeId="0" xr:uid="{B36DCCF0-BC06-4C66-B362-399663C85FE8}">
      <text>
        <r>
          <rPr>
            <b/>
            <sz val="8"/>
            <color indexed="81"/>
            <rFont val="Tahoma"/>
            <family val="2"/>
          </rPr>
          <t>*:</t>
        </r>
        <r>
          <rPr>
            <sz val="8"/>
            <color indexed="81"/>
            <rFont val="Tahoma"/>
            <family val="2"/>
          </rPr>
          <t xml:space="preserve">
PA 7,62
</t>
        </r>
      </text>
    </comment>
    <comment ref="A23" authorId="0" shapeId="0" xr:uid="{5B5678E5-1FE9-41D1-870A-56680EEBFA04}">
      <text>
        <r>
          <rPr>
            <b/>
            <sz val="8"/>
            <color indexed="81"/>
            <rFont val="Tahoma"/>
            <family val="2"/>
          </rPr>
          <t>.....:</t>
        </r>
        <r>
          <rPr>
            <sz val="8"/>
            <color indexed="81"/>
            <rFont val="Tahoma"/>
            <family val="2"/>
          </rPr>
          <t xml:space="preserve">
PA 1,30
</t>
        </r>
      </text>
    </comment>
    <comment ref="I23" authorId="0" shapeId="0" xr:uid="{479A4D6C-ED17-4B11-AC02-9AA51A273A81}">
      <text>
        <r>
          <rPr>
            <b/>
            <sz val="8"/>
            <color indexed="81"/>
            <rFont val="Tahoma"/>
            <family val="2"/>
          </rPr>
          <t>.....:</t>
        </r>
        <r>
          <rPr>
            <sz val="8"/>
            <color indexed="81"/>
            <rFont val="Tahoma"/>
            <family val="2"/>
          </rPr>
          <t xml:space="preserve">
PA 1,30
</t>
        </r>
      </text>
    </comment>
    <comment ref="O23" authorId="0" shapeId="0" xr:uid="{A1CE850C-6CCA-4A94-8022-7AC249CF35A4}">
      <text>
        <r>
          <rPr>
            <b/>
            <sz val="8"/>
            <color indexed="81"/>
            <rFont val="Tahoma"/>
            <family val="2"/>
          </rPr>
          <t>.....:</t>
        </r>
        <r>
          <rPr>
            <sz val="8"/>
            <color indexed="81"/>
            <rFont val="Tahoma"/>
            <family val="2"/>
          </rPr>
          <t xml:space="preserve">
PA 1,30
</t>
        </r>
      </text>
    </comment>
    <comment ref="A24" authorId="0" shapeId="0" xr:uid="{D95A3ACC-DD93-44DB-A4B9-9FA8BEE9BF14}">
      <text>
        <r>
          <rPr>
            <b/>
            <sz val="8"/>
            <color indexed="81"/>
            <rFont val="Tahoma"/>
            <family val="2"/>
          </rPr>
          <t>.....:</t>
        </r>
        <r>
          <rPr>
            <sz val="8"/>
            <color indexed="81"/>
            <rFont val="Tahoma"/>
            <family val="2"/>
          </rPr>
          <t xml:space="preserve">
PA ,88
</t>
        </r>
      </text>
    </comment>
    <comment ref="I24" authorId="0" shapeId="0" xr:uid="{6DC53D0A-3438-4EBF-87C7-6A07ECB61B40}">
      <text>
        <r>
          <rPr>
            <b/>
            <sz val="8"/>
            <color indexed="81"/>
            <rFont val="Tahoma"/>
            <family val="2"/>
          </rPr>
          <t>.....:</t>
        </r>
        <r>
          <rPr>
            <sz val="8"/>
            <color indexed="81"/>
            <rFont val="Tahoma"/>
            <family val="2"/>
          </rPr>
          <t xml:space="preserve">
PA ,88
</t>
        </r>
      </text>
    </comment>
    <comment ref="O24" authorId="0" shapeId="0" xr:uid="{369468D9-B6F3-4F3B-BDFF-8F1A1C0AA67D}">
      <text>
        <r>
          <rPr>
            <b/>
            <sz val="8"/>
            <color indexed="81"/>
            <rFont val="Tahoma"/>
            <family val="2"/>
          </rPr>
          <t>.....:</t>
        </r>
        <r>
          <rPr>
            <sz val="8"/>
            <color indexed="81"/>
            <rFont val="Tahoma"/>
            <family val="2"/>
          </rPr>
          <t xml:space="preserve">
PA ,88
</t>
        </r>
      </text>
    </comment>
    <comment ref="A25" authorId="0" shapeId="0" xr:uid="{48B97F00-24D8-4E00-8E74-5FA586FBFCAD}">
      <text>
        <r>
          <rPr>
            <b/>
            <sz val="8"/>
            <color indexed="81"/>
            <rFont val="Tahoma"/>
            <family val="2"/>
          </rPr>
          <t>.....:</t>
        </r>
        <r>
          <rPr>
            <sz val="8"/>
            <color indexed="81"/>
            <rFont val="Tahoma"/>
            <family val="2"/>
          </rPr>
          <t xml:space="preserve">
PA 1,20
</t>
        </r>
      </text>
    </comment>
    <comment ref="I25" authorId="0" shapeId="0" xr:uid="{AD011ED7-7FA5-4C8C-9621-D7415BB9DEFA}">
      <text>
        <r>
          <rPr>
            <b/>
            <sz val="8"/>
            <color indexed="81"/>
            <rFont val="Tahoma"/>
            <family val="2"/>
          </rPr>
          <t>.....:</t>
        </r>
        <r>
          <rPr>
            <sz val="8"/>
            <color indexed="81"/>
            <rFont val="Tahoma"/>
            <family val="2"/>
          </rPr>
          <t xml:space="preserve">
PA 1,20
</t>
        </r>
      </text>
    </comment>
    <comment ref="O25" authorId="0" shapeId="0" xr:uid="{B615EF71-D196-4E75-ACFB-E564BBE863A3}">
      <text>
        <r>
          <rPr>
            <b/>
            <sz val="8"/>
            <color indexed="81"/>
            <rFont val="Tahoma"/>
            <family val="2"/>
          </rPr>
          <t>.....:</t>
        </r>
        <r>
          <rPr>
            <sz val="8"/>
            <color indexed="81"/>
            <rFont val="Tahoma"/>
            <family val="2"/>
          </rPr>
          <t xml:space="preserve">
PA 1,20
</t>
        </r>
      </text>
    </comment>
    <comment ref="A26" authorId="0" shapeId="0" xr:uid="{9D59683D-DB53-454C-90AC-6FC82EC693BB}">
      <text>
        <r>
          <rPr>
            <b/>
            <sz val="8"/>
            <color indexed="81"/>
            <rFont val="Tahoma"/>
            <family val="2"/>
          </rPr>
          <t>.....:</t>
        </r>
        <r>
          <rPr>
            <sz val="8"/>
            <color indexed="81"/>
            <rFont val="Tahoma"/>
            <family val="2"/>
          </rPr>
          <t xml:space="preserve">
PA 0,79
</t>
        </r>
      </text>
    </comment>
    <comment ref="I26" authorId="0" shapeId="0" xr:uid="{DCB108F8-E94E-4AC6-936A-E7AD488BC526}">
      <text>
        <r>
          <rPr>
            <b/>
            <sz val="8"/>
            <color indexed="81"/>
            <rFont val="Tahoma"/>
            <family val="2"/>
          </rPr>
          <t>.....:</t>
        </r>
        <r>
          <rPr>
            <sz val="8"/>
            <color indexed="81"/>
            <rFont val="Tahoma"/>
            <family val="2"/>
          </rPr>
          <t xml:space="preserve">
PA 0,79
</t>
        </r>
      </text>
    </comment>
    <comment ref="O26" authorId="0" shapeId="0" xr:uid="{FE9D5FEC-297D-45B1-9275-0D7EB7886BAE}">
      <text>
        <r>
          <rPr>
            <b/>
            <sz val="8"/>
            <color indexed="81"/>
            <rFont val="Tahoma"/>
            <family val="2"/>
          </rPr>
          <t>.....:</t>
        </r>
        <r>
          <rPr>
            <sz val="8"/>
            <color indexed="81"/>
            <rFont val="Tahoma"/>
            <family val="2"/>
          </rPr>
          <t xml:space="preserve">
PA 0,79
</t>
        </r>
      </text>
    </comment>
    <comment ref="O34" authorId="0" shapeId="0" xr:uid="{4D4857F3-CB0D-47EE-AD84-29A10159B564}">
      <text>
        <r>
          <rPr>
            <b/>
            <sz val="8"/>
            <color indexed="81"/>
            <rFont val="Tahoma"/>
            <family val="2"/>
          </rPr>
          <t>.....:</t>
        </r>
        <r>
          <rPr>
            <sz val="8"/>
            <color indexed="81"/>
            <rFont val="Tahoma"/>
            <family val="2"/>
          </rPr>
          <t xml:space="preserve">
PA 0,124</t>
        </r>
      </text>
    </comment>
    <comment ref="O35" authorId="1" shapeId="0" xr:uid="{DD180EA1-BEBB-45E5-9D23-7EF42E509C7B}">
      <text>
        <r>
          <rPr>
            <b/>
            <sz val="8"/>
            <color indexed="81"/>
            <rFont val="Tahoma"/>
            <family val="2"/>
          </rPr>
          <t>*:</t>
        </r>
        <r>
          <rPr>
            <sz val="8"/>
            <color indexed="81"/>
            <rFont val="Tahoma"/>
            <family val="2"/>
          </rPr>
          <t xml:space="preserve">
PA 7,62
</t>
        </r>
      </text>
    </comment>
    <comment ref="O36" authorId="0" shapeId="0" xr:uid="{CFB6FC6D-6D47-48B5-AAB6-690A62434DC4}">
      <text>
        <r>
          <rPr>
            <b/>
            <sz val="8"/>
            <color indexed="81"/>
            <rFont val="Tahoma"/>
            <family val="2"/>
          </rPr>
          <t>.....:</t>
        </r>
        <r>
          <rPr>
            <sz val="8"/>
            <color indexed="81"/>
            <rFont val="Tahoma"/>
            <family val="2"/>
          </rPr>
          <t xml:space="preserve">
PA 1,30
</t>
        </r>
      </text>
    </comment>
    <comment ref="O37" authorId="0" shapeId="0" xr:uid="{8D6677AC-C4F1-417C-8E1F-11ED1D48E949}">
      <text>
        <r>
          <rPr>
            <b/>
            <sz val="8"/>
            <color indexed="81"/>
            <rFont val="Tahoma"/>
            <family val="2"/>
          </rPr>
          <t>.....:</t>
        </r>
        <r>
          <rPr>
            <sz val="8"/>
            <color indexed="81"/>
            <rFont val="Tahoma"/>
            <family val="2"/>
          </rPr>
          <t xml:space="preserve">
PA ,88
</t>
        </r>
      </text>
    </comment>
    <comment ref="O38" authorId="0" shapeId="0" xr:uid="{CDC65A89-DB17-4B35-9CB4-8CB96C3696FC}">
      <text>
        <r>
          <rPr>
            <b/>
            <sz val="8"/>
            <color indexed="81"/>
            <rFont val="Tahoma"/>
            <family val="2"/>
          </rPr>
          <t>.....:</t>
        </r>
        <r>
          <rPr>
            <sz val="8"/>
            <color indexed="81"/>
            <rFont val="Tahoma"/>
            <family val="2"/>
          </rPr>
          <t xml:space="preserve">
PA 1,20
</t>
        </r>
      </text>
    </comment>
    <comment ref="O39" authorId="0" shapeId="0" xr:uid="{2D34E757-3EBD-436A-A816-0B5501E7123F}">
      <text>
        <r>
          <rPr>
            <b/>
            <sz val="8"/>
            <color indexed="81"/>
            <rFont val="Tahoma"/>
            <family val="2"/>
          </rPr>
          <t>.....:</t>
        </r>
        <r>
          <rPr>
            <sz val="8"/>
            <color indexed="81"/>
            <rFont val="Tahoma"/>
            <family val="2"/>
          </rPr>
          <t xml:space="preserve">
PA 0,79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uthor>
    <author>*</author>
  </authors>
  <commentList>
    <comment ref="B6" authorId="0" shapeId="0" xr:uid="{E4A85B65-6AEC-4556-83B3-B941E744A22E}">
      <text>
        <r>
          <rPr>
            <b/>
            <sz val="8"/>
            <color indexed="81"/>
            <rFont val="Tahoma"/>
            <family val="2"/>
          </rPr>
          <t>.....:</t>
        </r>
        <r>
          <rPr>
            <sz val="8"/>
            <color indexed="81"/>
            <rFont val="Tahoma"/>
            <family val="2"/>
          </rPr>
          <t xml:space="preserve">
PA 0,124</t>
        </r>
      </text>
    </comment>
    <comment ref="B7" authorId="1" shapeId="0" xr:uid="{3BD4F79E-1A77-40D4-B2C5-C780DDF0A74F}">
      <text>
        <r>
          <rPr>
            <b/>
            <sz val="8"/>
            <color indexed="81"/>
            <rFont val="Tahoma"/>
            <family val="2"/>
          </rPr>
          <t>*:</t>
        </r>
        <r>
          <rPr>
            <sz val="8"/>
            <color indexed="81"/>
            <rFont val="Tahoma"/>
            <family val="2"/>
          </rPr>
          <t xml:space="preserve">
PA 7,62
</t>
        </r>
      </text>
    </comment>
    <comment ref="B12" authorId="0" shapeId="0" xr:uid="{BB2B31CF-1927-4C0E-8145-BB9E4F29E5E7}">
      <text>
        <r>
          <rPr>
            <b/>
            <sz val="8"/>
            <color indexed="81"/>
            <rFont val="Tahoma"/>
            <family val="2"/>
          </rPr>
          <t>.....:</t>
        </r>
        <r>
          <rPr>
            <sz val="8"/>
            <color indexed="81"/>
            <rFont val="Tahoma"/>
            <family val="2"/>
          </rPr>
          <t xml:space="preserve">
PA ,88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A6" authorId="0" shapeId="0" xr:uid="{9E0AD8D0-F243-4959-A8DD-439D0582BA8F}">
      <text>
        <r>
          <rPr>
            <b/>
            <sz val="8"/>
            <color indexed="81"/>
            <rFont val="Tahoma"/>
            <family val="2"/>
          </rPr>
          <t>.....:</t>
        </r>
        <r>
          <rPr>
            <sz val="8"/>
            <color indexed="81"/>
            <rFont val="Tahoma"/>
            <family val="2"/>
          </rPr>
          <t xml:space="preserve">
PA 0,124
</t>
        </r>
      </text>
    </comment>
    <comment ref="A8" authorId="0" shapeId="0" xr:uid="{DA3DABF0-8E78-4BF5-ABEE-4D924769E273}">
      <text>
        <r>
          <rPr>
            <b/>
            <sz val="8"/>
            <color indexed="81"/>
            <rFont val="Tahoma"/>
            <family val="2"/>
          </rPr>
          <t>.....:</t>
        </r>
        <r>
          <rPr>
            <sz val="8"/>
            <color indexed="81"/>
            <rFont val="Tahoma"/>
            <family val="2"/>
          </rPr>
          <t xml:space="preserve">
PA 7,95</t>
        </r>
      </text>
    </comment>
    <comment ref="A9" authorId="0" shapeId="0" xr:uid="{98FCD656-B428-49D4-A5B3-74EA0773D87C}">
      <text>
        <r>
          <rPr>
            <b/>
            <sz val="8"/>
            <color indexed="81"/>
            <rFont val="Tahoma"/>
            <family val="2"/>
          </rPr>
          <t>.....:</t>
        </r>
        <r>
          <rPr>
            <sz val="8"/>
            <color indexed="81"/>
            <rFont val="Tahoma"/>
            <family val="2"/>
          </rPr>
          <t xml:space="preserve">
PA0,88
</t>
        </r>
      </text>
    </comment>
    <comment ref="A10" authorId="0" shapeId="0" xr:uid="{E048E075-7805-4297-80A3-2DBA2EA8F6AD}">
      <text>
        <r>
          <rPr>
            <b/>
            <sz val="8"/>
            <color indexed="81"/>
            <rFont val="Tahoma"/>
            <family val="2"/>
          </rPr>
          <t>.....:</t>
        </r>
        <r>
          <rPr>
            <sz val="8"/>
            <color indexed="81"/>
            <rFont val="Tahoma"/>
            <family val="2"/>
          </rPr>
          <t xml:space="preserve">
PA 1,15
</t>
        </r>
      </text>
    </comment>
    <comment ref="A11" authorId="0" shapeId="0" xr:uid="{FE7C41F0-12ED-4E23-A921-952EB37B1F26}">
      <text>
        <r>
          <rPr>
            <b/>
            <sz val="8"/>
            <color indexed="81"/>
            <rFont val="Tahoma"/>
            <family val="2"/>
          </rPr>
          <t>.....:</t>
        </r>
        <r>
          <rPr>
            <sz val="8"/>
            <color indexed="81"/>
            <rFont val="Tahoma"/>
            <family val="2"/>
          </rPr>
          <t xml:space="preserve">
PA 0,79
</t>
        </r>
      </text>
    </comment>
    <comment ref="A12" authorId="0" shapeId="0" xr:uid="{19B7BECB-0A8A-4A7B-AF46-330F72B03902}">
      <text>
        <r>
          <rPr>
            <b/>
            <sz val="8"/>
            <color indexed="81"/>
            <rFont val="Tahoma"/>
            <family val="2"/>
          </rPr>
          <t>.....:</t>
        </r>
        <r>
          <rPr>
            <sz val="8"/>
            <color indexed="81"/>
            <rFont val="Tahoma"/>
            <family val="2"/>
          </rPr>
          <t xml:space="preserve">
PA 3,50
</t>
        </r>
      </text>
    </comment>
    <comment ref="A13" authorId="0" shapeId="0" xr:uid="{80CBA6A3-89CE-4FF4-863B-0BF2528AC0BB}">
      <text>
        <r>
          <rPr>
            <b/>
            <sz val="8"/>
            <color indexed="81"/>
            <rFont val="Tahoma"/>
            <family val="2"/>
          </rPr>
          <t>.....:</t>
        </r>
        <r>
          <rPr>
            <sz val="8"/>
            <color indexed="81"/>
            <rFont val="Tahoma"/>
            <family val="2"/>
          </rPr>
          <t xml:space="preserve">
PA 8,15
</t>
        </r>
      </text>
    </comment>
    <comment ref="A14" authorId="0" shapeId="0" xr:uid="{4D418EFF-E452-4FB4-BD38-595E95E447EB}">
      <text>
        <r>
          <rPr>
            <b/>
            <sz val="8"/>
            <color indexed="81"/>
            <rFont val="Tahoma"/>
            <family val="2"/>
          </rPr>
          <t>.....:</t>
        </r>
        <r>
          <rPr>
            <sz val="8"/>
            <color indexed="81"/>
            <rFont val="Tahoma"/>
            <family val="2"/>
          </rPr>
          <t xml:space="preserve">
PA 1,60
</t>
        </r>
      </text>
    </comment>
    <comment ref="A15" authorId="0" shapeId="0" xr:uid="{80A87F27-FFA2-42D9-B122-2D82DC1C4D68}">
      <text>
        <r>
          <rPr>
            <b/>
            <sz val="8"/>
            <color indexed="81"/>
            <rFont val="Tahoma"/>
            <family val="2"/>
          </rPr>
          <t>.....:</t>
        </r>
        <r>
          <rPr>
            <sz val="8"/>
            <color indexed="81"/>
            <rFont val="Tahoma"/>
            <family val="2"/>
          </rPr>
          <t xml:space="preserve">
PA 1,84
</t>
        </r>
      </text>
    </comment>
    <comment ref="A16" authorId="0" shapeId="0" xr:uid="{BB25758A-02DA-4DA9-8365-98F4EA9CB318}">
      <text>
        <r>
          <rPr>
            <b/>
            <sz val="8"/>
            <color indexed="81"/>
            <rFont val="Tahoma"/>
            <family val="2"/>
          </rPr>
          <t>.....:</t>
        </r>
        <r>
          <rPr>
            <sz val="8"/>
            <color indexed="81"/>
            <rFont val="Tahoma"/>
            <family val="2"/>
          </rPr>
          <t xml:space="preserve">
PA 4,02
</t>
        </r>
      </text>
    </comment>
    <comment ref="A17" authorId="0" shapeId="0" xr:uid="{8E85BBF6-FED6-418E-A7AE-AC8D8171C0FC}">
      <text>
        <r>
          <rPr>
            <b/>
            <sz val="8"/>
            <color indexed="81"/>
            <rFont val="Tahoma"/>
            <family val="2"/>
          </rPr>
          <t>.....:</t>
        </r>
        <r>
          <rPr>
            <sz val="8"/>
            <color indexed="81"/>
            <rFont val="Tahoma"/>
            <family val="2"/>
          </rPr>
          <t xml:space="preserve">
PA 23,55
</t>
        </r>
      </text>
    </comment>
    <comment ref="A20" authorId="0" shapeId="0" xr:uid="{6A818219-C5F7-4EDF-B1AE-B930045BA3A4}">
      <text>
        <r>
          <rPr>
            <b/>
            <sz val="8"/>
            <color indexed="81"/>
            <rFont val="Tahoma"/>
            <family val="2"/>
          </rPr>
          <t>.....:</t>
        </r>
        <r>
          <rPr>
            <sz val="8"/>
            <color indexed="81"/>
            <rFont val="Tahoma"/>
            <family val="2"/>
          </rPr>
          <t xml:space="preserve">
PA 2,36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uthor>
    <author>*</author>
  </authors>
  <commentList>
    <comment ref="Z6" authorId="0" shapeId="0" xr:uid="{C495FA5D-3D5C-4B6B-B7ED-8EA1C0995C7A}">
      <text>
        <r>
          <rPr>
            <b/>
            <sz val="8"/>
            <color indexed="81"/>
            <rFont val="Tahoma"/>
            <family val="2"/>
          </rPr>
          <t>.....:</t>
        </r>
        <r>
          <rPr>
            <sz val="8"/>
            <color indexed="81"/>
            <rFont val="Tahoma"/>
            <family val="2"/>
          </rPr>
          <t xml:space="preserve">
PA 0,124</t>
        </r>
      </text>
    </comment>
    <comment ref="G7" authorId="0" shapeId="0" xr:uid="{EB91F5A5-0C32-4A5A-97FB-59B6EBA70081}">
      <text>
        <r>
          <rPr>
            <b/>
            <sz val="8"/>
            <color indexed="81"/>
            <rFont val="Tahoma"/>
            <family val="2"/>
          </rPr>
          <t>.....:</t>
        </r>
        <r>
          <rPr>
            <sz val="8"/>
            <color indexed="81"/>
            <rFont val="Tahoma"/>
            <family val="2"/>
          </rPr>
          <t xml:space="preserve">
PA 0,124</t>
        </r>
      </text>
    </comment>
    <comment ref="M7" authorId="0" shapeId="0" xr:uid="{8202E337-D487-46CC-9200-AE691E57BC1E}">
      <text>
        <r>
          <rPr>
            <b/>
            <sz val="8"/>
            <color indexed="81"/>
            <rFont val="Tahoma"/>
            <family val="2"/>
          </rPr>
          <t>.....:</t>
        </r>
        <r>
          <rPr>
            <sz val="8"/>
            <color indexed="81"/>
            <rFont val="Tahoma"/>
            <family val="2"/>
          </rPr>
          <t xml:space="preserve">
PA 0,124</t>
        </r>
      </text>
    </comment>
    <comment ref="Z7" authorId="1" shapeId="0" xr:uid="{24BC0D80-A2A8-42D2-856D-744E73B3A9D4}">
      <text>
        <r>
          <rPr>
            <b/>
            <sz val="8"/>
            <color indexed="81"/>
            <rFont val="Tahoma"/>
            <family val="2"/>
          </rPr>
          <t>*:</t>
        </r>
        <r>
          <rPr>
            <sz val="8"/>
            <color indexed="81"/>
            <rFont val="Tahoma"/>
            <family val="2"/>
          </rPr>
          <t xml:space="preserve">
PA 7,62
</t>
        </r>
      </text>
    </comment>
    <comment ref="A8" authorId="0" shapeId="0" xr:uid="{2017FA7C-7ECC-4A72-B916-6C36A5D10A6D}">
      <text>
        <r>
          <rPr>
            <b/>
            <sz val="8"/>
            <color indexed="81"/>
            <rFont val="Tahoma"/>
            <family val="2"/>
          </rPr>
          <t>.....:</t>
        </r>
        <r>
          <rPr>
            <sz val="8"/>
            <color indexed="81"/>
            <rFont val="Tahoma"/>
            <family val="2"/>
          </rPr>
          <t xml:space="preserve">
PA 0,124</t>
        </r>
      </text>
    </comment>
    <comment ref="G8" authorId="1" shapeId="0" xr:uid="{C85C175C-BF76-4E23-B3A3-BB71B08BC686}">
      <text>
        <r>
          <rPr>
            <b/>
            <sz val="8"/>
            <color indexed="81"/>
            <rFont val="Tahoma"/>
            <family val="2"/>
          </rPr>
          <t>*:</t>
        </r>
        <r>
          <rPr>
            <sz val="8"/>
            <color indexed="81"/>
            <rFont val="Tahoma"/>
            <family val="2"/>
          </rPr>
          <t xml:space="preserve">
PA 7,62
</t>
        </r>
      </text>
    </comment>
    <comment ref="M8" authorId="1" shapeId="0" xr:uid="{FAEB3F29-62D1-4BF0-87D7-72319325FF0E}">
      <text>
        <r>
          <rPr>
            <b/>
            <sz val="8"/>
            <color indexed="81"/>
            <rFont val="Tahoma"/>
            <family val="2"/>
          </rPr>
          <t>*:</t>
        </r>
        <r>
          <rPr>
            <sz val="8"/>
            <color indexed="81"/>
            <rFont val="Tahoma"/>
            <family val="2"/>
          </rPr>
          <t xml:space="preserve">
PA 7,62
</t>
        </r>
      </text>
    </comment>
    <comment ref="T8" authorId="0" shapeId="0" xr:uid="{80EA390C-F839-4126-A624-08E6B0F62705}">
      <text>
        <r>
          <rPr>
            <b/>
            <sz val="8"/>
            <color indexed="81"/>
            <rFont val="Tahoma"/>
            <family val="2"/>
          </rPr>
          <t>.....:</t>
        </r>
        <r>
          <rPr>
            <sz val="8"/>
            <color indexed="81"/>
            <rFont val="Tahoma"/>
            <family val="2"/>
          </rPr>
          <t xml:space="preserve">
PA 0,124</t>
        </r>
      </text>
    </comment>
    <comment ref="Z8" authorId="0" shapeId="0" xr:uid="{928D5F9B-6E49-4EF2-AE32-DFBA348685F3}">
      <text>
        <r>
          <rPr>
            <b/>
            <sz val="8"/>
            <color indexed="81"/>
            <rFont val="Tahoma"/>
            <family val="2"/>
          </rPr>
          <t>.....:</t>
        </r>
        <r>
          <rPr>
            <sz val="8"/>
            <color indexed="81"/>
            <rFont val="Tahoma"/>
            <family val="2"/>
          </rPr>
          <t xml:space="preserve">
PA 1,30
</t>
        </r>
      </text>
    </comment>
    <comment ref="A9" authorId="1" shapeId="0" xr:uid="{FF8943C3-B933-4FF8-9934-650AA627DA29}">
      <text>
        <r>
          <rPr>
            <b/>
            <sz val="8"/>
            <color indexed="81"/>
            <rFont val="Tahoma"/>
            <family val="2"/>
          </rPr>
          <t>*:</t>
        </r>
        <r>
          <rPr>
            <sz val="8"/>
            <color indexed="81"/>
            <rFont val="Tahoma"/>
            <family val="2"/>
          </rPr>
          <t xml:space="preserve">
PA 7,62
</t>
        </r>
      </text>
    </comment>
    <comment ref="G9" authorId="0" shapeId="0" xr:uid="{E5C97D44-AA26-41C6-BE30-9A98F3977D44}">
      <text>
        <r>
          <rPr>
            <b/>
            <sz val="8"/>
            <color indexed="81"/>
            <rFont val="Tahoma"/>
            <family val="2"/>
          </rPr>
          <t>.....:</t>
        </r>
        <r>
          <rPr>
            <sz val="8"/>
            <color indexed="81"/>
            <rFont val="Tahoma"/>
            <family val="2"/>
          </rPr>
          <t xml:space="preserve">
PA 1,30
</t>
        </r>
      </text>
    </comment>
    <comment ref="M9" authorId="0" shapeId="0" xr:uid="{719FC4E9-8ED5-4B00-8CBE-959E623CFB09}">
      <text>
        <r>
          <rPr>
            <b/>
            <sz val="8"/>
            <color indexed="81"/>
            <rFont val="Tahoma"/>
            <family val="2"/>
          </rPr>
          <t>.....:</t>
        </r>
        <r>
          <rPr>
            <sz val="8"/>
            <color indexed="81"/>
            <rFont val="Tahoma"/>
            <family val="2"/>
          </rPr>
          <t xml:space="preserve">
PA 1,30
</t>
        </r>
      </text>
    </comment>
    <comment ref="T9" authorId="1" shapeId="0" xr:uid="{5B812673-AA0A-4294-AFB9-F8F45B9CFF25}">
      <text>
        <r>
          <rPr>
            <b/>
            <sz val="8"/>
            <color indexed="81"/>
            <rFont val="Tahoma"/>
            <family val="2"/>
          </rPr>
          <t>*:</t>
        </r>
        <r>
          <rPr>
            <sz val="8"/>
            <color indexed="81"/>
            <rFont val="Tahoma"/>
            <family val="2"/>
          </rPr>
          <t xml:space="preserve">
PA 7,62
</t>
        </r>
      </text>
    </comment>
    <comment ref="Z9" authorId="0" shapeId="0" xr:uid="{8E0BCE3A-C0DA-4E25-9168-F3470A552F24}">
      <text>
        <r>
          <rPr>
            <b/>
            <sz val="8"/>
            <color indexed="81"/>
            <rFont val="Tahoma"/>
            <family val="2"/>
          </rPr>
          <t>.....:</t>
        </r>
        <r>
          <rPr>
            <sz val="8"/>
            <color indexed="81"/>
            <rFont val="Tahoma"/>
            <family val="2"/>
          </rPr>
          <t xml:space="preserve">
PA ,88
</t>
        </r>
      </text>
    </comment>
    <comment ref="A10" authorId="0" shapeId="0" xr:uid="{0331EBC8-60F3-4A52-B989-2C3C470BAB7D}">
      <text>
        <r>
          <rPr>
            <b/>
            <sz val="8"/>
            <color indexed="81"/>
            <rFont val="Tahoma"/>
            <family val="2"/>
          </rPr>
          <t>.....:</t>
        </r>
        <r>
          <rPr>
            <sz val="8"/>
            <color indexed="81"/>
            <rFont val="Tahoma"/>
            <family val="2"/>
          </rPr>
          <t xml:space="preserve">
PA 1,30
</t>
        </r>
      </text>
    </comment>
    <comment ref="G10" authorId="0" shapeId="0" xr:uid="{D6156572-6A1A-48A0-8B9B-F0A9E3A805BF}">
      <text>
        <r>
          <rPr>
            <b/>
            <sz val="8"/>
            <color indexed="81"/>
            <rFont val="Tahoma"/>
            <family val="2"/>
          </rPr>
          <t>.....:</t>
        </r>
        <r>
          <rPr>
            <sz val="8"/>
            <color indexed="81"/>
            <rFont val="Tahoma"/>
            <family val="2"/>
          </rPr>
          <t xml:space="preserve">
PA ,88
</t>
        </r>
      </text>
    </comment>
    <comment ref="M10" authorId="0" shapeId="0" xr:uid="{7E33B5E1-F512-4899-94ED-CB1188CE4196}">
      <text>
        <r>
          <rPr>
            <b/>
            <sz val="8"/>
            <color indexed="81"/>
            <rFont val="Tahoma"/>
            <family val="2"/>
          </rPr>
          <t>.....:</t>
        </r>
        <r>
          <rPr>
            <sz val="8"/>
            <color indexed="81"/>
            <rFont val="Tahoma"/>
            <family val="2"/>
          </rPr>
          <t xml:space="preserve">
PA ,88
</t>
        </r>
      </text>
    </comment>
    <comment ref="T10" authorId="0" shapeId="0" xr:uid="{EE7C3C27-C348-405C-8BC7-B4D68AB0398F}">
      <text>
        <r>
          <rPr>
            <b/>
            <sz val="8"/>
            <color indexed="81"/>
            <rFont val="Tahoma"/>
            <family val="2"/>
          </rPr>
          <t>.....:</t>
        </r>
        <r>
          <rPr>
            <sz val="8"/>
            <color indexed="81"/>
            <rFont val="Tahoma"/>
            <family val="2"/>
          </rPr>
          <t xml:space="preserve">
PA 1,30
</t>
        </r>
      </text>
    </comment>
    <comment ref="Z10" authorId="0" shapeId="0" xr:uid="{FFDDCD88-F943-48C7-9AC3-E432ED76FB95}">
      <text>
        <r>
          <rPr>
            <b/>
            <sz val="8"/>
            <color indexed="81"/>
            <rFont val="Tahoma"/>
            <family val="2"/>
          </rPr>
          <t>.....:</t>
        </r>
        <r>
          <rPr>
            <sz val="8"/>
            <color indexed="81"/>
            <rFont val="Tahoma"/>
            <family val="2"/>
          </rPr>
          <t xml:space="preserve">
PA 1,20
</t>
        </r>
      </text>
    </comment>
    <comment ref="A11" authorId="0" shapeId="0" xr:uid="{3E93AE39-AF2B-4012-A5F4-7145A9FC5340}">
      <text>
        <r>
          <rPr>
            <b/>
            <sz val="8"/>
            <color indexed="81"/>
            <rFont val="Tahoma"/>
            <family val="2"/>
          </rPr>
          <t>.....:</t>
        </r>
        <r>
          <rPr>
            <sz val="8"/>
            <color indexed="81"/>
            <rFont val="Tahoma"/>
            <family val="2"/>
          </rPr>
          <t xml:space="preserve">
PA ,88
</t>
        </r>
      </text>
    </comment>
    <comment ref="G11" authorId="0" shapeId="0" xr:uid="{2B88177C-D122-4E54-B079-04F110DAB27F}">
      <text>
        <r>
          <rPr>
            <b/>
            <sz val="8"/>
            <color indexed="81"/>
            <rFont val="Tahoma"/>
            <family val="2"/>
          </rPr>
          <t>.....:</t>
        </r>
        <r>
          <rPr>
            <sz val="8"/>
            <color indexed="81"/>
            <rFont val="Tahoma"/>
            <family val="2"/>
          </rPr>
          <t xml:space="preserve">
PA 1,20
</t>
        </r>
      </text>
    </comment>
    <comment ref="M11" authorId="0" shapeId="0" xr:uid="{45D8F2B1-A13A-4B0C-9C1A-A40EF4F6F3D6}">
      <text>
        <r>
          <rPr>
            <b/>
            <sz val="8"/>
            <color indexed="81"/>
            <rFont val="Tahoma"/>
            <family val="2"/>
          </rPr>
          <t>.....:</t>
        </r>
        <r>
          <rPr>
            <sz val="8"/>
            <color indexed="81"/>
            <rFont val="Tahoma"/>
            <family val="2"/>
          </rPr>
          <t xml:space="preserve">
PA 1,20
</t>
        </r>
      </text>
    </comment>
    <comment ref="T11" authorId="0" shapeId="0" xr:uid="{B6BBC5E4-7E20-4AC8-9817-10BFF161B0E8}">
      <text>
        <r>
          <rPr>
            <b/>
            <sz val="8"/>
            <color indexed="81"/>
            <rFont val="Tahoma"/>
            <family val="2"/>
          </rPr>
          <t>.....:</t>
        </r>
        <r>
          <rPr>
            <sz val="8"/>
            <color indexed="81"/>
            <rFont val="Tahoma"/>
            <family val="2"/>
          </rPr>
          <t xml:space="preserve">
PA ,88
</t>
        </r>
      </text>
    </comment>
    <comment ref="Z11" authorId="0" shapeId="0" xr:uid="{EC4D53DF-DBA6-4EF2-A637-38AE6BD4E321}">
      <text>
        <r>
          <rPr>
            <b/>
            <sz val="8"/>
            <color indexed="81"/>
            <rFont val="Tahoma"/>
            <family val="2"/>
          </rPr>
          <t>.....:</t>
        </r>
        <r>
          <rPr>
            <sz val="8"/>
            <color indexed="81"/>
            <rFont val="Tahoma"/>
            <family val="2"/>
          </rPr>
          <t xml:space="preserve">
PA 0,79
</t>
        </r>
      </text>
    </comment>
    <comment ref="A12" authorId="0" shapeId="0" xr:uid="{AB5EED3D-C98E-4C4A-9A56-92BFFDCCDF6E}">
      <text>
        <r>
          <rPr>
            <b/>
            <sz val="8"/>
            <color indexed="81"/>
            <rFont val="Tahoma"/>
            <family val="2"/>
          </rPr>
          <t>.....:</t>
        </r>
        <r>
          <rPr>
            <sz val="8"/>
            <color indexed="81"/>
            <rFont val="Tahoma"/>
            <family val="2"/>
          </rPr>
          <t xml:space="preserve">
PA 1,20
</t>
        </r>
      </text>
    </comment>
    <comment ref="G12" authorId="0" shapeId="0" xr:uid="{0CB99F89-6ED4-4FA4-9677-B3DBC5B64D60}">
      <text>
        <r>
          <rPr>
            <b/>
            <sz val="8"/>
            <color indexed="81"/>
            <rFont val="Tahoma"/>
            <family val="2"/>
          </rPr>
          <t>.....:</t>
        </r>
        <r>
          <rPr>
            <sz val="8"/>
            <color indexed="81"/>
            <rFont val="Tahoma"/>
            <family val="2"/>
          </rPr>
          <t xml:space="preserve">
PA 0,79
</t>
        </r>
      </text>
    </comment>
    <comment ref="M12" authorId="0" shapeId="0" xr:uid="{084B4090-4881-469C-AF4A-A3C14A8AFA4C}">
      <text>
        <r>
          <rPr>
            <b/>
            <sz val="8"/>
            <color indexed="81"/>
            <rFont val="Tahoma"/>
            <family val="2"/>
          </rPr>
          <t>.....:</t>
        </r>
        <r>
          <rPr>
            <sz val="8"/>
            <color indexed="81"/>
            <rFont val="Tahoma"/>
            <family val="2"/>
          </rPr>
          <t xml:space="preserve">
PA 0,79
</t>
        </r>
      </text>
    </comment>
    <comment ref="T12" authorId="0" shapeId="0" xr:uid="{FC4AD204-A78E-4EA8-B337-D562AC2A0713}">
      <text>
        <r>
          <rPr>
            <b/>
            <sz val="8"/>
            <color indexed="81"/>
            <rFont val="Tahoma"/>
            <family val="2"/>
          </rPr>
          <t>.....:</t>
        </r>
        <r>
          <rPr>
            <sz val="8"/>
            <color indexed="81"/>
            <rFont val="Tahoma"/>
            <family val="2"/>
          </rPr>
          <t xml:space="preserve">
PA 1,20
</t>
        </r>
      </text>
    </comment>
    <comment ref="A13" authorId="0" shapeId="0" xr:uid="{4D63BBD2-ECCB-4871-882B-A49FBBDAE86D}">
      <text>
        <r>
          <rPr>
            <b/>
            <sz val="8"/>
            <color indexed="81"/>
            <rFont val="Tahoma"/>
            <family val="2"/>
          </rPr>
          <t>.....:</t>
        </r>
        <r>
          <rPr>
            <sz val="8"/>
            <color indexed="81"/>
            <rFont val="Tahoma"/>
            <family val="2"/>
          </rPr>
          <t xml:space="preserve">
PA 0,79
</t>
        </r>
      </text>
    </comment>
    <comment ref="T13" authorId="0" shapeId="0" xr:uid="{62515977-C252-4D24-BD76-791C5269B13E}">
      <text>
        <r>
          <rPr>
            <b/>
            <sz val="8"/>
            <color indexed="81"/>
            <rFont val="Tahoma"/>
            <family val="2"/>
          </rPr>
          <t>.....:</t>
        </r>
        <r>
          <rPr>
            <sz val="8"/>
            <color indexed="81"/>
            <rFont val="Tahoma"/>
            <family val="2"/>
          </rPr>
          <t xml:space="preserve">
PA 0,79
</t>
        </r>
      </text>
    </comment>
    <comment ref="Z20" authorId="0" shapeId="0" xr:uid="{B8137307-2FE5-4DE1-8DCC-7DB973C72B22}">
      <text>
        <r>
          <rPr>
            <b/>
            <sz val="8"/>
            <color indexed="81"/>
            <rFont val="Tahoma"/>
            <family val="2"/>
          </rPr>
          <t>.....:</t>
        </r>
        <r>
          <rPr>
            <sz val="8"/>
            <color indexed="81"/>
            <rFont val="Tahoma"/>
            <family val="2"/>
          </rPr>
          <t xml:space="preserve">
PA 0,124</t>
        </r>
      </text>
    </comment>
    <comment ref="Z21" authorId="1" shapeId="0" xr:uid="{5ACCB47D-4D82-4580-8F63-909D6696F48B}">
      <text>
        <r>
          <rPr>
            <b/>
            <sz val="8"/>
            <color indexed="81"/>
            <rFont val="Tahoma"/>
            <family val="2"/>
          </rPr>
          <t>*:</t>
        </r>
        <r>
          <rPr>
            <sz val="8"/>
            <color indexed="81"/>
            <rFont val="Tahoma"/>
            <family val="2"/>
          </rPr>
          <t xml:space="preserve">
PA 7,62
</t>
        </r>
      </text>
    </comment>
    <comment ref="Z22" authorId="0" shapeId="0" xr:uid="{3E6A960F-F0B6-409A-A88B-234F7D9ABB2E}">
      <text>
        <r>
          <rPr>
            <b/>
            <sz val="8"/>
            <color indexed="81"/>
            <rFont val="Tahoma"/>
            <family val="2"/>
          </rPr>
          <t>.....:</t>
        </r>
        <r>
          <rPr>
            <sz val="8"/>
            <color indexed="81"/>
            <rFont val="Tahoma"/>
            <family val="2"/>
          </rPr>
          <t xml:space="preserve">
PA 1,30
</t>
        </r>
      </text>
    </comment>
    <comment ref="Z23" authorId="0" shapeId="0" xr:uid="{C44E47B9-9571-4FF3-812B-177910C47CAE}">
      <text>
        <r>
          <rPr>
            <b/>
            <sz val="8"/>
            <color indexed="81"/>
            <rFont val="Tahoma"/>
            <family val="2"/>
          </rPr>
          <t>.....:</t>
        </r>
        <r>
          <rPr>
            <sz val="8"/>
            <color indexed="81"/>
            <rFont val="Tahoma"/>
            <family val="2"/>
          </rPr>
          <t xml:space="preserve">
PA ,88
</t>
        </r>
      </text>
    </comment>
    <comment ref="Z24" authorId="0" shapeId="0" xr:uid="{2EC14B53-839B-4004-BC35-CFF22167DD18}">
      <text>
        <r>
          <rPr>
            <b/>
            <sz val="8"/>
            <color indexed="81"/>
            <rFont val="Tahoma"/>
            <family val="2"/>
          </rPr>
          <t>.....:</t>
        </r>
        <r>
          <rPr>
            <sz val="8"/>
            <color indexed="81"/>
            <rFont val="Tahoma"/>
            <family val="2"/>
          </rPr>
          <t xml:space="preserve">
PA 1,20
</t>
        </r>
      </text>
    </comment>
    <comment ref="Z25" authorId="0" shapeId="0" xr:uid="{F042D6F1-F4B9-4C92-999F-28308787DB36}">
      <text>
        <r>
          <rPr>
            <b/>
            <sz val="8"/>
            <color indexed="81"/>
            <rFont val="Tahoma"/>
            <family val="2"/>
          </rPr>
          <t>.....:</t>
        </r>
        <r>
          <rPr>
            <sz val="8"/>
            <color indexed="81"/>
            <rFont val="Tahoma"/>
            <family val="2"/>
          </rPr>
          <t xml:space="preserve">
PA 0,79
</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<sst xmlns="http://schemas.openxmlformats.org/spreadsheetml/2006/main" count="4006" uniqueCount="577">
  <si>
    <t>ASSAISONNEMENT</t>
  </si>
  <si>
    <t xml:space="preserve">SEL </t>
  </si>
  <si>
    <t>DEXTROSE</t>
  </si>
  <si>
    <t>LACTOSE</t>
  </si>
  <si>
    <t>POIVRE MOULU</t>
  </si>
  <si>
    <t>AIL SEMOULE</t>
  </si>
  <si>
    <t>PIMENT FORT</t>
  </si>
  <si>
    <t>PIMENT DOUX</t>
  </si>
  <si>
    <t>PIMENT DOUX FUME</t>
  </si>
  <si>
    <t>CUMIN</t>
  </si>
  <si>
    <t>ORIGAN</t>
  </si>
  <si>
    <t>FERMENTS  42 R</t>
  </si>
  <si>
    <t>Mêlée de 150 KGS</t>
  </si>
  <si>
    <r>
      <t xml:space="preserve">SEL NITRITE </t>
    </r>
    <r>
      <rPr>
        <b/>
        <sz val="14"/>
        <color indexed="10"/>
        <rFont val="Traditional Arabic"/>
        <family val="1"/>
      </rPr>
      <t>E250</t>
    </r>
  </si>
  <si>
    <r>
      <t xml:space="preserve">SALPETRE </t>
    </r>
    <r>
      <rPr>
        <b/>
        <sz val="14"/>
        <color indexed="10"/>
        <rFont val="Traditional Arabic"/>
        <family val="1"/>
      </rPr>
      <t>E252</t>
    </r>
  </si>
  <si>
    <r>
      <t xml:space="preserve">PHOSPHATE bullin </t>
    </r>
    <r>
      <rPr>
        <b/>
        <sz val="14"/>
        <color indexed="10"/>
        <rFont val="Traditional Arabic"/>
        <family val="1"/>
      </rPr>
      <t>E450</t>
    </r>
  </si>
  <si>
    <t xml:space="preserve">SEL NITRITE </t>
  </si>
  <si>
    <t>POIVRE BLANC MOULU</t>
  </si>
  <si>
    <t>POIVRE NOIR CONCASSE</t>
  </si>
  <si>
    <t>FERMENTS -42 R (150)</t>
  </si>
  <si>
    <t>SEL NITRITE</t>
  </si>
  <si>
    <t>NITRATE DE POTASSIUM</t>
  </si>
  <si>
    <t>FERMENT BC 40</t>
  </si>
  <si>
    <t>Mêlée de 150 kg</t>
  </si>
  <si>
    <t>Sabodet</t>
  </si>
  <si>
    <t>FERMENT MF 244</t>
  </si>
  <si>
    <t>FERMENT MF 42R</t>
  </si>
  <si>
    <t>Ingrédient</t>
  </si>
  <si>
    <t>FERMENT MF 55</t>
  </si>
  <si>
    <t>FERMENT MF 55 ou  MF 244</t>
  </si>
  <si>
    <t>200 gr Nature BIO</t>
  </si>
  <si>
    <t>SAG</t>
  </si>
  <si>
    <t>MARC DE SAVOIE</t>
  </si>
  <si>
    <t>Kg</t>
  </si>
  <si>
    <t>Sachet</t>
  </si>
  <si>
    <t>Unités</t>
  </si>
  <si>
    <t>Litre</t>
  </si>
  <si>
    <r>
      <rPr>
        <b/>
        <u/>
        <sz val="12"/>
        <rFont val="Traditional Arabic"/>
        <family val="1"/>
      </rPr>
      <t>Spécialité fromagère</t>
    </r>
    <r>
      <rPr>
        <b/>
        <sz val="12"/>
        <rFont val="Traditional Arabic"/>
        <family val="1"/>
      </rPr>
      <t xml:space="preserve"> : Roquefort</t>
    </r>
  </si>
  <si>
    <t>Litres</t>
  </si>
  <si>
    <t>ESSAI COMPLET SOUSSANA</t>
  </si>
  <si>
    <t>Sel</t>
  </si>
  <si>
    <t>Eau froide</t>
  </si>
  <si>
    <t>Complet</t>
  </si>
  <si>
    <t>Ferment  (100kgs)</t>
  </si>
  <si>
    <t>Essai mis en place après rendez-vous du 29/10/2019 avec :
Soussana (commercial+technicien), Mr PROST et Mme BERT. 
Décision d'envoyer un échantillon afin de solutionner la problématique des boyaux qui se décolle. Le problème ne viendrais pas spécialement des boyaux, ni du poussage, mais de la dose de phosphate présent dans le mix Van Hess (&lt;1grs/kgs) 
Recommandation entre 3 et 5 grs /kgs. 
Notre assaisonnement perso fonctionne bien car nous avons 5grs/ kgs</t>
  </si>
  <si>
    <t>Début essai S. 45 sur GROSSES PIECES</t>
  </si>
  <si>
    <t>HALRIZO 200 grs + HALRIZO Grosses pièces</t>
  </si>
  <si>
    <t>Nb Mêlées</t>
  </si>
  <si>
    <t>Unité</t>
  </si>
  <si>
    <t>€ HT</t>
  </si>
  <si>
    <t>Faire une purée dans un seau 
Ajouter la purée à la viande, laisser mélanger jusqu'à obtenir une pâte uniforme. Puis intégrer les ferments</t>
  </si>
  <si>
    <t>Prix assais.</t>
  </si>
  <si>
    <t>Ingrédients : Vin</t>
  </si>
  <si>
    <t>Ingrédients : Pistaches</t>
  </si>
  <si>
    <t>Ingrédients : Beaufort</t>
  </si>
  <si>
    <t>Ingrédients : F. de Chèvre</t>
  </si>
  <si>
    <t>Ingrédient: Oignon</t>
  </si>
  <si>
    <t>Ingrédients : Emmental</t>
  </si>
  <si>
    <r>
      <rPr>
        <b/>
        <u/>
        <sz val="12"/>
        <rFont val="Traditional Arabic"/>
        <family val="1"/>
      </rPr>
      <t xml:space="preserve">Spécialité Fromagère </t>
    </r>
    <r>
      <rPr>
        <b/>
        <sz val="12"/>
        <rFont val="Traditional Arabic"/>
        <family val="1"/>
      </rPr>
      <t xml:space="preserve">: Beaufort </t>
    </r>
  </si>
  <si>
    <r>
      <rPr>
        <b/>
        <u/>
        <sz val="12"/>
        <rFont val="Traditional Arabic"/>
        <family val="1"/>
      </rPr>
      <t xml:space="preserve">Spécialité Fromagère </t>
    </r>
    <r>
      <rPr>
        <b/>
        <sz val="12"/>
        <rFont val="Traditional Arabic"/>
        <family val="1"/>
      </rPr>
      <t xml:space="preserve">:  Fromage de chèvre </t>
    </r>
  </si>
  <si>
    <r>
      <rPr>
        <b/>
        <u/>
        <sz val="12"/>
        <rFont val="Traditional Arabic"/>
        <family val="1"/>
      </rPr>
      <t xml:space="preserve">Spécialité Fromagère </t>
    </r>
    <r>
      <rPr>
        <b/>
        <sz val="12"/>
        <rFont val="Traditional Arabic"/>
        <family val="1"/>
      </rPr>
      <t>:  Sauci'flette</t>
    </r>
  </si>
  <si>
    <t>Ingrédient : Roquefort</t>
  </si>
  <si>
    <t>Ingrédients : Canard</t>
  </si>
  <si>
    <t>Ingrédients : Cerf</t>
  </si>
  <si>
    <t>Ingrédients : Sanglier</t>
  </si>
  <si>
    <r>
      <rPr>
        <b/>
        <u/>
        <sz val="12"/>
        <rFont val="Traditional Arabic"/>
        <family val="1"/>
      </rPr>
      <t xml:space="preserve">Spécialité Carnée </t>
    </r>
    <r>
      <rPr>
        <b/>
        <sz val="12"/>
        <rFont val="Traditional Arabic"/>
        <family val="1"/>
      </rPr>
      <t xml:space="preserve">: Canard </t>
    </r>
  </si>
  <si>
    <r>
      <rPr>
        <b/>
        <u/>
        <sz val="12"/>
        <rFont val="Traditional Arabic"/>
        <family val="1"/>
      </rPr>
      <t xml:space="preserve">Spécialité Carnée </t>
    </r>
    <r>
      <rPr>
        <b/>
        <sz val="12"/>
        <rFont val="Traditional Arabic"/>
        <family val="1"/>
      </rPr>
      <t xml:space="preserve">:  Cerf </t>
    </r>
  </si>
  <si>
    <r>
      <rPr>
        <b/>
        <u/>
        <sz val="12"/>
        <rFont val="Traditional Arabic"/>
        <family val="1"/>
      </rPr>
      <t xml:space="preserve">Spécialité Carnée </t>
    </r>
    <r>
      <rPr>
        <b/>
        <sz val="12"/>
        <rFont val="Traditional Arabic"/>
        <family val="1"/>
      </rPr>
      <t>:  Sanglier</t>
    </r>
  </si>
  <si>
    <t>Ingrédients : Noisettes</t>
  </si>
  <si>
    <t>Ingrédients : Herbe de Provence</t>
  </si>
  <si>
    <t>Ingrédients : Cèpes</t>
  </si>
  <si>
    <t>Ingrdients : Olives</t>
  </si>
  <si>
    <t>Ingrédients : Huile d'olives</t>
  </si>
  <si>
    <t>Ingrédients: Ail</t>
  </si>
  <si>
    <t>Ingrédients : Fenouil</t>
  </si>
  <si>
    <t>Ingrédients : Génépi</t>
  </si>
  <si>
    <t>Ingrédients : Noix</t>
  </si>
  <si>
    <t>Ingrédients : Myrtilles</t>
  </si>
  <si>
    <t>Ingrédients: Piment Doux</t>
  </si>
  <si>
    <t>Ingrédients: Piment Fort</t>
  </si>
  <si>
    <t>Ingrédients: Piment Doux Fumé</t>
  </si>
  <si>
    <t>Ingrédients: Figue</t>
  </si>
  <si>
    <t>Ingrédients: Lavande</t>
  </si>
  <si>
    <t>Ingrédient : Noix</t>
  </si>
  <si>
    <t xml:space="preserve">Recettes : </t>
  </si>
  <si>
    <t>Grelot aux noix</t>
  </si>
  <si>
    <t>HALAL 200 COMPLET VAN HESS</t>
  </si>
  <si>
    <t>BN 200</t>
  </si>
  <si>
    <t>Produit</t>
  </si>
  <si>
    <t>Commentaire</t>
  </si>
  <si>
    <t>Quantité</t>
  </si>
  <si>
    <t>SACCHAROSE</t>
  </si>
  <si>
    <t>EPICES</t>
  </si>
  <si>
    <t xml:space="preserve">ASSAISONNEMENT </t>
  </si>
  <si>
    <t>FERMENT</t>
  </si>
  <si>
    <t>NOISETTES</t>
  </si>
  <si>
    <t>NOIX</t>
  </si>
  <si>
    <t>BEAUFORT</t>
  </si>
  <si>
    <t>ROQUEFORT</t>
  </si>
  <si>
    <t>BUCHE DE CHEVRE</t>
  </si>
  <si>
    <t>EMMENTAL</t>
  </si>
  <si>
    <t>HUILE D'OLIVE</t>
  </si>
  <si>
    <t>FIGUES</t>
  </si>
  <si>
    <t>MYRTILLES</t>
  </si>
  <si>
    <t>CEPES</t>
  </si>
  <si>
    <t>OIGNONS</t>
  </si>
  <si>
    <t>OLIVES VERTES</t>
  </si>
  <si>
    <t>VIN SABODET</t>
  </si>
  <si>
    <t>PISTACHES</t>
  </si>
  <si>
    <t>TRUFFES</t>
  </si>
  <si>
    <t>NATAMAX</t>
  </si>
  <si>
    <t xml:space="preserve">INGREDIENTS </t>
  </si>
  <si>
    <t>COMPLET CHORIZO HALAL</t>
  </si>
  <si>
    <t>VIANDE</t>
  </si>
  <si>
    <t>EPAULES 3D</t>
  </si>
  <si>
    <t>EPAULES 4D</t>
  </si>
  <si>
    <t>EPAULES 5-6D</t>
  </si>
  <si>
    <t>GRAS</t>
  </si>
  <si>
    <t>HAMPES</t>
  </si>
  <si>
    <t>MAIGRE 70-30</t>
  </si>
  <si>
    <t>COUENNE</t>
  </si>
  <si>
    <t>EPAULES 4D BIO</t>
  </si>
  <si>
    <t>BARDIERE BIO</t>
  </si>
  <si>
    <t>CANARD</t>
  </si>
  <si>
    <t>CERF</t>
  </si>
  <si>
    <t>SANGLIER</t>
  </si>
  <si>
    <t>CAPA</t>
  </si>
  <si>
    <t>MINERAI</t>
  </si>
  <si>
    <t>GRAS BOVIN</t>
  </si>
  <si>
    <t>FILET MIGNON</t>
  </si>
  <si>
    <t>JESUS</t>
  </si>
  <si>
    <t>SEL NITRITE E250</t>
  </si>
  <si>
    <t xml:space="preserve">NITRATE DE POTASSIUM </t>
  </si>
  <si>
    <t xml:space="preserve">BN 200 Leclerc </t>
  </si>
  <si>
    <t>Ferment 42R</t>
  </si>
  <si>
    <t>litre</t>
  </si>
  <si>
    <t>FENOUIL</t>
  </si>
  <si>
    <t>Ingrédient: Herbe de Prov.</t>
  </si>
  <si>
    <t>LAVANDE</t>
  </si>
  <si>
    <t>HALAL</t>
  </si>
  <si>
    <t>Saucisson Dinde &amp; Bœuf Halal 200</t>
  </si>
  <si>
    <t>Saucisson Dinde &amp; Bœuf Halrizo 200</t>
  </si>
  <si>
    <t>Saucisson Dinde &amp; Bœuf BN 3/350 grs Nature</t>
  </si>
  <si>
    <t>Saucisson Dinde &amp; Bœuf BN 3/350 grs Pimenté</t>
  </si>
  <si>
    <t>Saucisson Dinde &amp; Bœuf Halal Grosses Pièces</t>
  </si>
  <si>
    <t>Saucisson Dinde &amp; Bœuf Halrizo Grosses Pièces</t>
  </si>
  <si>
    <t>Mêlées</t>
  </si>
  <si>
    <t>HACHE MOYEN</t>
  </si>
  <si>
    <t xml:space="preserve">Rosettes Kg BN </t>
  </si>
  <si>
    <t>A CUIRE</t>
  </si>
  <si>
    <t>CUTTER-PETIT BROYEUR (GRILLE 6) -MELANGEUR</t>
  </si>
  <si>
    <t>A Cuire Nature</t>
  </si>
  <si>
    <t>A Cuire Pistaché</t>
  </si>
  <si>
    <t>CUTTER-PETIT BROYEUR (GRILLE 7) -MELANGEUR</t>
  </si>
  <si>
    <t>JESUS 7-800 (sous filet coton)</t>
  </si>
  <si>
    <t xml:space="preserve">Saucisse Courbe BN </t>
  </si>
  <si>
    <t>VPF</t>
  </si>
  <si>
    <t>SAG Nature</t>
  </si>
  <si>
    <t>SAG au St vérand 3%</t>
  </si>
  <si>
    <t xml:space="preserve">SAG au Canard 30% </t>
  </si>
  <si>
    <t>Tournée Chazelloise</t>
  </si>
  <si>
    <t>250 grs Salaisons de Provence</t>
  </si>
  <si>
    <t>SAG au Piment d'Espelette (2grs/kilo)</t>
  </si>
  <si>
    <t>3-400 Ane 15%</t>
  </si>
  <si>
    <t>3-400 Génépi 3% (=3 litres)</t>
  </si>
  <si>
    <t xml:space="preserve">3-400 Cerf 20% </t>
  </si>
  <si>
    <t>3-400 Sauci'flette</t>
  </si>
  <si>
    <t>GAMME SPECIALITES 200 grs</t>
  </si>
  <si>
    <t>Roquefort 4%</t>
  </si>
  <si>
    <t>Fromage de chèvre 5%</t>
  </si>
  <si>
    <t>Sauci'flette</t>
  </si>
  <si>
    <t>Noisettes 5%</t>
  </si>
  <si>
    <t>Noix 5%</t>
  </si>
  <si>
    <t>Génépi 2%</t>
  </si>
  <si>
    <t>Figues 10%</t>
  </si>
  <si>
    <t>Herbes Intérieures</t>
  </si>
  <si>
    <t>Fenouil</t>
  </si>
  <si>
    <t>Olives 10%</t>
  </si>
  <si>
    <t>Pimenté</t>
  </si>
  <si>
    <t>Aillé</t>
  </si>
  <si>
    <t>Marron 5%</t>
  </si>
  <si>
    <t>Comté 5%</t>
  </si>
  <si>
    <t>Vin Jaune 5% &amp; Noix 5%</t>
  </si>
  <si>
    <t xml:space="preserve">Lavande </t>
  </si>
  <si>
    <t>Morilles 1%</t>
  </si>
  <si>
    <t>Sanglier 15%</t>
  </si>
  <si>
    <t>Canard 15%</t>
  </si>
  <si>
    <t>3-400 Sanglier 15%</t>
  </si>
  <si>
    <t>HACHE GROS - ARTISANAL-</t>
  </si>
  <si>
    <t>PP BN 200 Nature</t>
  </si>
  <si>
    <r>
      <t xml:space="preserve">PP BN 200 Nature </t>
    </r>
    <r>
      <rPr>
        <b/>
        <sz val="11"/>
        <color rgb="FFC00000"/>
        <rFont val="Traditional Arabic"/>
        <family val="1"/>
      </rPr>
      <t>Leclerc</t>
    </r>
  </si>
  <si>
    <t>Myrtilles 2%</t>
  </si>
  <si>
    <t>Mignonette</t>
  </si>
  <si>
    <t>GAMME BIO</t>
  </si>
  <si>
    <t>200 grs BN</t>
  </si>
  <si>
    <t>CUTTER - PETIT BROYEUR (GRILLE 7) - MELANGEUR</t>
  </si>
  <si>
    <t>A CuireNature</t>
  </si>
  <si>
    <t>Acuire Nature BIO</t>
  </si>
  <si>
    <t>Cuisse de dinde</t>
  </si>
  <si>
    <t>Viande rouge Dinde</t>
  </si>
  <si>
    <t>Minerai</t>
  </si>
  <si>
    <t xml:space="preserve">Capa </t>
  </si>
  <si>
    <t>Gras bovin</t>
  </si>
  <si>
    <t>Halal 200
Halrizo 200
Halal 350 BN nature
Halal 350 BN pimenté</t>
  </si>
  <si>
    <t>Halal G.P.
Halrizo G.P.</t>
  </si>
  <si>
    <t xml:space="preserve">HALAL  </t>
  </si>
  <si>
    <t>Viande francaises</t>
  </si>
  <si>
    <t xml:space="preserve">Snaking:
Grelot aux Noix
Mignonettes </t>
  </si>
  <si>
    <t>Epaules 6D</t>
  </si>
  <si>
    <t>Epaules 4D</t>
  </si>
  <si>
    <t>Epaules 3D</t>
  </si>
  <si>
    <t>Gras</t>
  </si>
  <si>
    <t xml:space="preserve">Hampes </t>
  </si>
  <si>
    <t>Maigre</t>
  </si>
  <si>
    <t>Couenne</t>
  </si>
  <si>
    <t>A cuire</t>
  </si>
  <si>
    <t>Hache Moyen (Viande U.E)</t>
  </si>
  <si>
    <t>TOTAL</t>
  </si>
  <si>
    <t>BN 200 
Promo Leclerc</t>
  </si>
  <si>
    <t>250 grs Salaison de Provence</t>
  </si>
  <si>
    <t>Nombre de mêlées =</t>
  </si>
  <si>
    <t>Qtt total</t>
  </si>
  <si>
    <t xml:space="preserve">650 grs
Rosette Kg
Sauc. Droite
Mini Rosette </t>
  </si>
  <si>
    <t>3-400 nature</t>
  </si>
  <si>
    <t>7-800 Nature</t>
  </si>
  <si>
    <t>BIO</t>
  </si>
  <si>
    <t>200 grs</t>
  </si>
  <si>
    <t>A Cuire</t>
  </si>
  <si>
    <t>Epaules 4D BIO</t>
  </si>
  <si>
    <t>Bardiere BIO</t>
  </si>
  <si>
    <t>Nombre de mêlées</t>
  </si>
  <si>
    <t>Epaule 3D</t>
  </si>
  <si>
    <t>Hampes</t>
  </si>
  <si>
    <t xml:space="preserve">Gras </t>
  </si>
  <si>
    <t>Spécialité fromagères +
Spécialités Autres</t>
  </si>
  <si>
    <t>Canard 180-200</t>
  </si>
  <si>
    <t>Cerf 180-200</t>
  </si>
  <si>
    <t>Sanglier 180-200</t>
  </si>
  <si>
    <t>SPECIALITES 200 GRS</t>
  </si>
  <si>
    <t>PUR PORC</t>
  </si>
  <si>
    <t>Estimation besoin pour programme de fabrication</t>
  </si>
  <si>
    <t>Commandes
Particuliers</t>
  </si>
  <si>
    <t xml:space="preserve">Cèpes </t>
  </si>
  <si>
    <t>Total :</t>
  </si>
  <si>
    <t>Nouvelle recette au 18/12/2019</t>
  </si>
  <si>
    <t xml:space="preserve">FILET MIGNON                            </t>
  </si>
  <si>
    <t>Viandes Fraiches Françaises</t>
  </si>
  <si>
    <t xml:space="preserve">Stock au jeudi </t>
  </si>
  <si>
    <t>Total besoins pour S+1</t>
  </si>
  <si>
    <t xml:space="preserve">Besoin stock déduit </t>
  </si>
  <si>
    <t>Commande programmée</t>
  </si>
  <si>
    <t xml:space="preserve">Excédent (+) ou manque (-) après commandes </t>
  </si>
  <si>
    <t>Flanchet</t>
  </si>
  <si>
    <t>Sel Fin</t>
  </si>
  <si>
    <t>kg</t>
  </si>
  <si>
    <t>Sel Nitrité</t>
  </si>
  <si>
    <t>Ferment</t>
  </si>
  <si>
    <t>sachet</t>
  </si>
  <si>
    <t>Nb mêlées</t>
  </si>
  <si>
    <t>A partir du 18/05/2020</t>
  </si>
  <si>
    <t>HALRIZO 200  &amp; Grosses Pièces 
COMPLET VAN HESS</t>
  </si>
  <si>
    <t>BETTERAVE ROUGE</t>
  </si>
  <si>
    <t>Type de viandes</t>
  </si>
  <si>
    <t>HAUT DE CUISSE DE DINDE</t>
  </si>
  <si>
    <t>HG 250 grs
3-400 Artisanal
8-900 Artisanal
3-400 Arti. Aillé
Saucisse Courbe</t>
  </si>
  <si>
    <r>
      <rPr>
        <b/>
        <sz val="14"/>
        <rFont val="Traditional Arabic"/>
        <family val="1"/>
      </rPr>
      <t>VPF :</t>
    </r>
    <r>
      <rPr>
        <sz val="14"/>
        <rFont val="Traditional Arabic"/>
        <family val="1"/>
      </rPr>
      <t xml:space="preserve">
A cuire Nature
A Cuire Pistaché</t>
    </r>
  </si>
  <si>
    <r>
      <rPr>
        <b/>
        <sz val="14"/>
        <rFont val="Traditional Arabic"/>
        <family val="1"/>
      </rPr>
      <t xml:space="preserve">UE : </t>
    </r>
    <r>
      <rPr>
        <sz val="14"/>
        <rFont val="Traditional Arabic"/>
        <family val="1"/>
      </rPr>
      <t xml:space="preserve">
A cuire Nature
A Cuire Pistaché</t>
    </r>
  </si>
  <si>
    <t>Beaufort = 5kg</t>
  </si>
  <si>
    <t>Roquefort = 4kg</t>
  </si>
  <si>
    <t>F. Chèvre = 5 kg</t>
  </si>
  <si>
    <t xml:space="preserve">Emmental = 5 kg Oignon = 2 kg
</t>
  </si>
  <si>
    <t>Noisettes = 5 kg</t>
  </si>
  <si>
    <t>Noix = 5 kg</t>
  </si>
  <si>
    <t>Génépi = 3 L</t>
  </si>
  <si>
    <t>Figues = 10 kg</t>
  </si>
  <si>
    <t>Myrtilles = 2 kg</t>
  </si>
  <si>
    <t>Cèpes = 2 kg
Eau = 30grs /kg</t>
  </si>
  <si>
    <t>Cerf 15%</t>
  </si>
  <si>
    <t>Type de boyaux</t>
  </si>
  <si>
    <t>Unité
 bout ou stick</t>
  </si>
  <si>
    <t>Unité
cartons ou futs</t>
  </si>
  <si>
    <t>BOYAUX</t>
  </si>
  <si>
    <t>Collagène Fabios Diamètre 37</t>
  </si>
  <si>
    <t>STICK</t>
  </si>
  <si>
    <t>CARTONS</t>
  </si>
  <si>
    <t>Collagène FGR 95, en 63cm</t>
  </si>
  <si>
    <t>BOUTS</t>
  </si>
  <si>
    <t>Droit de Bœuf 51/54 en 30cm</t>
  </si>
  <si>
    <t>FUTS</t>
  </si>
  <si>
    <t>Chaudins 52/56 en 20cm</t>
  </si>
  <si>
    <t>Chaudins 52/56 
en 20cm</t>
  </si>
  <si>
    <t>Chaudins 53/57 
en 24cm</t>
  </si>
  <si>
    <t>Chaudins 63/66 
en 24cm</t>
  </si>
  <si>
    <t>Chaudins 65/70 
en 45cm</t>
  </si>
  <si>
    <t>Chaudins 48/53
 en 28cm</t>
  </si>
  <si>
    <t>Stock au jeudi 
Semaine en cours</t>
  </si>
  <si>
    <t>COMMANDE PROGRAMMÉE 
(en cartons/futs)</t>
  </si>
  <si>
    <t>Tête de Porc</t>
  </si>
  <si>
    <t>TÊTE DE PORC</t>
  </si>
  <si>
    <t>Planning S en cours</t>
  </si>
  <si>
    <t>Ventes S en cours</t>
  </si>
  <si>
    <t xml:space="preserve">Prévision S+1 </t>
  </si>
  <si>
    <t>PAS POUR LE MOMENT</t>
  </si>
  <si>
    <t>Taureau 15%</t>
  </si>
  <si>
    <t>TAUREAU</t>
  </si>
  <si>
    <t>Taureau 180-200</t>
  </si>
  <si>
    <t>Ingrédients : Cèpes de France</t>
  </si>
  <si>
    <t>Ingrédients : Truffes Françaises</t>
  </si>
  <si>
    <t>Marc de Savoie</t>
  </si>
  <si>
    <t>CEPES DE FRANCE</t>
  </si>
  <si>
    <t>A Cuire à la Truffe Noire Française et aux Cèpes de France</t>
  </si>
  <si>
    <t>A Cuire Truffes et Cèpes de France</t>
  </si>
  <si>
    <t>ERYTHORBATE DE SODIUM</t>
  </si>
  <si>
    <t>Spécialité Carnée : Taureau</t>
  </si>
  <si>
    <t>Ingrédient : Taureau</t>
  </si>
  <si>
    <t>CUTTER-PETIT BROYEUR (GRILLE 6) -MELANGEUR - 
EMBOSSAGE 310 g - sauf  Noisette &amp; Noix Embossage 295 grs (màj s.13)</t>
  </si>
  <si>
    <t>FLANCHET DE DINDE</t>
  </si>
  <si>
    <t xml:space="preserve">   (0 / 100 kg)</t>
  </si>
  <si>
    <r>
      <t xml:space="preserve">CUTTER- GROS BROYEUR (Grille 6)- ASSAISONNEMENT CUTTER
EMBOSSAGE : </t>
    </r>
    <r>
      <rPr>
        <b/>
        <u/>
        <sz val="12"/>
        <rFont val="Traditional Arabic"/>
        <family val="1"/>
      </rPr>
      <t xml:space="preserve">300 g </t>
    </r>
  </si>
  <si>
    <t>Mêlée de 
150 KG</t>
  </si>
  <si>
    <t>Mêlée de 150 KG</t>
  </si>
  <si>
    <t>Poids cumulés</t>
  </si>
  <si>
    <t>ARÔME DE PAPRIKA</t>
  </si>
  <si>
    <t>HALRIZO Grosses pièces</t>
  </si>
  <si>
    <t>Spécialités diverses -  NOISETTES</t>
  </si>
  <si>
    <t>Spécialités diverses - MYRTILLES</t>
  </si>
  <si>
    <t>Noix</t>
  </si>
  <si>
    <t>Génépi</t>
  </si>
  <si>
    <t>Cèpes</t>
  </si>
  <si>
    <t>Ail</t>
  </si>
  <si>
    <t>Lavande</t>
  </si>
  <si>
    <t>Ail des Ours</t>
  </si>
  <si>
    <t>Spécialités diverses</t>
  </si>
  <si>
    <t>Ingrédients</t>
  </si>
  <si>
    <t>Spécialités diverses - NOIX</t>
  </si>
  <si>
    <t>Spécialités diverses - GENEPI</t>
  </si>
  <si>
    <t>Spécialités diverses - HERBES INTERIEURES</t>
  </si>
  <si>
    <t>Spécialités diverses - FENOUIL</t>
  </si>
  <si>
    <t>Spécialités diverses - CEPES</t>
  </si>
  <si>
    <t>Spécialités diverses  - OLIVES</t>
  </si>
  <si>
    <t>Spécialités diverses - AIL</t>
  </si>
  <si>
    <t>Spécialités diverses - PIMENTE</t>
  </si>
  <si>
    <t>Spécialités diverses - FIGUE</t>
  </si>
  <si>
    <t>Spécialités diverses - LAVANDE</t>
  </si>
  <si>
    <t>Recettes Viandes Fraiches Françaises</t>
  </si>
  <si>
    <t>Chaudins: 250 grs Salaison de Provence</t>
  </si>
  <si>
    <t>AIL DES OURS</t>
  </si>
  <si>
    <t xml:space="preserve"> GENEPI</t>
  </si>
  <si>
    <t>Ingrédients: Ail des Ours</t>
  </si>
  <si>
    <t>Spécialités diverses - AIL DES OURS</t>
  </si>
  <si>
    <t>HALRIZO 200 g</t>
  </si>
  <si>
    <t>HALAL  PIMENTE BN 350 g</t>
  </si>
  <si>
    <t>- SAUCISSON PUR PORC A CUIRE -</t>
  </si>
  <si>
    <t>- SABODET A CUIRE -</t>
  </si>
  <si>
    <t>- SAUCISSON A CUIRE PISTACHE -</t>
  </si>
  <si>
    <t xml:space="preserve">- SAUCSISSON A CUIRE A LA TRUFFE NOIRE FRANCAISE &amp; AUX CEPES DE FRANCE - </t>
  </si>
  <si>
    <t>SAG aux Cèpes (cèpes 1,5 kg + eau)</t>
  </si>
  <si>
    <t>SAG au Beaufort 5% (= 7,5kg)</t>
  </si>
  <si>
    <t>SAG aux Noisettes 5% (= 7,5kg)</t>
  </si>
  <si>
    <t>3-400 Beaufort 5% (= 7,5 kg)</t>
  </si>
  <si>
    <t>3-400 Olives 10% (=15kg)</t>
  </si>
  <si>
    <t>3-400 Noisettes 5% (=7,5kg)</t>
  </si>
  <si>
    <t>3-400 fromage de chèvre 5% (=7,5kg)</t>
  </si>
  <si>
    <t>3-400 Noix 5% (=7,5kg)</t>
  </si>
  <si>
    <t>+ 25 kg POUR TREMPAGE DES BOYAUX</t>
  </si>
  <si>
    <t>BC 40 (100 kg)</t>
  </si>
  <si>
    <t>MF 55 (150 kg)</t>
  </si>
  <si>
    <t>MF 244 (150 kg)</t>
  </si>
  <si>
    <t>MF 42R( 150 kg)</t>
  </si>
  <si>
    <t>kg
litre</t>
  </si>
  <si>
    <t>Myrtilles</t>
  </si>
  <si>
    <t>Noisettes</t>
  </si>
  <si>
    <t xml:space="preserve">- MIGNONETTE - </t>
  </si>
  <si>
    <t xml:space="preserve">- 250g ARTISANAL - </t>
  </si>
  <si>
    <t xml:space="preserve">- 7-800g ARTISANAL - </t>
  </si>
  <si>
    <t xml:space="preserve">- 3-400g ARTISANAL - </t>
  </si>
  <si>
    <t>- 3-400g ARTISANAL AILLÉ -</t>
  </si>
  <si>
    <t>- SAUCISSES COURBE -</t>
  </si>
  <si>
    <t>- HM 7-800g -</t>
  </si>
  <si>
    <t>- ROSETTE KILO -</t>
  </si>
  <si>
    <t xml:space="preserve">- CLIPPES : MINI ROSETTE - </t>
  </si>
  <si>
    <t>- HM 650 g -</t>
  </si>
  <si>
    <t>- CLIPPES : SAUCISSE DROITE -</t>
  </si>
  <si>
    <t>- BN 200 -</t>
  </si>
  <si>
    <t>PHOSPHATE (E450+E451)</t>
  </si>
  <si>
    <r>
      <t xml:space="preserve">PHOSPHATE </t>
    </r>
    <r>
      <rPr>
        <b/>
        <sz val="16"/>
        <color rgb="FFFF0000"/>
        <rFont val="Traditional Arabic"/>
        <family val="1"/>
      </rPr>
      <t>(E450+E451)</t>
    </r>
  </si>
  <si>
    <t>FERMENTS 42R</t>
  </si>
  <si>
    <t>HALAL 
Grosses Pièces</t>
  </si>
  <si>
    <t>HALAL 
200g</t>
  </si>
  <si>
    <t>HALAL 
BN nature 350g</t>
  </si>
  <si>
    <t xml:space="preserve">DEXTROSE </t>
  </si>
  <si>
    <t>- HM 3-400g -</t>
  </si>
  <si>
    <t xml:space="preserve">Fenouil= 375 g
</t>
  </si>
  <si>
    <t xml:space="preserve">Herbe de Prov. = 350 g
</t>
  </si>
  <si>
    <t>Olives= 10 kg
Huile d'olive= 1 L
Herbe de pro.= 100 g</t>
  </si>
  <si>
    <t xml:space="preserve">Ail des Ours </t>
  </si>
  <si>
    <t>Ail des Ours - 1,6 Kg</t>
  </si>
  <si>
    <t>HG 250g</t>
  </si>
  <si>
    <t>HM 650g</t>
  </si>
  <si>
    <t>Saucisse Droite 250g</t>
  </si>
  <si>
    <t>Mini Rosette 400g</t>
  </si>
  <si>
    <t>HERBES DE PROVENCE</t>
  </si>
  <si>
    <r>
      <rPr>
        <b/>
        <u/>
        <sz val="12"/>
        <rFont val="Traditional Arabic"/>
        <family val="1"/>
      </rPr>
      <t xml:space="preserve">Spécialités Fromagères </t>
    </r>
    <r>
      <rPr>
        <b/>
        <sz val="12"/>
        <rFont val="Traditional Arabic"/>
        <family val="1"/>
      </rPr>
      <t>: Pourcentages</t>
    </r>
  </si>
  <si>
    <t>% Beaufort</t>
  </si>
  <si>
    <t>Ingrédients : Fromage de Chèvre</t>
  </si>
  <si>
    <t>Ingrédients : Roquefort</t>
  </si>
  <si>
    <t>Ingrédients : Oignon</t>
  </si>
  <si>
    <t>% Fromage de Chèvre</t>
  </si>
  <si>
    <t>% Roquefort</t>
  </si>
  <si>
    <t>% Sauci'flette</t>
  </si>
  <si>
    <t>Spécialités Carnées : Pourcentages</t>
  </si>
  <si>
    <t>Mêlée de 150Kg</t>
  </si>
  <si>
    <t xml:space="preserve">% </t>
  </si>
  <si>
    <t>Ingrédients carné</t>
  </si>
  <si>
    <t>Olives
(Olives, Huile d'olives, Herbes de Provence)</t>
  </si>
  <si>
    <t>%</t>
  </si>
  <si>
    <t>Viandes</t>
  </si>
  <si>
    <t>Qté par mêlée</t>
  </si>
  <si>
    <t>Qté</t>
  </si>
  <si>
    <t>Ingrédient Carné</t>
  </si>
  <si>
    <t>U</t>
  </si>
  <si>
    <t>scht</t>
  </si>
  <si>
    <t>VIANDES</t>
  </si>
  <si>
    <t>TOTAL VIANDES</t>
  </si>
  <si>
    <t>MINERAI DE BŒUF</t>
  </si>
  <si>
    <t>GRAS DE BŒUF</t>
  </si>
  <si>
    <t>% Viandes = Viande Concernée X 100 / Total Viandes</t>
  </si>
  <si>
    <t>% Assaisonnement = Ingrédient Concerné X 100 / (Total Assaisonnement sauf Ferment + Total Viandes)</t>
  </si>
  <si>
    <t>PLU : 197 / 197471 / 5043 / 5044</t>
  </si>
  <si>
    <t>HALRIZO
200g</t>
  </si>
  <si>
    <t>PLU : 198 / 198471 / 5043 / 5044</t>
  </si>
  <si>
    <t>FERMENT 42R</t>
  </si>
  <si>
    <t>PLU : 203</t>
  </si>
  <si>
    <t>HALAL BN nature 350g</t>
  </si>
  <si>
    <t>SEL</t>
  </si>
  <si>
    <t>HALAL BN  pimenté 350g</t>
  </si>
  <si>
    <t xml:space="preserve">ORIGAN </t>
  </si>
  <si>
    <t>PLU : 204</t>
  </si>
  <si>
    <t>PLU : 302 / 302471</t>
  </si>
  <si>
    <t>GAMME HALAL</t>
  </si>
  <si>
    <t>PLU : 306 / 306471</t>
  </si>
  <si>
    <t>HALAL Grosses pièces</t>
  </si>
  <si>
    <t>GAMME ARTISANALE</t>
  </si>
  <si>
    <t>SAUCISSE COURBÉ</t>
  </si>
  <si>
    <t>ÉPAULE 4D</t>
  </si>
  <si>
    <t>250g ARTISANAL</t>
  </si>
  <si>
    <t>PLU : 130 / 13045</t>
  </si>
  <si>
    <t>PLU : 191 / 19145 / 191490 / 191492</t>
  </si>
  <si>
    <t>PLU : 22649 / 226492</t>
  </si>
  <si>
    <t>7-800g ARTISANAL</t>
  </si>
  <si>
    <t>3-400g ARTISANAL</t>
  </si>
  <si>
    <t>PLU : 190-V</t>
  </si>
  <si>
    <t>3-400g ARTISANAL AILLÉ</t>
  </si>
  <si>
    <t>GAMME LE TERROIR</t>
  </si>
  <si>
    <t xml:space="preserve">GRAS </t>
  </si>
  <si>
    <t>PLU : 102 / 10217 / 174 / 128 / 5012 / 5022 / 5039 / 5040 / 5050 / 5055</t>
  </si>
  <si>
    <t>ÉPAULE 3D</t>
  </si>
  <si>
    <t>PLU : 170 / 141</t>
  </si>
  <si>
    <t>ROSETTE KILO</t>
  </si>
  <si>
    <t>PLU : 171</t>
  </si>
  <si>
    <t>PLU : 178 / 1781</t>
  </si>
  <si>
    <t>SAUCISSE DROITE</t>
  </si>
  <si>
    <t>PLU : 179 / 273 / 5031</t>
  </si>
  <si>
    <t>MINI-ROSETTE</t>
  </si>
  <si>
    <t>HM 7-800g</t>
  </si>
  <si>
    <t>PLU : 226</t>
  </si>
  <si>
    <t>PLU : 102V-167 / 102 / 1671</t>
  </si>
  <si>
    <t>GAMME SPÉCIALITÉS 200g</t>
  </si>
  <si>
    <t>PIMENTÉ</t>
  </si>
  <si>
    <t>PLU : 100</t>
  </si>
  <si>
    <t>Ingrédients: Piment Fumé</t>
  </si>
  <si>
    <t>PLU : 101</t>
  </si>
  <si>
    <t>FUMÉ</t>
  </si>
  <si>
    <t>PLU : 103 / 174326</t>
  </si>
  <si>
    <t>PLU : 104 / 174426</t>
  </si>
  <si>
    <t>PLU : 105</t>
  </si>
  <si>
    <t>CENDRÉ</t>
  </si>
  <si>
    <t>PLU : 108</t>
  </si>
  <si>
    <t>PLU : 110 / 5062</t>
  </si>
  <si>
    <t>PLU : 111 / 5050 / 5064</t>
  </si>
  <si>
    <t>PLU : 112 / 5055 / 5064</t>
  </si>
  <si>
    <t>ENROBÉ AU PIMENT CONCASSÉ</t>
  </si>
  <si>
    <t>ENROBÉ AU POIVRE NOIR</t>
  </si>
  <si>
    <t>ENROBÉ AUX HERBES DE PROVENCE</t>
  </si>
  <si>
    <t>PLU : 113</t>
  </si>
  <si>
    <t>PLU : 114 / 5050 / 5064</t>
  </si>
  <si>
    <t>CÈPES</t>
  </si>
  <si>
    <t>PLU : 115</t>
  </si>
  <si>
    <t>GÉNÉPI</t>
  </si>
  <si>
    <t>PLU : 116</t>
  </si>
  <si>
    <t>PLU : 118</t>
  </si>
  <si>
    <t>OLIVES &amp; HUILE D"OLIVE</t>
  </si>
  <si>
    <t>PLU : 119</t>
  </si>
  <si>
    <t>HERBES INTÉRIEURES</t>
  </si>
  <si>
    <t>PLU : 121</t>
  </si>
  <si>
    <t>FIGUE</t>
  </si>
  <si>
    <t>PLU : 123</t>
  </si>
  <si>
    <t>PLU : 124</t>
  </si>
  <si>
    <t>PLU : 126 / 1260</t>
  </si>
  <si>
    <t>PLU : 138</t>
  </si>
  <si>
    <t>PLU : 139</t>
  </si>
  <si>
    <t>PLU : 150 / 5063</t>
  </si>
  <si>
    <t>PLU : 190</t>
  </si>
  <si>
    <t>AIL</t>
  </si>
  <si>
    <t>Ingrédient : Ail</t>
  </si>
  <si>
    <t>PLU : 193 / 5063</t>
  </si>
  <si>
    <t>PLU : 215</t>
  </si>
  <si>
    <t>SAUCI'FLETTE</t>
  </si>
  <si>
    <t>Ingrédient : Emmental</t>
  </si>
  <si>
    <t>Ingrédient : Oignon</t>
  </si>
  <si>
    <t>PLU : 218 / 5055 / 5062</t>
  </si>
  <si>
    <t>FROMAGE DE CHÈVRE</t>
  </si>
  <si>
    <t>Ingrédient : Fromage de Chèvre</t>
  </si>
  <si>
    <t>PLU : 228 / 5063</t>
  </si>
  <si>
    <t>GAMME À CUIRE</t>
  </si>
  <si>
    <t>PLU : 144 / 1441 / /145</t>
  </si>
  <si>
    <t>SAUCISSON À CUIRE PISTACHÉ</t>
  </si>
  <si>
    <t>PLU : 220 / 22012 / 222</t>
  </si>
  <si>
    <t>SAUCISSON PUR PORC À CUIRE</t>
  </si>
  <si>
    <t>PLU : 229 / 2298</t>
  </si>
  <si>
    <t>PLU : 247</t>
  </si>
  <si>
    <t>SAUCISSON À CUIRE À LATRUFFE NOIRE FRANÇAISE  &amp; AUX CÈPES DE FRANCE</t>
  </si>
  <si>
    <t>GAMME ALLÉGÉE</t>
  </si>
  <si>
    <t>ÉPAULE 6D</t>
  </si>
  <si>
    <t>GAMME GRIGNOTAGE</t>
  </si>
  <si>
    <t>PLU : 166 / 1660</t>
  </si>
  <si>
    <t>MIGNONETTE</t>
  </si>
  <si>
    <t>PLU : 13713749 / 13749 / 137492 / 10149 - fume / 10349 -enr h / 10449 - enr p / 10549 - cendre</t>
  </si>
  <si>
    <t>HM 3-400g</t>
  </si>
  <si>
    <t>ENROBÉ AUX SAVEURS PROVENÇALES</t>
  </si>
  <si>
    <t>L</t>
  </si>
  <si>
    <t>PLU : 107 / 10717-fume / 107317-enr h / 107417-enr p / 109 / -1/2sag</t>
  </si>
  <si>
    <t>SABODET À CUIRE</t>
  </si>
  <si>
    <t>Voir si dispo 
septembre 2023</t>
  </si>
  <si>
    <t xml:space="preserve">% Assaisonnement = Ingrédient Concerné X 100 / (Total Assaisonnement sauf Ferment + Total Viandes)
</t>
  </si>
  <si>
    <r>
      <rPr>
        <b/>
        <sz val="14"/>
        <color theme="1"/>
        <rFont val="Traditional Arabic"/>
        <family val="1"/>
      </rPr>
      <t>Calcul du % Assaisonnement : réf dossier Service concurrence, consommation et répression des fraudes n°2021-567 / départ n°2022-287 de la visite du 24 juin 2021</t>
    </r>
    <r>
      <rPr>
        <sz val="14"/>
        <color theme="1"/>
        <rFont val="Traditional Arabic"/>
        <family val="1"/>
      </rPr>
      <t xml:space="preserve">
2.2 &gt; C/ : "[…] il apparaît donc que 3 kg d'eau sont ajoutés aux 2kg de cèpes déshydratés. Ce sont donc 5kg de cèpes réhydratés qui sont intégrés dans la mêlée (viande 150kg + assaisonnement et cèpes 11,198 kg) d'un poids total de 161,198kg. Ces 5kg de cèpes représentent donc un pourcentage d'environ 3,10% à la mise en oeuvre</t>
    </r>
  </si>
  <si>
    <t>PRODUIT</t>
  </si>
  <si>
    <t>Sel nitrité</t>
  </si>
  <si>
    <t>Nitrate de potassium</t>
  </si>
  <si>
    <t>Dextrose de blé</t>
  </si>
  <si>
    <t>Saccharose</t>
  </si>
  <si>
    <t>Lactose</t>
  </si>
  <si>
    <t>Poivre blanc moulu</t>
  </si>
  <si>
    <t>Ail semoulé</t>
  </si>
  <si>
    <t>Phosphate</t>
  </si>
  <si>
    <t>Piment fort</t>
  </si>
  <si>
    <t>Piment doux</t>
  </si>
  <si>
    <t>Cumin</t>
  </si>
  <si>
    <t>Origan</t>
  </si>
  <si>
    <t>Arôme de Paprika</t>
  </si>
  <si>
    <t>FERMENTS</t>
  </si>
  <si>
    <t>Ferments 42R</t>
  </si>
  <si>
    <t>Halrizo GP</t>
  </si>
  <si>
    <t>Halrizo 200g</t>
  </si>
  <si>
    <t>Piment doux fumé</t>
  </si>
  <si>
    <t>INGRÉDIENTS</t>
  </si>
  <si>
    <t xml:space="preserve">Récap besoin </t>
  </si>
  <si>
    <t>Viande rouge dinde</t>
  </si>
  <si>
    <t>Minerai de boeuf</t>
  </si>
  <si>
    <t>Capa de bœuf</t>
  </si>
  <si>
    <t>Gros bovin</t>
  </si>
  <si>
    <t>Flanchet de dinde</t>
  </si>
  <si>
    <t>PP HG 7-800g Artisanal</t>
  </si>
  <si>
    <t>PP HG 3-400g Artisanal</t>
  </si>
  <si>
    <t>PP HG 3-400g Artisanal à l'Ail</t>
  </si>
  <si>
    <t>Ingrédients : Cognac</t>
  </si>
  <si>
    <t>COGNAC</t>
  </si>
  <si>
    <t>RECETTES PONCTUELLES</t>
  </si>
  <si>
    <t>PINEAU</t>
  </si>
  <si>
    <t>Ingrédients : Pineau</t>
  </si>
  <si>
    <t>Ingrédients : Piment Concassé + 15% Piment Doux Paprika</t>
  </si>
  <si>
    <t>CUTTER</t>
  </si>
  <si>
    <t xml:space="preserve">Beaufort 5% </t>
  </si>
  <si>
    <t>26/06/2023 - A faire obligatoirement : 2 mêlées en S27 + 2 en S28 + 2 en S29</t>
  </si>
  <si>
    <t>PLANNING FABRICATION  SEMAINE 28</t>
  </si>
  <si>
    <t>Total besoins pour S.28</t>
  </si>
  <si>
    <t>Rosette PP Kg                                                                                                                  30 pièces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</si>
</sst>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0"/>
    <numFmt numFmtId="166" formatCode="0.0"/>
  </numFmts>
  <fonts count="80" x14ac:knownFonts="1">
    <font>
      <sz val="11"/>
      <color theme="1"/>
      <name val="Calibri"/>
      <family val="2"/>
      <scheme val="minor"/>
    </font>
    <font>
      <b/>
      <sz val="8"/>
      <color indexed="81"/>
      <name val="Tahoma"/>
      <family val="2"/>
    </font>
    <font>
      <sz val="8"/>
      <color indexed="81"/>
      <name val="Tahoma"/>
      <family val="2"/>
    </font>
    <font>
      <sz val="14"/>
      <color theme="1"/>
      <name val="Traditional Arabic"/>
      <family val="1"/>
    </font>
    <font>
      <b/>
      <sz val="14"/>
      <name val="Traditional Arabic"/>
      <family val="1"/>
    </font>
    <font>
      <b/>
      <sz val="14"/>
      <color indexed="10"/>
      <name val="Traditional Arabic"/>
      <family val="1"/>
    </font>
    <font>
      <sz val="11"/>
      <color theme="1"/>
      <name val="Traditional Arabic"/>
      <family val="1"/>
    </font>
    <font>
      <b/>
      <sz val="12"/>
      <name val="Traditional Arabic"/>
      <family val="1"/>
    </font>
    <font>
      <sz val="12"/>
      <color theme="1"/>
      <name val="Traditional Arabic"/>
      <family val="1"/>
    </font>
    <font>
      <b/>
      <sz val="14"/>
      <color theme="1"/>
      <name val="Traditional Arabic"/>
      <family val="1"/>
    </font>
    <font>
      <sz val="14"/>
      <name val="Traditional Arabic"/>
      <family val="1"/>
    </font>
    <font>
      <b/>
      <u/>
      <sz val="14"/>
      <name val="Traditional Arabic"/>
      <family val="1"/>
    </font>
    <font>
      <sz val="12"/>
      <color theme="1"/>
      <name val="Calibri"/>
      <family val="2"/>
      <scheme val="minor"/>
    </font>
    <font>
      <sz val="12"/>
      <name val="Traditional Arabic"/>
      <family val="1"/>
    </font>
    <font>
      <b/>
      <u/>
      <sz val="12"/>
      <name val="Traditional Arabic"/>
      <family val="1"/>
    </font>
    <font>
      <b/>
      <sz val="18"/>
      <color theme="1"/>
      <name val="Traditional Arabic"/>
      <family val="1"/>
    </font>
    <font>
      <b/>
      <sz val="18"/>
      <name val="Traditional Arabic"/>
      <family val="1"/>
    </font>
    <font>
      <b/>
      <sz val="16"/>
      <name val="Traditional Arabic"/>
      <family val="1"/>
    </font>
    <font>
      <sz val="8"/>
      <name val="Calibri"/>
      <family val="2"/>
      <scheme val="minor"/>
    </font>
    <font>
      <b/>
      <sz val="12"/>
      <color theme="1"/>
      <name val="Traditional Arabic"/>
      <family val="1"/>
    </font>
    <font>
      <sz val="10"/>
      <color theme="1"/>
      <name val="Traditional Arabic"/>
      <family val="1"/>
    </font>
    <font>
      <b/>
      <sz val="14"/>
      <color rgb="FF0000FF"/>
      <name val="Traditional Arabic"/>
      <family val="1"/>
    </font>
    <font>
      <b/>
      <sz val="12"/>
      <color rgb="FF0000FF"/>
      <name val="Traditional Arabic"/>
      <family val="1"/>
    </font>
    <font>
      <b/>
      <sz val="11"/>
      <color rgb="FF0000FF"/>
      <name val="Traditional Arabic"/>
      <family val="1"/>
    </font>
    <font>
      <sz val="10"/>
      <color rgb="FF0000FF"/>
      <name val="Traditional Arabic"/>
      <family val="1"/>
    </font>
    <font>
      <b/>
      <sz val="14"/>
      <color rgb="FFC00000"/>
      <name val="Traditional Arabic"/>
      <family val="1"/>
    </font>
    <font>
      <i/>
      <sz val="12"/>
      <color rgb="FF0000FF"/>
      <name val="Traditional Arabic"/>
      <family val="1"/>
    </font>
    <font>
      <b/>
      <sz val="10"/>
      <name val="Traditional Arabic"/>
      <family val="1"/>
    </font>
    <font>
      <b/>
      <sz val="12"/>
      <color rgb="FFC00000"/>
      <name val="Traditional Arabic"/>
      <family val="1"/>
    </font>
    <font>
      <sz val="10"/>
      <name val="Traditional Arabic"/>
      <family val="1"/>
    </font>
    <font>
      <sz val="11"/>
      <color rgb="FF0000FF"/>
      <name val="Traditional Arabic"/>
      <family val="1"/>
    </font>
    <font>
      <sz val="10"/>
      <color theme="1"/>
      <name val="Calibri"/>
      <family val="2"/>
      <scheme val="minor"/>
    </font>
    <font>
      <b/>
      <u/>
      <sz val="10"/>
      <name val="Traditional Arabic"/>
      <family val="1"/>
    </font>
    <font>
      <sz val="14"/>
      <color rgb="FF0000FF"/>
      <name val="Traditional Arabic"/>
      <family val="1"/>
    </font>
    <font>
      <b/>
      <u/>
      <sz val="16"/>
      <name val="Traditional Arabic"/>
      <family val="1"/>
    </font>
    <font>
      <sz val="18"/>
      <color theme="1"/>
      <name val="Traditional Arabic"/>
      <family val="1"/>
    </font>
    <font>
      <sz val="16"/>
      <color theme="1"/>
      <name val="Calibri"/>
      <family val="2"/>
      <scheme val="minor"/>
    </font>
    <font>
      <b/>
      <sz val="11"/>
      <color theme="1"/>
      <name val="Traditional Arabic"/>
      <family val="1"/>
    </font>
    <font>
      <b/>
      <sz val="9"/>
      <color indexed="81"/>
      <name val="Tahoma"/>
      <family val="2"/>
    </font>
    <font>
      <sz val="9"/>
      <color indexed="81"/>
      <name val="Tahoma"/>
      <family val="2"/>
    </font>
    <font>
      <b/>
      <sz val="12"/>
      <color rgb="FF00B050"/>
      <name val="Traditional Arabic"/>
      <family val="1"/>
    </font>
    <font>
      <sz val="11"/>
      <color rgb="FFFF0000"/>
      <name val="Calibri"/>
      <family val="2"/>
      <scheme val="minor"/>
    </font>
    <font>
      <b/>
      <sz val="12"/>
      <color rgb="FFFF0000"/>
      <name val="Traditional Arabic"/>
      <family val="1"/>
    </font>
    <font>
      <b/>
      <sz val="14"/>
      <color rgb="FFFF0000"/>
      <name val="Traditional Arabic"/>
      <family val="1"/>
    </font>
    <font>
      <b/>
      <sz val="14"/>
      <color rgb="FF00B050"/>
      <name val="Traditional Arabic"/>
      <family val="1"/>
    </font>
    <font>
      <b/>
      <sz val="11"/>
      <color rgb="FFC00000"/>
      <name val="Traditional Arabic"/>
      <family val="1"/>
    </font>
    <font>
      <b/>
      <sz val="11"/>
      <name val="Traditional Arabic"/>
      <family val="1"/>
    </font>
    <font>
      <b/>
      <sz val="20"/>
      <name val="Traditional Arabic"/>
      <family val="1"/>
    </font>
    <font>
      <b/>
      <sz val="16"/>
      <color theme="0"/>
      <name val="Traditional Arabic"/>
      <family val="1"/>
    </font>
    <font>
      <b/>
      <sz val="10"/>
      <color theme="0"/>
      <name val="Traditional Arabic"/>
      <family val="1"/>
    </font>
    <font>
      <b/>
      <sz val="9"/>
      <name val="Traditional Arabic"/>
      <family val="1"/>
    </font>
    <font>
      <b/>
      <sz val="9"/>
      <color theme="2" tint="-0.249977111117893"/>
      <name val="Traditional Arabic"/>
      <family val="1"/>
    </font>
    <font>
      <b/>
      <sz val="10"/>
      <color theme="2" tint="-0.249977111117893"/>
      <name val="Traditional Arabic"/>
      <family val="1"/>
    </font>
    <font>
      <b/>
      <sz val="11"/>
      <color theme="2" tint="-9.9978637043366805E-2"/>
      <name val="Traditional Arabic"/>
      <family val="1"/>
    </font>
    <font>
      <b/>
      <sz val="16"/>
      <color rgb="FF0070C0"/>
      <name val="Traditional Arabic"/>
      <family val="1"/>
    </font>
    <font>
      <b/>
      <sz val="20"/>
      <color rgb="FFC00000"/>
      <name val="Traditional Arabic"/>
      <family val="1"/>
    </font>
    <font>
      <b/>
      <sz val="16"/>
      <color rgb="FFFF0000"/>
      <name val="Traditional Arabic"/>
      <family val="1"/>
    </font>
    <font>
      <b/>
      <sz val="28"/>
      <name val="Traditional Arabic"/>
      <family val="1"/>
    </font>
    <font>
      <b/>
      <sz val="26"/>
      <name val="Traditional Arabic"/>
      <family val="1"/>
    </font>
    <font>
      <b/>
      <sz val="48"/>
      <name val="Traditional Arabic"/>
      <family val="1"/>
    </font>
    <font>
      <b/>
      <sz val="22"/>
      <name val="Traditional Arabic"/>
      <family val="1"/>
    </font>
    <font>
      <b/>
      <sz val="36"/>
      <name val="Traditional Arabic"/>
      <family val="1"/>
    </font>
    <font>
      <b/>
      <sz val="24"/>
      <color indexed="81"/>
      <name val="Tahoma"/>
      <family val="2"/>
    </font>
    <font>
      <b/>
      <strike/>
      <sz val="28"/>
      <name val="Traditional Arabic"/>
      <family val="1"/>
    </font>
    <font>
      <b/>
      <sz val="18"/>
      <color rgb="FFFF0000"/>
      <name val="Traditional Arabic"/>
      <family val="1"/>
    </font>
    <font>
      <b/>
      <sz val="18"/>
      <color rgb="FF00B050"/>
      <name val="Traditional Arabic"/>
      <family val="1"/>
    </font>
    <font>
      <sz val="18"/>
      <name val="Traditional Arabic"/>
      <family val="1"/>
    </font>
    <font>
      <b/>
      <sz val="18"/>
      <color rgb="FFC00000"/>
      <name val="Traditional Arabic"/>
      <family val="1"/>
    </font>
    <font>
      <sz val="18"/>
      <color rgb="FFC00000"/>
      <name val="Traditional Arabic"/>
      <family val="1"/>
    </font>
    <font>
      <u/>
      <sz val="12"/>
      <name val="Traditional Arabic"/>
      <family val="1"/>
    </font>
    <font>
      <sz val="12"/>
      <color rgb="FFFF0000"/>
      <name val="Traditional Arabic"/>
      <family val="1"/>
    </font>
    <font>
      <b/>
      <sz val="11"/>
      <color theme="1"/>
      <name val="Calibri"/>
      <family val="2"/>
      <scheme val="minor"/>
    </font>
    <font>
      <b/>
      <sz val="14"/>
      <color theme="4" tint="-0.499984740745262"/>
      <name val="Traditional Arabic"/>
      <family val="1"/>
    </font>
    <font>
      <b/>
      <sz val="17"/>
      <color theme="1"/>
      <name val="Traditional Arabic"/>
      <family val="1"/>
    </font>
    <font>
      <sz val="22"/>
      <color theme="1"/>
      <name val="Calibri"/>
      <family val="2"/>
      <scheme val="minor"/>
    </font>
    <font>
      <b/>
      <sz val="20"/>
      <color theme="6"/>
      <name val="Traditional Arabic"/>
      <family val="1"/>
    </font>
    <font>
      <b/>
      <sz val="11"/>
      <color theme="6"/>
      <name val="Traditional Arabic"/>
      <family val="1"/>
    </font>
    <font>
      <b/>
      <sz val="16"/>
      <color theme="6"/>
      <name val="Traditional Arabic"/>
      <family val="1"/>
    </font>
    <font>
      <b/>
      <u/>
      <sz val="12"/>
      <color theme="6"/>
      <name val="Traditional Arabic"/>
      <family val="1"/>
    </font>
    <font>
      <b/>
      <sz val="10"/>
      <color theme="6"/>
      <name val="Traditional Arabic"/>
      <family val="1"/>
    </font>
  </fonts>
  <fills count="36">
    <fill>
      <patternFill patternType="none"/>
    </fill>
    <fill>
      <patternFill patternType="gray125"/>
    </fill>
    <fill>
      <patternFill patternType="solid">
        <fgColor theme="7" tint="0.79998168889431442"/>
        <bgColor indexed="64"/>
      </patternFill>
    </fill>
    <fill>
      <patternFill patternType="solid">
        <fgColor rgb="FF92D050"/>
        <bgColor indexed="64"/>
      </patternFill>
    </fill>
    <fill>
      <patternFill patternType="solid">
        <fgColor rgb="FFDCC5ED"/>
        <bgColor indexed="64"/>
      </patternFill>
    </fill>
    <fill>
      <patternFill patternType="solid">
        <fgColor theme="0" tint="-4.9989318521683403E-2"/>
        <bgColor indexed="64"/>
      </patternFill>
    </fill>
    <fill>
      <patternFill patternType="solid">
        <fgColor theme="2"/>
        <bgColor indexed="64"/>
      </patternFill>
    </fill>
    <fill>
      <patternFill patternType="solid">
        <fgColor theme="7" tint="0.39997558519241921"/>
        <bgColor indexed="64"/>
      </patternFill>
    </fill>
    <fill>
      <patternFill patternType="solid">
        <fgColor rgb="FFFF0000"/>
        <bgColor indexed="64"/>
      </patternFill>
    </fill>
    <fill>
      <patternFill patternType="solid">
        <fgColor rgb="FF0070C0"/>
        <bgColor indexed="64"/>
      </patternFill>
    </fill>
    <fill>
      <patternFill patternType="solid">
        <fgColor rgb="FF00B0F0"/>
        <bgColor indexed="64"/>
      </patternFill>
    </fill>
    <fill>
      <patternFill patternType="solid">
        <fgColor rgb="FFC00000"/>
        <bgColor indexed="64"/>
      </patternFill>
    </fill>
    <fill>
      <patternFill patternType="solid">
        <fgColor rgb="FFFFAA8F"/>
        <bgColor indexed="64"/>
      </patternFill>
    </fill>
    <fill>
      <patternFill patternType="solid">
        <fgColor rgb="FFFF99CC"/>
        <bgColor indexed="64"/>
      </patternFill>
    </fill>
    <fill>
      <patternFill patternType="solid">
        <fgColor rgb="FFFFFF00"/>
        <bgColor indexed="64"/>
      </patternFill>
    </fill>
    <fill>
      <patternFill patternType="solid">
        <fgColor rgb="FFFFFF66"/>
        <bgColor indexed="64"/>
      </patternFill>
    </fill>
    <fill>
      <patternFill patternType="solid">
        <fgColor rgb="FFCCCCFF"/>
        <bgColor indexed="64"/>
      </patternFill>
    </fill>
    <fill>
      <patternFill patternType="solid">
        <fgColor rgb="FFFFCC99"/>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theme="0"/>
        <bgColor indexed="64"/>
      </patternFill>
    </fill>
    <fill>
      <patternFill patternType="solid">
        <fgColor rgb="FFFF6600"/>
        <bgColor indexed="64"/>
      </patternFill>
    </fill>
    <fill>
      <patternFill patternType="solid">
        <fgColor rgb="FFCC0000"/>
        <bgColor indexed="64"/>
      </patternFill>
    </fill>
    <fill>
      <patternFill patternType="solid">
        <fgColor rgb="FFFFCCFF"/>
        <bgColor indexed="64"/>
      </patternFill>
    </fill>
    <fill>
      <patternFill patternType="solid">
        <fgColor rgb="FF0000FF"/>
        <bgColor indexed="64"/>
      </patternFill>
    </fill>
    <fill>
      <patternFill patternType="solid">
        <fgColor rgb="FF00B050"/>
        <bgColor indexed="64"/>
      </patternFill>
    </fill>
    <fill>
      <patternFill patternType="solid">
        <fgColor rgb="FF00FF00"/>
        <bgColor indexed="64"/>
      </patternFill>
    </fill>
    <fill>
      <patternFill patternType="solid">
        <fgColor rgb="FFFFFFCC"/>
        <bgColor indexed="64"/>
      </patternFill>
    </fill>
    <fill>
      <patternFill patternType="solid">
        <fgColor rgb="FFFFC000"/>
        <bgColor indexed="64"/>
      </patternFill>
    </fill>
    <fill>
      <patternFill patternType="solid">
        <fgColor theme="5" tint="0.79998168889431442"/>
        <bgColor indexed="64"/>
      </patternFill>
    </fill>
    <fill>
      <patternFill patternType="solid">
        <fgColor theme="6"/>
        <bgColor indexed="64"/>
      </patternFill>
    </fill>
    <fill>
      <patternFill patternType="solid">
        <fgColor theme="7"/>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9"/>
        <bgColor indexed="64"/>
      </patternFill>
    </fill>
  </fills>
  <borders count="176">
    <border>
      <left/>
      <right/>
      <top/>
      <bottom/>
      <diagonal/>
    </border>
    <border>
      <left style="thin">
        <color indexed="64"/>
      </left>
      <right style="thin">
        <color indexed="64"/>
      </right>
      <top style="thin">
        <color indexed="64"/>
      </top>
      <bottom/>
      <diagonal/>
    </border>
    <border>
      <left style="thin">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dashed">
        <color indexed="64"/>
      </bottom>
      <diagonal/>
    </border>
    <border>
      <left style="thin">
        <color indexed="64"/>
      </left>
      <right style="thin">
        <color indexed="64"/>
      </right>
      <top style="dashed">
        <color indexed="64"/>
      </top>
      <bottom style="dashed">
        <color indexed="64"/>
      </bottom>
      <diagonal/>
    </border>
    <border>
      <left style="thin">
        <color indexed="64"/>
      </left>
      <right style="thin">
        <color indexed="64"/>
      </right>
      <top style="dashed">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dashed">
        <color indexed="64"/>
      </bottom>
      <diagonal/>
    </border>
    <border>
      <left style="thin">
        <color indexed="64"/>
      </left>
      <right style="thin">
        <color indexed="64"/>
      </right>
      <top style="thick">
        <color indexed="64"/>
      </top>
      <bottom style="thick">
        <color indexed="64"/>
      </bottom>
      <diagonal/>
    </border>
    <border>
      <left/>
      <right style="thin">
        <color indexed="64"/>
      </right>
      <top/>
      <bottom style="thin">
        <color indexed="64"/>
      </bottom>
      <diagonal/>
    </border>
    <border>
      <left style="thin">
        <color indexed="64"/>
      </left>
      <right style="thin">
        <color indexed="64"/>
      </right>
      <top style="hair">
        <color indexed="64"/>
      </top>
      <bottom/>
      <diagonal/>
    </border>
    <border>
      <left style="hair">
        <color indexed="64"/>
      </left>
      <right/>
      <top style="thin">
        <color indexed="64"/>
      </top>
      <bottom/>
      <diagonal/>
    </border>
    <border>
      <left style="hair">
        <color indexed="64"/>
      </left>
      <right style="thin">
        <color indexed="64"/>
      </right>
      <top style="thick">
        <color indexed="64"/>
      </top>
      <bottom style="thick">
        <color indexed="64"/>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
      <left/>
      <right/>
      <top style="medium">
        <color indexed="64"/>
      </top>
      <bottom style="medium">
        <color indexed="64"/>
      </bottom>
      <diagonal/>
    </border>
    <border>
      <left/>
      <right/>
      <top style="medium">
        <color indexed="64"/>
      </top>
      <bottom/>
      <diagonal/>
    </border>
    <border>
      <left style="thick">
        <color indexed="64"/>
      </left>
      <right/>
      <top/>
      <bottom/>
      <diagonal/>
    </border>
    <border>
      <left style="hair">
        <color indexed="64"/>
      </left>
      <right style="thin">
        <color indexed="64"/>
      </right>
      <top/>
      <bottom/>
      <diagonal/>
    </border>
    <border>
      <left style="thin">
        <color indexed="64"/>
      </left>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style="hair">
        <color indexed="64"/>
      </bottom>
      <diagonal/>
    </border>
    <border>
      <left style="medium">
        <color rgb="FFC00000"/>
      </left>
      <right style="medium">
        <color rgb="FFC00000"/>
      </right>
      <top style="medium">
        <color rgb="FFC00000"/>
      </top>
      <bottom style="medium">
        <color rgb="FFC00000"/>
      </bottom>
      <diagonal/>
    </border>
    <border>
      <left/>
      <right style="thin">
        <color indexed="64"/>
      </right>
      <top style="thin">
        <color indexed="64"/>
      </top>
      <bottom/>
      <diagonal/>
    </border>
    <border>
      <left style="thin">
        <color indexed="64"/>
      </left>
      <right style="hair">
        <color indexed="64"/>
      </right>
      <top/>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double">
        <color auto="1"/>
      </left>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dashed">
        <color indexed="64"/>
      </bottom>
      <diagonal/>
    </border>
    <border>
      <left style="thin">
        <color indexed="64"/>
      </left>
      <right style="thin">
        <color indexed="64"/>
      </right>
      <top style="dashed">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dashed">
        <color indexed="64"/>
      </bottom>
      <diagonal/>
    </border>
    <border>
      <left style="thin">
        <color indexed="64"/>
      </left>
      <right style="medium">
        <color indexed="64"/>
      </right>
      <top style="medium">
        <color indexed="64"/>
      </top>
      <bottom style="dashed">
        <color indexed="64"/>
      </bottom>
      <diagonal/>
    </border>
    <border>
      <left style="medium">
        <color indexed="64"/>
      </left>
      <right style="thin">
        <color indexed="64"/>
      </right>
      <top style="dashed">
        <color indexed="64"/>
      </top>
      <bottom style="dashed">
        <color indexed="64"/>
      </bottom>
      <diagonal/>
    </border>
    <border>
      <left style="thin">
        <color indexed="64"/>
      </left>
      <right style="medium">
        <color indexed="64"/>
      </right>
      <top style="dashed">
        <color indexed="64"/>
      </top>
      <bottom style="dashed">
        <color indexed="64"/>
      </bottom>
      <diagonal/>
    </border>
    <border>
      <left style="medium">
        <color indexed="64"/>
      </left>
      <right style="thin">
        <color indexed="64"/>
      </right>
      <top style="dashed">
        <color indexed="64"/>
      </top>
      <bottom style="medium">
        <color indexed="64"/>
      </bottom>
      <diagonal/>
    </border>
    <border>
      <left style="thin">
        <color indexed="64"/>
      </left>
      <right style="medium">
        <color indexed="64"/>
      </right>
      <top style="dashed">
        <color indexed="64"/>
      </top>
      <bottom style="medium">
        <color indexed="64"/>
      </bottom>
      <diagonal/>
    </border>
    <border>
      <left style="medium">
        <color indexed="64"/>
      </left>
      <right style="thin">
        <color indexed="64"/>
      </right>
      <top style="dashed">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diagonal/>
    </border>
    <border>
      <left style="medium">
        <color indexed="64"/>
      </left>
      <right style="thin">
        <color indexed="64"/>
      </right>
      <top style="hair">
        <color indexed="64"/>
      </top>
      <bottom style="hair">
        <color indexed="64"/>
      </bottom>
      <diagonal/>
    </border>
    <border>
      <left style="medium">
        <color indexed="64"/>
      </left>
      <right style="thin">
        <color indexed="64"/>
      </right>
      <top style="hair">
        <color indexed="64"/>
      </top>
      <bottom/>
      <diagonal/>
    </border>
    <border>
      <left style="medium">
        <color auto="1"/>
      </left>
      <right style="thin">
        <color indexed="64"/>
      </right>
      <top style="medium">
        <color auto="1"/>
      </top>
      <bottom/>
      <diagonal/>
    </border>
    <border>
      <left/>
      <right style="medium">
        <color auto="1"/>
      </right>
      <top style="medium">
        <color auto="1"/>
      </top>
      <bottom/>
      <diagonal/>
    </border>
    <border>
      <left style="medium">
        <color auto="1"/>
      </left>
      <right style="thin">
        <color indexed="64"/>
      </right>
      <top/>
      <bottom/>
      <diagonal/>
    </border>
    <border>
      <left/>
      <right style="medium">
        <color auto="1"/>
      </right>
      <top/>
      <bottom/>
      <diagonal/>
    </border>
    <border>
      <left/>
      <right/>
      <top/>
      <bottom style="medium">
        <color auto="1"/>
      </bottom>
      <diagonal/>
    </border>
    <border>
      <left style="hair">
        <color indexed="64"/>
      </left>
      <right style="hair">
        <color indexed="64"/>
      </right>
      <top/>
      <bottom/>
      <diagonal/>
    </border>
    <border>
      <left/>
      <right style="hair">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hair">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ck">
        <color rgb="FFC00000"/>
      </left>
      <right style="thick">
        <color rgb="FFC00000"/>
      </right>
      <top style="thick">
        <color rgb="FFC00000"/>
      </top>
      <bottom style="thick">
        <color rgb="FFC00000"/>
      </bottom>
      <diagonal/>
    </border>
    <border>
      <left style="thin">
        <color indexed="64"/>
      </left>
      <right style="medium">
        <color indexed="64"/>
      </right>
      <top/>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hair">
        <color indexed="64"/>
      </left>
      <right style="thin">
        <color indexed="64"/>
      </right>
      <top/>
      <bottom style="medium">
        <color indexed="64"/>
      </bottom>
      <diagonal/>
    </border>
    <border>
      <left style="medium">
        <color indexed="64"/>
      </left>
      <right style="thin">
        <color indexed="64"/>
      </right>
      <top style="thin">
        <color indexed="64"/>
      </top>
      <bottom style="dashed">
        <color indexed="64"/>
      </bottom>
      <diagonal/>
    </border>
    <border>
      <left style="thin">
        <color indexed="64"/>
      </left>
      <right style="medium">
        <color indexed="64"/>
      </right>
      <top style="thin">
        <color indexed="64"/>
      </top>
      <bottom style="dashed">
        <color indexed="64"/>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top style="hair">
        <color auto="1"/>
      </top>
      <bottom style="hair">
        <color auto="1"/>
      </bottom>
      <diagonal/>
    </border>
    <border>
      <left/>
      <right/>
      <top style="hair">
        <color auto="1"/>
      </top>
      <bottom/>
      <diagonal/>
    </border>
    <border>
      <left/>
      <right/>
      <top/>
      <bottom style="hair">
        <color auto="1"/>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hair">
        <color auto="1"/>
      </top>
      <bottom style="hair">
        <color auto="1"/>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medium">
        <color indexed="64"/>
      </left>
      <right style="thin">
        <color indexed="64"/>
      </right>
      <top/>
      <bottom style="hair">
        <color indexed="64"/>
      </bottom>
      <diagonal/>
    </border>
    <border>
      <left style="thin">
        <color indexed="64"/>
      </left>
      <right style="medium">
        <color indexed="64"/>
      </right>
      <top style="hair">
        <color indexed="64"/>
      </top>
      <bottom style="hair">
        <color indexed="64"/>
      </bottom>
      <diagonal/>
    </border>
    <border>
      <left style="thin">
        <color indexed="64"/>
      </left>
      <right/>
      <top style="hair">
        <color indexed="64"/>
      </top>
      <bottom style="hair">
        <color indexed="64"/>
      </bottom>
      <diagonal/>
    </border>
    <border>
      <left style="medium">
        <color indexed="64"/>
      </left>
      <right/>
      <top style="medium">
        <color indexed="64"/>
      </top>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style="hair">
        <color indexed="64"/>
      </bottom>
      <diagonal/>
    </border>
    <border>
      <left/>
      <right style="medium">
        <color indexed="64"/>
      </right>
      <top style="hair">
        <color auto="1"/>
      </top>
      <bottom style="medium">
        <color indexed="64"/>
      </bottom>
      <diagonal/>
    </border>
    <border>
      <left/>
      <right style="medium">
        <color indexed="64"/>
      </right>
      <top style="medium">
        <color indexed="64"/>
      </top>
      <bottom style="hair">
        <color indexed="64"/>
      </bottom>
      <diagonal/>
    </border>
    <border>
      <left style="thin">
        <color indexed="64"/>
      </left>
      <right style="medium">
        <color indexed="64"/>
      </right>
      <top/>
      <bottom style="hair">
        <color indexed="64"/>
      </bottom>
      <diagonal/>
    </border>
    <border>
      <left style="medium">
        <color indexed="64"/>
      </left>
      <right/>
      <top style="hair">
        <color auto="1"/>
      </top>
      <bottom/>
      <diagonal/>
    </border>
    <border>
      <left style="medium">
        <color indexed="64"/>
      </left>
      <right/>
      <top style="medium">
        <color indexed="64"/>
      </top>
      <bottom style="hair">
        <color auto="1"/>
      </bottom>
      <diagonal/>
    </border>
    <border>
      <left/>
      <right style="thin">
        <color indexed="64"/>
      </right>
      <top style="hair">
        <color indexed="64"/>
      </top>
      <bottom/>
      <diagonal/>
    </border>
    <border>
      <left style="thin">
        <color indexed="64"/>
      </left>
      <right/>
      <top/>
      <bottom style="hair">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hair">
        <color auto="1"/>
      </top>
      <bottom style="medium">
        <color indexed="64"/>
      </bottom>
      <diagonal/>
    </border>
    <border>
      <left style="thin">
        <color rgb="FFFF0000"/>
      </left>
      <right style="thin">
        <color rgb="FFFF0000"/>
      </right>
      <top style="thin">
        <color rgb="FFFF0000"/>
      </top>
      <bottom style="thin">
        <color rgb="FFFF0000"/>
      </bottom>
      <diagonal/>
    </border>
    <border>
      <left style="thin">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
      <left style="thin">
        <color indexed="64"/>
      </left>
      <right style="thin">
        <color indexed="64"/>
      </right>
      <top style="medium">
        <color indexed="64"/>
      </top>
      <bottom style="hair">
        <color indexed="64"/>
      </bottom>
      <diagonal/>
    </border>
    <border>
      <left style="thick">
        <color rgb="FFC00000"/>
      </left>
      <right style="thick">
        <color rgb="FFC00000"/>
      </right>
      <top/>
      <bottom style="thick">
        <color rgb="FFC00000"/>
      </bottom>
      <diagonal/>
    </border>
    <border>
      <left/>
      <right style="medium">
        <color indexed="64"/>
      </right>
      <top style="hair">
        <color auto="1"/>
      </top>
      <bottom/>
      <diagonal/>
    </border>
    <border>
      <left/>
      <right/>
      <top style="thin">
        <color indexed="64"/>
      </top>
      <bottom/>
      <diagonal/>
    </border>
    <border>
      <left/>
      <right style="thin">
        <color indexed="64"/>
      </right>
      <top/>
      <bottom/>
      <diagonal/>
    </border>
    <border>
      <left/>
      <right style="thin">
        <color indexed="64"/>
      </right>
      <top style="medium">
        <color indexed="64"/>
      </top>
      <bottom style="medium">
        <color indexed="64"/>
      </bottom>
      <diagonal/>
    </border>
    <border>
      <left/>
      <right style="thin">
        <color indexed="64"/>
      </right>
      <top style="thin">
        <color indexed="64"/>
      </top>
      <bottom style="thick">
        <color rgb="FFC00000"/>
      </bottom>
      <diagonal/>
    </border>
    <border>
      <left/>
      <right style="thick">
        <color rgb="FFC00000"/>
      </right>
      <top style="thick">
        <color rgb="FFC00000"/>
      </top>
      <bottom style="thick">
        <color rgb="FFC00000"/>
      </bottom>
      <diagonal/>
    </border>
    <border>
      <left/>
      <right style="thin">
        <color indexed="64"/>
      </right>
      <top style="medium">
        <color indexed="64"/>
      </top>
      <bottom style="hair">
        <color indexed="64"/>
      </bottom>
      <diagonal/>
    </border>
    <border>
      <left/>
      <right style="thin">
        <color indexed="64"/>
      </right>
      <top style="hair">
        <color indexed="64"/>
      </top>
      <bottom style="medium">
        <color indexed="64"/>
      </bottom>
      <diagonal/>
    </border>
    <border>
      <left/>
      <right style="medium">
        <color rgb="FFC00000"/>
      </right>
      <top style="medium">
        <color rgb="FFC00000"/>
      </top>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medium">
        <color rgb="FFC00000"/>
      </right>
      <top style="medium">
        <color rgb="FFC00000"/>
      </top>
      <bottom style="medium">
        <color rgb="FFC00000"/>
      </bottom>
      <diagonal/>
    </border>
    <border>
      <left/>
      <right style="thin">
        <color indexed="64"/>
      </right>
      <top style="dashed">
        <color indexed="64"/>
      </top>
      <bottom style="dashed">
        <color indexed="64"/>
      </bottom>
      <diagonal/>
    </border>
    <border>
      <left/>
      <right style="thin">
        <color indexed="64"/>
      </right>
      <top style="dashed">
        <color indexed="64"/>
      </top>
      <bottom/>
      <diagonal/>
    </border>
    <border>
      <left/>
      <right style="thin">
        <color indexed="64"/>
      </right>
      <top style="medium">
        <color indexed="64"/>
      </top>
      <bottom/>
      <diagonal/>
    </border>
    <border>
      <left/>
      <right style="thin">
        <color indexed="64"/>
      </right>
      <top/>
      <bottom style="dashed">
        <color indexed="64"/>
      </bottom>
      <diagonal/>
    </border>
    <border>
      <left/>
      <right/>
      <top/>
      <bottom style="double">
        <color auto="1"/>
      </bottom>
      <diagonal/>
    </border>
    <border diagonalUp="1">
      <left style="thin">
        <color indexed="64"/>
      </left>
      <right style="thin">
        <color indexed="64"/>
      </right>
      <top style="medium">
        <color indexed="64"/>
      </top>
      <bottom style="thin">
        <color indexed="64"/>
      </bottom>
      <diagonal style="thin">
        <color indexed="64"/>
      </diagonal>
    </border>
    <border diagonalUp="1">
      <left style="thin">
        <color indexed="64"/>
      </left>
      <right style="thin">
        <color indexed="64"/>
      </right>
      <top style="medium">
        <color indexed="64"/>
      </top>
      <bottom style="medium">
        <color indexed="64"/>
      </bottom>
      <diagonal style="thin">
        <color indexed="64"/>
      </diagonal>
    </border>
    <border>
      <left style="thin">
        <color indexed="64"/>
      </left>
      <right style="thin">
        <color indexed="64"/>
      </right>
      <top style="thick">
        <color indexed="64"/>
      </top>
      <bottom style="thin">
        <color indexed="64"/>
      </bottom>
      <diagonal/>
    </border>
    <border diagonalUp="1">
      <left style="thin">
        <color indexed="64"/>
      </left>
      <right style="thin">
        <color indexed="64"/>
      </right>
      <top style="thin">
        <color indexed="64"/>
      </top>
      <bottom/>
      <diagonal style="thin">
        <color indexed="64"/>
      </diagonal>
    </border>
    <border>
      <left style="thin">
        <color indexed="64"/>
      </left>
      <right/>
      <top style="thick">
        <color indexed="64"/>
      </top>
      <bottom/>
      <diagonal/>
    </border>
    <border>
      <left/>
      <right/>
      <top style="thick">
        <color indexed="64"/>
      </top>
      <bottom/>
      <diagonal/>
    </border>
    <border>
      <left style="thin">
        <color indexed="64"/>
      </left>
      <right style="thin">
        <color indexed="64"/>
      </right>
      <top style="thin">
        <color indexed="64"/>
      </top>
      <bottom style="thick">
        <color indexed="64"/>
      </bottom>
      <diagonal/>
    </border>
    <border>
      <left/>
      <right style="thin">
        <color indexed="64"/>
      </right>
      <top style="thin">
        <color indexed="64"/>
      </top>
      <bottom style="thick">
        <color indexed="64"/>
      </bottom>
      <diagonal/>
    </border>
    <border>
      <left style="medium">
        <color indexed="64"/>
      </left>
      <right/>
      <top style="medium">
        <color indexed="64"/>
      </top>
      <bottom style="double">
        <color auto="1"/>
      </bottom>
      <diagonal/>
    </border>
    <border>
      <left/>
      <right/>
      <top style="medium">
        <color indexed="64"/>
      </top>
      <bottom style="double">
        <color auto="1"/>
      </bottom>
      <diagonal/>
    </border>
    <border>
      <left style="medium">
        <color indexed="64"/>
      </left>
      <right/>
      <top/>
      <bottom style="thin">
        <color indexed="64"/>
      </bottom>
      <diagonal/>
    </border>
    <border>
      <left style="thick">
        <color rgb="FFC00000"/>
      </left>
      <right/>
      <top style="thick">
        <color rgb="FFC00000"/>
      </top>
      <bottom style="thick">
        <color rgb="FFC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hair">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thin">
        <color indexed="64"/>
      </left>
      <right/>
      <top style="hair">
        <color indexed="64"/>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double">
        <color auto="1"/>
      </top>
      <bottom style="double">
        <color auto="1"/>
      </bottom>
      <diagonal/>
    </border>
    <border>
      <left style="thin">
        <color indexed="64"/>
      </left>
      <right/>
      <top style="medium">
        <color indexed="64"/>
      </top>
      <bottom style="medium">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style="thin">
        <color indexed="64"/>
      </left>
      <right style="thin">
        <color indexed="64"/>
      </right>
      <top style="double">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style="medium">
        <color indexed="64"/>
      </right>
      <top/>
      <bottom style="double">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bottom style="medium">
        <color indexed="64"/>
      </bottom>
      <diagonal/>
    </border>
    <border>
      <left style="medium">
        <color indexed="64"/>
      </left>
      <right/>
      <top style="double">
        <color indexed="64"/>
      </top>
      <bottom style="medium">
        <color indexed="64"/>
      </bottom>
      <diagonal/>
    </border>
    <border>
      <left/>
      <right style="thin">
        <color indexed="64"/>
      </right>
      <top style="double">
        <color indexed="64"/>
      </top>
      <bottom style="medium">
        <color indexed="64"/>
      </bottom>
      <diagonal/>
    </border>
    <border>
      <left style="thin">
        <color indexed="64"/>
      </left>
      <right style="medium">
        <color indexed="64"/>
      </right>
      <top style="double">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medium">
        <color indexed="64"/>
      </right>
      <top style="double">
        <color indexed="64"/>
      </top>
      <bottom style="thin">
        <color indexed="64"/>
      </bottom>
      <diagonal/>
    </border>
    <border>
      <left style="medium">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medium">
        <color indexed="64"/>
      </right>
      <top style="double">
        <color indexed="64"/>
      </top>
      <bottom style="double">
        <color indexed="64"/>
      </bottom>
      <diagonal/>
    </border>
  </borders>
  <cellStyleXfs count="1">
    <xf numFmtId="0" fontId="0" fillId="0" borderId="0"/>
  </cellStyleXfs>
  <cellXfs count="1154">
    <xf numFmtId="0" fontId="0" fillId="0" borderId="0" xfId="0"/>
    <xf numFmtId="0" fontId="3" fillId="0" borderId="0" xfId="0" applyFont="1"/>
    <xf numFmtId="0" fontId="3" fillId="0" borderId="0" xfId="0" applyFont="1" applyAlignment="1">
      <alignment vertical="center"/>
    </xf>
    <xf numFmtId="0" fontId="3" fillId="0" borderId="0" xfId="0" applyFont="1" applyAlignment="1">
      <alignment horizontal="center" vertical="center"/>
    </xf>
    <xf numFmtId="0" fontId="4" fillId="0" borderId="4" xfId="0" applyFont="1" applyBorder="1" applyAlignment="1">
      <alignment vertical="center" wrapText="1"/>
    </xf>
    <xf numFmtId="0" fontId="4" fillId="0" borderId="0" xfId="0" applyFont="1" applyAlignment="1">
      <alignment vertical="center"/>
    </xf>
    <xf numFmtId="0" fontId="6" fillId="0" borderId="0" xfId="0" applyFont="1" applyAlignment="1">
      <alignment horizontal="center" vertical="center"/>
    </xf>
    <xf numFmtId="0" fontId="6" fillId="0" borderId="0" xfId="0" applyFont="1" applyAlignment="1">
      <alignment horizontal="left" vertical="center"/>
    </xf>
    <xf numFmtId="0" fontId="6" fillId="0" borderId="0" xfId="0" applyFont="1" applyAlignment="1">
      <alignment vertical="center"/>
    </xf>
    <xf numFmtId="0" fontId="12" fillId="0" borderId="0" xfId="0" applyFont="1"/>
    <xf numFmtId="0" fontId="8" fillId="0" borderId="0" xfId="0" applyFont="1" applyAlignment="1">
      <alignment vertical="center"/>
    </xf>
    <xf numFmtId="0" fontId="10" fillId="0" borderId="16" xfId="0" applyFont="1" applyBorder="1" applyAlignment="1" applyProtection="1">
      <alignment horizontal="center" vertical="center" wrapText="1"/>
      <protection locked="0"/>
    </xf>
    <xf numFmtId="164" fontId="3" fillId="0" borderId="7" xfId="0" applyNumberFormat="1" applyFont="1" applyBorder="1" applyAlignment="1">
      <alignment horizontal="center" vertical="center"/>
    </xf>
    <xf numFmtId="164" fontId="13" fillId="0" borderId="9" xfId="0" applyNumberFormat="1" applyFont="1" applyBorder="1" applyAlignment="1">
      <alignment horizontal="center" vertical="center" wrapText="1"/>
    </xf>
    <xf numFmtId="0" fontId="13" fillId="0" borderId="11" xfId="0" applyFont="1" applyBorder="1" applyAlignment="1">
      <alignment horizontal="center" vertical="center" wrapText="1"/>
    </xf>
    <xf numFmtId="0" fontId="13" fillId="0" borderId="9" xfId="0" applyFont="1" applyBorder="1" applyAlignment="1">
      <alignment horizontal="center" vertical="center" wrapText="1"/>
    </xf>
    <xf numFmtId="0" fontId="3" fillId="0" borderId="0" xfId="0" applyFont="1" applyAlignment="1">
      <alignment horizontal="left" vertical="top" wrapText="1"/>
    </xf>
    <xf numFmtId="0" fontId="20" fillId="0" borderId="0" xfId="0" applyFont="1" applyAlignment="1">
      <alignment horizontal="center" vertical="center"/>
    </xf>
    <xf numFmtId="0" fontId="20" fillId="0" borderId="7" xfId="0" applyFont="1" applyBorder="1" applyAlignment="1">
      <alignment horizontal="center" vertical="center"/>
    </xf>
    <xf numFmtId="0" fontId="20" fillId="2" borderId="7" xfId="0" applyFont="1" applyFill="1" applyBorder="1" applyAlignment="1">
      <alignment horizontal="center" vertical="center"/>
    </xf>
    <xf numFmtId="0" fontId="16" fillId="0" borderId="0" xfId="0" applyFont="1" applyAlignment="1">
      <alignment vertical="center"/>
    </xf>
    <xf numFmtId="0" fontId="3" fillId="0" borderId="26" xfId="0" applyFont="1" applyBorder="1" applyAlignment="1">
      <alignment horizontal="center" vertical="center"/>
    </xf>
    <xf numFmtId="164" fontId="3" fillId="0" borderId="26" xfId="0" applyNumberFormat="1" applyFont="1" applyBorder="1" applyAlignment="1">
      <alignment horizontal="center" vertical="center"/>
    </xf>
    <xf numFmtId="0" fontId="20" fillId="0" borderId="0" xfId="0" applyFont="1"/>
    <xf numFmtId="0" fontId="20" fillId="0" borderId="26" xfId="0" applyFont="1" applyBorder="1" applyAlignment="1">
      <alignment horizontal="center" vertical="center"/>
    </xf>
    <xf numFmtId="0" fontId="9" fillId="19" borderId="7" xfId="0" applyFont="1" applyFill="1" applyBorder="1" applyAlignment="1">
      <alignment horizontal="center" vertical="center"/>
    </xf>
    <xf numFmtId="0" fontId="3" fillId="2" borderId="7" xfId="0" applyFont="1" applyFill="1" applyBorder="1" applyAlignment="1">
      <alignment horizontal="center" vertical="center"/>
    </xf>
    <xf numFmtId="164" fontId="3" fillId="2" borderId="7" xfId="0" applyNumberFormat="1" applyFont="1" applyFill="1" applyBorder="1" applyAlignment="1">
      <alignment horizontal="center" vertical="center"/>
    </xf>
    <xf numFmtId="0" fontId="4" fillId="0" borderId="26" xfId="0" applyFont="1" applyBorder="1" applyAlignment="1">
      <alignment vertical="center" wrapText="1"/>
    </xf>
    <xf numFmtId="0" fontId="4" fillId="2" borderId="7" xfId="0" applyFont="1" applyFill="1" applyBorder="1" applyAlignment="1">
      <alignment vertical="center" wrapText="1"/>
    </xf>
    <xf numFmtId="0" fontId="4" fillId="0" borderId="7" xfId="0" applyFont="1" applyBorder="1" applyAlignment="1">
      <alignment vertical="center" wrapText="1"/>
    </xf>
    <xf numFmtId="0" fontId="4" fillId="0" borderId="7" xfId="0" applyFont="1" applyBorder="1" applyAlignment="1">
      <alignment horizontal="left" vertical="center" wrapText="1"/>
    </xf>
    <xf numFmtId="0" fontId="20" fillId="0" borderId="0" xfId="0" applyFont="1" applyAlignment="1">
      <alignment vertical="center"/>
    </xf>
    <xf numFmtId="0" fontId="8" fillId="0" borderId="0" xfId="0" applyFont="1" applyAlignment="1">
      <alignment horizontal="center" vertical="center"/>
    </xf>
    <xf numFmtId="0" fontId="28" fillId="0" borderId="28" xfId="0" applyFont="1" applyBorder="1" applyAlignment="1">
      <alignment horizontal="center" vertical="center"/>
    </xf>
    <xf numFmtId="0" fontId="19" fillId="19" borderId="7" xfId="0" applyFont="1" applyFill="1" applyBorder="1" applyAlignment="1">
      <alignment horizontal="center" vertical="center"/>
    </xf>
    <xf numFmtId="0" fontId="4" fillId="2" borderId="15" xfId="0" applyFont="1" applyFill="1" applyBorder="1" applyAlignment="1">
      <alignment horizontal="left" vertical="center" wrapText="1"/>
    </xf>
    <xf numFmtId="0" fontId="4" fillId="0" borderId="32" xfId="0" applyFont="1" applyBorder="1" applyAlignment="1">
      <alignment horizontal="left" vertical="center" wrapText="1"/>
    </xf>
    <xf numFmtId="0" fontId="7" fillId="19" borderId="32" xfId="0" applyFont="1" applyFill="1" applyBorder="1" applyAlignment="1">
      <alignment horizontal="center" vertical="center" wrapText="1"/>
    </xf>
    <xf numFmtId="164" fontId="3" fillId="2" borderId="15" xfId="0" applyNumberFormat="1" applyFont="1" applyFill="1" applyBorder="1" applyAlignment="1">
      <alignment horizontal="center" vertical="center"/>
    </xf>
    <xf numFmtId="0" fontId="20" fillId="2" borderId="15" xfId="0" applyFont="1" applyFill="1" applyBorder="1" applyAlignment="1">
      <alignment horizontal="center" vertical="center"/>
    </xf>
    <xf numFmtId="0" fontId="19" fillId="19" borderId="15" xfId="0" applyFont="1" applyFill="1" applyBorder="1" applyAlignment="1">
      <alignment horizontal="center" vertical="center"/>
    </xf>
    <xf numFmtId="0" fontId="3" fillId="0" borderId="32" xfId="0" applyFont="1" applyBorder="1" applyAlignment="1">
      <alignment horizontal="center" vertical="center"/>
    </xf>
    <xf numFmtId="0" fontId="20" fillId="0" borderId="32" xfId="0" applyFont="1" applyBorder="1" applyAlignment="1">
      <alignment horizontal="center" vertical="center"/>
    </xf>
    <xf numFmtId="0" fontId="19" fillId="19" borderId="32" xfId="0" applyFont="1" applyFill="1" applyBorder="1" applyAlignment="1">
      <alignment horizontal="center" vertical="center"/>
    </xf>
    <xf numFmtId="0" fontId="29" fillId="0" borderId="0" xfId="0" applyFont="1" applyAlignment="1">
      <alignment horizontal="center" vertical="center"/>
    </xf>
    <xf numFmtId="0" fontId="3" fillId="0" borderId="15" xfId="0" applyFont="1" applyBorder="1" applyAlignment="1">
      <alignment horizontal="center" vertical="center"/>
    </xf>
    <xf numFmtId="164" fontId="3" fillId="0" borderId="15" xfId="0" applyNumberFormat="1" applyFont="1" applyBorder="1" applyAlignment="1">
      <alignment horizontal="center" vertical="center"/>
    </xf>
    <xf numFmtId="0" fontId="20" fillId="0" borderId="15" xfId="0" applyFont="1" applyBorder="1" applyAlignment="1">
      <alignment horizontal="center" vertical="center"/>
    </xf>
    <xf numFmtId="0" fontId="9" fillId="19" borderId="15" xfId="0" applyFont="1" applyFill="1" applyBorder="1" applyAlignment="1">
      <alignment horizontal="center" vertical="center"/>
    </xf>
    <xf numFmtId="0" fontId="3" fillId="2" borderId="32" xfId="0" applyFont="1" applyFill="1" applyBorder="1" applyAlignment="1">
      <alignment horizontal="center" vertical="center"/>
    </xf>
    <xf numFmtId="0" fontId="20" fillId="2" borderId="32" xfId="0" applyFont="1" applyFill="1" applyBorder="1" applyAlignment="1">
      <alignment horizontal="center" vertical="center"/>
    </xf>
    <xf numFmtId="0" fontId="9" fillId="19" borderId="32" xfId="0" applyFont="1" applyFill="1" applyBorder="1" applyAlignment="1">
      <alignment horizontal="center" vertical="center"/>
    </xf>
    <xf numFmtId="0" fontId="13" fillId="0" borderId="0" xfId="0" applyFont="1" applyAlignment="1">
      <alignment horizontal="center" vertical="center" wrapText="1"/>
    </xf>
    <xf numFmtId="0" fontId="13" fillId="0" borderId="35" xfId="0" applyFont="1" applyBorder="1" applyAlignment="1">
      <alignment horizontal="center" vertical="center" wrapText="1"/>
    </xf>
    <xf numFmtId="164" fontId="13" fillId="2" borderId="9" xfId="0" applyNumberFormat="1" applyFont="1" applyFill="1" applyBorder="1" applyAlignment="1">
      <alignment horizontal="center" vertical="center" wrapText="1"/>
    </xf>
    <xf numFmtId="0" fontId="7" fillId="19" borderId="9" xfId="0" applyFont="1" applyFill="1" applyBorder="1" applyAlignment="1">
      <alignment horizontal="center" vertical="center" wrapText="1"/>
    </xf>
    <xf numFmtId="0" fontId="13" fillId="0" borderId="36" xfId="0" applyFont="1" applyBorder="1" applyAlignment="1">
      <alignment horizontal="center" vertical="center" wrapText="1"/>
    </xf>
    <xf numFmtId="0" fontId="7" fillId="19" borderId="36" xfId="0" applyFont="1" applyFill="1" applyBorder="1" applyAlignment="1">
      <alignment horizontal="center" vertical="center" wrapText="1"/>
    </xf>
    <xf numFmtId="164" fontId="13" fillId="0" borderId="10" xfId="0" applyNumberFormat="1" applyFont="1" applyBorder="1" applyAlignment="1">
      <alignment horizontal="center" vertical="center" wrapText="1"/>
    </xf>
    <xf numFmtId="0" fontId="7" fillId="19" borderId="10" xfId="0" applyFont="1" applyFill="1" applyBorder="1" applyAlignment="1">
      <alignment horizontal="center" vertical="center" wrapText="1"/>
    </xf>
    <xf numFmtId="0" fontId="13" fillId="0" borderId="34" xfId="0" applyFont="1" applyBorder="1" applyAlignment="1">
      <alignment horizontal="center" vertical="center" wrapText="1"/>
    </xf>
    <xf numFmtId="0" fontId="7" fillId="19" borderId="34" xfId="0" applyFont="1" applyFill="1" applyBorder="1" applyAlignment="1">
      <alignment horizontal="center" vertical="center" wrapText="1"/>
    </xf>
    <xf numFmtId="0" fontId="31" fillId="0" borderId="0" xfId="0" applyFont="1"/>
    <xf numFmtId="0" fontId="29" fillId="0" borderId="35" xfId="0" applyFont="1" applyBorder="1" applyAlignment="1">
      <alignment horizontal="center" vertical="center" wrapText="1"/>
    </xf>
    <xf numFmtId="0" fontId="29" fillId="0" borderId="9" xfId="0" applyFont="1" applyBorder="1" applyAlignment="1">
      <alignment horizontal="center" vertical="center" wrapText="1"/>
    </xf>
    <xf numFmtId="0" fontId="29" fillId="0" borderId="10" xfId="0" applyFont="1" applyBorder="1" applyAlignment="1">
      <alignment horizontal="center" vertical="center" wrapText="1"/>
    </xf>
    <xf numFmtId="0" fontId="29" fillId="0" borderId="0" xfId="0" applyFont="1" applyAlignment="1">
      <alignment horizontal="center" vertical="center" wrapText="1"/>
    </xf>
    <xf numFmtId="0" fontId="7" fillId="0" borderId="0" xfId="0" applyFont="1" applyAlignment="1">
      <alignment vertical="center" wrapText="1"/>
    </xf>
    <xf numFmtId="164" fontId="13" fillId="0" borderId="0" xfId="0" applyNumberFormat="1" applyFont="1" applyAlignment="1">
      <alignment horizontal="center" vertical="center" wrapText="1"/>
    </xf>
    <xf numFmtId="0" fontId="7" fillId="19" borderId="38" xfId="0" applyFont="1" applyFill="1" applyBorder="1" applyAlignment="1">
      <alignment horizontal="center" vertical="center" wrapText="1"/>
    </xf>
    <xf numFmtId="0" fontId="29" fillId="0" borderId="36" xfId="0" applyFont="1" applyBorder="1" applyAlignment="1">
      <alignment horizontal="center" vertical="center" wrapText="1"/>
    </xf>
    <xf numFmtId="0" fontId="7" fillId="19" borderId="12" xfId="0" applyFont="1" applyFill="1" applyBorder="1" applyAlignment="1">
      <alignment horizontal="center" vertical="center" wrapText="1"/>
    </xf>
    <xf numFmtId="0" fontId="33" fillId="0" borderId="40" xfId="0" applyFont="1" applyBorder="1" applyAlignment="1">
      <alignment horizontal="center" vertical="center" wrapText="1"/>
    </xf>
    <xf numFmtId="0" fontId="33" fillId="0" borderId="42" xfId="0" applyFont="1" applyBorder="1" applyAlignment="1">
      <alignment horizontal="center" vertical="center" wrapText="1"/>
    </xf>
    <xf numFmtId="164" fontId="13" fillId="0" borderId="36" xfId="0" applyNumberFormat="1" applyFont="1" applyBorder="1" applyAlignment="1">
      <alignment horizontal="center" vertical="center" wrapText="1"/>
    </xf>
    <xf numFmtId="0" fontId="33" fillId="0" borderId="44" xfId="0" applyFont="1" applyBorder="1" applyAlignment="1">
      <alignment horizontal="center" vertical="center" wrapText="1"/>
    </xf>
    <xf numFmtId="164" fontId="13" fillId="0" borderId="32" xfId="0" applyNumberFormat="1" applyFont="1" applyBorder="1" applyAlignment="1">
      <alignment horizontal="center" vertical="center" wrapText="1"/>
    </xf>
    <xf numFmtId="164" fontId="13" fillId="2" borderId="11" xfId="0" applyNumberFormat="1" applyFont="1" applyFill="1" applyBorder="1" applyAlignment="1">
      <alignment horizontal="center" vertical="center" wrapText="1"/>
    </xf>
    <xf numFmtId="0" fontId="7" fillId="19" borderId="11" xfId="0" applyFont="1" applyFill="1" applyBorder="1" applyAlignment="1">
      <alignment horizontal="center" vertical="center" wrapText="1"/>
    </xf>
    <xf numFmtId="164" fontId="13" fillId="0" borderId="11" xfId="0" applyNumberFormat="1" applyFont="1" applyBorder="1" applyAlignment="1">
      <alignment horizontal="center" vertical="center" wrapText="1"/>
    </xf>
    <xf numFmtId="0" fontId="29" fillId="2" borderId="9" xfId="0" applyFont="1" applyFill="1" applyBorder="1" applyAlignment="1">
      <alignment horizontal="center" vertical="center" wrapText="1"/>
    </xf>
    <xf numFmtId="0" fontId="7" fillId="19" borderId="1" xfId="0" applyFont="1" applyFill="1" applyBorder="1" applyAlignment="1">
      <alignment horizontal="center" vertical="center" wrapText="1"/>
    </xf>
    <xf numFmtId="0" fontId="7" fillId="0" borderId="0" xfId="0" applyFont="1" applyAlignment="1">
      <alignment horizontal="center" vertical="center" wrapText="1"/>
    </xf>
    <xf numFmtId="0" fontId="13" fillId="2" borderId="9" xfId="0" applyFont="1" applyFill="1" applyBorder="1" applyAlignment="1">
      <alignment horizontal="center" vertical="center" wrapText="1"/>
    </xf>
    <xf numFmtId="0" fontId="13" fillId="6" borderId="38" xfId="0" applyFont="1" applyFill="1" applyBorder="1" applyAlignment="1">
      <alignment horizontal="center" vertical="center" wrapText="1"/>
    </xf>
    <xf numFmtId="0" fontId="20" fillId="6" borderId="38" xfId="0" applyFont="1" applyFill="1" applyBorder="1" applyAlignment="1">
      <alignment horizontal="center" vertical="center"/>
    </xf>
    <xf numFmtId="0" fontId="7" fillId="19" borderId="37" xfId="0" applyFont="1" applyFill="1" applyBorder="1" applyAlignment="1">
      <alignment horizontal="center" vertical="center" wrapText="1"/>
    </xf>
    <xf numFmtId="0" fontId="33" fillId="0" borderId="59" xfId="0" applyFont="1" applyBorder="1" applyAlignment="1">
      <alignment horizontal="center" vertical="center" wrapText="1"/>
    </xf>
    <xf numFmtId="0" fontId="4" fillId="19" borderId="38" xfId="0" applyFont="1" applyFill="1" applyBorder="1" applyAlignment="1">
      <alignment horizontal="center" vertical="center" wrapText="1"/>
    </xf>
    <xf numFmtId="0" fontId="21" fillId="14" borderId="56" xfId="0" applyFont="1" applyFill="1" applyBorder="1" applyAlignment="1">
      <alignment horizontal="center" vertical="center"/>
    </xf>
    <xf numFmtId="0" fontId="0" fillId="0" borderId="57" xfId="0" applyBorder="1"/>
    <xf numFmtId="0" fontId="8" fillId="19" borderId="38" xfId="0" applyFont="1" applyFill="1" applyBorder="1" applyAlignment="1">
      <alignment horizontal="center" vertical="center"/>
    </xf>
    <xf numFmtId="0" fontId="7" fillId="19" borderId="6" xfId="0" applyFont="1" applyFill="1" applyBorder="1" applyAlignment="1">
      <alignment horizontal="center" vertical="center" wrapText="1"/>
    </xf>
    <xf numFmtId="0" fontId="29" fillId="2" borderId="36" xfId="0" applyFont="1" applyFill="1" applyBorder="1" applyAlignment="1">
      <alignment horizontal="center" vertical="center" wrapText="1"/>
    </xf>
    <xf numFmtId="0" fontId="36" fillId="0" borderId="0" xfId="0" applyFont="1" applyAlignment="1">
      <alignment vertical="center"/>
    </xf>
    <xf numFmtId="0" fontId="15" fillId="0" borderId="0" xfId="0" applyFont="1" applyAlignment="1">
      <alignment vertical="center"/>
    </xf>
    <xf numFmtId="0" fontId="0" fillId="0" borderId="0" xfId="0" applyAlignment="1">
      <alignment vertical="center"/>
    </xf>
    <xf numFmtId="0" fontId="8" fillId="19" borderId="1" xfId="0" applyFont="1" applyFill="1" applyBorder="1" applyAlignment="1">
      <alignment horizontal="center" vertical="center"/>
    </xf>
    <xf numFmtId="0" fontId="3" fillId="19" borderId="1" xfId="0" applyFont="1" applyFill="1" applyBorder="1" applyAlignment="1">
      <alignment horizontal="center" vertical="center"/>
    </xf>
    <xf numFmtId="0" fontId="19" fillId="19" borderId="27" xfId="0" applyFont="1" applyFill="1" applyBorder="1" applyAlignment="1">
      <alignment horizontal="center" vertical="center"/>
    </xf>
    <xf numFmtId="0" fontId="9" fillId="19" borderId="27" xfId="0" applyFont="1" applyFill="1" applyBorder="1" applyAlignment="1">
      <alignment horizontal="center" vertical="center"/>
    </xf>
    <xf numFmtId="0" fontId="25" fillId="0" borderId="64" xfId="0" applyFont="1" applyBorder="1" applyAlignment="1">
      <alignment horizontal="center" vertical="center"/>
    </xf>
    <xf numFmtId="0" fontId="28" fillId="0" borderId="64" xfId="0" applyFont="1" applyBorder="1" applyAlignment="1">
      <alignment horizontal="center" vertical="center"/>
    </xf>
    <xf numFmtId="0" fontId="3" fillId="0" borderId="0" xfId="0" applyFont="1" applyAlignment="1">
      <alignment vertical="top" wrapText="1"/>
    </xf>
    <xf numFmtId="0" fontId="9" fillId="19" borderId="6" xfId="0" applyFont="1" applyFill="1" applyBorder="1" applyAlignment="1">
      <alignment horizontal="center" vertical="center"/>
    </xf>
    <xf numFmtId="0" fontId="9" fillId="19" borderId="34" xfId="0" applyFont="1" applyFill="1" applyBorder="1" applyAlignment="1">
      <alignment horizontal="center" vertical="center"/>
    </xf>
    <xf numFmtId="0" fontId="3" fillId="19" borderId="38" xfId="0" applyFont="1" applyFill="1" applyBorder="1" applyAlignment="1">
      <alignment horizontal="center" vertical="center"/>
    </xf>
    <xf numFmtId="0" fontId="3" fillId="2" borderId="34" xfId="0" applyFont="1" applyFill="1" applyBorder="1" applyAlignment="1">
      <alignment horizontal="center" vertical="center"/>
    </xf>
    <xf numFmtId="0" fontId="20" fillId="2" borderId="34" xfId="0" applyFont="1" applyFill="1" applyBorder="1" applyAlignment="1">
      <alignment horizontal="center" vertical="center"/>
    </xf>
    <xf numFmtId="0" fontId="13" fillId="0" borderId="37" xfId="0" applyFont="1" applyBorder="1" applyAlignment="1">
      <alignment horizontal="center" vertical="center" wrapText="1"/>
    </xf>
    <xf numFmtId="164" fontId="13" fillId="2" borderId="35" xfId="0" applyNumberFormat="1" applyFont="1" applyFill="1" applyBorder="1" applyAlignment="1">
      <alignment horizontal="center" vertical="center" wrapText="1"/>
    </xf>
    <xf numFmtId="0" fontId="20" fillId="0" borderId="68" xfId="0" applyFont="1" applyBorder="1" applyAlignment="1">
      <alignment horizontal="center" vertical="center"/>
    </xf>
    <xf numFmtId="0" fontId="35" fillId="0" borderId="0" xfId="0" applyFont="1" applyAlignment="1">
      <alignment vertical="center"/>
    </xf>
    <xf numFmtId="0" fontId="20" fillId="0" borderId="37" xfId="0" applyFont="1" applyBorder="1" applyAlignment="1">
      <alignment horizontal="center" vertical="center"/>
    </xf>
    <xf numFmtId="164" fontId="13" fillId="2" borderId="36" xfId="0" applyNumberFormat="1" applyFont="1" applyFill="1" applyBorder="1" applyAlignment="1">
      <alignment horizontal="center" vertical="center" wrapText="1"/>
    </xf>
    <xf numFmtId="164" fontId="13" fillId="2" borderId="8" xfId="0" applyNumberFormat="1" applyFont="1" applyFill="1" applyBorder="1" applyAlignment="1">
      <alignment horizontal="center" vertical="center" wrapText="1"/>
    </xf>
    <xf numFmtId="0" fontId="33" fillId="0" borderId="70" xfId="0" applyFont="1" applyBorder="1" applyAlignment="1">
      <alignment horizontal="center" vertical="center" wrapText="1"/>
    </xf>
    <xf numFmtId="0" fontId="19" fillId="0" borderId="0" xfId="0" applyFont="1" applyAlignment="1">
      <alignment horizontal="center" vertical="center"/>
    </xf>
    <xf numFmtId="0" fontId="25" fillId="21" borderId="64" xfId="0" applyFont="1" applyFill="1" applyBorder="1" applyAlignment="1">
      <alignment horizontal="center" vertical="center"/>
    </xf>
    <xf numFmtId="0" fontId="42" fillId="2" borderId="39" xfId="0" applyFont="1" applyFill="1" applyBorder="1" applyAlignment="1">
      <alignment horizontal="center" vertical="center" wrapText="1"/>
    </xf>
    <xf numFmtId="0" fontId="42" fillId="0" borderId="41" xfId="0" applyFont="1" applyBorder="1" applyAlignment="1">
      <alignment horizontal="center" vertical="center" wrapText="1"/>
    </xf>
    <xf numFmtId="0" fontId="42" fillId="2" borderId="41" xfId="0" applyFont="1" applyFill="1" applyBorder="1" applyAlignment="1">
      <alignment horizontal="center" vertical="center" wrapText="1"/>
    </xf>
    <xf numFmtId="0" fontId="42" fillId="0" borderId="39" xfId="0" applyFont="1" applyBorder="1" applyAlignment="1">
      <alignment horizontal="center" vertical="center" wrapText="1"/>
    </xf>
    <xf numFmtId="0" fontId="42" fillId="2" borderId="69" xfId="0" applyFont="1" applyFill="1" applyBorder="1" applyAlignment="1">
      <alignment horizontal="center" vertical="center" wrapText="1"/>
    </xf>
    <xf numFmtId="0" fontId="41" fillId="0" borderId="0" xfId="0" applyFont="1"/>
    <xf numFmtId="0" fontId="42" fillId="0" borderId="43" xfId="0" applyFont="1" applyBorder="1" applyAlignment="1">
      <alignment horizontal="center" vertical="center" wrapText="1"/>
    </xf>
    <xf numFmtId="0" fontId="42" fillId="2" borderId="43" xfId="0" applyFont="1" applyFill="1" applyBorder="1" applyAlignment="1">
      <alignment horizontal="center" vertical="center" wrapText="1"/>
    </xf>
    <xf numFmtId="0" fontId="42" fillId="0" borderId="45" xfId="0" applyFont="1" applyBorder="1" applyAlignment="1">
      <alignment horizontal="center" vertical="center" wrapText="1"/>
    </xf>
    <xf numFmtId="0" fontId="43" fillId="0" borderId="50" xfId="0" applyFont="1" applyBorder="1" applyAlignment="1">
      <alignment horizontal="center" vertical="center"/>
    </xf>
    <xf numFmtId="0" fontId="40" fillId="0" borderId="58" xfId="0" applyFont="1" applyBorder="1" applyAlignment="1">
      <alignment horizontal="center" vertical="center" wrapText="1"/>
    </xf>
    <xf numFmtId="0" fontId="44" fillId="2" borderId="46" xfId="0" applyFont="1" applyFill="1" applyBorder="1" applyAlignment="1">
      <alignment horizontal="center" vertical="center"/>
    </xf>
    <xf numFmtId="0" fontId="46" fillId="0" borderId="0" xfId="0" applyFont="1"/>
    <xf numFmtId="0" fontId="17" fillId="0" borderId="0" xfId="0" applyFont="1"/>
    <xf numFmtId="0" fontId="47" fillId="0" borderId="0" xfId="0" applyFont="1"/>
    <xf numFmtId="0" fontId="27" fillId="0" borderId="75" xfId="0" applyFont="1" applyBorder="1" applyAlignment="1">
      <alignment horizontal="center" vertical="center"/>
    </xf>
    <xf numFmtId="0" fontId="27" fillId="0" borderId="0" xfId="0" applyFont="1" applyAlignment="1">
      <alignment vertical="center"/>
    </xf>
    <xf numFmtId="0" fontId="46" fillId="0" borderId="0" xfId="0" applyFont="1" applyAlignment="1">
      <alignment horizontal="left"/>
    </xf>
    <xf numFmtId="0" fontId="6" fillId="0" borderId="0" xfId="0" applyFont="1" applyAlignment="1">
      <alignment horizontal="center"/>
    </xf>
    <xf numFmtId="0" fontId="37" fillId="0" borderId="0" xfId="0" applyFont="1" applyAlignment="1">
      <alignment horizontal="center"/>
    </xf>
    <xf numFmtId="0" fontId="6" fillId="0" borderId="74" xfId="0" applyFont="1" applyBorder="1" applyAlignment="1">
      <alignment horizontal="center" vertical="center"/>
    </xf>
    <xf numFmtId="0" fontId="6" fillId="0" borderId="52" xfId="0" applyFont="1" applyBorder="1" applyAlignment="1">
      <alignment horizontal="center" vertical="center" wrapText="1"/>
    </xf>
    <xf numFmtId="0" fontId="6" fillId="0" borderId="22" xfId="0" applyFont="1" applyBorder="1" applyAlignment="1">
      <alignment horizontal="center" vertical="center" wrapText="1"/>
    </xf>
    <xf numFmtId="0" fontId="6" fillId="0" borderId="87" xfId="0" applyFont="1" applyBorder="1" applyAlignment="1">
      <alignment horizontal="center" vertical="center"/>
    </xf>
    <xf numFmtId="0" fontId="6" fillId="0" borderId="92" xfId="0" applyFont="1" applyBorder="1" applyAlignment="1">
      <alignment horizontal="center" vertical="center" wrapText="1"/>
    </xf>
    <xf numFmtId="0" fontId="6" fillId="0" borderId="94" xfId="0" applyFont="1" applyBorder="1" applyAlignment="1">
      <alignment horizontal="center" vertical="center" wrapText="1"/>
    </xf>
    <xf numFmtId="0" fontId="6" fillId="6" borderId="81" xfId="0" applyFont="1" applyFill="1" applyBorder="1" applyAlignment="1">
      <alignment horizontal="center"/>
    </xf>
    <xf numFmtId="0" fontId="6" fillId="0" borderId="90" xfId="0" applyFont="1" applyBorder="1" applyAlignment="1">
      <alignment horizontal="center"/>
    </xf>
    <xf numFmtId="0" fontId="6" fillId="0" borderId="65" xfId="0" applyFont="1" applyBorder="1" applyAlignment="1">
      <alignment horizontal="center"/>
    </xf>
    <xf numFmtId="0" fontId="6" fillId="0" borderId="84" xfId="0" applyFont="1" applyBorder="1" applyAlignment="1">
      <alignment horizontal="center"/>
    </xf>
    <xf numFmtId="0" fontId="6" fillId="0" borderId="95" xfId="0" applyFont="1" applyBorder="1" applyAlignment="1">
      <alignment horizontal="center"/>
    </xf>
    <xf numFmtId="0" fontId="6" fillId="6" borderId="88" xfId="0" applyFont="1" applyFill="1" applyBorder="1" applyAlignment="1">
      <alignment horizontal="center"/>
    </xf>
    <xf numFmtId="0" fontId="6" fillId="6" borderId="85" xfId="0" applyFont="1" applyFill="1" applyBorder="1" applyAlignment="1">
      <alignment horizontal="center"/>
    </xf>
    <xf numFmtId="0" fontId="6" fillId="6" borderId="49" xfId="0" applyFont="1" applyFill="1" applyBorder="1" applyAlignment="1">
      <alignment horizontal="center"/>
    </xf>
    <xf numFmtId="0" fontId="6" fillId="6" borderId="50" xfId="0" applyFont="1" applyFill="1" applyBorder="1" applyAlignment="1">
      <alignment horizontal="center"/>
    </xf>
    <xf numFmtId="0" fontId="6" fillId="0" borderId="49" xfId="0" applyFont="1" applyBorder="1" applyAlignment="1">
      <alignment horizontal="center"/>
    </xf>
    <xf numFmtId="0" fontId="6" fillId="0" borderId="85" xfId="0" applyFont="1" applyBorder="1" applyAlignment="1">
      <alignment horizontal="center"/>
    </xf>
    <xf numFmtId="0" fontId="6" fillId="0" borderId="46" xfId="0" applyFont="1" applyBorder="1" applyAlignment="1">
      <alignment horizontal="center"/>
    </xf>
    <xf numFmtId="0" fontId="6" fillId="0" borderId="47" xfId="0" applyFont="1" applyBorder="1" applyAlignment="1">
      <alignment horizontal="center"/>
    </xf>
    <xf numFmtId="0" fontId="37" fillId="0" borderId="74" xfId="0" applyFont="1" applyBorder="1" applyAlignment="1">
      <alignment horizontal="center"/>
    </xf>
    <xf numFmtId="0" fontId="6" fillId="0" borderId="63" xfId="0" applyFont="1" applyBorder="1" applyAlignment="1">
      <alignment horizontal="center"/>
    </xf>
    <xf numFmtId="0" fontId="6" fillId="6" borderId="90" xfId="0" applyFont="1" applyFill="1" applyBorder="1" applyAlignment="1">
      <alignment horizontal="center"/>
    </xf>
    <xf numFmtId="0" fontId="6" fillId="6" borderId="65" xfId="0" applyFont="1" applyFill="1" applyBorder="1" applyAlignment="1">
      <alignment horizontal="center"/>
    </xf>
    <xf numFmtId="0" fontId="6" fillId="0" borderId="60" xfId="0" applyFont="1" applyBorder="1" applyAlignment="1">
      <alignment horizontal="center"/>
    </xf>
    <xf numFmtId="0" fontId="6" fillId="0" borderId="88" xfId="0" applyFont="1" applyBorder="1" applyAlignment="1">
      <alignment horizontal="center"/>
    </xf>
    <xf numFmtId="0" fontId="6" fillId="0" borderId="86" xfId="0" applyFont="1" applyBorder="1" applyAlignment="1">
      <alignment horizontal="center"/>
    </xf>
    <xf numFmtId="0" fontId="6" fillId="0" borderId="82" xfId="0" applyFont="1" applyBorder="1" applyAlignment="1">
      <alignment horizontal="center"/>
    </xf>
    <xf numFmtId="0" fontId="6" fillId="0" borderId="75" xfId="0" applyFont="1" applyBorder="1" applyAlignment="1">
      <alignment horizontal="center"/>
    </xf>
    <xf numFmtId="0" fontId="6" fillId="6" borderId="86" xfId="0" applyFont="1" applyFill="1" applyBorder="1" applyAlignment="1">
      <alignment horizontal="center"/>
    </xf>
    <xf numFmtId="0" fontId="6" fillId="6" borderId="83" xfId="0" applyFont="1" applyFill="1" applyBorder="1" applyAlignment="1">
      <alignment horizontal="center"/>
    </xf>
    <xf numFmtId="0" fontId="6" fillId="6" borderId="75" xfId="0" applyFont="1" applyFill="1" applyBorder="1" applyAlignment="1">
      <alignment horizontal="center"/>
    </xf>
    <xf numFmtId="0" fontId="6" fillId="0" borderId="83" xfId="0" applyFont="1" applyBorder="1" applyAlignment="1">
      <alignment horizontal="center"/>
    </xf>
    <xf numFmtId="0" fontId="6" fillId="6" borderId="96" xfId="0" applyFont="1" applyFill="1" applyBorder="1" applyAlignment="1">
      <alignment horizontal="center"/>
    </xf>
    <xf numFmtId="0" fontId="37" fillId="0" borderId="63" xfId="0" applyFont="1" applyBorder="1" applyAlignment="1">
      <alignment horizontal="center"/>
    </xf>
    <xf numFmtId="0" fontId="37" fillId="0" borderId="60" xfId="0" applyFont="1" applyBorder="1" applyAlignment="1">
      <alignment horizontal="center"/>
    </xf>
    <xf numFmtId="0" fontId="23" fillId="0" borderId="60" xfId="0" applyFont="1" applyBorder="1" applyAlignment="1">
      <alignment horizontal="center" vertical="center"/>
    </xf>
    <xf numFmtId="0" fontId="23" fillId="0" borderId="74" xfId="0" applyFont="1" applyBorder="1" applyAlignment="1">
      <alignment horizontal="center" vertical="center" wrapText="1"/>
    </xf>
    <xf numFmtId="0" fontId="23" fillId="0" borderId="74" xfId="0" applyFont="1" applyBorder="1" applyAlignment="1">
      <alignment horizontal="center" wrapText="1"/>
    </xf>
    <xf numFmtId="0" fontId="23" fillId="0" borderId="60" xfId="0" applyFont="1" applyBorder="1" applyAlignment="1">
      <alignment horizontal="center"/>
    </xf>
    <xf numFmtId="0" fontId="23" fillId="0" borderId="60" xfId="0" applyFont="1" applyBorder="1" applyAlignment="1">
      <alignment horizontal="center" wrapText="1"/>
    </xf>
    <xf numFmtId="0" fontId="23" fillId="0" borderId="74" xfId="0" applyFont="1" applyBorder="1" applyAlignment="1">
      <alignment horizontal="center"/>
    </xf>
    <xf numFmtId="0" fontId="6" fillId="6" borderId="98" xfId="0" applyFont="1" applyFill="1" applyBorder="1" applyAlignment="1">
      <alignment horizontal="center"/>
    </xf>
    <xf numFmtId="0" fontId="6" fillId="0" borderId="99" xfId="0" applyFont="1" applyBorder="1" applyAlignment="1">
      <alignment horizontal="center"/>
    </xf>
    <xf numFmtId="0" fontId="6" fillId="0" borderId="100" xfId="0" applyFont="1" applyBorder="1" applyAlignment="1">
      <alignment horizontal="center"/>
    </xf>
    <xf numFmtId="0" fontId="6" fillId="0" borderId="101" xfId="0" applyFont="1" applyBorder="1" applyAlignment="1">
      <alignment horizontal="center"/>
    </xf>
    <xf numFmtId="0" fontId="6" fillId="0" borderId="92" xfId="0" applyFont="1" applyBorder="1" applyAlignment="1">
      <alignment horizontal="center"/>
    </xf>
    <xf numFmtId="0" fontId="6" fillId="6" borderId="103" xfId="0" applyFont="1" applyFill="1" applyBorder="1" applyAlignment="1">
      <alignment horizontal="center"/>
    </xf>
    <xf numFmtId="0" fontId="6" fillId="6" borderId="102" xfId="0" applyFont="1" applyFill="1" applyBorder="1" applyAlignment="1">
      <alignment horizontal="center"/>
    </xf>
    <xf numFmtId="0" fontId="6" fillId="6" borderId="101" xfId="0" applyFont="1" applyFill="1" applyBorder="1" applyAlignment="1">
      <alignment horizontal="center"/>
    </xf>
    <xf numFmtId="0" fontId="6" fillId="6" borderId="99" xfId="0" applyFont="1" applyFill="1" applyBorder="1" applyAlignment="1">
      <alignment horizontal="center"/>
    </xf>
    <xf numFmtId="0" fontId="6" fillId="6" borderId="95" xfId="0" applyFont="1" applyFill="1" applyBorder="1" applyAlignment="1">
      <alignment horizontal="center"/>
    </xf>
    <xf numFmtId="0" fontId="54" fillId="0" borderId="0" xfId="0" applyFont="1" applyAlignment="1">
      <alignment horizontal="center"/>
    </xf>
    <xf numFmtId="0" fontId="54" fillId="0" borderId="0" xfId="0" applyFont="1" applyAlignment="1">
      <alignment horizontal="center" vertical="center" wrapText="1"/>
    </xf>
    <xf numFmtId="0" fontId="54" fillId="0" borderId="0" xfId="0" applyFont="1" applyAlignment="1">
      <alignment horizontal="center" vertical="center"/>
    </xf>
    <xf numFmtId="0" fontId="54" fillId="20" borderId="0" xfId="0" applyFont="1" applyFill="1" applyAlignment="1">
      <alignment horizontal="center" vertical="center"/>
    </xf>
    <xf numFmtId="0" fontId="7" fillId="0" borderId="0" xfId="0" applyFont="1" applyAlignment="1">
      <alignment horizontal="center"/>
    </xf>
    <xf numFmtId="0" fontId="7" fillId="0" borderId="74" xfId="0" applyFont="1" applyBorder="1" applyAlignment="1">
      <alignment horizontal="center"/>
    </xf>
    <xf numFmtId="0" fontId="7" fillId="0" borderId="78" xfId="0" applyFont="1" applyBorder="1" applyAlignment="1">
      <alignment horizontal="center"/>
    </xf>
    <xf numFmtId="0" fontId="7" fillId="0" borderId="77" xfId="0" applyFont="1" applyBorder="1" applyAlignment="1">
      <alignment horizontal="center"/>
    </xf>
    <xf numFmtId="0" fontId="7" fillId="0" borderId="75" xfId="0" applyFont="1" applyBorder="1" applyAlignment="1">
      <alignment horizontal="center"/>
    </xf>
    <xf numFmtId="0" fontId="7" fillId="0" borderId="74" xfId="0" applyFont="1" applyBorder="1" applyAlignment="1">
      <alignment horizontal="center" wrapText="1"/>
    </xf>
    <xf numFmtId="0" fontId="7" fillId="0" borderId="80" xfId="0" applyFont="1" applyBorder="1" applyAlignment="1">
      <alignment horizontal="center"/>
    </xf>
    <xf numFmtId="0" fontId="7" fillId="0" borderId="79" xfId="0" applyFont="1" applyBorder="1" applyAlignment="1">
      <alignment horizontal="center"/>
    </xf>
    <xf numFmtId="0" fontId="7" fillId="0" borderId="77" xfId="0" applyFont="1" applyBorder="1" applyAlignment="1">
      <alignment horizontal="center" vertical="center"/>
    </xf>
    <xf numFmtId="0" fontId="7" fillId="0" borderId="75" xfId="0" applyFont="1" applyBorder="1" applyAlignment="1">
      <alignment horizontal="center" vertical="center"/>
    </xf>
    <xf numFmtId="0" fontId="7" fillId="0" borderId="76" xfId="0" applyFont="1" applyBorder="1" applyAlignment="1">
      <alignment horizontal="center" vertical="center"/>
    </xf>
    <xf numFmtId="0" fontId="7" fillId="0" borderId="76" xfId="0" applyFont="1" applyBorder="1" applyAlignment="1">
      <alignment horizontal="center"/>
    </xf>
    <xf numFmtId="0" fontId="47" fillId="0" borderId="0" xfId="0" applyFont="1" applyAlignment="1">
      <alignment horizontal="center" vertical="center" wrapText="1"/>
    </xf>
    <xf numFmtId="0" fontId="47" fillId="0" borderId="72" xfId="0" applyFont="1" applyBorder="1" applyAlignment="1">
      <alignment horizontal="center" vertical="center" wrapText="1"/>
    </xf>
    <xf numFmtId="0" fontId="47" fillId="0" borderId="11" xfId="0" applyFont="1" applyBorder="1" applyAlignment="1">
      <alignment horizontal="center" vertical="center" wrapText="1"/>
    </xf>
    <xf numFmtId="0" fontId="47" fillId="0" borderId="73" xfId="0" applyFont="1" applyBorder="1" applyAlignment="1">
      <alignment horizontal="center" vertical="center" wrapText="1"/>
    </xf>
    <xf numFmtId="0" fontId="47" fillId="0" borderId="29" xfId="0" applyFont="1" applyBorder="1" applyAlignment="1">
      <alignment horizontal="center" vertical="center" wrapText="1"/>
    </xf>
    <xf numFmtId="0" fontId="47" fillId="0" borderId="1" xfId="0" applyFont="1" applyBorder="1" applyAlignment="1">
      <alignment horizontal="center" vertical="center" wrapText="1"/>
    </xf>
    <xf numFmtId="0" fontId="47" fillId="0" borderId="25" xfId="0" applyFont="1" applyBorder="1" applyAlignment="1">
      <alignment horizontal="center" vertical="center" wrapText="1"/>
    </xf>
    <xf numFmtId="0" fontId="47" fillId="0" borderId="14" xfId="0" applyFont="1" applyBorder="1" applyAlignment="1">
      <alignment horizontal="center" vertical="center" wrapText="1"/>
    </xf>
    <xf numFmtId="0" fontId="47" fillId="0" borderId="5" xfId="0" applyFont="1" applyBorder="1" applyAlignment="1">
      <alignment horizontal="center" vertical="center" wrapText="1"/>
    </xf>
    <xf numFmtId="0" fontId="47" fillId="0" borderId="71" xfId="0" applyFont="1" applyBorder="1" applyAlignment="1">
      <alignment horizontal="center" vertical="center" wrapText="1"/>
    </xf>
    <xf numFmtId="0" fontId="55" fillId="0" borderId="72" xfId="0" applyFont="1" applyBorder="1" applyAlignment="1">
      <alignment horizontal="center" vertical="center" wrapText="1"/>
    </xf>
    <xf numFmtId="0" fontId="42" fillId="0" borderId="74" xfId="0" applyFont="1" applyBorder="1" applyAlignment="1">
      <alignment horizontal="center"/>
    </xf>
    <xf numFmtId="0" fontId="23" fillId="0" borderId="74" xfId="0" applyFont="1" applyBorder="1" applyAlignment="1">
      <alignment horizontal="center" vertical="center"/>
    </xf>
    <xf numFmtId="0" fontId="6" fillId="6" borderId="66" xfId="0" applyFont="1" applyFill="1" applyBorder="1" applyAlignment="1">
      <alignment horizontal="center"/>
    </xf>
    <xf numFmtId="0" fontId="6" fillId="6" borderId="105" xfId="0" applyFont="1" applyFill="1" applyBorder="1" applyAlignment="1">
      <alignment horizontal="center"/>
    </xf>
    <xf numFmtId="0" fontId="6" fillId="0" borderId="87" xfId="0" applyFont="1" applyBorder="1" applyAlignment="1">
      <alignment horizontal="center"/>
    </xf>
    <xf numFmtId="2" fontId="6" fillId="0" borderId="74" xfId="0" applyNumberFormat="1" applyFont="1" applyBorder="1" applyAlignment="1">
      <alignment horizontal="center"/>
    </xf>
    <xf numFmtId="0" fontId="6" fillId="0" borderId="74" xfId="0" applyFont="1" applyBorder="1" applyAlignment="1">
      <alignment horizontal="center" vertical="center" wrapText="1"/>
    </xf>
    <xf numFmtId="0" fontId="6" fillId="27" borderId="78" xfId="0" applyFont="1" applyFill="1" applyBorder="1" applyAlignment="1">
      <alignment horizontal="center"/>
    </xf>
    <xf numFmtId="0" fontId="6" fillId="27" borderId="90" xfId="0" applyFont="1" applyFill="1" applyBorder="1" applyAlignment="1">
      <alignment horizontal="center"/>
    </xf>
    <xf numFmtId="0" fontId="6" fillId="27" borderId="80" xfId="0" applyFont="1" applyFill="1" applyBorder="1" applyAlignment="1">
      <alignment horizontal="center"/>
    </xf>
    <xf numFmtId="0" fontId="6" fillId="27" borderId="53" xfId="0" applyFont="1" applyFill="1" applyBorder="1" applyAlignment="1">
      <alignment horizontal="center"/>
    </xf>
    <xf numFmtId="0" fontId="6" fillId="15" borderId="81" xfId="0" applyFont="1" applyFill="1" applyBorder="1" applyAlignment="1">
      <alignment horizontal="center"/>
    </xf>
    <xf numFmtId="0" fontId="6" fillId="15" borderId="88" xfId="0" applyFont="1" applyFill="1" applyBorder="1" applyAlignment="1">
      <alignment horizontal="center"/>
    </xf>
    <xf numFmtId="0" fontId="6" fillId="15" borderId="49" xfId="0" applyFont="1" applyFill="1" applyBorder="1" applyAlignment="1">
      <alignment horizontal="center"/>
    </xf>
    <xf numFmtId="0" fontId="17" fillId="28" borderId="63" xfId="0" applyFont="1" applyFill="1" applyBorder="1" applyAlignment="1">
      <alignment vertical="center"/>
    </xf>
    <xf numFmtId="0" fontId="17" fillId="28" borderId="21" xfId="0" applyFont="1" applyFill="1" applyBorder="1" applyAlignment="1">
      <alignment vertical="center"/>
    </xf>
    <xf numFmtId="0" fontId="47" fillId="5" borderId="0" xfId="0" applyFont="1" applyFill="1" applyAlignment="1">
      <alignment vertical="center" wrapText="1"/>
    </xf>
    <xf numFmtId="0" fontId="57" fillId="0" borderId="31" xfId="0" applyFont="1" applyBorder="1" applyAlignment="1">
      <alignment horizontal="center" vertical="center" wrapText="1"/>
    </xf>
    <xf numFmtId="0" fontId="57" fillId="0" borderId="104" xfId="0" applyFont="1" applyBorder="1" applyAlignment="1" applyProtection="1">
      <alignment horizontal="center" vertical="center" wrapText="1"/>
      <protection locked="0"/>
    </xf>
    <xf numFmtId="0" fontId="57" fillId="16" borderId="14" xfId="0" applyFont="1" applyFill="1" applyBorder="1" applyAlignment="1">
      <alignment horizontal="center" vertical="center" wrapText="1"/>
    </xf>
    <xf numFmtId="0" fontId="57" fillId="0" borderId="71" xfId="0" applyFont="1" applyBorder="1" applyAlignment="1">
      <alignment horizontal="center" vertical="center" wrapText="1"/>
    </xf>
    <xf numFmtId="0" fontId="57" fillId="0" borderId="72" xfId="0" applyFont="1" applyBorder="1" applyAlignment="1">
      <alignment horizontal="center" vertical="center" wrapText="1"/>
    </xf>
    <xf numFmtId="0" fontId="57" fillId="0" borderId="73" xfId="0" applyFont="1" applyBorder="1" applyAlignment="1">
      <alignment horizontal="center" vertical="center" wrapText="1"/>
    </xf>
    <xf numFmtId="0" fontId="6" fillId="0" borderId="106" xfId="0" applyFont="1" applyBorder="1" applyAlignment="1">
      <alignment horizontal="center"/>
    </xf>
    <xf numFmtId="0" fontId="6" fillId="15" borderId="103" xfId="0" applyFont="1" applyFill="1" applyBorder="1" applyAlignment="1">
      <alignment horizontal="center"/>
    </xf>
    <xf numFmtId="0" fontId="16" fillId="0" borderId="0" xfId="0" applyFont="1" applyAlignment="1">
      <alignment horizontal="center" vertical="center"/>
    </xf>
    <xf numFmtId="0" fontId="10" fillId="0" borderId="0" xfId="0" applyFont="1" applyAlignment="1">
      <alignment horizontal="left" vertical="center" wrapText="1"/>
    </xf>
    <xf numFmtId="164" fontId="3" fillId="0" borderId="107" xfId="0" applyNumberFormat="1" applyFont="1" applyBorder="1" applyAlignment="1">
      <alignment horizontal="center" vertical="center"/>
    </xf>
    <xf numFmtId="0" fontId="20" fillId="0" borderId="107" xfId="0" applyFont="1" applyBorder="1" applyAlignment="1">
      <alignment horizontal="center" vertical="center"/>
    </xf>
    <xf numFmtId="0" fontId="3" fillId="2" borderId="67" xfId="0" applyFont="1" applyFill="1" applyBorder="1" applyAlignment="1">
      <alignment horizontal="center" vertical="center"/>
    </xf>
    <xf numFmtId="0" fontId="17" fillId="0" borderId="107" xfId="0" applyFont="1" applyBorder="1" applyAlignment="1">
      <alignment horizontal="center" vertical="center"/>
    </xf>
    <xf numFmtId="0" fontId="17" fillId="2" borderId="7" xfId="0" applyFont="1" applyFill="1" applyBorder="1" applyAlignment="1">
      <alignment horizontal="center" vertical="center"/>
    </xf>
    <xf numFmtId="0" fontId="17" fillId="0" borderId="7" xfId="0" applyFont="1" applyBorder="1" applyAlignment="1">
      <alignment horizontal="center" vertical="center"/>
    </xf>
    <xf numFmtId="0" fontId="17" fillId="2" borderId="67" xfId="0" applyFont="1" applyFill="1" applyBorder="1" applyAlignment="1">
      <alignment horizontal="center" vertical="center"/>
    </xf>
    <xf numFmtId="0" fontId="20" fillId="0" borderId="67" xfId="0" applyFont="1" applyBorder="1" applyAlignment="1">
      <alignment horizontal="center" vertical="center"/>
    </xf>
    <xf numFmtId="0" fontId="25" fillId="21" borderId="108" xfId="0" applyFont="1" applyFill="1" applyBorder="1" applyAlignment="1">
      <alignment horizontal="center" vertical="center"/>
    </xf>
    <xf numFmtId="0" fontId="3" fillId="19" borderId="74" xfId="0" applyFont="1" applyFill="1" applyBorder="1" applyAlignment="1">
      <alignment horizontal="center" vertical="center"/>
    </xf>
    <xf numFmtId="0" fontId="47" fillId="0" borderId="71" xfId="0" quotePrefix="1" applyFont="1" applyBorder="1" applyAlignment="1">
      <alignment horizontal="center" vertical="center" wrapText="1"/>
    </xf>
    <xf numFmtId="0" fontId="6" fillId="0" borderId="81" xfId="0" applyFont="1" applyBorder="1" applyAlignment="1">
      <alignment horizontal="center"/>
    </xf>
    <xf numFmtId="0" fontId="58" fillId="0" borderId="0" xfId="0" applyFont="1" applyAlignment="1">
      <alignment horizontal="center" vertical="center" wrapText="1"/>
    </xf>
    <xf numFmtId="0" fontId="59" fillId="0" borderId="0" xfId="0" applyFont="1" applyAlignment="1">
      <alignment horizontal="center" vertical="center" wrapText="1"/>
    </xf>
    <xf numFmtId="0" fontId="46" fillId="0" borderId="76" xfId="0" applyFont="1" applyBorder="1"/>
    <xf numFmtId="0" fontId="17" fillId="0" borderId="76" xfId="0" applyFont="1" applyBorder="1" applyAlignment="1">
      <alignment horizontal="center" vertical="center"/>
    </xf>
    <xf numFmtId="0" fontId="60" fillId="0" borderId="74" xfId="0" applyFont="1" applyBorder="1" applyAlignment="1">
      <alignment horizontal="center" vertical="center"/>
    </xf>
    <xf numFmtId="0" fontId="60" fillId="0" borderId="0" xfId="0" applyFont="1" applyAlignment="1">
      <alignment horizontal="center" vertical="center" wrapText="1"/>
    </xf>
    <xf numFmtId="0" fontId="57" fillId="0" borderId="0" xfId="0" applyFont="1" applyAlignment="1">
      <alignment horizontal="center" vertical="center" wrapText="1"/>
    </xf>
    <xf numFmtId="0" fontId="61" fillId="0" borderId="0" xfId="0" applyFont="1" applyAlignment="1">
      <alignment horizontal="center" vertical="center" wrapText="1"/>
    </xf>
    <xf numFmtId="0" fontId="61" fillId="29" borderId="0" xfId="0" applyFont="1" applyFill="1" applyAlignment="1">
      <alignment horizontal="center" vertical="center" wrapText="1"/>
    </xf>
    <xf numFmtId="0" fontId="61" fillId="30" borderId="0" xfId="0" applyFont="1" applyFill="1" applyAlignment="1">
      <alignment horizontal="center" vertical="center" wrapText="1"/>
    </xf>
    <xf numFmtId="0" fontId="61" fillId="29" borderId="0" xfId="0" applyFont="1" applyFill="1" applyAlignment="1">
      <alignment horizontal="center" wrapText="1"/>
    </xf>
    <xf numFmtId="0" fontId="57" fillId="29" borderId="0" xfId="0" applyFont="1" applyFill="1" applyAlignment="1">
      <alignment horizontal="center" vertical="center" wrapText="1"/>
    </xf>
    <xf numFmtId="0" fontId="27" fillId="20" borderId="75" xfId="0" applyFont="1" applyFill="1" applyBorder="1" applyAlignment="1">
      <alignment horizontal="center" vertical="center"/>
    </xf>
    <xf numFmtId="0" fontId="7" fillId="20" borderId="74" xfId="0" applyFont="1" applyFill="1" applyBorder="1" applyAlignment="1">
      <alignment horizontal="center"/>
    </xf>
    <xf numFmtId="0" fontId="7" fillId="20" borderId="78" xfId="0" applyFont="1" applyFill="1" applyBorder="1" applyAlignment="1">
      <alignment horizontal="center"/>
    </xf>
    <xf numFmtId="0" fontId="17" fillId="0" borderId="0" xfId="0" applyFont="1" applyAlignment="1">
      <alignment horizontal="center" vertical="center"/>
    </xf>
    <xf numFmtId="0" fontId="63" fillId="0" borderId="72" xfId="0" applyFont="1" applyBorder="1" applyAlignment="1">
      <alignment horizontal="center" vertical="center" wrapText="1"/>
    </xf>
    <xf numFmtId="0" fontId="17" fillId="13" borderId="19" xfId="0" applyFont="1" applyFill="1" applyBorder="1" applyAlignment="1">
      <alignment vertical="center" wrapText="1"/>
    </xf>
    <xf numFmtId="0" fontId="17" fillId="0" borderId="76" xfId="0" applyFont="1" applyBorder="1"/>
    <xf numFmtId="0" fontId="17" fillId="0" borderId="109" xfId="0" applyFont="1" applyBorder="1"/>
    <xf numFmtId="0" fontId="17" fillId="4" borderId="19" xfId="0" applyFont="1" applyFill="1" applyBorder="1" applyAlignment="1">
      <alignment vertical="center" wrapText="1"/>
    </xf>
    <xf numFmtId="0" fontId="17" fillId="11" borderId="19" xfId="0" applyFont="1" applyFill="1" applyBorder="1" applyAlignment="1">
      <alignment vertical="center"/>
    </xf>
    <xf numFmtId="0" fontId="47" fillId="11" borderId="0" xfId="0" applyFont="1" applyFill="1" applyAlignment="1">
      <alignment vertical="center"/>
    </xf>
    <xf numFmtId="0" fontId="47" fillId="11" borderId="0" xfId="0" applyFont="1" applyFill="1" applyAlignment="1">
      <alignment vertical="center" wrapText="1"/>
    </xf>
    <xf numFmtId="0" fontId="9" fillId="19" borderId="86" xfId="0" applyFont="1" applyFill="1" applyBorder="1" applyAlignment="1">
      <alignment horizontal="center" vertical="center"/>
    </xf>
    <xf numFmtId="0" fontId="35" fillId="0" borderId="11" xfId="0" applyFont="1" applyBorder="1" applyAlignment="1">
      <alignment horizontal="center" vertical="center"/>
    </xf>
    <xf numFmtId="0" fontId="0" fillId="0" borderId="0" xfId="0" applyAlignment="1">
      <alignment horizontal="center"/>
    </xf>
    <xf numFmtId="0" fontId="47" fillId="0" borderId="110" xfId="0" applyFont="1" applyBorder="1" applyAlignment="1">
      <alignment horizontal="center" vertical="center" wrapText="1"/>
    </xf>
    <xf numFmtId="0" fontId="35" fillId="0" borderId="1" xfId="0" applyFont="1" applyBorder="1" applyAlignment="1">
      <alignment horizontal="center" vertical="center"/>
    </xf>
    <xf numFmtId="164" fontId="66" fillId="2" borderId="32" xfId="0" applyNumberFormat="1" applyFont="1" applyFill="1" applyBorder="1" applyAlignment="1">
      <alignment horizontal="center" vertical="center"/>
    </xf>
    <xf numFmtId="164" fontId="66" fillId="2" borderId="11" xfId="0" applyNumberFormat="1" applyFont="1" applyFill="1" applyBorder="1" applyAlignment="1">
      <alignment horizontal="center" vertical="center"/>
    </xf>
    <xf numFmtId="0" fontId="64" fillId="0" borderId="11" xfId="0" applyFont="1" applyBorder="1" applyAlignment="1">
      <alignment horizontal="left" vertical="center" wrapText="1"/>
    </xf>
    <xf numFmtId="164" fontId="68" fillId="0" borderId="11" xfId="0" applyNumberFormat="1" applyFont="1" applyBorder="1" applyAlignment="1">
      <alignment horizontal="center" vertical="center"/>
    </xf>
    <xf numFmtId="0" fontId="64" fillId="2" borderId="11" xfId="0" applyFont="1" applyFill="1" applyBorder="1" applyAlignment="1">
      <alignment horizontal="left" vertical="center" wrapText="1"/>
    </xf>
    <xf numFmtId="0" fontId="66" fillId="2" borderId="11" xfId="0" applyFont="1" applyFill="1" applyBorder="1" applyAlignment="1">
      <alignment horizontal="center" vertical="center" wrapText="1"/>
    </xf>
    <xf numFmtId="0" fontId="64" fillId="2" borderId="11" xfId="0" applyFont="1" applyFill="1" applyBorder="1" applyAlignment="1">
      <alignment vertical="center" wrapText="1"/>
    </xf>
    <xf numFmtId="0" fontId="35" fillId="2" borderId="11" xfId="0" applyFont="1" applyFill="1" applyBorder="1" applyAlignment="1">
      <alignment horizontal="center" vertical="center"/>
    </xf>
    <xf numFmtId="0" fontId="66" fillId="2" borderId="11" xfId="0" applyFont="1" applyFill="1" applyBorder="1" applyAlignment="1">
      <alignment horizontal="center" vertical="center"/>
    </xf>
    <xf numFmtId="0" fontId="65" fillId="2" borderId="32" xfId="0" applyFont="1" applyFill="1" applyBorder="1" applyAlignment="1">
      <alignment horizontal="left" vertical="center" wrapText="1"/>
    </xf>
    <xf numFmtId="0" fontId="66" fillId="2" borderId="32" xfId="0" applyFont="1" applyFill="1" applyBorder="1" applyAlignment="1">
      <alignment horizontal="center" vertical="center"/>
    </xf>
    <xf numFmtId="0" fontId="35" fillId="2" borderId="32" xfId="0" applyFont="1" applyFill="1" applyBorder="1" applyAlignment="1">
      <alignment horizontal="center" vertical="center"/>
    </xf>
    <xf numFmtId="0" fontId="64" fillId="0" borderId="1" xfId="0" applyFont="1" applyBorder="1" applyAlignment="1">
      <alignment vertical="center" wrapText="1"/>
    </xf>
    <xf numFmtId="0" fontId="68" fillId="0" borderId="1" xfId="0" applyFont="1" applyBorder="1" applyAlignment="1">
      <alignment horizontal="center" vertical="center"/>
    </xf>
    <xf numFmtId="164" fontId="66" fillId="0" borderId="1" xfId="0" applyNumberFormat="1" applyFont="1" applyBorder="1" applyAlignment="1">
      <alignment horizontal="center" vertical="center"/>
    </xf>
    <xf numFmtId="0" fontId="64" fillId="0" borderId="11" xfId="0" applyFont="1" applyBorder="1" applyAlignment="1">
      <alignment vertical="center" wrapText="1"/>
    </xf>
    <xf numFmtId="164" fontId="66" fillId="0" borderId="11" xfId="0" applyNumberFormat="1" applyFont="1" applyBorder="1" applyAlignment="1">
      <alignment horizontal="center" vertical="center"/>
    </xf>
    <xf numFmtId="0" fontId="66" fillId="0" borderId="11" xfId="0" applyFont="1" applyBorder="1" applyAlignment="1">
      <alignment horizontal="center" vertical="center"/>
    </xf>
    <xf numFmtId="0" fontId="65" fillId="0" borderId="32" xfId="0" applyFont="1" applyBorder="1" applyAlignment="1">
      <alignment horizontal="left" vertical="center" wrapText="1"/>
    </xf>
    <xf numFmtId="0" fontId="64" fillId="2" borderId="32" xfId="0" applyFont="1" applyFill="1" applyBorder="1" applyAlignment="1">
      <alignment vertical="center" wrapText="1"/>
    </xf>
    <xf numFmtId="0" fontId="29" fillId="2" borderId="34" xfId="0" applyFont="1" applyFill="1" applyBorder="1" applyAlignment="1">
      <alignment horizontal="center" vertical="center" wrapText="1"/>
    </xf>
    <xf numFmtId="1" fontId="35" fillId="2" borderId="32" xfId="0" applyNumberFormat="1" applyFont="1" applyFill="1" applyBorder="1" applyAlignment="1">
      <alignment horizontal="center" vertical="center"/>
    </xf>
    <xf numFmtId="0" fontId="66" fillId="0" borderId="11" xfId="0" applyFont="1" applyBorder="1" applyAlignment="1">
      <alignment horizontal="center" vertical="center" wrapText="1"/>
    </xf>
    <xf numFmtId="1" fontId="66" fillId="0" borderId="32" xfId="0" applyNumberFormat="1" applyFont="1" applyBorder="1" applyAlignment="1">
      <alignment horizontal="center" vertical="center"/>
    </xf>
    <xf numFmtId="0" fontId="66" fillId="0" borderId="32" xfId="0" applyFont="1" applyBorder="1" applyAlignment="1">
      <alignment horizontal="center" vertical="center" wrapText="1"/>
    </xf>
    <xf numFmtId="0" fontId="40" fillId="2" borderId="46" xfId="0" applyFont="1" applyFill="1" applyBorder="1" applyAlignment="1">
      <alignment horizontal="center" vertical="center" wrapText="1"/>
    </xf>
    <xf numFmtId="0" fontId="13" fillId="2" borderId="34" xfId="0" applyFont="1" applyFill="1" applyBorder="1" applyAlignment="1">
      <alignment horizontal="center" vertical="center" wrapText="1"/>
    </xf>
    <xf numFmtId="164" fontId="13" fillId="2" borderId="10" xfId="0" applyNumberFormat="1" applyFont="1" applyFill="1" applyBorder="1" applyAlignment="1">
      <alignment horizontal="center" vertical="center" wrapText="1"/>
    </xf>
    <xf numFmtId="0" fontId="29" fillId="2" borderId="35" xfId="0" applyFont="1" applyFill="1" applyBorder="1" applyAlignment="1">
      <alignment horizontal="center" vertical="center" wrapText="1"/>
    </xf>
    <xf numFmtId="0" fontId="40" fillId="2" borderId="58" xfId="0" applyFont="1" applyFill="1" applyBorder="1" applyAlignment="1">
      <alignment horizontal="center" vertical="center" wrapText="1"/>
    </xf>
    <xf numFmtId="0" fontId="13" fillId="2" borderId="37" xfId="0" applyFont="1" applyFill="1" applyBorder="1" applyAlignment="1">
      <alignment horizontal="center" vertical="center" wrapText="1"/>
    </xf>
    <xf numFmtId="0" fontId="20" fillId="2" borderId="68" xfId="0" applyFont="1" applyFill="1" applyBorder="1" applyAlignment="1">
      <alignment horizontal="center" vertical="center"/>
    </xf>
    <xf numFmtId="0" fontId="29" fillId="2" borderId="37" xfId="0" applyFont="1" applyFill="1" applyBorder="1" applyAlignment="1">
      <alignment horizontal="center" vertical="center" wrapText="1"/>
    </xf>
    <xf numFmtId="0" fontId="29" fillId="2" borderId="8"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3" fillId="0" borderId="10" xfId="0" applyFont="1" applyBorder="1" applyAlignment="1">
      <alignment horizontal="center" vertical="center" wrapText="1"/>
    </xf>
    <xf numFmtId="0" fontId="13" fillId="2" borderId="35" xfId="0" applyFont="1" applyFill="1" applyBorder="1" applyAlignment="1">
      <alignment horizontal="center" vertical="center" wrapText="1"/>
    </xf>
    <xf numFmtId="0" fontId="20" fillId="2" borderId="37" xfId="0" applyFont="1" applyFill="1" applyBorder="1" applyAlignment="1">
      <alignment horizontal="center" vertical="center"/>
    </xf>
    <xf numFmtId="0" fontId="3" fillId="19" borderId="113" xfId="0" applyFont="1" applyFill="1" applyBorder="1" applyAlignment="1">
      <alignment horizontal="center" vertical="center"/>
    </xf>
    <xf numFmtId="0" fontId="25" fillId="21" borderId="114" xfId="0" applyFont="1" applyFill="1" applyBorder="1" applyAlignment="1">
      <alignment horizontal="center" vertical="center"/>
    </xf>
    <xf numFmtId="0" fontId="9" fillId="19" borderId="83" xfId="0" applyFont="1" applyFill="1" applyBorder="1" applyAlignment="1">
      <alignment horizontal="center" vertical="center"/>
    </xf>
    <xf numFmtId="0" fontId="9" fillId="19" borderId="98" xfId="0" applyFont="1" applyFill="1" applyBorder="1" applyAlignment="1">
      <alignment horizontal="center" vertical="center"/>
    </xf>
    <xf numFmtId="0" fontId="9" fillId="19" borderId="115" xfId="0" applyFont="1" applyFill="1" applyBorder="1" applyAlignment="1">
      <alignment horizontal="center" vertical="center"/>
    </xf>
    <xf numFmtId="0" fontId="9" fillId="19" borderId="116" xfId="0" applyFont="1" applyFill="1" applyBorder="1" applyAlignment="1">
      <alignment horizontal="center" vertical="center"/>
    </xf>
    <xf numFmtId="0" fontId="9" fillId="19" borderId="14" xfId="0" applyFont="1" applyFill="1" applyBorder="1" applyAlignment="1">
      <alignment horizontal="center" vertical="center"/>
    </xf>
    <xf numFmtId="164" fontId="35" fillId="2" borderId="11" xfId="0" applyNumberFormat="1" applyFont="1" applyFill="1" applyBorder="1" applyAlignment="1">
      <alignment horizontal="center" vertical="center"/>
    </xf>
    <xf numFmtId="164" fontId="35" fillId="0" borderId="11" xfId="0" applyNumberFormat="1" applyFont="1" applyBorder="1" applyAlignment="1">
      <alignment horizontal="center" vertical="center"/>
    </xf>
    <xf numFmtId="164" fontId="68" fillId="0" borderId="1" xfId="0" applyNumberFormat="1" applyFont="1" applyBorder="1" applyAlignment="1">
      <alignment horizontal="center" vertical="center"/>
    </xf>
    <xf numFmtId="164" fontId="35" fillId="0" borderId="1" xfId="0" applyNumberFormat="1" applyFont="1" applyBorder="1" applyAlignment="1">
      <alignment horizontal="center" vertical="center"/>
    </xf>
    <xf numFmtId="0" fontId="64" fillId="0" borderId="1" xfId="0" applyFont="1" applyBorder="1" applyAlignment="1">
      <alignment horizontal="left" vertical="center" wrapText="1"/>
    </xf>
    <xf numFmtId="164" fontId="35" fillId="2" borderId="32" xfId="0" applyNumberFormat="1" applyFont="1" applyFill="1" applyBorder="1" applyAlignment="1">
      <alignment horizontal="center" vertical="center"/>
    </xf>
    <xf numFmtId="0" fontId="35" fillId="19" borderId="29" xfId="0" applyFont="1" applyFill="1" applyBorder="1" applyAlignment="1">
      <alignment horizontal="center" vertical="center"/>
    </xf>
    <xf numFmtId="0" fontId="67" fillId="0" borderId="117" xfId="0" applyFont="1" applyBorder="1" applyAlignment="1">
      <alignment horizontal="center" vertical="center"/>
    </xf>
    <xf numFmtId="0" fontId="16" fillId="19" borderId="72" xfId="0" applyFont="1" applyFill="1" applyBorder="1" applyAlignment="1">
      <alignment horizontal="center" vertical="center" wrapText="1"/>
    </xf>
    <xf numFmtId="0" fontId="16" fillId="19" borderId="118" xfId="0" applyFont="1" applyFill="1" applyBorder="1" applyAlignment="1">
      <alignment horizontal="center" vertical="center" wrapText="1"/>
    </xf>
    <xf numFmtId="0" fontId="16" fillId="19" borderId="82" xfId="0" applyFont="1" applyFill="1" applyBorder="1" applyAlignment="1">
      <alignment horizontal="center" vertical="center" wrapText="1"/>
    </xf>
    <xf numFmtId="0" fontId="16" fillId="19" borderId="83" xfId="0" applyFont="1" applyFill="1" applyBorder="1" applyAlignment="1">
      <alignment horizontal="center" vertical="center" wrapText="1"/>
    </xf>
    <xf numFmtId="0" fontId="16" fillId="19" borderId="119" xfId="0" applyFont="1" applyFill="1" applyBorder="1" applyAlignment="1">
      <alignment horizontal="center" vertical="center" wrapText="1"/>
    </xf>
    <xf numFmtId="0" fontId="66" fillId="0" borderId="1" xfId="0" applyFont="1" applyBorder="1" applyAlignment="1">
      <alignment horizontal="center" vertical="center" wrapText="1"/>
    </xf>
    <xf numFmtId="0" fontId="64" fillId="2" borderId="32" xfId="0" applyFont="1" applyFill="1" applyBorder="1" applyAlignment="1">
      <alignment horizontal="left" vertical="center" wrapText="1"/>
    </xf>
    <xf numFmtId="0" fontId="66" fillId="2" borderId="32" xfId="0" applyFont="1" applyFill="1" applyBorder="1" applyAlignment="1">
      <alignment horizontal="center" vertical="center" wrapText="1"/>
    </xf>
    <xf numFmtId="0" fontId="67" fillId="0" borderId="120" xfId="0" applyFont="1" applyBorder="1" applyAlignment="1">
      <alignment horizontal="center" vertical="center"/>
    </xf>
    <xf numFmtId="0" fontId="8" fillId="19" borderId="29" xfId="0" applyFont="1" applyFill="1" applyBorder="1" applyAlignment="1">
      <alignment horizontal="center" vertical="center"/>
    </xf>
    <xf numFmtId="1" fontId="28" fillId="0" borderId="117" xfId="0" applyNumberFormat="1" applyFont="1" applyBorder="1" applyAlignment="1">
      <alignment horizontal="center" vertical="center"/>
    </xf>
    <xf numFmtId="0" fontId="7" fillId="19" borderId="121" xfId="0" applyFont="1" applyFill="1" applyBorder="1" applyAlignment="1">
      <alignment horizontal="center" vertical="center" wrapText="1"/>
    </xf>
    <xf numFmtId="0" fontId="7" fillId="19" borderId="122" xfId="0" applyFont="1" applyFill="1" applyBorder="1" applyAlignment="1">
      <alignment horizontal="center" vertical="center" wrapText="1"/>
    </xf>
    <xf numFmtId="0" fontId="7" fillId="19" borderId="112" xfId="0" applyFont="1" applyFill="1" applyBorder="1" applyAlignment="1">
      <alignment horizontal="center" vertical="center" wrapText="1"/>
    </xf>
    <xf numFmtId="0" fontId="28" fillId="0" borderId="117" xfId="0" applyFont="1" applyBorder="1" applyAlignment="1">
      <alignment horizontal="center" vertical="center"/>
    </xf>
    <xf numFmtId="0" fontId="7" fillId="19" borderId="123" xfId="0" applyFont="1" applyFill="1" applyBorder="1" applyAlignment="1">
      <alignment horizontal="center" vertical="center" wrapText="1"/>
    </xf>
    <xf numFmtId="0" fontId="7" fillId="19" borderId="124" xfId="0" applyFont="1" applyFill="1" applyBorder="1" applyAlignment="1">
      <alignment horizontal="center" vertical="center" wrapText="1"/>
    </xf>
    <xf numFmtId="0" fontId="42" fillId="0" borderId="11" xfId="0" applyFont="1" applyBorder="1" applyAlignment="1">
      <alignment horizontal="left" vertical="center" wrapText="1"/>
    </xf>
    <xf numFmtId="0" fontId="29" fillId="0" borderId="11" xfId="0" applyFont="1" applyBorder="1" applyAlignment="1">
      <alignment horizontal="center" vertical="center" wrapText="1"/>
    </xf>
    <xf numFmtId="0" fontId="42" fillId="2" borderId="11" xfId="0" applyFont="1" applyFill="1" applyBorder="1" applyAlignment="1">
      <alignment vertical="center" wrapText="1"/>
    </xf>
    <xf numFmtId="0" fontId="29" fillId="2" borderId="11" xfId="0" applyFont="1" applyFill="1" applyBorder="1" applyAlignment="1">
      <alignment horizontal="center" vertical="center" wrapText="1"/>
    </xf>
    <xf numFmtId="0" fontId="42" fillId="0" borderId="11" xfId="0" applyFont="1" applyBorder="1" applyAlignment="1">
      <alignment vertical="center" wrapText="1"/>
    </xf>
    <xf numFmtId="165" fontId="13" fillId="0" borderId="11" xfId="0" applyNumberFormat="1" applyFont="1" applyBorder="1" applyAlignment="1">
      <alignment horizontal="center" vertical="center" wrapText="1"/>
    </xf>
    <xf numFmtId="165" fontId="13" fillId="2" borderId="11" xfId="0" applyNumberFormat="1" applyFont="1" applyFill="1" applyBorder="1" applyAlignment="1">
      <alignment horizontal="center" vertical="center" wrapText="1"/>
    </xf>
    <xf numFmtId="0" fontId="42" fillId="0" borderId="1" xfId="0" applyFont="1" applyBorder="1" applyAlignment="1">
      <alignment vertical="center" wrapText="1"/>
    </xf>
    <xf numFmtId="164" fontId="13" fillId="0" borderId="1" xfId="0" applyNumberFormat="1" applyFont="1" applyBorder="1" applyAlignment="1">
      <alignment horizontal="center" vertical="center" wrapText="1"/>
    </xf>
    <xf numFmtId="0" fontId="29" fillId="0" borderId="1" xfId="0" applyFont="1" applyBorder="1" applyAlignment="1">
      <alignment horizontal="center" vertical="center" wrapText="1"/>
    </xf>
    <xf numFmtId="0" fontId="40" fillId="2" borderId="32" xfId="0" applyFont="1" applyFill="1" applyBorder="1" applyAlignment="1">
      <alignment vertical="center" wrapText="1"/>
    </xf>
    <xf numFmtId="1" fontId="13" fillId="2" borderId="32" xfId="0" applyNumberFormat="1" applyFont="1" applyFill="1" applyBorder="1" applyAlignment="1">
      <alignment horizontal="center" vertical="center" wrapText="1"/>
    </xf>
    <xf numFmtId="0" fontId="29" fillId="2" borderId="32" xfId="0" applyFont="1" applyFill="1" applyBorder="1" applyAlignment="1">
      <alignment horizontal="center" vertical="center" wrapText="1"/>
    </xf>
    <xf numFmtId="0" fontId="42" fillId="2" borderId="1" xfId="0" applyFont="1" applyFill="1" applyBorder="1" applyAlignment="1">
      <alignment vertical="center" wrapText="1"/>
    </xf>
    <xf numFmtId="165" fontId="13" fillId="2" borderId="1" xfId="0" applyNumberFormat="1" applyFont="1" applyFill="1" applyBorder="1" applyAlignment="1">
      <alignment horizontal="center" vertical="center" wrapText="1"/>
    </xf>
    <xf numFmtId="164" fontId="13" fillId="2" borderId="1" xfId="0" applyNumberFormat="1" applyFont="1" applyFill="1" applyBorder="1" applyAlignment="1">
      <alignment horizontal="center" vertical="center" wrapText="1"/>
    </xf>
    <xf numFmtId="0" fontId="29" fillId="2" borderId="1" xfId="0" applyFont="1" applyFill="1" applyBorder="1" applyAlignment="1">
      <alignment horizontal="center" vertical="center" wrapText="1"/>
    </xf>
    <xf numFmtId="0" fontId="22" fillId="2" borderId="32" xfId="0" applyFont="1" applyFill="1" applyBorder="1" applyAlignment="1">
      <alignment horizontal="left" vertical="center" wrapText="1"/>
    </xf>
    <xf numFmtId="165" fontId="13" fillId="2" borderId="32" xfId="0" applyNumberFormat="1" applyFont="1" applyFill="1" applyBorder="1" applyAlignment="1">
      <alignment horizontal="center" vertical="center" wrapText="1"/>
    </xf>
    <xf numFmtId="0" fontId="7" fillId="19" borderId="111" xfId="0" applyFont="1" applyFill="1" applyBorder="1" applyAlignment="1">
      <alignment horizontal="center" vertical="center" wrapText="1"/>
    </xf>
    <xf numFmtId="0" fontId="22" fillId="0" borderId="32" xfId="0" applyFont="1" applyBorder="1" applyAlignment="1">
      <alignment vertical="center" wrapText="1"/>
    </xf>
    <xf numFmtId="0" fontId="29" fillId="0" borderId="32" xfId="0" applyFont="1" applyBorder="1" applyAlignment="1">
      <alignment horizontal="center" vertical="center" wrapText="1"/>
    </xf>
    <xf numFmtId="0" fontId="22" fillId="2" borderId="32" xfId="0" applyFont="1" applyFill="1" applyBorder="1" applyAlignment="1">
      <alignment vertical="center" wrapText="1"/>
    </xf>
    <xf numFmtId="164" fontId="13" fillId="2" borderId="32" xfId="0" applyNumberFormat="1" applyFont="1" applyFill="1" applyBorder="1" applyAlignment="1">
      <alignment horizontal="center" vertical="center" wrapText="1"/>
    </xf>
    <xf numFmtId="0" fontId="42" fillId="0" borderId="11" xfId="0" applyFont="1" applyBorder="1" applyAlignment="1">
      <alignment horizontal="center" vertical="center" wrapText="1"/>
    </xf>
    <xf numFmtId="0" fontId="42" fillId="2" borderId="11" xfId="0" applyFont="1" applyFill="1" applyBorder="1" applyAlignment="1">
      <alignment horizontal="center" vertical="center" wrapText="1"/>
    </xf>
    <xf numFmtId="0" fontId="19" fillId="0" borderId="11" xfId="0" applyFont="1" applyBorder="1" applyAlignment="1">
      <alignment horizontal="center" vertical="center"/>
    </xf>
    <xf numFmtId="0" fontId="42"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40" fillId="0" borderId="32" xfId="0" applyFont="1" applyBorder="1" applyAlignment="1">
      <alignment horizontal="center" vertical="center" wrapText="1"/>
    </xf>
    <xf numFmtId="0" fontId="22" fillId="6" borderId="32" xfId="0" applyFont="1" applyFill="1" applyBorder="1" applyAlignment="1">
      <alignment vertical="center" wrapText="1"/>
    </xf>
    <xf numFmtId="0" fontId="13" fillId="6" borderId="32" xfId="0" applyFont="1" applyFill="1" applyBorder="1" applyAlignment="1">
      <alignment horizontal="center" vertical="center" wrapText="1"/>
    </xf>
    <xf numFmtId="1" fontId="13" fillId="0" borderId="32" xfId="0" applyNumberFormat="1" applyFont="1" applyBorder="1" applyAlignment="1">
      <alignment horizontal="center" vertical="center" wrapText="1"/>
    </xf>
    <xf numFmtId="0" fontId="22" fillId="6" borderId="32" xfId="0" applyFont="1" applyFill="1" applyBorder="1" applyAlignment="1">
      <alignment horizontal="center" vertical="center" wrapText="1"/>
    </xf>
    <xf numFmtId="0" fontId="8" fillId="0" borderId="32" xfId="0" applyFont="1" applyBorder="1" applyAlignment="1">
      <alignment horizontal="center" vertical="center"/>
    </xf>
    <xf numFmtId="0" fontId="7" fillId="14" borderId="20" xfId="0" applyFont="1" applyFill="1" applyBorder="1" applyAlignment="1">
      <alignment vertical="center" wrapText="1"/>
    </xf>
    <xf numFmtId="0" fontId="22" fillId="19" borderId="32" xfId="0" applyFont="1" applyFill="1" applyBorder="1" applyAlignment="1">
      <alignment vertical="center" wrapText="1"/>
    </xf>
    <xf numFmtId="0" fontId="13" fillId="19" borderId="32" xfId="0" applyFont="1" applyFill="1" applyBorder="1" applyAlignment="1">
      <alignment horizontal="center" vertical="center" wrapText="1"/>
    </xf>
    <xf numFmtId="0" fontId="22" fillId="19" borderId="32" xfId="0" applyFont="1" applyFill="1" applyBorder="1" applyAlignment="1">
      <alignment horizontal="center" vertical="center" wrapText="1"/>
    </xf>
    <xf numFmtId="0" fontId="13" fillId="2" borderId="11" xfId="0" applyFont="1" applyFill="1" applyBorder="1" applyAlignment="1">
      <alignment horizontal="center" vertical="center" wrapText="1"/>
    </xf>
    <xf numFmtId="0" fontId="42" fillId="2" borderId="1"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8" fillId="19" borderId="123" xfId="0" applyFont="1" applyFill="1" applyBorder="1" applyAlignment="1">
      <alignment horizontal="center" vertical="center"/>
    </xf>
    <xf numFmtId="0" fontId="42" fillId="19" borderId="11" xfId="0" applyFont="1" applyFill="1" applyBorder="1" applyAlignment="1">
      <alignment horizontal="center" vertical="center" wrapText="1"/>
    </xf>
    <xf numFmtId="0" fontId="13" fillId="0" borderId="32" xfId="0" applyFont="1" applyBorder="1" applyAlignment="1">
      <alignment horizontal="center" vertical="center" wrapText="1"/>
    </xf>
    <xf numFmtId="0" fontId="7" fillId="6" borderId="32" xfId="0" applyFont="1" applyFill="1" applyBorder="1" applyAlignment="1">
      <alignment horizontal="center" vertical="center" wrapText="1"/>
    </xf>
    <xf numFmtId="0" fontId="29" fillId="6" borderId="32" xfId="0" applyFont="1" applyFill="1" applyBorder="1" applyAlignment="1">
      <alignment horizontal="center" vertical="center" wrapText="1"/>
    </xf>
    <xf numFmtId="0" fontId="7" fillId="7" borderId="19" xfId="0" applyFont="1" applyFill="1" applyBorder="1" applyAlignment="1">
      <alignment vertical="center" wrapText="1"/>
    </xf>
    <xf numFmtId="0" fontId="4" fillId="19" borderId="11" xfId="0" applyFont="1" applyFill="1" applyBorder="1" applyAlignment="1">
      <alignment horizontal="center" vertical="center" wrapText="1"/>
    </xf>
    <xf numFmtId="0" fontId="4" fillId="19" borderId="1" xfId="0" applyFont="1" applyFill="1" applyBorder="1" applyAlignment="1">
      <alignment horizontal="center" vertical="center" wrapText="1"/>
    </xf>
    <xf numFmtId="0" fontId="40" fillId="0" borderId="38" xfId="0" applyFont="1" applyBorder="1" applyAlignment="1">
      <alignment horizontal="center" vertical="center" wrapText="1"/>
    </xf>
    <xf numFmtId="0" fontId="13" fillId="0" borderId="38" xfId="0" applyFont="1" applyBorder="1" applyAlignment="1">
      <alignment horizontal="center" vertical="center" wrapText="1"/>
    </xf>
    <xf numFmtId="0" fontId="20" fillId="0" borderId="38" xfId="0" applyFont="1" applyBorder="1" applyAlignment="1">
      <alignment horizontal="center" vertical="center"/>
    </xf>
    <xf numFmtId="0" fontId="23" fillId="6" borderId="32" xfId="0" applyFont="1" applyFill="1" applyBorder="1" applyAlignment="1">
      <alignment vertical="center" wrapText="1"/>
    </xf>
    <xf numFmtId="0" fontId="4" fillId="19" borderId="32" xfId="0" applyFont="1" applyFill="1" applyBorder="1" applyAlignment="1">
      <alignment horizontal="center" vertical="center" wrapText="1"/>
    </xf>
    <xf numFmtId="0" fontId="22" fillId="6" borderId="38" xfId="0" applyFont="1" applyFill="1" applyBorder="1" applyAlignment="1">
      <alignment vertical="center" wrapText="1"/>
    </xf>
    <xf numFmtId="0" fontId="29" fillId="6" borderId="38" xfId="0" applyFont="1" applyFill="1" applyBorder="1" applyAlignment="1">
      <alignment horizontal="center" vertical="center" wrapText="1"/>
    </xf>
    <xf numFmtId="164" fontId="13" fillId="6" borderId="32" xfId="0" applyNumberFormat="1" applyFont="1" applyFill="1" applyBorder="1" applyAlignment="1">
      <alignment horizontal="center" vertical="center" wrapText="1"/>
    </xf>
    <xf numFmtId="0" fontId="42" fillId="6" borderId="38" xfId="0" applyFont="1" applyFill="1" applyBorder="1" applyAlignment="1">
      <alignment vertical="center" wrapText="1"/>
    </xf>
    <xf numFmtId="0" fontId="42" fillId="6" borderId="32" xfId="0" applyFont="1" applyFill="1" applyBorder="1" applyAlignment="1">
      <alignment vertical="center" wrapText="1"/>
    </xf>
    <xf numFmtId="0" fontId="0" fillId="0" borderId="6" xfId="0" applyBorder="1"/>
    <xf numFmtId="0" fontId="7" fillId="15" borderId="19" xfId="0" applyFont="1" applyFill="1" applyBorder="1" applyAlignment="1">
      <alignment vertical="center" wrapText="1"/>
    </xf>
    <xf numFmtId="2" fontId="13" fillId="0" borderId="11" xfId="0" applyNumberFormat="1" applyFont="1" applyBorder="1" applyAlignment="1">
      <alignment horizontal="center" vertical="center" wrapText="1"/>
    </xf>
    <xf numFmtId="0" fontId="15" fillId="9" borderId="63" xfId="0" applyFont="1" applyFill="1" applyBorder="1" applyAlignment="1">
      <alignment vertical="center"/>
    </xf>
    <xf numFmtId="0" fontId="15" fillId="20" borderId="21" xfId="0" applyFont="1" applyFill="1" applyBorder="1" applyAlignment="1">
      <alignment vertical="center"/>
    </xf>
    <xf numFmtId="0" fontId="40" fillId="2" borderId="32" xfId="0" applyFont="1" applyFill="1" applyBorder="1" applyAlignment="1">
      <alignment horizontal="center" vertical="center" wrapText="1"/>
    </xf>
    <xf numFmtId="0" fontId="13" fillId="2" borderId="32" xfId="0" applyFont="1" applyFill="1" applyBorder="1" applyAlignment="1">
      <alignment horizontal="center" vertical="center" wrapText="1"/>
    </xf>
    <xf numFmtId="0" fontId="15" fillId="22" borderId="21" xfId="0" applyFont="1" applyFill="1" applyBorder="1" applyAlignment="1">
      <alignment vertical="center"/>
    </xf>
    <xf numFmtId="0" fontId="34" fillId="16" borderId="19" xfId="0" applyFont="1" applyFill="1" applyBorder="1" applyAlignment="1">
      <alignment vertical="center" wrapText="1"/>
    </xf>
    <xf numFmtId="0" fontId="8" fillId="0" borderId="72" xfId="0" applyFont="1" applyBorder="1" applyAlignment="1">
      <alignment vertical="center"/>
    </xf>
    <xf numFmtId="0" fontId="8" fillId="0" borderId="11" xfId="0" applyFont="1" applyBorder="1" applyAlignment="1">
      <alignment vertical="center"/>
    </xf>
    <xf numFmtId="2" fontId="19" fillId="0" borderId="11" xfId="0" applyNumberFormat="1" applyFont="1" applyBorder="1" applyAlignment="1">
      <alignment horizontal="center" vertical="center"/>
    </xf>
    <xf numFmtId="0" fontId="8" fillId="2" borderId="72" xfId="0" applyFont="1" applyFill="1" applyBorder="1" applyAlignment="1">
      <alignment vertical="center"/>
    </xf>
    <xf numFmtId="0" fontId="19" fillId="2" borderId="11" xfId="0" applyFont="1" applyFill="1" applyBorder="1" applyAlignment="1">
      <alignment horizontal="center" vertical="center"/>
    </xf>
    <xf numFmtId="0" fontId="8" fillId="2" borderId="11" xfId="0" applyFont="1" applyFill="1" applyBorder="1" applyAlignment="1">
      <alignment vertical="center"/>
    </xf>
    <xf numFmtId="2" fontId="19" fillId="2" borderId="11" xfId="0" applyNumberFormat="1" applyFont="1" applyFill="1" applyBorder="1" applyAlignment="1">
      <alignment horizontal="center" vertical="center"/>
    </xf>
    <xf numFmtId="164" fontId="19" fillId="2" borderId="11" xfId="0" applyNumberFormat="1" applyFont="1" applyFill="1" applyBorder="1" applyAlignment="1">
      <alignment horizontal="center" vertical="center"/>
    </xf>
    <xf numFmtId="0" fontId="20" fillId="2" borderId="62" xfId="0" applyFont="1" applyFill="1" applyBorder="1" applyAlignment="1">
      <alignment horizontal="center" vertical="center"/>
    </xf>
    <xf numFmtId="166" fontId="28" fillId="0" borderId="117" xfId="0" applyNumberFormat="1" applyFont="1" applyBorder="1" applyAlignment="1">
      <alignment horizontal="center" vertical="center"/>
    </xf>
    <xf numFmtId="20" fontId="42" fillId="2" borderId="11" xfId="0" applyNumberFormat="1" applyFont="1" applyFill="1" applyBorder="1" applyAlignment="1">
      <alignment horizontal="center" vertical="center" wrapText="1"/>
    </xf>
    <xf numFmtId="0" fontId="11" fillId="16" borderId="19" xfId="0" applyFont="1" applyFill="1" applyBorder="1" applyAlignment="1">
      <alignment vertical="center" wrapText="1"/>
    </xf>
    <xf numFmtId="0" fontId="14" fillId="17" borderId="60" xfId="0" applyFont="1" applyFill="1" applyBorder="1" applyAlignment="1">
      <alignment vertical="center" wrapText="1"/>
    </xf>
    <xf numFmtId="0" fontId="8" fillId="2" borderId="32" xfId="0" applyFont="1" applyFill="1" applyBorder="1" applyAlignment="1">
      <alignment horizontal="center" vertical="center"/>
    </xf>
    <xf numFmtId="0" fontId="14" fillId="18" borderId="0" xfId="0" applyFont="1" applyFill="1" applyAlignment="1">
      <alignment vertical="center" wrapText="1"/>
    </xf>
    <xf numFmtId="0" fontId="34" fillId="15" borderId="19" xfId="0" applyFont="1" applyFill="1" applyBorder="1" applyAlignment="1">
      <alignment vertical="center" wrapText="1"/>
    </xf>
    <xf numFmtId="0" fontId="34" fillId="18" borderId="19" xfId="0" applyFont="1" applyFill="1" applyBorder="1" applyAlignment="1">
      <alignment vertical="center" wrapText="1"/>
    </xf>
    <xf numFmtId="0" fontId="34" fillId="18" borderId="20" xfId="0" applyFont="1" applyFill="1" applyBorder="1" applyAlignment="1">
      <alignment vertical="center" wrapText="1"/>
    </xf>
    <xf numFmtId="0" fontId="14" fillId="10" borderId="0" xfId="0" applyFont="1" applyFill="1" applyAlignment="1">
      <alignment vertical="center" wrapText="1"/>
    </xf>
    <xf numFmtId="0" fontId="22" fillId="2" borderId="46" xfId="0" applyFont="1" applyFill="1" applyBorder="1" applyAlignment="1">
      <alignment horizontal="center" vertical="center" wrapText="1"/>
    </xf>
    <xf numFmtId="0" fontId="40" fillId="2" borderId="13" xfId="0" applyFont="1" applyFill="1" applyBorder="1" applyAlignment="1">
      <alignment horizontal="center" vertical="center" wrapText="1"/>
    </xf>
    <xf numFmtId="0" fontId="13" fillId="2" borderId="13" xfId="0" applyFont="1" applyFill="1" applyBorder="1" applyAlignment="1">
      <alignment horizontal="center" vertical="center" wrapText="1"/>
    </xf>
    <xf numFmtId="0" fontId="20" fillId="2" borderId="17" xfId="0" applyFont="1" applyFill="1" applyBorder="1" applyAlignment="1">
      <alignment horizontal="center" vertical="center"/>
    </xf>
    <xf numFmtId="0" fontId="47" fillId="31" borderId="11" xfId="0" applyFont="1" applyFill="1" applyBorder="1" applyAlignment="1">
      <alignment horizontal="center" vertical="center" wrapText="1"/>
    </xf>
    <xf numFmtId="2" fontId="13" fillId="6" borderId="32" xfId="0" applyNumberFormat="1" applyFont="1" applyFill="1" applyBorder="1" applyAlignment="1">
      <alignment horizontal="center" vertical="center" wrapText="1"/>
    </xf>
    <xf numFmtId="0" fontId="16" fillId="19" borderId="14" xfId="0" applyFont="1" applyFill="1" applyBorder="1" applyAlignment="1">
      <alignment horizontal="center" vertical="center" wrapText="1"/>
    </xf>
    <xf numFmtId="0" fontId="16" fillId="19" borderId="29" xfId="0" applyFont="1" applyFill="1" applyBorder="1" applyAlignment="1">
      <alignment horizontal="center" vertical="center" wrapText="1"/>
    </xf>
    <xf numFmtId="20" fontId="8" fillId="0" borderId="0" xfId="0" applyNumberFormat="1" applyFont="1" applyAlignment="1">
      <alignment vertical="center"/>
    </xf>
    <xf numFmtId="0" fontId="13" fillId="0" borderId="125" xfId="0" applyFont="1" applyBorder="1" applyAlignment="1" applyProtection="1">
      <alignment horizontal="center" vertical="center" wrapText="1"/>
      <protection locked="0"/>
    </xf>
    <xf numFmtId="0" fontId="12" fillId="0" borderId="125" xfId="0" applyFont="1" applyBorder="1"/>
    <xf numFmtId="164" fontId="0" fillId="0" borderId="0" xfId="0" applyNumberFormat="1"/>
    <xf numFmtId="2" fontId="13" fillId="2" borderId="11" xfId="0" applyNumberFormat="1" applyFont="1" applyFill="1" applyBorder="1" applyAlignment="1">
      <alignment horizontal="center" vertical="center" wrapText="1"/>
    </xf>
    <xf numFmtId="2" fontId="13" fillId="19" borderId="32" xfId="0" applyNumberFormat="1" applyFont="1" applyFill="1" applyBorder="1" applyAlignment="1">
      <alignment horizontal="center" vertical="center" wrapText="1"/>
    </xf>
    <xf numFmtId="2" fontId="13" fillId="5" borderId="126" xfId="0" applyNumberFormat="1" applyFont="1" applyFill="1" applyBorder="1" applyAlignment="1">
      <alignment horizontal="center" vertical="center" wrapText="1"/>
    </xf>
    <xf numFmtId="2" fontId="7" fillId="5" borderId="126" xfId="0" applyNumberFormat="1" applyFont="1" applyFill="1" applyBorder="1" applyAlignment="1">
      <alignment horizontal="center" vertical="center" wrapText="1"/>
    </xf>
    <xf numFmtId="2" fontId="7" fillId="5" borderId="127" xfId="0" applyNumberFormat="1" applyFont="1" applyFill="1" applyBorder="1" applyAlignment="1">
      <alignment horizontal="center" vertical="center" wrapText="1"/>
    </xf>
    <xf numFmtId="164" fontId="7" fillId="2" borderId="11" xfId="0" applyNumberFormat="1" applyFont="1" applyFill="1" applyBorder="1" applyAlignment="1">
      <alignment horizontal="center" vertical="center" wrapText="1"/>
    </xf>
    <xf numFmtId="164" fontId="7" fillId="0" borderId="11" xfId="0" applyNumberFormat="1" applyFont="1" applyBorder="1" applyAlignment="1">
      <alignment horizontal="center" vertical="center" wrapText="1"/>
    </xf>
    <xf numFmtId="165" fontId="7" fillId="2" borderId="11" xfId="0" applyNumberFormat="1" applyFont="1" applyFill="1" applyBorder="1" applyAlignment="1">
      <alignment horizontal="center" vertical="center" wrapText="1"/>
    </xf>
    <xf numFmtId="164" fontId="7" fillId="2" borderId="1" xfId="0" applyNumberFormat="1" applyFont="1" applyFill="1" applyBorder="1" applyAlignment="1">
      <alignment horizontal="center" vertical="center" wrapText="1"/>
    </xf>
    <xf numFmtId="0" fontId="70" fillId="2" borderId="11" xfId="0" applyFont="1" applyFill="1" applyBorder="1" applyAlignment="1">
      <alignment horizontal="center" vertical="center" wrapText="1"/>
    </xf>
    <xf numFmtId="0" fontId="70" fillId="0" borderId="11" xfId="0" applyFont="1" applyBorder="1" applyAlignment="1">
      <alignment horizontal="center" vertical="center" wrapText="1"/>
    </xf>
    <xf numFmtId="0" fontId="70" fillId="2" borderId="1" xfId="0" applyFont="1" applyFill="1" applyBorder="1" applyAlignment="1">
      <alignment horizontal="center" vertical="center" wrapText="1"/>
    </xf>
    <xf numFmtId="0" fontId="7" fillId="33" borderId="11" xfId="0" applyFont="1" applyFill="1" applyBorder="1" applyAlignment="1">
      <alignment horizontal="center" vertical="center" wrapText="1"/>
    </xf>
    <xf numFmtId="0" fontId="7" fillId="33" borderId="11" xfId="0" applyFont="1" applyFill="1" applyBorder="1" applyAlignment="1">
      <alignment horizontal="center"/>
    </xf>
    <xf numFmtId="2" fontId="13" fillId="33" borderId="11" xfId="0" applyNumberFormat="1" applyFont="1" applyFill="1" applyBorder="1"/>
    <xf numFmtId="1" fontId="0" fillId="0" borderId="0" xfId="0" applyNumberFormat="1"/>
    <xf numFmtId="0" fontId="22" fillId="19" borderId="1" xfId="0" applyFont="1" applyFill="1" applyBorder="1" applyAlignment="1">
      <alignment vertical="center" wrapText="1"/>
    </xf>
    <xf numFmtId="2" fontId="13" fillId="5" borderId="129" xfId="0" applyNumberFormat="1" applyFont="1" applyFill="1" applyBorder="1" applyAlignment="1">
      <alignment horizontal="center" vertical="center" wrapText="1"/>
    </xf>
    <xf numFmtId="2" fontId="7" fillId="5" borderId="129" xfId="0" applyNumberFormat="1" applyFont="1" applyFill="1" applyBorder="1" applyAlignment="1">
      <alignment horizontal="center" vertical="center" wrapText="1"/>
    </xf>
    <xf numFmtId="2" fontId="13" fillId="19" borderId="38" xfId="0" applyNumberFormat="1" applyFont="1" applyFill="1" applyBorder="1" applyAlignment="1">
      <alignment horizontal="center" vertical="center" wrapText="1"/>
    </xf>
    <xf numFmtId="0" fontId="7" fillId="33" borderId="128" xfId="0" applyFont="1" applyFill="1" applyBorder="1" applyAlignment="1">
      <alignment horizontal="center" vertical="center" wrapText="1"/>
    </xf>
    <xf numFmtId="0" fontId="7" fillId="33" borderId="128" xfId="0" applyFont="1" applyFill="1" applyBorder="1" applyAlignment="1">
      <alignment horizontal="center"/>
    </xf>
    <xf numFmtId="2" fontId="13" fillId="33" borderId="128" xfId="0" applyNumberFormat="1" applyFont="1" applyFill="1" applyBorder="1"/>
    <xf numFmtId="2" fontId="13" fillId="0" borderId="130" xfId="0" applyNumberFormat="1" applyFont="1" applyBorder="1"/>
    <xf numFmtId="2" fontId="13" fillId="0" borderId="131" xfId="0" applyNumberFormat="1" applyFont="1" applyBorder="1"/>
    <xf numFmtId="2" fontId="13" fillId="0" borderId="4" xfId="0" applyNumberFormat="1" applyFont="1" applyBorder="1"/>
    <xf numFmtId="2" fontId="13" fillId="0" borderId="0" xfId="0" applyNumberFormat="1" applyFont="1"/>
    <xf numFmtId="166" fontId="13" fillId="19" borderId="32" xfId="0" applyNumberFormat="1" applyFont="1" applyFill="1" applyBorder="1" applyAlignment="1">
      <alignment horizontal="center" vertical="center" wrapText="1"/>
    </xf>
    <xf numFmtId="0" fontId="8" fillId="0" borderId="11" xfId="0" applyFont="1" applyBorder="1" applyAlignment="1">
      <alignment vertical="center" wrapText="1"/>
    </xf>
    <xf numFmtId="164" fontId="19" fillId="0" borderId="11" xfId="0" applyNumberFormat="1" applyFont="1" applyBorder="1" applyAlignment="1">
      <alignment horizontal="center" vertical="center" wrapText="1"/>
    </xf>
    <xf numFmtId="2" fontId="0" fillId="0" borderId="11" xfId="0" applyNumberFormat="1" applyBorder="1"/>
    <xf numFmtId="2" fontId="0" fillId="2" borderId="11" xfId="0" applyNumberFormat="1" applyFill="1" applyBorder="1"/>
    <xf numFmtId="0" fontId="71" fillId="0" borderId="0" xfId="0" applyFont="1" applyAlignment="1">
      <alignment horizontal="center"/>
    </xf>
    <xf numFmtId="0" fontId="19" fillId="0" borderId="133" xfId="0" applyFont="1" applyBorder="1" applyAlignment="1">
      <alignment horizontal="center" vertical="center"/>
    </xf>
    <xf numFmtId="0" fontId="19" fillId="0" borderId="132" xfId="0" applyFont="1" applyBorder="1" applyAlignment="1">
      <alignment horizontal="center" vertical="center"/>
    </xf>
    <xf numFmtId="0" fontId="46" fillId="0" borderId="74" xfId="0" applyFont="1" applyBorder="1" applyAlignment="1">
      <alignment horizontal="center" vertical="center" wrapText="1"/>
    </xf>
    <xf numFmtId="1" fontId="6" fillId="0" borderId="95" xfId="0" applyNumberFormat="1" applyFont="1" applyBorder="1" applyAlignment="1">
      <alignment horizontal="center"/>
    </xf>
    <xf numFmtId="1" fontId="6" fillId="0" borderId="60" xfId="0" applyNumberFormat="1" applyFont="1" applyBorder="1" applyAlignment="1">
      <alignment horizontal="center"/>
    </xf>
    <xf numFmtId="0" fontId="6" fillId="16" borderId="84" xfId="0" applyFont="1" applyFill="1" applyBorder="1" applyAlignment="1">
      <alignment horizontal="center"/>
    </xf>
    <xf numFmtId="1" fontId="6" fillId="16" borderId="95" xfId="0" applyNumberFormat="1" applyFont="1" applyFill="1" applyBorder="1" applyAlignment="1">
      <alignment horizontal="center"/>
    </xf>
    <xf numFmtId="0" fontId="6" fillId="16" borderId="49" xfId="0" applyFont="1" applyFill="1" applyBorder="1" applyAlignment="1">
      <alignment horizontal="center"/>
    </xf>
    <xf numFmtId="0" fontId="4" fillId="0" borderId="58" xfId="0" applyFont="1" applyBorder="1" applyAlignment="1">
      <alignment horizontal="center" vertical="center" wrapText="1"/>
    </xf>
    <xf numFmtId="0" fontId="3" fillId="0" borderId="0" xfId="0" applyFont="1" applyAlignment="1">
      <alignment wrapText="1"/>
    </xf>
    <xf numFmtId="0" fontId="3" fillId="19" borderId="25" xfId="0" applyFont="1" applyFill="1" applyBorder="1" applyAlignment="1">
      <alignment horizontal="center" vertical="center"/>
    </xf>
    <xf numFmtId="0" fontId="4" fillId="0" borderId="46" xfId="0" applyFont="1" applyBorder="1" applyAlignment="1">
      <alignment horizontal="center" vertical="center" wrapText="1"/>
    </xf>
    <xf numFmtId="0" fontId="9" fillId="0" borderId="34" xfId="0" applyFont="1" applyBorder="1" applyAlignment="1">
      <alignment horizontal="center" vertical="center" wrapText="1"/>
    </xf>
    <xf numFmtId="0" fontId="9" fillId="0" borderId="34" xfId="0" applyFont="1" applyBorder="1" applyAlignment="1">
      <alignment horizontal="center" vertical="center"/>
    </xf>
    <xf numFmtId="0" fontId="9" fillId="0" borderId="47" xfId="0" applyFont="1" applyBorder="1" applyAlignment="1">
      <alignment horizontal="center" vertical="center"/>
    </xf>
    <xf numFmtId="0" fontId="25" fillId="0" borderId="137" xfId="0" applyFont="1" applyBorder="1" applyAlignment="1">
      <alignment horizontal="center" vertical="center"/>
    </xf>
    <xf numFmtId="0" fontId="43" fillId="0" borderId="138" xfId="0" applyFont="1" applyBorder="1" applyAlignment="1">
      <alignment vertical="center" wrapText="1"/>
    </xf>
    <xf numFmtId="0" fontId="10" fillId="0" borderId="5" xfId="0" applyFont="1" applyBorder="1" applyAlignment="1">
      <alignment horizontal="center" vertical="center"/>
    </xf>
    <xf numFmtId="2" fontId="3" fillId="0" borderId="139" xfId="0" applyNumberFormat="1" applyFont="1" applyBorder="1" applyAlignment="1">
      <alignment horizontal="center" vertical="center"/>
    </xf>
    <xf numFmtId="0" fontId="3" fillId="0" borderId="140" xfId="0" applyFont="1" applyBorder="1" applyAlignment="1">
      <alignment horizontal="center" vertical="center"/>
    </xf>
    <xf numFmtId="0" fontId="9" fillId="19" borderId="99" xfId="0" applyFont="1" applyFill="1" applyBorder="1" applyAlignment="1">
      <alignment horizontal="center" vertical="center"/>
    </xf>
    <xf numFmtId="0" fontId="43" fillId="2" borderId="141" xfId="0" applyFont="1" applyFill="1" applyBorder="1" applyAlignment="1">
      <alignment vertical="center" wrapText="1"/>
    </xf>
    <xf numFmtId="2" fontId="10" fillId="2" borderId="11" xfId="0" applyNumberFormat="1" applyFont="1" applyFill="1" applyBorder="1" applyAlignment="1">
      <alignment horizontal="center" vertical="center"/>
    </xf>
    <xf numFmtId="2" fontId="10" fillId="2" borderId="11" xfId="0" applyNumberFormat="1" applyFont="1" applyFill="1" applyBorder="1" applyAlignment="1">
      <alignment horizontal="center" vertical="center" wrapText="1"/>
    </xf>
    <xf numFmtId="0" fontId="10" fillId="2" borderId="11" xfId="0" applyFont="1" applyFill="1" applyBorder="1" applyAlignment="1">
      <alignment horizontal="center" vertical="center"/>
    </xf>
    <xf numFmtId="0" fontId="3" fillId="2" borderId="49" xfId="0" applyFont="1" applyFill="1" applyBorder="1" applyAlignment="1">
      <alignment horizontal="center" vertical="center"/>
    </xf>
    <xf numFmtId="0" fontId="10" fillId="0" borderId="143" xfId="0" applyFont="1" applyBorder="1" applyAlignment="1">
      <alignment horizontal="center" vertical="center"/>
    </xf>
    <xf numFmtId="2" fontId="3" fillId="0" borderId="144" xfId="0" applyNumberFormat="1" applyFont="1" applyBorder="1" applyAlignment="1">
      <alignment horizontal="center" vertical="center"/>
    </xf>
    <xf numFmtId="0" fontId="43" fillId="0" borderId="142" xfId="0" applyFont="1" applyBorder="1" applyAlignment="1">
      <alignment vertical="center" wrapText="1"/>
    </xf>
    <xf numFmtId="0" fontId="3" fillId="0" borderId="50" xfId="0" applyFont="1" applyBorder="1" applyAlignment="1">
      <alignment horizontal="center" vertical="center"/>
    </xf>
    <xf numFmtId="0" fontId="9" fillId="19" borderId="145" xfId="0" applyFont="1" applyFill="1" applyBorder="1" applyAlignment="1">
      <alignment horizontal="center" vertical="center"/>
    </xf>
    <xf numFmtId="0" fontId="43" fillId="2" borderId="138" xfId="0" applyFont="1" applyFill="1" applyBorder="1" applyAlignment="1">
      <alignment vertical="center" wrapText="1"/>
    </xf>
    <xf numFmtId="2" fontId="3" fillId="2" borderId="139" xfId="0" applyNumberFormat="1" applyFont="1" applyFill="1" applyBorder="1" applyAlignment="1">
      <alignment horizontal="center" vertical="center"/>
    </xf>
    <xf numFmtId="2" fontId="10" fillId="2" borderId="5" xfId="0" applyNumberFormat="1" applyFont="1" applyFill="1" applyBorder="1" applyAlignment="1">
      <alignment horizontal="center" vertical="center"/>
    </xf>
    <xf numFmtId="0" fontId="10" fillId="2" borderId="5" xfId="0" applyFont="1" applyFill="1" applyBorder="1" applyAlignment="1">
      <alignment horizontal="center" vertical="center"/>
    </xf>
    <xf numFmtId="0" fontId="3" fillId="2" borderId="146" xfId="0" applyFont="1" applyFill="1" applyBorder="1" applyAlignment="1">
      <alignment horizontal="center" vertical="center"/>
    </xf>
    <xf numFmtId="0" fontId="9" fillId="19" borderId="147" xfId="0" applyFont="1" applyFill="1" applyBorder="1" applyAlignment="1">
      <alignment horizontal="center" vertical="center"/>
    </xf>
    <xf numFmtId="0" fontId="43" fillId="0" borderId="141" xfId="0" applyFont="1" applyBorder="1" applyAlignment="1">
      <alignment vertical="center" wrapText="1"/>
    </xf>
    <xf numFmtId="0" fontId="3" fillId="0" borderId="11" xfId="0" applyFont="1" applyBorder="1" applyAlignment="1">
      <alignment horizontal="center" vertical="center"/>
    </xf>
    <xf numFmtId="2" fontId="10" fillId="0" borderId="11" xfId="0" applyNumberFormat="1" applyFont="1" applyBorder="1" applyAlignment="1">
      <alignment horizontal="center" vertical="center"/>
    </xf>
    <xf numFmtId="0" fontId="10" fillId="0" borderId="11" xfId="0" applyFont="1" applyBorder="1" applyAlignment="1">
      <alignment horizontal="center" vertical="center"/>
    </xf>
    <xf numFmtId="0" fontId="3" fillId="2" borderId="11" xfId="0" applyFont="1" applyFill="1" applyBorder="1" applyAlignment="1">
      <alignment horizontal="center" vertical="center"/>
    </xf>
    <xf numFmtId="0" fontId="3" fillId="0" borderId="90" xfId="0" applyFont="1" applyBorder="1" applyAlignment="1">
      <alignment vertical="top" wrapText="1"/>
    </xf>
    <xf numFmtId="0" fontId="3" fillId="0" borderId="90" xfId="0" applyFont="1" applyBorder="1"/>
    <xf numFmtId="0" fontId="3" fillId="19" borderId="48" xfId="0" applyFont="1" applyFill="1" applyBorder="1" applyAlignment="1">
      <alignment horizontal="center" vertical="center"/>
    </xf>
    <xf numFmtId="0" fontId="43" fillId="2" borderId="141" xfId="0" applyFont="1" applyFill="1" applyBorder="1" applyAlignment="1">
      <alignment horizontal="left" vertical="center" wrapText="1"/>
    </xf>
    <xf numFmtId="0" fontId="25" fillId="21" borderId="137" xfId="0" applyFont="1" applyFill="1" applyBorder="1" applyAlignment="1">
      <alignment horizontal="center" vertical="center"/>
    </xf>
    <xf numFmtId="0" fontId="43" fillId="0" borderId="142" xfId="0" applyFont="1" applyBorder="1" applyAlignment="1">
      <alignment horizontal="left" vertical="center" wrapText="1"/>
    </xf>
    <xf numFmtId="0" fontId="3" fillId="0" borderId="143" xfId="0" applyFont="1" applyBorder="1" applyAlignment="1">
      <alignment horizontal="center" vertical="center"/>
    </xf>
    <xf numFmtId="0" fontId="9" fillId="19" borderId="4" xfId="0" applyFont="1" applyFill="1" applyBorder="1" applyAlignment="1">
      <alignment horizontal="center" vertical="center"/>
    </xf>
    <xf numFmtId="0" fontId="44" fillId="2" borderId="138" xfId="0" applyFont="1" applyFill="1" applyBorder="1" applyAlignment="1">
      <alignment horizontal="left" vertical="center" wrapText="1"/>
    </xf>
    <xf numFmtId="0" fontId="3" fillId="2" borderId="5" xfId="0" applyFont="1" applyFill="1" applyBorder="1" applyAlignment="1">
      <alignment horizontal="center" vertical="center"/>
    </xf>
    <xf numFmtId="0" fontId="9" fillId="19" borderId="149" xfId="0" applyFont="1" applyFill="1" applyBorder="1" applyAlignment="1">
      <alignment horizontal="center" vertical="center"/>
    </xf>
    <xf numFmtId="166" fontId="9" fillId="0" borderId="47" xfId="0" applyNumberFormat="1" applyFont="1" applyBorder="1" applyAlignment="1">
      <alignment horizontal="center" vertical="center"/>
    </xf>
    <xf numFmtId="0" fontId="4" fillId="0" borderId="0" xfId="0" applyFont="1" applyAlignment="1">
      <alignment vertical="center" wrapText="1"/>
    </xf>
    <xf numFmtId="0" fontId="44" fillId="2" borderId="90" xfId="0" applyFont="1" applyFill="1" applyBorder="1" applyAlignment="1">
      <alignment horizontal="center" vertical="center"/>
    </xf>
    <xf numFmtId="0" fontId="3" fillId="2" borderId="0" xfId="0" applyFont="1" applyFill="1" applyAlignment="1">
      <alignment horizontal="center" vertical="center"/>
    </xf>
    <xf numFmtId="0" fontId="20" fillId="2" borderId="0" xfId="0" applyFont="1" applyFill="1" applyAlignment="1">
      <alignment horizontal="center" vertical="center"/>
    </xf>
    <xf numFmtId="0" fontId="9" fillId="19" borderId="0" xfId="0" applyFont="1" applyFill="1" applyAlignment="1">
      <alignment horizontal="center" vertical="center"/>
    </xf>
    <xf numFmtId="0" fontId="72" fillId="2" borderId="138" xfId="0" applyFont="1" applyFill="1" applyBorder="1" applyAlignment="1">
      <alignment vertical="center" wrapText="1"/>
    </xf>
    <xf numFmtId="2" fontId="10" fillId="2" borderId="5" xfId="0" applyNumberFormat="1" applyFont="1" applyFill="1" applyBorder="1" applyAlignment="1">
      <alignment horizontal="center" vertical="center" wrapText="1"/>
    </xf>
    <xf numFmtId="0" fontId="10" fillId="2" borderId="71" xfId="0" applyFont="1" applyFill="1" applyBorder="1" applyAlignment="1">
      <alignment horizontal="center" vertical="center"/>
    </xf>
    <xf numFmtId="0" fontId="72" fillId="2" borderId="141" xfId="0" applyFont="1" applyFill="1" applyBorder="1" applyAlignment="1">
      <alignment vertical="center" wrapText="1"/>
    </xf>
    <xf numFmtId="0" fontId="72" fillId="0" borderId="141" xfId="0" applyFont="1" applyBorder="1" applyAlignment="1">
      <alignment vertical="center" wrapText="1"/>
    </xf>
    <xf numFmtId="2" fontId="10" fillId="0" borderId="11" xfId="0" applyNumberFormat="1" applyFont="1" applyBorder="1" applyAlignment="1">
      <alignment horizontal="center" vertical="center" wrapText="1"/>
    </xf>
    <xf numFmtId="0" fontId="72" fillId="2" borderId="150" xfId="0" applyFont="1" applyFill="1" applyBorder="1" applyAlignment="1">
      <alignment vertical="center" wrapText="1"/>
    </xf>
    <xf numFmtId="2" fontId="3" fillId="2" borderId="1" xfId="0" applyNumberFormat="1" applyFont="1" applyFill="1" applyBorder="1" applyAlignment="1">
      <alignment horizontal="center" vertical="center"/>
    </xf>
    <xf numFmtId="2" fontId="10" fillId="2" borderId="1" xfId="0" applyNumberFormat="1" applyFont="1" applyFill="1" applyBorder="1" applyAlignment="1">
      <alignment horizontal="center" vertical="center" wrapText="1"/>
    </xf>
    <xf numFmtId="0" fontId="3" fillId="2" borderId="25" xfId="0" applyFont="1" applyFill="1" applyBorder="1" applyAlignment="1">
      <alignment horizontal="center" vertical="center"/>
    </xf>
    <xf numFmtId="2" fontId="9" fillId="0" borderId="34" xfId="0" applyNumberFormat="1" applyFont="1" applyBorder="1" applyAlignment="1">
      <alignment horizontal="center" vertical="center"/>
    </xf>
    <xf numFmtId="0" fontId="3" fillId="0" borderId="91" xfId="0" applyFont="1" applyBorder="1"/>
    <xf numFmtId="0" fontId="3" fillId="0" borderId="55" xfId="0" applyFont="1" applyBorder="1"/>
    <xf numFmtId="0" fontId="20" fillId="0" borderId="55" xfId="0" applyFont="1" applyBorder="1"/>
    <xf numFmtId="166" fontId="9" fillId="0" borderId="0" xfId="0" applyNumberFormat="1" applyFont="1" applyAlignment="1">
      <alignment horizontal="center" vertical="center"/>
    </xf>
    <xf numFmtId="0" fontId="4" fillId="0" borderId="34" xfId="0" applyFont="1" applyBorder="1" applyAlignment="1" applyProtection="1">
      <alignment horizontal="center" vertical="center" wrapText="1"/>
      <protection locked="0"/>
    </xf>
    <xf numFmtId="0" fontId="9" fillId="0" borderId="60" xfId="0" applyFont="1" applyBorder="1" applyAlignment="1">
      <alignment horizontal="center" vertical="center"/>
    </xf>
    <xf numFmtId="0" fontId="43" fillId="0" borderId="138" xfId="0" applyFont="1" applyBorder="1" applyAlignment="1">
      <alignment horizontal="left" vertical="center" wrapText="1"/>
    </xf>
    <xf numFmtId="2" fontId="10" fillId="0" borderId="151" xfId="0" applyNumberFormat="1" applyFont="1" applyBorder="1" applyAlignment="1">
      <alignment horizontal="center" vertical="center" wrapText="1"/>
    </xf>
    <xf numFmtId="0" fontId="43" fillId="2" borderId="141" xfId="0" applyFont="1" applyFill="1" applyBorder="1" applyAlignment="1">
      <alignment vertical="center"/>
    </xf>
    <xf numFmtId="2" fontId="10" fillId="2" borderId="151" xfId="0" applyNumberFormat="1" applyFont="1" applyFill="1" applyBorder="1" applyAlignment="1">
      <alignment horizontal="center" vertical="center" wrapText="1"/>
    </xf>
    <xf numFmtId="2" fontId="3" fillId="0" borderId="0" xfId="0" applyNumberFormat="1" applyFont="1"/>
    <xf numFmtId="0" fontId="9" fillId="0" borderId="37" xfId="0" applyFont="1" applyBorder="1" applyAlignment="1">
      <alignment horizontal="center" vertical="center" wrapText="1"/>
    </xf>
    <xf numFmtId="0" fontId="9" fillId="0" borderId="37" xfId="0" applyFont="1" applyBorder="1" applyAlignment="1">
      <alignment horizontal="center" vertical="center"/>
    </xf>
    <xf numFmtId="166" fontId="3" fillId="0" borderId="59" xfId="0" applyNumberFormat="1" applyFont="1" applyBorder="1" applyAlignment="1">
      <alignment horizontal="center" vertical="center"/>
    </xf>
    <xf numFmtId="1" fontId="9" fillId="0" borderId="34" xfId="0" applyNumberFormat="1" applyFont="1" applyBorder="1" applyAlignment="1">
      <alignment horizontal="center" vertical="center"/>
    </xf>
    <xf numFmtId="1" fontId="9" fillId="0" borderId="34" xfId="0" applyNumberFormat="1" applyFont="1" applyBorder="1" applyAlignment="1">
      <alignment horizontal="center" vertical="center" wrapText="1"/>
    </xf>
    <xf numFmtId="1" fontId="9" fillId="0" borderId="47" xfId="0" applyNumberFormat="1" applyFont="1" applyBorder="1" applyAlignment="1">
      <alignment horizontal="center" vertical="center"/>
    </xf>
    <xf numFmtId="0" fontId="9" fillId="0" borderId="46" xfId="0" applyFont="1" applyBorder="1" applyAlignment="1">
      <alignment horizontal="center" vertical="center"/>
    </xf>
    <xf numFmtId="1" fontId="3" fillId="0" borderId="47" xfId="0" applyNumberFormat="1" applyFont="1" applyBorder="1" applyAlignment="1">
      <alignment horizontal="center" vertical="center"/>
    </xf>
    <xf numFmtId="0" fontId="44" fillId="0" borderId="138" xfId="0" applyFont="1" applyBorder="1" applyAlignment="1">
      <alignment horizontal="left" vertical="center" wrapText="1"/>
    </xf>
    <xf numFmtId="0" fontId="3" fillId="0" borderId="5" xfId="0" applyFont="1" applyBorder="1" applyAlignment="1">
      <alignment horizontal="center" vertical="center"/>
    </xf>
    <xf numFmtId="0" fontId="43" fillId="2" borderId="142" xfId="0" applyFont="1" applyFill="1" applyBorder="1" applyAlignment="1">
      <alignment vertical="center" wrapText="1"/>
    </xf>
    <xf numFmtId="0" fontId="3" fillId="2" borderId="143" xfId="0" applyFont="1" applyFill="1" applyBorder="1" applyAlignment="1">
      <alignment horizontal="center" vertical="center"/>
    </xf>
    <xf numFmtId="2" fontId="10" fillId="0" borderId="144" xfId="0" applyNumberFormat="1" applyFont="1" applyBorder="1" applyAlignment="1">
      <alignment horizontal="center" vertical="center" wrapText="1"/>
    </xf>
    <xf numFmtId="2" fontId="10" fillId="2" borderId="144" xfId="0" applyNumberFormat="1" applyFont="1" applyFill="1" applyBorder="1" applyAlignment="1">
      <alignment horizontal="center" vertical="center" wrapText="1"/>
    </xf>
    <xf numFmtId="0" fontId="20" fillId="0" borderId="0" xfId="0" applyFont="1" applyAlignment="1">
      <alignment vertical="top"/>
    </xf>
    <xf numFmtId="0" fontId="19" fillId="0" borderId="0" xfId="0" applyFont="1"/>
    <xf numFmtId="164" fontId="10" fillId="0" borderId="5" xfId="0" applyNumberFormat="1" applyFont="1" applyBorder="1" applyAlignment="1">
      <alignment horizontal="center" vertical="center"/>
    </xf>
    <xf numFmtId="164" fontId="10" fillId="2" borderId="11" xfId="0" applyNumberFormat="1" applyFont="1" applyFill="1" applyBorder="1" applyAlignment="1">
      <alignment horizontal="center" vertical="center"/>
    </xf>
    <xf numFmtId="164" fontId="10" fillId="0" borderId="143" xfId="0" applyNumberFormat="1" applyFont="1" applyBorder="1" applyAlignment="1">
      <alignment horizontal="center" vertical="center"/>
    </xf>
    <xf numFmtId="164" fontId="10" fillId="2" borderId="5" xfId="0" applyNumberFormat="1" applyFont="1" applyFill="1" applyBorder="1" applyAlignment="1">
      <alignment horizontal="center" vertical="center"/>
    </xf>
    <xf numFmtId="164" fontId="10" fillId="0" borderId="11" xfId="0" applyNumberFormat="1" applyFont="1" applyBorder="1" applyAlignment="1">
      <alignment horizontal="center" vertical="center"/>
    </xf>
    <xf numFmtId="164" fontId="10" fillId="2" borderId="143" xfId="0" applyNumberFormat="1" applyFont="1" applyFill="1" applyBorder="1" applyAlignment="1">
      <alignment horizontal="center" vertical="center"/>
    </xf>
    <xf numFmtId="0" fontId="43" fillId="0" borderId="150" xfId="0" applyFont="1" applyBorder="1" applyAlignment="1">
      <alignment vertical="center" wrapText="1"/>
    </xf>
    <xf numFmtId="164" fontId="10" fillId="0" borderId="1" xfId="0" applyNumberFormat="1" applyFont="1" applyBorder="1" applyAlignment="1">
      <alignment horizontal="center" vertical="center"/>
    </xf>
    <xf numFmtId="0" fontId="10" fillId="0" borderId="1" xfId="0" applyFont="1" applyBorder="1" applyAlignment="1">
      <alignment horizontal="center" vertical="center"/>
    </xf>
    <xf numFmtId="0" fontId="43" fillId="2" borderId="150" xfId="0" applyFont="1" applyFill="1" applyBorder="1" applyAlignment="1">
      <alignment vertical="center" wrapText="1"/>
    </xf>
    <xf numFmtId="164" fontId="10" fillId="2" borderId="1" xfId="0" applyNumberFormat="1" applyFont="1" applyFill="1" applyBorder="1" applyAlignment="1">
      <alignment horizontal="center" vertical="center"/>
    </xf>
    <xf numFmtId="0" fontId="10" fillId="2" borderId="1" xfId="0" applyFont="1" applyFill="1" applyBorder="1" applyAlignment="1">
      <alignment horizontal="center" vertical="center"/>
    </xf>
    <xf numFmtId="1" fontId="10" fillId="2" borderId="5" xfId="0" applyNumberFormat="1" applyFont="1" applyFill="1" applyBorder="1" applyAlignment="1">
      <alignment horizontal="center" vertical="center"/>
    </xf>
    <xf numFmtId="0" fontId="10" fillId="2" borderId="143" xfId="0" applyFont="1" applyFill="1" applyBorder="1" applyAlignment="1">
      <alignment horizontal="center" vertical="center"/>
    </xf>
    <xf numFmtId="1" fontId="10" fillId="0" borderId="5" xfId="0" applyNumberFormat="1" applyFont="1" applyBorder="1" applyAlignment="1">
      <alignment horizontal="center" vertical="center"/>
    </xf>
    <xf numFmtId="0" fontId="43" fillId="0" borderId="141" xfId="0" applyFont="1" applyBorder="1" applyAlignment="1">
      <alignment horizontal="left" vertical="center" wrapText="1"/>
    </xf>
    <xf numFmtId="0" fontId="44" fillId="2" borderId="58" xfId="0" applyFont="1" applyFill="1" applyBorder="1" applyAlignment="1">
      <alignment horizontal="left" vertical="center" wrapText="1"/>
    </xf>
    <xf numFmtId="2" fontId="3" fillId="0" borderId="0" xfId="0" applyNumberFormat="1" applyFont="1" applyAlignment="1">
      <alignment horizontal="center" vertical="center"/>
    </xf>
    <xf numFmtId="2" fontId="3" fillId="2" borderId="61" xfId="0" applyNumberFormat="1" applyFont="1" applyFill="1" applyBorder="1" applyAlignment="1">
      <alignment horizontal="center" vertical="center"/>
    </xf>
    <xf numFmtId="0" fontId="3" fillId="2" borderId="152" xfId="0" applyFont="1" applyFill="1" applyBorder="1" applyAlignment="1">
      <alignment horizontal="center" vertical="center"/>
    </xf>
    <xf numFmtId="0" fontId="4" fillId="0" borderId="51" xfId="0" applyFont="1" applyBorder="1" applyAlignment="1">
      <alignment horizontal="center" vertical="center" wrapText="1"/>
    </xf>
    <xf numFmtId="0" fontId="15" fillId="11" borderId="74" xfId="0" applyFont="1" applyFill="1" applyBorder="1" applyAlignment="1">
      <alignment horizontal="left"/>
    </xf>
    <xf numFmtId="0" fontId="3" fillId="2" borderId="37" xfId="0" applyFont="1" applyFill="1" applyBorder="1" applyAlignment="1">
      <alignment horizontal="center" vertical="center"/>
    </xf>
    <xf numFmtId="2" fontId="3" fillId="2" borderId="153" xfId="0" applyNumberFormat="1" applyFont="1" applyFill="1" applyBorder="1" applyAlignment="1">
      <alignment horizontal="center" vertical="center"/>
    </xf>
    <xf numFmtId="1" fontId="9" fillId="0" borderId="153" xfId="0" applyNumberFormat="1" applyFont="1" applyBorder="1" applyAlignment="1">
      <alignment horizontal="center" vertical="center"/>
    </xf>
    <xf numFmtId="2" fontId="4" fillId="0" borderId="34" xfId="0" applyNumberFormat="1" applyFont="1" applyBorder="1" applyAlignment="1">
      <alignment horizontal="center" vertical="center"/>
    </xf>
    <xf numFmtId="164" fontId="3" fillId="0" borderId="143" xfId="0" applyNumberFormat="1" applyFont="1" applyBorder="1" applyAlignment="1">
      <alignment horizontal="center" vertical="center"/>
    </xf>
    <xf numFmtId="164" fontId="3" fillId="2" borderId="5" xfId="0" applyNumberFormat="1" applyFont="1" applyFill="1" applyBorder="1" applyAlignment="1">
      <alignment horizontal="center" vertical="center"/>
    </xf>
    <xf numFmtId="164" fontId="3" fillId="0" borderId="11" xfId="0" applyNumberFormat="1" applyFont="1" applyBorder="1" applyAlignment="1">
      <alignment horizontal="center" vertical="center"/>
    </xf>
    <xf numFmtId="164" fontId="3" fillId="2" borderId="11" xfId="0" applyNumberFormat="1" applyFont="1" applyFill="1" applyBorder="1" applyAlignment="1">
      <alignment horizontal="center" vertical="center"/>
    </xf>
    <xf numFmtId="0" fontId="43" fillId="20" borderId="141" xfId="0" applyFont="1" applyFill="1" applyBorder="1" applyAlignment="1">
      <alignment vertical="center" wrapText="1"/>
    </xf>
    <xf numFmtId="164" fontId="3" fillId="20" borderId="11" xfId="0" applyNumberFormat="1" applyFont="1" applyFill="1" applyBorder="1" applyAlignment="1">
      <alignment horizontal="center" vertical="center"/>
    </xf>
    <xf numFmtId="0" fontId="3" fillId="20" borderId="11" xfId="0" applyFont="1" applyFill="1" applyBorder="1" applyAlignment="1">
      <alignment horizontal="center" vertical="center"/>
    </xf>
    <xf numFmtId="2" fontId="3" fillId="20" borderId="139" xfId="0" applyNumberFormat="1" applyFont="1" applyFill="1" applyBorder="1" applyAlignment="1">
      <alignment horizontal="center" vertical="center"/>
    </xf>
    <xf numFmtId="0" fontId="43" fillId="20" borderId="141" xfId="0" applyFont="1" applyFill="1" applyBorder="1" applyAlignment="1">
      <alignment horizontal="left" vertical="center" wrapText="1"/>
    </xf>
    <xf numFmtId="0" fontId="44" fillId="20" borderId="58" xfId="0" applyFont="1" applyFill="1" applyBorder="1" applyAlignment="1">
      <alignment horizontal="left" vertical="center" wrapText="1"/>
    </xf>
    <xf numFmtId="0" fontId="3" fillId="20" borderId="37" xfId="0" applyFont="1" applyFill="1" applyBorder="1" applyAlignment="1">
      <alignment horizontal="center" vertical="center"/>
    </xf>
    <xf numFmtId="2" fontId="3" fillId="20" borderId="61" xfId="0" applyNumberFormat="1" applyFont="1" applyFill="1" applyBorder="1" applyAlignment="1">
      <alignment horizontal="center" vertical="center"/>
    </xf>
    <xf numFmtId="0" fontId="43" fillId="2" borderId="142" xfId="0" applyFont="1" applyFill="1" applyBorder="1" applyAlignment="1">
      <alignment horizontal="left" vertical="center" wrapText="1"/>
    </xf>
    <xf numFmtId="164" fontId="3" fillId="2" borderId="143" xfId="0" applyNumberFormat="1" applyFont="1" applyFill="1" applyBorder="1" applyAlignment="1">
      <alignment horizontal="center" vertical="center"/>
    </xf>
    <xf numFmtId="2" fontId="3" fillId="2" borderId="144" xfId="0" applyNumberFormat="1" applyFont="1" applyFill="1" applyBorder="1" applyAlignment="1">
      <alignment horizontal="center" vertical="center"/>
    </xf>
    <xf numFmtId="164" fontId="10" fillId="0" borderId="5" xfId="0" applyNumberFormat="1" applyFont="1" applyBorder="1" applyAlignment="1">
      <alignment horizontal="center" vertical="center" wrapText="1"/>
    </xf>
    <xf numFmtId="164" fontId="10" fillId="2" borderId="11" xfId="0" applyNumberFormat="1" applyFont="1" applyFill="1" applyBorder="1" applyAlignment="1">
      <alignment horizontal="center" vertical="center" wrapText="1"/>
    </xf>
    <xf numFmtId="164" fontId="10" fillId="0" borderId="143" xfId="0" applyNumberFormat="1" applyFont="1" applyBorder="1" applyAlignment="1">
      <alignment horizontal="center" vertical="center" wrapText="1"/>
    </xf>
    <xf numFmtId="164" fontId="10" fillId="2" borderId="5" xfId="0" applyNumberFormat="1" applyFont="1" applyFill="1" applyBorder="1" applyAlignment="1">
      <alignment horizontal="center" vertical="center" wrapText="1"/>
    </xf>
    <xf numFmtId="164" fontId="10" fillId="0" borderId="11" xfId="0" applyNumberFormat="1" applyFont="1" applyBorder="1" applyAlignment="1">
      <alignment horizontal="center" vertical="center" wrapText="1"/>
    </xf>
    <xf numFmtId="1" fontId="3" fillId="2" borderId="37" xfId="0" applyNumberFormat="1" applyFont="1" applyFill="1" applyBorder="1" applyAlignment="1">
      <alignment horizontal="center" vertical="center"/>
    </xf>
    <xf numFmtId="1" fontId="3" fillId="20" borderId="37" xfId="0" applyNumberFormat="1" applyFont="1" applyFill="1" applyBorder="1" applyAlignment="1">
      <alignment horizontal="center" vertical="center"/>
    </xf>
    <xf numFmtId="164" fontId="4" fillId="0" borderId="143" xfId="0" applyNumberFormat="1" applyFont="1" applyBorder="1" applyAlignment="1">
      <alignment horizontal="center" vertical="center"/>
    </xf>
    <xf numFmtId="164" fontId="4" fillId="2" borderId="143" xfId="0" applyNumberFormat="1" applyFont="1" applyFill="1" applyBorder="1" applyAlignment="1">
      <alignment horizontal="center" vertical="center"/>
    </xf>
    <xf numFmtId="0" fontId="4" fillId="0" borderId="5" xfId="0" applyFont="1" applyBorder="1" applyAlignment="1">
      <alignment horizontal="center" vertical="center"/>
    </xf>
    <xf numFmtId="0" fontId="4" fillId="2" borderId="5" xfId="0" applyFont="1" applyFill="1" applyBorder="1" applyAlignment="1">
      <alignment horizontal="center" vertical="center"/>
    </xf>
    <xf numFmtId="164" fontId="4" fillId="0" borderId="143" xfId="0" applyNumberFormat="1" applyFont="1" applyBorder="1" applyAlignment="1">
      <alignment horizontal="center" vertical="center" wrapText="1"/>
    </xf>
    <xf numFmtId="1" fontId="9" fillId="2" borderId="37" xfId="0" applyNumberFormat="1" applyFont="1" applyFill="1" applyBorder="1" applyAlignment="1">
      <alignment horizontal="center" vertical="center" wrapText="1"/>
    </xf>
    <xf numFmtId="1" fontId="9" fillId="20" borderId="37" xfId="0" applyNumberFormat="1" applyFont="1" applyFill="1" applyBorder="1" applyAlignment="1">
      <alignment horizontal="center" vertical="center" wrapText="1"/>
    </xf>
    <xf numFmtId="164" fontId="4" fillId="2" borderId="143" xfId="0" applyNumberFormat="1" applyFont="1" applyFill="1" applyBorder="1" applyAlignment="1">
      <alignment horizontal="center" vertical="center" wrapText="1"/>
    </xf>
    <xf numFmtId="0" fontId="15" fillId="16" borderId="74" xfId="0" applyFont="1" applyFill="1" applyBorder="1" applyAlignment="1">
      <alignment horizontal="left"/>
    </xf>
    <xf numFmtId="0" fontId="3" fillId="0" borderId="63" xfId="0" applyFont="1" applyBorder="1" applyAlignment="1">
      <alignment vertical="center"/>
    </xf>
    <xf numFmtId="0" fontId="3" fillId="0" borderId="21" xfId="0" applyFont="1" applyBorder="1" applyAlignment="1">
      <alignment horizontal="center" vertical="center"/>
    </xf>
    <xf numFmtId="0" fontId="20" fillId="0" borderId="21" xfId="0" applyFont="1" applyBorder="1" applyAlignment="1">
      <alignment horizontal="center" vertical="center"/>
    </xf>
    <xf numFmtId="0" fontId="8" fillId="0" borderId="21" xfId="0" applyFont="1" applyBorder="1" applyAlignment="1">
      <alignment horizontal="center" vertical="center"/>
    </xf>
    <xf numFmtId="0" fontId="3" fillId="0" borderId="21" xfId="0" applyFont="1" applyBorder="1"/>
    <xf numFmtId="0" fontId="20" fillId="0" borderId="21" xfId="0" applyFont="1" applyBorder="1"/>
    <xf numFmtId="0" fontId="72" fillId="0" borderId="138" xfId="0" applyFont="1" applyBorder="1" applyAlignment="1">
      <alignment vertical="center" wrapText="1"/>
    </xf>
    <xf numFmtId="2" fontId="10" fillId="0" borderId="5" xfId="0" applyNumberFormat="1" applyFont="1" applyBorder="1" applyAlignment="1">
      <alignment horizontal="center" vertical="center"/>
    </xf>
    <xf numFmtId="2" fontId="10" fillId="0" borderId="5" xfId="0" applyNumberFormat="1" applyFont="1" applyBorder="1" applyAlignment="1">
      <alignment horizontal="center" vertical="center" wrapText="1"/>
    </xf>
    <xf numFmtId="0" fontId="10" fillId="0" borderId="71" xfId="0" applyFont="1" applyBorder="1" applyAlignment="1">
      <alignment horizontal="center" vertical="center"/>
    </xf>
    <xf numFmtId="2" fontId="10" fillId="2" borderId="1" xfId="0" applyNumberFormat="1" applyFont="1" applyFill="1" applyBorder="1" applyAlignment="1">
      <alignment horizontal="center" vertical="center"/>
    </xf>
    <xf numFmtId="2" fontId="3" fillId="2" borderId="65" xfId="0" applyNumberFormat="1" applyFont="1" applyFill="1" applyBorder="1" applyAlignment="1">
      <alignment horizontal="center" vertical="center"/>
    </xf>
    <xf numFmtId="0" fontId="4" fillId="0" borderId="34" xfId="0" applyFont="1" applyBorder="1" applyAlignment="1">
      <alignment horizontal="center" vertical="center" wrapText="1"/>
    </xf>
    <xf numFmtId="0" fontId="10" fillId="2" borderId="5" xfId="0" applyFont="1" applyFill="1" applyBorder="1" applyAlignment="1">
      <alignment horizontal="center" vertical="center" wrapText="1"/>
    </xf>
    <xf numFmtId="0" fontId="10" fillId="0" borderId="11" xfId="0" applyFont="1" applyBorder="1" applyAlignment="1">
      <alignment horizontal="center" vertical="center" wrapText="1"/>
    </xf>
    <xf numFmtId="0" fontId="10" fillId="2" borderId="11" xfId="0" applyFont="1" applyFill="1" applyBorder="1" applyAlignment="1">
      <alignment horizontal="center" vertical="center" wrapText="1"/>
    </xf>
    <xf numFmtId="0" fontId="10" fillId="0" borderId="143" xfId="0" applyFont="1" applyBorder="1" applyAlignment="1">
      <alignment horizontal="center" vertical="center" wrapText="1"/>
    </xf>
    <xf numFmtId="0" fontId="10" fillId="2" borderId="37" xfId="0" applyFont="1" applyFill="1" applyBorder="1" applyAlignment="1">
      <alignment horizontal="center" vertical="center" wrapText="1"/>
    </xf>
    <xf numFmtId="0" fontId="4" fillId="2" borderId="37" xfId="0" applyFont="1" applyFill="1" applyBorder="1" applyAlignment="1">
      <alignment horizontal="center" vertical="center" wrapText="1"/>
    </xf>
    <xf numFmtId="164" fontId="10" fillId="2" borderId="32" xfId="0" applyNumberFormat="1" applyFont="1" applyFill="1" applyBorder="1" applyAlignment="1">
      <alignment horizontal="center" vertical="center" wrapText="1"/>
    </xf>
    <xf numFmtId="0" fontId="10" fillId="2" borderId="32" xfId="0" applyFont="1" applyFill="1" applyBorder="1" applyAlignment="1">
      <alignment horizontal="center" vertical="center" wrapText="1"/>
    </xf>
    <xf numFmtId="0" fontId="43" fillId="2" borderId="146" xfId="0" applyFont="1" applyFill="1" applyBorder="1" applyAlignment="1">
      <alignment vertical="center" wrapText="1"/>
    </xf>
    <xf numFmtId="0" fontId="44" fillId="2" borderId="58" xfId="0" applyFont="1" applyFill="1" applyBorder="1" applyAlignment="1">
      <alignment vertical="center" wrapText="1"/>
    </xf>
    <xf numFmtId="2" fontId="3" fillId="2" borderId="157" xfId="0" applyNumberFormat="1" applyFont="1" applyFill="1" applyBorder="1" applyAlignment="1">
      <alignment horizontal="center"/>
    </xf>
    <xf numFmtId="2" fontId="3" fillId="0" borderId="139" xfId="0" applyNumberFormat="1" applyFont="1" applyBorder="1" applyAlignment="1">
      <alignment horizontal="center"/>
    </xf>
    <xf numFmtId="2" fontId="3" fillId="2" borderId="139" xfId="0" applyNumberFormat="1" applyFont="1" applyFill="1" applyBorder="1" applyAlignment="1">
      <alignment horizontal="center"/>
    </xf>
    <xf numFmtId="2" fontId="3" fillId="0" borderId="144" xfId="0" applyNumberFormat="1" applyFont="1" applyBorder="1" applyAlignment="1">
      <alignment horizontal="center"/>
    </xf>
    <xf numFmtId="0" fontId="3" fillId="2" borderId="59" xfId="0" applyFont="1" applyFill="1" applyBorder="1" applyAlignment="1">
      <alignment horizontal="center"/>
    </xf>
    <xf numFmtId="0" fontId="43" fillId="2" borderId="146" xfId="0" applyFont="1" applyFill="1" applyBorder="1" applyAlignment="1">
      <alignment horizontal="left" vertical="center" wrapText="1"/>
    </xf>
    <xf numFmtId="0" fontId="43" fillId="2" borderId="138" xfId="0" applyFont="1" applyFill="1" applyBorder="1" applyAlignment="1">
      <alignment horizontal="left" vertical="center" wrapText="1"/>
    </xf>
    <xf numFmtId="0" fontId="4" fillId="0" borderId="46" xfId="0" applyFont="1" applyBorder="1" applyAlignment="1">
      <alignment horizontal="center" vertical="center"/>
    </xf>
    <xf numFmtId="0" fontId="3" fillId="0" borderId="0" xfId="0" applyFont="1" applyAlignment="1">
      <alignment vertical="top"/>
    </xf>
    <xf numFmtId="1" fontId="10" fillId="2" borderId="37" xfId="0" applyNumberFormat="1" applyFont="1" applyFill="1" applyBorder="1" applyAlignment="1">
      <alignment horizontal="center" vertical="center" wrapText="1"/>
    </xf>
    <xf numFmtId="20" fontId="43" fillId="2" borderId="141" xfId="0" applyNumberFormat="1" applyFont="1" applyFill="1" applyBorder="1" applyAlignment="1">
      <alignment horizontal="left" vertical="center" wrapText="1"/>
    </xf>
    <xf numFmtId="20" fontId="43" fillId="2" borderId="138" xfId="0" applyNumberFormat="1" applyFont="1" applyFill="1" applyBorder="1" applyAlignment="1">
      <alignment horizontal="left" vertical="center" wrapText="1"/>
    </xf>
    <xf numFmtId="0" fontId="21" fillId="6" borderId="58" xfId="0" applyFont="1" applyFill="1" applyBorder="1" applyAlignment="1">
      <alignment horizontal="left" vertical="center" wrapText="1"/>
    </xf>
    <xf numFmtId="0" fontId="10" fillId="6" borderId="37" xfId="0" applyFont="1" applyFill="1" applyBorder="1" applyAlignment="1">
      <alignment horizontal="center" vertical="center" wrapText="1"/>
    </xf>
    <xf numFmtId="0" fontId="44" fillId="2" borderId="159" xfId="0" applyFont="1" applyFill="1" applyBorder="1" applyAlignment="1">
      <alignment horizontal="left" vertical="center" wrapText="1"/>
    </xf>
    <xf numFmtId="0" fontId="10" fillId="2" borderId="160" xfId="0" applyFont="1" applyFill="1" applyBorder="1" applyAlignment="1">
      <alignment horizontal="center" vertical="center" wrapText="1"/>
    </xf>
    <xf numFmtId="0" fontId="3" fillId="2" borderId="160" xfId="0" applyFont="1" applyFill="1" applyBorder="1" applyAlignment="1">
      <alignment horizontal="center" vertical="center"/>
    </xf>
    <xf numFmtId="0" fontId="4" fillId="2" borderId="160" xfId="0" applyFont="1" applyFill="1" applyBorder="1" applyAlignment="1">
      <alignment horizontal="center" vertical="center" wrapText="1"/>
    </xf>
    <xf numFmtId="0" fontId="4" fillId="6" borderId="37" xfId="0" applyFont="1" applyFill="1" applyBorder="1" applyAlignment="1">
      <alignment horizontal="center" vertical="center" wrapText="1"/>
    </xf>
    <xf numFmtId="2" fontId="10" fillId="2" borderId="139" xfId="0" applyNumberFormat="1" applyFont="1" applyFill="1" applyBorder="1" applyAlignment="1">
      <alignment horizontal="center" vertical="center" wrapText="1"/>
    </xf>
    <xf numFmtId="2" fontId="10" fillId="0" borderId="139" xfId="0" applyNumberFormat="1" applyFont="1" applyBorder="1" applyAlignment="1">
      <alignment horizontal="center" vertical="center" wrapText="1"/>
    </xf>
    <xf numFmtId="2" fontId="10" fillId="6" borderId="59" xfId="0" applyNumberFormat="1" applyFont="1" applyFill="1" applyBorder="1" applyAlignment="1">
      <alignment horizontal="center" vertical="center" wrapText="1"/>
    </xf>
    <xf numFmtId="0" fontId="15" fillId="18" borderId="74" xfId="0" applyFont="1" applyFill="1" applyBorder="1" applyAlignment="1">
      <alignment horizontal="left"/>
    </xf>
    <xf numFmtId="2" fontId="3" fillId="0" borderId="154" xfId="0" applyNumberFormat="1" applyFont="1" applyBorder="1" applyAlignment="1">
      <alignment horizontal="center" vertical="center"/>
    </xf>
    <xf numFmtId="2" fontId="3" fillId="2" borderId="158" xfId="0" applyNumberFormat="1" applyFont="1" applyFill="1" applyBorder="1" applyAlignment="1">
      <alignment horizontal="center" vertical="center"/>
    </xf>
    <xf numFmtId="0" fontId="10" fillId="0" borderId="37" xfId="0" applyFont="1" applyBorder="1" applyAlignment="1">
      <alignment horizontal="center" vertical="center" wrapText="1"/>
    </xf>
    <xf numFmtId="0" fontId="3" fillId="0" borderId="37" xfId="0" applyFont="1" applyBorder="1" applyAlignment="1">
      <alignment horizontal="center" vertical="center"/>
    </xf>
    <xf numFmtId="0" fontId="4" fillId="0" borderId="38" xfId="0" applyFont="1" applyBorder="1" applyAlignment="1">
      <alignment horizontal="center" vertical="center" wrapText="1"/>
    </xf>
    <xf numFmtId="0" fontId="44" fillId="0" borderId="58" xfId="0" applyFont="1" applyBorder="1" applyAlignment="1">
      <alignment horizontal="left" vertical="center" wrapText="1"/>
    </xf>
    <xf numFmtId="0" fontId="4" fillId="0" borderId="59" xfId="0" applyFont="1" applyBorder="1" applyAlignment="1">
      <alignment horizontal="center" vertical="center" wrapText="1"/>
    </xf>
    <xf numFmtId="0" fontId="4" fillId="0" borderId="37" xfId="0" applyFont="1" applyBorder="1" applyAlignment="1">
      <alignment horizontal="center" vertical="center" wrapText="1"/>
    </xf>
    <xf numFmtId="164" fontId="10" fillId="2" borderId="143" xfId="0" applyNumberFormat="1" applyFont="1" applyFill="1" applyBorder="1" applyAlignment="1">
      <alignment horizontal="center" vertical="center" wrapText="1"/>
    </xf>
    <xf numFmtId="0" fontId="10" fillId="2" borderId="143" xfId="0" applyFont="1" applyFill="1" applyBorder="1" applyAlignment="1">
      <alignment horizontal="center" vertical="center" wrapText="1"/>
    </xf>
    <xf numFmtId="2" fontId="10" fillId="2" borderId="157" xfId="0" applyNumberFormat="1" applyFont="1" applyFill="1" applyBorder="1" applyAlignment="1">
      <alignment horizontal="center" vertical="center" wrapText="1"/>
    </xf>
    <xf numFmtId="2" fontId="10" fillId="0" borderId="154" xfId="0" applyNumberFormat="1" applyFont="1" applyBorder="1" applyAlignment="1">
      <alignment horizontal="center" vertical="center" wrapText="1"/>
    </xf>
    <xf numFmtId="2" fontId="10" fillId="2" borderId="154" xfId="0" applyNumberFormat="1" applyFont="1" applyFill="1" applyBorder="1" applyAlignment="1">
      <alignment horizontal="center" vertical="center" wrapText="1"/>
    </xf>
    <xf numFmtId="0" fontId="3" fillId="2" borderId="68" xfId="0" applyFont="1" applyFill="1" applyBorder="1" applyAlignment="1">
      <alignment horizontal="center" vertical="center"/>
    </xf>
    <xf numFmtId="0" fontId="10" fillId="2" borderId="59" xfId="0" applyFont="1" applyFill="1" applyBorder="1" applyAlignment="1">
      <alignment horizontal="center" vertical="center" wrapText="1"/>
    </xf>
    <xf numFmtId="0" fontId="3" fillId="0" borderId="68" xfId="0" applyFont="1" applyBorder="1" applyAlignment="1">
      <alignment horizontal="center" vertical="center"/>
    </xf>
    <xf numFmtId="0" fontId="44" fillId="0" borderId="58" xfId="0" applyFont="1" applyBorder="1" applyAlignment="1">
      <alignment vertical="center" wrapText="1"/>
    </xf>
    <xf numFmtId="0" fontId="10" fillId="0" borderId="59" xfId="0" applyFont="1" applyBorder="1" applyAlignment="1">
      <alignment horizontal="center" vertical="center" wrapText="1"/>
    </xf>
    <xf numFmtId="20" fontId="43" fillId="2" borderId="146" xfId="0" applyNumberFormat="1" applyFont="1" applyFill="1" applyBorder="1" applyAlignment="1">
      <alignment horizontal="left" vertical="center" wrapText="1"/>
    </xf>
    <xf numFmtId="20" fontId="43" fillId="0" borderId="141" xfId="0" applyNumberFormat="1" applyFont="1" applyBorder="1" applyAlignment="1">
      <alignment horizontal="left" vertical="center" wrapText="1"/>
    </xf>
    <xf numFmtId="20" fontId="44" fillId="2" borderId="58" xfId="0" applyNumberFormat="1" applyFont="1" applyFill="1" applyBorder="1" applyAlignment="1">
      <alignment horizontal="left" vertical="center" wrapText="1"/>
    </xf>
    <xf numFmtId="20" fontId="43" fillId="0" borderId="142" xfId="0" applyNumberFormat="1" applyFont="1" applyBorder="1" applyAlignment="1">
      <alignment horizontal="left" vertical="center" wrapText="1"/>
    </xf>
    <xf numFmtId="0" fontId="33" fillId="6" borderId="11" xfId="0" applyFont="1" applyFill="1" applyBorder="1" applyAlignment="1">
      <alignment horizontal="center" vertical="center" wrapText="1"/>
    </xf>
    <xf numFmtId="0" fontId="21" fillId="6" borderId="141" xfId="0" applyFont="1" applyFill="1" applyBorder="1" applyAlignment="1">
      <alignment horizontal="left" vertical="center" wrapText="1"/>
    </xf>
    <xf numFmtId="2" fontId="33" fillId="6" borderId="154" xfId="0" applyNumberFormat="1" applyFont="1" applyFill="1" applyBorder="1" applyAlignment="1">
      <alignment horizontal="center" vertical="center" wrapText="1"/>
    </xf>
    <xf numFmtId="0" fontId="21" fillId="6" borderId="155" xfId="0" applyFont="1" applyFill="1" applyBorder="1" applyAlignment="1">
      <alignment horizontal="left" vertical="center" wrapText="1"/>
    </xf>
    <xf numFmtId="0" fontId="33" fillId="6" borderId="156" xfId="0" applyFont="1" applyFill="1" applyBorder="1" applyAlignment="1">
      <alignment horizontal="center" vertical="center" wrapText="1"/>
    </xf>
    <xf numFmtId="0" fontId="21" fillId="6" borderId="156" xfId="0" applyFont="1" applyFill="1" applyBorder="1" applyAlignment="1">
      <alignment horizontal="center" vertical="center" wrapText="1"/>
    </xf>
    <xf numFmtId="2" fontId="33" fillId="6" borderId="153" xfId="0" applyNumberFormat="1" applyFont="1" applyFill="1" applyBorder="1" applyAlignment="1">
      <alignment horizontal="center" vertical="center" wrapText="1"/>
    </xf>
    <xf numFmtId="0" fontId="21" fillId="6" borderId="138" xfId="0" applyFont="1" applyFill="1" applyBorder="1" applyAlignment="1">
      <alignment horizontal="left" vertical="center" wrapText="1"/>
    </xf>
    <xf numFmtId="0" fontId="33" fillId="6" borderId="5" xfId="0" applyFont="1" applyFill="1" applyBorder="1" applyAlignment="1">
      <alignment horizontal="center" vertical="center" wrapText="1"/>
    </xf>
    <xf numFmtId="2" fontId="33" fillId="6" borderId="139" xfId="0" applyNumberFormat="1" applyFont="1" applyFill="1" applyBorder="1" applyAlignment="1">
      <alignment horizontal="center" vertical="center" wrapText="1"/>
    </xf>
    <xf numFmtId="0" fontId="4" fillId="2" borderId="143" xfId="0" applyFont="1" applyFill="1" applyBorder="1" applyAlignment="1">
      <alignment horizontal="center" vertical="center" wrapText="1"/>
    </xf>
    <xf numFmtId="0" fontId="44" fillId="0" borderId="159" xfId="0" applyFont="1" applyBorder="1" applyAlignment="1">
      <alignment horizontal="left" vertical="center" wrapText="1"/>
    </xf>
    <xf numFmtId="0" fontId="10" fillId="0" borderId="160" xfId="0" applyFont="1" applyBorder="1" applyAlignment="1">
      <alignment horizontal="center" vertical="center" wrapText="1"/>
    </xf>
    <xf numFmtId="0" fontId="4" fillId="0" borderId="160" xfId="0" applyFont="1" applyBorder="1" applyAlignment="1">
      <alignment horizontal="center" vertical="center" wrapText="1"/>
    </xf>
    <xf numFmtId="0" fontId="3" fillId="0" borderId="160" xfId="0" applyFont="1" applyBorder="1" applyAlignment="1">
      <alignment horizontal="center" vertical="center"/>
    </xf>
    <xf numFmtId="2" fontId="3" fillId="0" borderId="161" xfId="0" applyNumberFormat="1" applyFont="1" applyBorder="1" applyAlignment="1">
      <alignment horizontal="center" vertical="center"/>
    </xf>
    <xf numFmtId="0" fontId="43" fillId="2" borderId="162" xfId="0" applyFont="1" applyFill="1" applyBorder="1" applyAlignment="1">
      <alignment horizontal="left" vertical="center" wrapText="1"/>
    </xf>
    <xf numFmtId="0" fontId="43" fillId="0" borderId="163" xfId="0" applyFont="1" applyBorder="1" applyAlignment="1">
      <alignment horizontal="left" vertical="center" wrapText="1"/>
    </xf>
    <xf numFmtId="0" fontId="43" fillId="2" borderId="163" xfId="0" applyFont="1" applyFill="1" applyBorder="1" applyAlignment="1">
      <alignment horizontal="left" vertical="center" wrapText="1"/>
    </xf>
    <xf numFmtId="0" fontId="43" fillId="2" borderId="164" xfId="0" applyFont="1" applyFill="1" applyBorder="1" applyAlignment="1">
      <alignment horizontal="left" vertical="center" wrapText="1"/>
    </xf>
    <xf numFmtId="164" fontId="10" fillId="2" borderId="119" xfId="0" applyNumberFormat="1" applyFont="1" applyFill="1" applyBorder="1" applyAlignment="1">
      <alignment horizontal="center" vertical="center" wrapText="1"/>
    </xf>
    <xf numFmtId="164" fontId="10" fillId="0" borderId="72" xfId="0" applyNumberFormat="1" applyFont="1" applyBorder="1" applyAlignment="1">
      <alignment horizontal="center" vertical="center" wrapText="1"/>
    </xf>
    <xf numFmtId="164" fontId="10" fillId="2" borderId="72" xfId="0" applyNumberFormat="1" applyFont="1" applyFill="1" applyBorder="1" applyAlignment="1">
      <alignment horizontal="center" vertical="center" wrapText="1"/>
    </xf>
    <xf numFmtId="164" fontId="4" fillId="2" borderId="165" xfId="0" applyNumberFormat="1" applyFont="1" applyFill="1" applyBorder="1" applyAlignment="1">
      <alignment horizontal="center" vertical="center" wrapText="1"/>
    </xf>
    <xf numFmtId="0" fontId="44" fillId="0" borderId="167" xfId="0" applyFont="1" applyBorder="1" applyAlignment="1">
      <alignment horizontal="left" vertical="center" wrapText="1"/>
    </xf>
    <xf numFmtId="0" fontId="4" fillId="0" borderId="168" xfId="0" applyFont="1" applyBorder="1" applyAlignment="1">
      <alignment horizontal="center" vertical="center" wrapText="1"/>
    </xf>
    <xf numFmtId="0" fontId="3" fillId="0" borderId="152" xfId="0" applyFont="1" applyBorder="1" applyAlignment="1">
      <alignment horizontal="center" vertical="center"/>
    </xf>
    <xf numFmtId="0" fontId="4" fillId="0" borderId="169" xfId="0" applyFont="1" applyBorder="1" applyAlignment="1">
      <alignment horizontal="center" vertical="center" wrapText="1"/>
    </xf>
    <xf numFmtId="0" fontId="43" fillId="2" borderId="136" xfId="0" applyFont="1" applyFill="1" applyBorder="1" applyAlignment="1">
      <alignment horizontal="left" vertical="center" wrapText="1"/>
    </xf>
    <xf numFmtId="164" fontId="10" fillId="2" borderId="14" xfId="0" applyNumberFormat="1" applyFont="1" applyFill="1" applyBorder="1" applyAlignment="1">
      <alignment horizontal="center" vertical="center" wrapText="1"/>
    </xf>
    <xf numFmtId="1" fontId="10" fillId="0" borderId="152" xfId="0" applyNumberFormat="1" applyFont="1" applyBorder="1" applyAlignment="1">
      <alignment horizontal="center" vertical="center" wrapText="1"/>
    </xf>
    <xf numFmtId="164" fontId="10" fillId="0" borderId="37" xfId="0" applyNumberFormat="1" applyFont="1" applyBorder="1" applyAlignment="1">
      <alignment horizontal="center" vertical="center" wrapText="1"/>
    </xf>
    <xf numFmtId="0" fontId="44" fillId="0" borderId="91" xfId="0" applyFont="1" applyBorder="1" applyAlignment="1">
      <alignment horizontal="left" vertical="center" wrapText="1"/>
    </xf>
    <xf numFmtId="0" fontId="4" fillId="0" borderId="166" xfId="0" applyFont="1" applyBorder="1" applyAlignment="1">
      <alignment horizontal="center" vertical="center" wrapText="1"/>
    </xf>
    <xf numFmtId="164" fontId="10" fillId="2" borderId="160" xfId="0" applyNumberFormat="1" applyFont="1" applyFill="1" applyBorder="1" applyAlignment="1">
      <alignment horizontal="center" vertical="center" wrapText="1"/>
    </xf>
    <xf numFmtId="2" fontId="10" fillId="2" borderId="161" xfId="0" applyNumberFormat="1" applyFont="1" applyFill="1" applyBorder="1" applyAlignment="1">
      <alignment horizontal="center" vertical="center" wrapText="1"/>
    </xf>
    <xf numFmtId="20" fontId="19" fillId="0" borderId="0" xfId="0" applyNumberFormat="1" applyFont="1"/>
    <xf numFmtId="1" fontId="10" fillId="0" borderId="37" xfId="0" applyNumberFormat="1" applyFont="1" applyBorder="1" applyAlignment="1">
      <alignment horizontal="center" vertical="center" wrapText="1"/>
    </xf>
    <xf numFmtId="20" fontId="43" fillId="2" borderId="141" xfId="0" applyNumberFormat="1" applyFont="1" applyFill="1" applyBorder="1" applyAlignment="1">
      <alignment vertical="center" wrapText="1"/>
    </xf>
    <xf numFmtId="20" fontId="43" fillId="0" borderId="141" xfId="0" applyNumberFormat="1" applyFont="1" applyBorder="1" applyAlignment="1">
      <alignment vertical="center" wrapText="1"/>
    </xf>
    <xf numFmtId="20" fontId="43" fillId="2" borderId="138" xfId="0" applyNumberFormat="1" applyFont="1" applyFill="1" applyBorder="1" applyAlignment="1">
      <alignment vertical="center" wrapText="1"/>
    </xf>
    <xf numFmtId="20" fontId="21" fillId="6" borderId="58" xfId="0" applyNumberFormat="1" applyFont="1" applyFill="1" applyBorder="1" applyAlignment="1">
      <alignment vertical="center" wrapText="1"/>
    </xf>
    <xf numFmtId="20" fontId="33" fillId="6" borderId="37" xfId="0" applyNumberFormat="1" applyFont="1" applyFill="1" applyBorder="1" applyAlignment="1">
      <alignment horizontal="center" vertical="center" wrapText="1"/>
    </xf>
    <xf numFmtId="2" fontId="33" fillId="6" borderId="59" xfId="0" applyNumberFormat="1" applyFont="1" applyFill="1" applyBorder="1" applyAlignment="1">
      <alignment horizontal="center" vertical="center" wrapText="1"/>
    </xf>
    <xf numFmtId="20" fontId="43" fillId="2" borderId="142" xfId="0" applyNumberFormat="1" applyFont="1" applyFill="1" applyBorder="1" applyAlignment="1">
      <alignment vertical="center" wrapText="1"/>
    </xf>
    <xf numFmtId="20" fontId="44" fillId="0" borderId="142" xfId="0" applyNumberFormat="1" applyFont="1" applyBorder="1" applyAlignment="1">
      <alignment vertical="center" wrapText="1"/>
    </xf>
    <xf numFmtId="164" fontId="33" fillId="6" borderId="37" xfId="0" applyNumberFormat="1" applyFont="1" applyFill="1" applyBorder="1" applyAlignment="1">
      <alignment horizontal="center" vertical="center" wrapText="1"/>
    </xf>
    <xf numFmtId="0" fontId="44" fillId="0" borderId="142" xfId="0" applyFont="1" applyBorder="1" applyAlignment="1">
      <alignment horizontal="left" vertical="center" wrapText="1"/>
    </xf>
    <xf numFmtId="1" fontId="10" fillId="0" borderId="143" xfId="0" applyNumberFormat="1" applyFont="1" applyBorder="1" applyAlignment="1">
      <alignment horizontal="center" vertical="center" wrapText="1"/>
    </xf>
    <xf numFmtId="0" fontId="21" fillId="19" borderId="58" xfId="0" applyFont="1" applyFill="1" applyBorder="1" applyAlignment="1">
      <alignment horizontal="left" vertical="center" wrapText="1"/>
    </xf>
    <xf numFmtId="0" fontId="33" fillId="19" borderId="37" xfId="0" applyFont="1" applyFill="1" applyBorder="1" applyAlignment="1">
      <alignment horizontal="center" vertical="center" wrapText="1"/>
    </xf>
    <xf numFmtId="0" fontId="4" fillId="0" borderId="143" xfId="0" applyFont="1" applyBorder="1" applyAlignment="1">
      <alignment horizontal="center" vertical="center" wrapText="1"/>
    </xf>
    <xf numFmtId="164" fontId="21" fillId="6" borderId="37" xfId="0" applyNumberFormat="1" applyFont="1" applyFill="1" applyBorder="1" applyAlignment="1">
      <alignment horizontal="center" vertical="center" wrapText="1"/>
    </xf>
    <xf numFmtId="1" fontId="4" fillId="0" borderId="143" xfId="0" applyNumberFormat="1" applyFont="1" applyBorder="1" applyAlignment="1">
      <alignment horizontal="center" vertical="center" wrapText="1"/>
    </xf>
    <xf numFmtId="0" fontId="21" fillId="19" borderId="37" xfId="0" applyFont="1" applyFill="1" applyBorder="1" applyAlignment="1">
      <alignment horizontal="center" vertical="center" wrapText="1"/>
    </xf>
    <xf numFmtId="0" fontId="33" fillId="6" borderId="37" xfId="0" applyFont="1" applyFill="1" applyBorder="1" applyAlignment="1">
      <alignment horizontal="center" vertical="center" wrapText="1"/>
    </xf>
    <xf numFmtId="0" fontId="21" fillId="6" borderId="37" xfId="0" applyFont="1" applyFill="1" applyBorder="1" applyAlignment="1">
      <alignment horizontal="center" vertical="center" wrapText="1"/>
    </xf>
    <xf numFmtId="2" fontId="33" fillId="19" borderId="59" xfId="0" applyNumberFormat="1" applyFont="1" applyFill="1" applyBorder="1" applyAlignment="1">
      <alignment horizontal="center" vertical="center" wrapText="1"/>
    </xf>
    <xf numFmtId="0" fontId="3" fillId="0" borderId="0" xfId="0" applyFont="1" applyAlignment="1">
      <alignment horizontal="center" vertical="top"/>
    </xf>
    <xf numFmtId="0" fontId="20" fillId="0" borderId="0" xfId="0" applyFont="1" applyAlignment="1">
      <alignment horizontal="center" vertical="top"/>
    </xf>
    <xf numFmtId="0" fontId="8" fillId="0" borderId="0" xfId="0" applyFont="1" applyAlignment="1">
      <alignment horizontal="center" vertical="top"/>
    </xf>
    <xf numFmtId="0" fontId="4" fillId="0" borderId="7" xfId="0" applyFont="1" applyBorder="1" applyAlignment="1">
      <alignment vertical="top" wrapText="1"/>
    </xf>
    <xf numFmtId="164" fontId="3" fillId="0" borderId="7" xfId="0" applyNumberFormat="1" applyFont="1" applyBorder="1" applyAlignment="1">
      <alignment horizontal="center" vertical="top"/>
    </xf>
    <xf numFmtId="0" fontId="20" fillId="0" borderId="7" xfId="0" applyFont="1" applyBorder="1" applyAlignment="1">
      <alignment horizontal="center" vertical="top"/>
    </xf>
    <xf numFmtId="0" fontId="19" fillId="19" borderId="7" xfId="0" applyFont="1" applyFill="1" applyBorder="1" applyAlignment="1">
      <alignment horizontal="center" vertical="top"/>
    </xf>
    <xf numFmtId="2" fontId="10" fillId="0" borderId="161" xfId="0" applyNumberFormat="1" applyFont="1" applyBorder="1" applyAlignment="1">
      <alignment horizontal="center" vertical="center" wrapText="1"/>
    </xf>
    <xf numFmtId="20" fontId="21" fillId="6" borderId="58" xfId="0" applyNumberFormat="1" applyFont="1" applyFill="1" applyBorder="1" applyAlignment="1">
      <alignment horizontal="left" vertical="center" wrapText="1"/>
    </xf>
    <xf numFmtId="20" fontId="43" fillId="2" borderId="142" xfId="0" applyNumberFormat="1" applyFont="1" applyFill="1" applyBorder="1" applyAlignment="1">
      <alignment horizontal="left" vertical="center" wrapText="1"/>
    </xf>
    <xf numFmtId="20" fontId="44" fillId="0" borderId="159" xfId="0" applyNumberFormat="1" applyFont="1" applyBorder="1" applyAlignment="1">
      <alignment horizontal="left" vertical="center" wrapText="1"/>
    </xf>
    <xf numFmtId="20" fontId="21" fillId="6" borderId="170" xfId="0" applyNumberFormat="1" applyFont="1" applyFill="1" applyBorder="1" applyAlignment="1">
      <alignment horizontal="left" vertical="center" wrapText="1"/>
    </xf>
    <xf numFmtId="0" fontId="33" fillId="6" borderId="171" xfId="0" applyFont="1" applyFill="1" applyBorder="1" applyAlignment="1">
      <alignment horizontal="center" vertical="center" wrapText="1"/>
    </xf>
    <xf numFmtId="2" fontId="33" fillId="6" borderId="172" xfId="0" applyNumberFormat="1" applyFont="1" applyFill="1" applyBorder="1" applyAlignment="1">
      <alignment horizontal="center" vertical="center" wrapText="1"/>
    </xf>
    <xf numFmtId="20" fontId="21" fillId="6" borderId="141" xfId="0" applyNumberFormat="1" applyFont="1" applyFill="1" applyBorder="1" applyAlignment="1">
      <alignment horizontal="left" vertical="center" wrapText="1"/>
    </xf>
    <xf numFmtId="20" fontId="21" fillId="6" borderId="155" xfId="0" applyNumberFormat="1" applyFont="1" applyFill="1" applyBorder="1" applyAlignment="1">
      <alignment horizontal="left" vertical="center" wrapText="1"/>
    </xf>
    <xf numFmtId="1" fontId="33" fillId="6" borderId="171" xfId="0" applyNumberFormat="1" applyFont="1" applyFill="1" applyBorder="1" applyAlignment="1">
      <alignment horizontal="center" vertical="center" wrapText="1"/>
    </xf>
    <xf numFmtId="1" fontId="33" fillId="6" borderId="11" xfId="0" applyNumberFormat="1" applyFont="1" applyFill="1" applyBorder="1" applyAlignment="1">
      <alignment horizontal="center" vertical="center" wrapText="1"/>
    </xf>
    <xf numFmtId="1" fontId="33" fillId="6" borderId="156" xfId="0" applyNumberFormat="1" applyFont="1" applyFill="1" applyBorder="1" applyAlignment="1">
      <alignment horizontal="center" vertical="center" wrapText="1"/>
    </xf>
    <xf numFmtId="164" fontId="33" fillId="6" borderId="156" xfId="0" applyNumberFormat="1" applyFont="1" applyFill="1" applyBorder="1" applyAlignment="1">
      <alignment horizontal="center" vertical="center" wrapText="1"/>
    </xf>
    <xf numFmtId="20" fontId="20" fillId="0" borderId="0" xfId="0" applyNumberFormat="1" applyFont="1" applyAlignment="1">
      <alignment vertical="top"/>
    </xf>
    <xf numFmtId="164" fontId="33" fillId="6" borderId="171" xfId="0" applyNumberFormat="1" applyFont="1" applyFill="1" applyBorder="1" applyAlignment="1">
      <alignment horizontal="center" vertical="center" wrapText="1"/>
    </xf>
    <xf numFmtId="164" fontId="21" fillId="6" borderId="171" xfId="0" applyNumberFormat="1" applyFont="1" applyFill="1" applyBorder="1" applyAlignment="1">
      <alignment horizontal="center" vertical="center" wrapText="1"/>
    </xf>
    <xf numFmtId="0" fontId="72" fillId="0" borderId="155" xfId="0" applyFont="1" applyBorder="1" applyAlignment="1">
      <alignment vertical="center" wrapText="1"/>
    </xf>
    <xf numFmtId="2" fontId="10" fillId="0" borderId="156" xfId="0" applyNumberFormat="1" applyFont="1" applyBorder="1" applyAlignment="1">
      <alignment horizontal="center" vertical="center"/>
    </xf>
    <xf numFmtId="2" fontId="10" fillId="0" borderId="156" xfId="0" applyNumberFormat="1" applyFont="1" applyBorder="1" applyAlignment="1">
      <alignment horizontal="center" vertical="center" wrapText="1"/>
    </xf>
    <xf numFmtId="0" fontId="10" fillId="0" borderId="156" xfId="0" applyFont="1" applyBorder="1" applyAlignment="1">
      <alignment horizontal="center" vertical="center"/>
    </xf>
    <xf numFmtId="2" fontId="3" fillId="0" borderId="153" xfId="0" applyNumberFormat="1" applyFont="1" applyBorder="1" applyAlignment="1">
      <alignment horizontal="center" vertical="center"/>
    </xf>
    <xf numFmtId="1" fontId="9" fillId="0" borderId="0" xfId="0" applyNumberFormat="1" applyFont="1" applyAlignment="1">
      <alignment horizontal="center" vertical="center"/>
    </xf>
    <xf numFmtId="1" fontId="9" fillId="0" borderId="0" xfId="0" applyNumberFormat="1" applyFont="1" applyAlignment="1">
      <alignment horizontal="center" vertical="center" wrapText="1"/>
    </xf>
    <xf numFmtId="0" fontId="9" fillId="0" borderId="0" xfId="0" applyFont="1" applyAlignment="1">
      <alignment horizontal="center" vertical="center"/>
    </xf>
    <xf numFmtId="1" fontId="21" fillId="6" borderId="171" xfId="0" applyNumberFormat="1" applyFont="1" applyFill="1" applyBorder="1" applyAlignment="1">
      <alignment horizontal="center" vertical="center" wrapText="1"/>
    </xf>
    <xf numFmtId="1" fontId="10" fillId="0" borderId="160" xfId="0" applyNumberFormat="1" applyFont="1" applyBorder="1" applyAlignment="1">
      <alignment horizontal="center" vertical="center" wrapText="1"/>
    </xf>
    <xf numFmtId="20" fontId="44" fillId="0" borderId="58" xfId="0" applyNumberFormat="1" applyFont="1" applyBorder="1" applyAlignment="1">
      <alignment horizontal="left" vertical="center" wrapText="1"/>
    </xf>
    <xf numFmtId="2" fontId="10" fillId="0" borderId="59" xfId="0" applyNumberFormat="1" applyFont="1" applyBorder="1" applyAlignment="1">
      <alignment horizontal="center" vertical="center" wrapText="1"/>
    </xf>
    <xf numFmtId="1" fontId="4" fillId="0" borderId="160" xfId="0" applyNumberFormat="1" applyFont="1" applyBorder="1" applyAlignment="1">
      <alignment horizontal="center" vertical="center" wrapText="1"/>
    </xf>
    <xf numFmtId="20" fontId="20" fillId="0" borderId="22" xfId="0" applyNumberFormat="1" applyFont="1" applyBorder="1" applyAlignment="1">
      <alignment vertical="top"/>
    </xf>
    <xf numFmtId="1" fontId="33" fillId="6" borderId="5" xfId="0" applyNumberFormat="1" applyFont="1" applyFill="1" applyBorder="1" applyAlignment="1">
      <alignment horizontal="center" vertical="center" wrapText="1"/>
    </xf>
    <xf numFmtId="20" fontId="21" fillId="6" borderId="138" xfId="0" applyNumberFormat="1" applyFont="1" applyFill="1" applyBorder="1" applyAlignment="1">
      <alignment horizontal="left" vertical="center" wrapText="1"/>
    </xf>
    <xf numFmtId="1" fontId="21" fillId="6" borderId="156" xfId="0" applyNumberFormat="1" applyFont="1" applyFill="1" applyBorder="1" applyAlignment="1">
      <alignment horizontal="center" vertical="center" wrapText="1"/>
    </xf>
    <xf numFmtId="0" fontId="15" fillId="13" borderId="74" xfId="0" applyFont="1" applyFill="1" applyBorder="1" applyAlignment="1">
      <alignment horizontal="left"/>
    </xf>
    <xf numFmtId="20" fontId="3" fillId="0" borderId="0" xfId="0" applyNumberFormat="1" applyFont="1"/>
    <xf numFmtId="0" fontId="21" fillId="0" borderId="11" xfId="0" applyFont="1" applyBorder="1" applyAlignment="1">
      <alignment vertical="center" wrapText="1"/>
    </xf>
    <xf numFmtId="0" fontId="21" fillId="0" borderId="58" xfId="0" applyFont="1" applyBorder="1" applyAlignment="1">
      <alignment vertical="center" wrapText="1"/>
    </xf>
    <xf numFmtId="0" fontId="44" fillId="2" borderId="142" xfId="0" applyFont="1" applyFill="1" applyBorder="1" applyAlignment="1">
      <alignment vertical="center" wrapText="1"/>
    </xf>
    <xf numFmtId="1" fontId="10" fillId="2" borderId="143" xfId="0" applyNumberFormat="1" applyFont="1" applyFill="1" applyBorder="1" applyAlignment="1">
      <alignment horizontal="center" vertical="center" wrapText="1"/>
    </xf>
    <xf numFmtId="1" fontId="4" fillId="2" borderId="143" xfId="0" applyNumberFormat="1" applyFont="1" applyFill="1" applyBorder="1" applyAlignment="1">
      <alignment horizontal="center" vertical="center" wrapText="1"/>
    </xf>
    <xf numFmtId="0" fontId="10" fillId="2" borderId="144" xfId="0" applyFont="1" applyFill="1" applyBorder="1" applyAlignment="1">
      <alignment horizontal="center" vertical="center" wrapText="1"/>
    </xf>
    <xf numFmtId="164" fontId="33" fillId="0" borderId="37" xfId="0" applyNumberFormat="1" applyFont="1" applyBorder="1" applyAlignment="1">
      <alignment horizontal="center" vertical="center" wrapText="1"/>
    </xf>
    <xf numFmtId="164" fontId="21" fillId="0" borderId="37" xfId="0" applyNumberFormat="1" applyFont="1" applyBorder="1" applyAlignment="1">
      <alignment horizontal="center" vertical="center" wrapText="1"/>
    </xf>
    <xf numFmtId="0" fontId="33" fillId="0" borderId="37" xfId="0" applyFont="1" applyBorder="1" applyAlignment="1">
      <alignment horizontal="center" vertical="center" wrapText="1"/>
    </xf>
    <xf numFmtId="2" fontId="33" fillId="0" borderId="59" xfId="0" applyNumberFormat="1" applyFont="1" applyBorder="1" applyAlignment="1">
      <alignment horizontal="center" vertical="center" wrapText="1"/>
    </xf>
    <xf numFmtId="0" fontId="44" fillId="2" borderId="155" xfId="0" applyFont="1" applyFill="1" applyBorder="1" applyAlignment="1">
      <alignment vertical="center" wrapText="1"/>
    </xf>
    <xf numFmtId="1" fontId="10" fillId="2" borderId="156" xfId="0" applyNumberFormat="1" applyFont="1" applyFill="1" applyBorder="1" applyAlignment="1">
      <alignment horizontal="center" vertical="center" wrapText="1"/>
    </xf>
    <xf numFmtId="1" fontId="4" fillId="2" borderId="156" xfId="0" applyNumberFormat="1" applyFont="1" applyFill="1" applyBorder="1" applyAlignment="1">
      <alignment horizontal="center" vertical="center" wrapText="1"/>
    </xf>
    <xf numFmtId="0" fontId="10" fillId="2" borderId="156" xfId="0" applyFont="1" applyFill="1" applyBorder="1" applyAlignment="1">
      <alignment horizontal="center" vertical="center" wrapText="1"/>
    </xf>
    <xf numFmtId="2" fontId="3" fillId="2" borderId="154" xfId="0" applyNumberFormat="1" applyFont="1" applyFill="1" applyBorder="1" applyAlignment="1">
      <alignment horizontal="center" vertical="center"/>
    </xf>
    <xf numFmtId="2" fontId="3" fillId="0" borderId="47" xfId="0" applyNumberFormat="1" applyFont="1" applyBorder="1" applyAlignment="1">
      <alignment horizontal="center" vertical="center"/>
    </xf>
    <xf numFmtId="0" fontId="10" fillId="2" borderId="161" xfId="0" applyFont="1" applyFill="1" applyBorder="1" applyAlignment="1">
      <alignment horizontal="center" vertical="center" wrapText="1"/>
    </xf>
    <xf numFmtId="1" fontId="33" fillId="0" borderId="37" xfId="0" applyNumberFormat="1" applyFont="1" applyBorder="1" applyAlignment="1">
      <alignment horizontal="center" vertical="center" wrapText="1"/>
    </xf>
    <xf numFmtId="1" fontId="21" fillId="0" borderId="37" xfId="0" applyNumberFormat="1" applyFont="1" applyBorder="1" applyAlignment="1">
      <alignment horizontal="center" vertical="center" wrapText="1"/>
    </xf>
    <xf numFmtId="1" fontId="33" fillId="0" borderId="0" xfId="0" applyNumberFormat="1" applyFont="1" applyAlignment="1">
      <alignment horizontal="center" vertical="center" wrapText="1"/>
    </xf>
    <xf numFmtId="1" fontId="21" fillId="0" borderId="0" xfId="0" applyNumberFormat="1" applyFont="1" applyAlignment="1">
      <alignment horizontal="center" vertical="center" wrapText="1"/>
    </xf>
    <xf numFmtId="0" fontId="33" fillId="0" borderId="0" xfId="0" applyFont="1" applyAlignment="1">
      <alignment horizontal="center" vertical="center" wrapText="1"/>
    </xf>
    <xf numFmtId="2" fontId="33" fillId="0" borderId="0" xfId="0" applyNumberFormat="1" applyFont="1" applyAlignment="1">
      <alignment horizontal="center" vertical="center" wrapText="1"/>
    </xf>
    <xf numFmtId="1" fontId="33" fillId="0" borderId="11" xfId="0" applyNumberFormat="1" applyFont="1" applyBorder="1" applyAlignment="1">
      <alignment horizontal="center" vertical="center" wrapText="1"/>
    </xf>
    <xf numFmtId="1" fontId="21" fillId="0" borderId="11" xfId="0" applyNumberFormat="1" applyFont="1" applyBorder="1" applyAlignment="1">
      <alignment horizontal="center" vertical="center" wrapText="1"/>
    </xf>
    <xf numFmtId="0" fontId="33" fillId="0" borderId="11" xfId="0" applyFont="1" applyBorder="1" applyAlignment="1">
      <alignment horizontal="center" vertical="center" wrapText="1"/>
    </xf>
    <xf numFmtId="2" fontId="33" fillId="0" borderId="11" xfId="0" applyNumberFormat="1" applyFont="1" applyBorder="1" applyAlignment="1">
      <alignment horizontal="center" vertical="center" wrapText="1"/>
    </xf>
    <xf numFmtId="0" fontId="44" fillId="2" borderId="173" xfId="0" applyFont="1" applyFill="1" applyBorder="1" applyAlignment="1">
      <alignment vertical="center" wrapText="1"/>
    </xf>
    <xf numFmtId="1" fontId="10" fillId="2" borderId="174" xfId="0" applyNumberFormat="1" applyFont="1" applyFill="1" applyBorder="1" applyAlignment="1">
      <alignment horizontal="center" vertical="center" wrapText="1"/>
    </xf>
    <xf numFmtId="1" fontId="4" fillId="2" borderId="174" xfId="0" applyNumberFormat="1" applyFont="1" applyFill="1" applyBorder="1" applyAlignment="1">
      <alignment horizontal="center" vertical="center" wrapText="1"/>
    </xf>
    <xf numFmtId="0" fontId="10" fillId="2" borderId="174" xfId="0" applyFont="1" applyFill="1" applyBorder="1" applyAlignment="1">
      <alignment horizontal="center" vertical="center" wrapText="1"/>
    </xf>
    <xf numFmtId="0" fontId="10" fillId="2" borderId="175" xfId="0" applyFont="1" applyFill="1" applyBorder="1" applyAlignment="1">
      <alignment horizontal="center" vertical="center" wrapText="1"/>
    </xf>
    <xf numFmtId="0" fontId="21" fillId="2" borderId="11" xfId="0" applyFont="1" applyFill="1" applyBorder="1" applyAlignment="1">
      <alignment vertical="center" wrapText="1"/>
    </xf>
    <xf numFmtId="1" fontId="33" fillId="2" borderId="11" xfId="0" applyNumberFormat="1" applyFont="1" applyFill="1" applyBorder="1" applyAlignment="1">
      <alignment horizontal="center" vertical="center" wrapText="1"/>
    </xf>
    <xf numFmtId="0" fontId="33" fillId="2" borderId="11" xfId="0" applyFont="1" applyFill="1" applyBorder="1" applyAlignment="1">
      <alignment horizontal="center" vertical="center" wrapText="1"/>
    </xf>
    <xf numFmtId="2" fontId="33" fillId="2" borderId="11" xfId="0" applyNumberFormat="1" applyFont="1" applyFill="1" applyBorder="1" applyAlignment="1">
      <alignment horizontal="center" vertical="center" wrapText="1"/>
    </xf>
    <xf numFmtId="0" fontId="15" fillId="10" borderId="74" xfId="0" applyFont="1" applyFill="1" applyBorder="1" applyAlignment="1">
      <alignment horizontal="left"/>
    </xf>
    <xf numFmtId="0" fontId="73" fillId="16" borderId="74" xfId="0" applyFont="1" applyFill="1" applyBorder="1" applyAlignment="1">
      <alignment horizontal="left"/>
    </xf>
    <xf numFmtId="1" fontId="4" fillId="0" borderId="168" xfId="0" applyNumberFormat="1" applyFont="1" applyBorder="1" applyAlignment="1">
      <alignment horizontal="center" vertical="center" wrapText="1"/>
    </xf>
    <xf numFmtId="20" fontId="6" fillId="0" borderId="0" xfId="0" applyNumberFormat="1" applyFont="1" applyAlignment="1">
      <alignment horizontal="left" vertical="center"/>
    </xf>
    <xf numFmtId="2" fontId="33" fillId="6" borderId="171" xfId="0" applyNumberFormat="1" applyFont="1" applyFill="1" applyBorder="1" applyAlignment="1">
      <alignment horizontal="center" vertical="center" wrapText="1"/>
    </xf>
    <xf numFmtId="2" fontId="21" fillId="6" borderId="171" xfId="0" applyNumberFormat="1" applyFont="1" applyFill="1" applyBorder="1" applyAlignment="1">
      <alignment horizontal="center" vertical="center" wrapText="1"/>
    </xf>
    <xf numFmtId="0" fontId="20" fillId="0" borderId="0" xfId="0" applyFont="1" applyAlignment="1">
      <alignment vertical="top" wrapText="1"/>
    </xf>
    <xf numFmtId="0" fontId="71" fillId="0" borderId="0" xfId="0" applyFont="1"/>
    <xf numFmtId="0" fontId="71" fillId="0" borderId="0" xfId="0" applyFont="1" applyAlignment="1">
      <alignment textRotation="45"/>
    </xf>
    <xf numFmtId="0" fontId="74" fillId="0" borderId="0" xfId="0" applyFont="1"/>
    <xf numFmtId="0" fontId="75" fillId="0" borderId="22" xfId="0" applyFont="1" applyBorder="1" applyAlignment="1">
      <alignment horizontal="center" vertical="center"/>
    </xf>
    <xf numFmtId="0" fontId="75" fillId="0" borderId="0" xfId="0" applyFont="1" applyAlignment="1">
      <alignment horizontal="center" vertical="center"/>
    </xf>
    <xf numFmtId="0" fontId="76" fillId="0" borderId="0" xfId="0" applyFont="1" applyAlignment="1">
      <alignment horizontal="center" vertical="center" wrapText="1"/>
    </xf>
    <xf numFmtId="0" fontId="77" fillId="0" borderId="0" xfId="0" applyFont="1" applyAlignment="1">
      <alignment horizontal="center" vertical="center"/>
    </xf>
    <xf numFmtId="166" fontId="77" fillId="0" borderId="0" xfId="0" applyNumberFormat="1" applyFont="1" applyAlignment="1">
      <alignment horizontal="center"/>
    </xf>
    <xf numFmtId="166" fontId="77" fillId="0" borderId="0" xfId="0" applyNumberFormat="1" applyFont="1" applyAlignment="1">
      <alignment horizontal="center" vertical="center"/>
    </xf>
    <xf numFmtId="0" fontId="78" fillId="0" borderId="0" xfId="0" applyFont="1" applyAlignment="1">
      <alignment horizontal="center" vertical="center" wrapText="1"/>
    </xf>
    <xf numFmtId="166" fontId="79" fillId="0" borderId="0" xfId="0" applyNumberFormat="1" applyFont="1" applyAlignment="1">
      <alignment horizontal="center" vertical="center"/>
    </xf>
    <xf numFmtId="0" fontId="79" fillId="0" borderId="0" xfId="0" applyFont="1" applyAlignment="1">
      <alignment horizontal="center" vertical="center"/>
    </xf>
    <xf numFmtId="166" fontId="77" fillId="32" borderId="0" xfId="0" applyNumberFormat="1" applyFont="1" applyFill="1" applyAlignment="1">
      <alignment horizontal="center" vertical="center"/>
    </xf>
    <xf numFmtId="0" fontId="57" fillId="34" borderId="73" xfId="0" applyFont="1" applyFill="1" applyBorder="1" applyAlignment="1">
      <alignment horizontal="center" vertical="center" wrapText="1"/>
    </xf>
    <xf numFmtId="0" fontId="77" fillId="0" borderId="0" xfId="0" applyFont="1" applyAlignment="1">
      <alignment horizontal="center"/>
    </xf>
    <xf numFmtId="0" fontId="76" fillId="0" borderId="0" xfId="0" applyFont="1" applyAlignment="1">
      <alignment horizontal="center" vertical="center"/>
    </xf>
    <xf numFmtId="0" fontId="57" fillId="35" borderId="73" xfId="0" applyFont="1" applyFill="1" applyBorder="1" applyAlignment="1">
      <alignment horizontal="center" vertical="center" wrapText="1"/>
    </xf>
    <xf numFmtId="0" fontId="57" fillId="34" borderId="71" xfId="0" applyFont="1" applyFill="1" applyBorder="1" applyAlignment="1">
      <alignment horizontal="center" vertical="center" wrapText="1"/>
    </xf>
    <xf numFmtId="0" fontId="57" fillId="35" borderId="71" xfId="0" applyFont="1" applyFill="1" applyBorder="1" applyAlignment="1">
      <alignment horizontal="center" vertical="center" wrapText="1"/>
    </xf>
    <xf numFmtId="0" fontId="46" fillId="0" borderId="75" xfId="0" applyFont="1" applyBorder="1" applyAlignment="1">
      <alignment horizontal="left"/>
    </xf>
    <xf numFmtId="0" fontId="13" fillId="20" borderId="75" xfId="0" applyFont="1" applyFill="1" applyBorder="1" applyAlignment="1">
      <alignment horizontal="center" vertical="top" wrapText="1"/>
    </xf>
    <xf numFmtId="0" fontId="13" fillId="20" borderId="75" xfId="0" applyFont="1" applyFill="1" applyBorder="1" applyAlignment="1">
      <alignment horizontal="center" vertical="top"/>
    </xf>
    <xf numFmtId="0" fontId="13" fillId="20" borderId="75" xfId="0" quotePrefix="1" applyFont="1" applyFill="1" applyBorder="1" applyAlignment="1">
      <alignment horizontal="left"/>
    </xf>
    <xf numFmtId="0" fontId="13" fillId="20" borderId="75" xfId="0" applyFont="1" applyFill="1" applyBorder="1" applyAlignment="1">
      <alignment horizontal="left"/>
    </xf>
    <xf numFmtId="0" fontId="46" fillId="20" borderId="75" xfId="0" applyFont="1" applyFill="1" applyBorder="1" applyAlignment="1">
      <alignment horizontal="left"/>
    </xf>
    <xf numFmtId="0" fontId="46" fillId="0" borderId="75" xfId="0" applyFont="1" applyBorder="1" applyAlignment="1">
      <alignment horizontal="left" vertical="center"/>
    </xf>
    <xf numFmtId="0" fontId="27" fillId="14" borderId="0" xfId="0" applyFont="1" applyFill="1" applyAlignment="1">
      <alignment horizontal="center" wrapText="1"/>
    </xf>
    <xf numFmtId="0" fontId="46" fillId="0" borderId="75" xfId="0" applyFont="1" applyBorder="1"/>
    <xf numFmtId="0" fontId="17" fillId="23" borderId="18" xfId="0" applyFont="1" applyFill="1" applyBorder="1" applyAlignment="1">
      <alignment horizontal="center"/>
    </xf>
    <xf numFmtId="0" fontId="17" fillId="23" borderId="19" xfId="0" applyFont="1" applyFill="1" applyBorder="1" applyAlignment="1">
      <alignment horizontal="center"/>
    </xf>
    <xf numFmtId="0" fontId="17" fillId="23" borderId="20" xfId="0" applyFont="1" applyFill="1" applyBorder="1" applyAlignment="1">
      <alignment horizontal="center"/>
    </xf>
    <xf numFmtId="0" fontId="46" fillId="0" borderId="76" xfId="0" applyFont="1" applyBorder="1" applyAlignment="1">
      <alignment horizontal="left"/>
    </xf>
    <xf numFmtId="0" fontId="52" fillId="0" borderId="75" xfId="0" applyFont="1" applyBorder="1" applyAlignment="1">
      <alignment vertical="center"/>
    </xf>
    <xf numFmtId="0" fontId="7" fillId="14" borderId="18" xfId="0" applyFont="1" applyFill="1" applyBorder="1" applyAlignment="1">
      <alignment horizontal="center"/>
    </xf>
    <xf numFmtId="0" fontId="7" fillId="14" borderId="19" xfId="0" applyFont="1" applyFill="1" applyBorder="1" applyAlignment="1">
      <alignment horizontal="center"/>
    </xf>
    <xf numFmtId="0" fontId="7" fillId="14" borderId="20" xfId="0" applyFont="1" applyFill="1" applyBorder="1" applyAlignment="1">
      <alignment horizontal="center"/>
    </xf>
    <xf numFmtId="0" fontId="49" fillId="24" borderId="0" xfId="0" applyFont="1" applyFill="1" applyAlignment="1">
      <alignment horizontal="center"/>
    </xf>
    <xf numFmtId="0" fontId="48" fillId="24" borderId="18" xfId="0" applyFont="1" applyFill="1" applyBorder="1" applyAlignment="1">
      <alignment horizontal="center"/>
    </xf>
    <xf numFmtId="0" fontId="48" fillId="24" borderId="19" xfId="0" applyFont="1" applyFill="1" applyBorder="1" applyAlignment="1">
      <alignment horizontal="center"/>
    </xf>
    <xf numFmtId="0" fontId="48" fillId="24" borderId="20" xfId="0" applyFont="1" applyFill="1" applyBorder="1" applyAlignment="1">
      <alignment horizontal="center"/>
    </xf>
    <xf numFmtId="0" fontId="16" fillId="0" borderId="63" xfId="0" applyFont="1" applyBorder="1" applyAlignment="1">
      <alignment horizontal="center" vertical="center"/>
    </xf>
    <xf numFmtId="0" fontId="16" fillId="0" borderId="21" xfId="0" applyFont="1" applyBorder="1" applyAlignment="1">
      <alignment horizontal="center" vertical="center"/>
    </xf>
    <xf numFmtId="0" fontId="16" fillId="0" borderId="60" xfId="0" applyFont="1" applyBorder="1" applyAlignment="1">
      <alignment horizontal="center" vertical="center"/>
    </xf>
    <xf numFmtId="0" fontId="52" fillId="0" borderId="75" xfId="0" applyFont="1" applyBorder="1"/>
    <xf numFmtId="0" fontId="48" fillId="10" borderId="18" xfId="0" applyFont="1" applyFill="1" applyBorder="1" applyAlignment="1">
      <alignment horizontal="center"/>
    </xf>
    <xf numFmtId="0" fontId="48" fillId="10" borderId="19" xfId="0" applyFont="1" applyFill="1" applyBorder="1" applyAlignment="1">
      <alignment horizontal="center"/>
    </xf>
    <xf numFmtId="0" fontId="48" fillId="10" borderId="20" xfId="0" applyFont="1" applyFill="1" applyBorder="1" applyAlignment="1">
      <alignment horizontal="center"/>
    </xf>
    <xf numFmtId="0" fontId="46" fillId="20" borderId="75" xfId="0" applyFont="1" applyFill="1" applyBorder="1"/>
    <xf numFmtId="0" fontId="49" fillId="10" borderId="0" xfId="0" applyFont="1" applyFill="1" applyAlignment="1">
      <alignment horizontal="center"/>
    </xf>
    <xf numFmtId="0" fontId="27" fillId="23" borderId="0" xfId="0" applyFont="1" applyFill="1" applyAlignment="1">
      <alignment horizontal="center"/>
    </xf>
    <xf numFmtId="0" fontId="34" fillId="11" borderId="18" xfId="0" applyFont="1" applyFill="1" applyBorder="1" applyAlignment="1">
      <alignment horizontal="center" vertical="center"/>
    </xf>
    <xf numFmtId="0" fontId="34" fillId="11" borderId="19" xfId="0" applyFont="1" applyFill="1" applyBorder="1" applyAlignment="1">
      <alignment horizontal="center" vertical="center"/>
    </xf>
    <xf numFmtId="0" fontId="34" fillId="11" borderId="20" xfId="0" applyFont="1" applyFill="1" applyBorder="1" applyAlignment="1">
      <alignment horizontal="center" vertical="center"/>
    </xf>
    <xf numFmtId="0" fontId="7" fillId="22" borderId="0" xfId="0" applyFont="1" applyFill="1" applyAlignment="1">
      <alignment horizontal="center" wrapText="1"/>
    </xf>
    <xf numFmtId="0" fontId="7" fillId="22" borderId="0" xfId="0" applyFont="1" applyFill="1" applyAlignment="1">
      <alignment horizontal="center"/>
    </xf>
    <xf numFmtId="0" fontId="45" fillId="0" borderId="75" xfId="0" applyFont="1" applyBorder="1" applyAlignment="1">
      <alignment horizontal="left"/>
    </xf>
    <xf numFmtId="0" fontId="27" fillId="18" borderId="0" xfId="0" applyFont="1" applyFill="1" applyAlignment="1">
      <alignment horizontal="center"/>
    </xf>
    <xf numFmtId="0" fontId="34" fillId="18" borderId="18" xfId="0" applyFont="1" applyFill="1" applyBorder="1" applyAlignment="1">
      <alignment horizontal="center" vertical="center" wrapText="1"/>
    </xf>
    <xf numFmtId="0" fontId="34" fillId="18" borderId="19" xfId="0" applyFont="1" applyFill="1" applyBorder="1" applyAlignment="1">
      <alignment horizontal="center" vertical="center" wrapText="1"/>
    </xf>
    <xf numFmtId="0" fontId="34" fillId="18" borderId="20" xfId="0" applyFont="1" applyFill="1" applyBorder="1" applyAlignment="1">
      <alignment horizontal="center" vertical="center" wrapText="1"/>
    </xf>
    <xf numFmtId="0" fontId="13" fillId="20" borderId="75" xfId="0" quotePrefix="1" applyFont="1" applyFill="1" applyBorder="1" applyAlignment="1">
      <alignment horizontal="left" wrapText="1"/>
    </xf>
    <xf numFmtId="0" fontId="13" fillId="0" borderId="75" xfId="0" quotePrefix="1" applyFont="1" applyBorder="1" applyAlignment="1">
      <alignment horizontal="left"/>
    </xf>
    <xf numFmtId="0" fontId="13" fillId="0" borderId="75" xfId="0" applyFont="1" applyBorder="1" applyAlignment="1">
      <alignment horizontal="left"/>
    </xf>
    <xf numFmtId="0" fontId="51" fillId="0" borderId="75" xfId="0" applyFont="1" applyBorder="1" applyAlignment="1">
      <alignment horizontal="left"/>
    </xf>
    <xf numFmtId="0" fontId="7" fillId="0" borderId="75" xfId="0" applyFont="1" applyBorder="1" applyAlignment="1">
      <alignment horizontal="center"/>
    </xf>
    <xf numFmtId="0" fontId="13" fillId="20" borderId="75" xfId="0" quotePrefix="1" applyFont="1" applyFill="1" applyBorder="1" applyAlignment="1">
      <alignment horizontal="left" vertical="top" wrapText="1"/>
    </xf>
    <xf numFmtId="0" fontId="13" fillId="20" borderId="75" xfId="0" applyFont="1" applyFill="1" applyBorder="1" applyAlignment="1">
      <alignment horizontal="left" vertical="top"/>
    </xf>
    <xf numFmtId="0" fontId="53" fillId="0" borderId="75" xfId="0" applyFont="1" applyBorder="1" applyAlignment="1">
      <alignment horizontal="left"/>
    </xf>
    <xf numFmtId="0" fontId="46" fillId="0" borderId="75" xfId="0" applyFont="1" applyBorder="1" applyAlignment="1">
      <alignment horizontal="center"/>
    </xf>
    <xf numFmtId="0" fontId="46" fillId="0" borderId="0" xfId="0" applyFont="1" applyAlignment="1">
      <alignment horizontal="left"/>
    </xf>
    <xf numFmtId="0" fontId="46" fillId="0" borderId="0" xfId="0" applyFont="1" applyAlignment="1">
      <alignment horizontal="center"/>
    </xf>
    <xf numFmtId="0" fontId="7" fillId="26" borderId="18" xfId="0" applyFont="1" applyFill="1" applyBorder="1" applyAlignment="1">
      <alignment horizontal="center"/>
    </xf>
    <xf numFmtId="0" fontId="7" fillId="26" borderId="19" xfId="0" applyFont="1" applyFill="1" applyBorder="1" applyAlignment="1">
      <alignment horizontal="center"/>
    </xf>
    <xf numFmtId="0" fontId="7" fillId="26" borderId="20" xfId="0" applyFont="1" applyFill="1" applyBorder="1" applyAlignment="1">
      <alignment horizontal="center"/>
    </xf>
    <xf numFmtId="0" fontId="77" fillId="0" borderId="0" xfId="0" applyFont="1" applyAlignment="1">
      <alignment horizontal="center" vertical="center"/>
    </xf>
    <xf numFmtId="0" fontId="7" fillId="28" borderId="21" xfId="0" applyFont="1" applyFill="1" applyBorder="1" applyAlignment="1">
      <alignment horizontal="right" vertical="center"/>
    </xf>
    <xf numFmtId="0" fontId="7" fillId="28" borderId="60" xfId="0" applyFont="1" applyFill="1" applyBorder="1" applyAlignment="1">
      <alignment horizontal="right" vertical="center"/>
    </xf>
    <xf numFmtId="0" fontId="46" fillId="0" borderId="76" xfId="0" applyFont="1" applyBorder="1" applyAlignment="1">
      <alignment horizontal="center"/>
    </xf>
    <xf numFmtId="0" fontId="50" fillId="26" borderId="0" xfId="0" applyFont="1" applyFill="1" applyAlignment="1">
      <alignment horizontal="center" wrapText="1"/>
    </xf>
    <xf numFmtId="0" fontId="50" fillId="26" borderId="0" xfId="0" applyFont="1" applyFill="1" applyAlignment="1">
      <alignment horizontal="center"/>
    </xf>
    <xf numFmtId="0" fontId="59" fillId="5" borderId="0" xfId="0" applyFont="1" applyFill="1" applyAlignment="1">
      <alignment horizontal="center" vertical="center" wrapText="1"/>
    </xf>
    <xf numFmtId="0" fontId="47" fillId="5" borderId="63" xfId="0" applyFont="1" applyFill="1" applyBorder="1" applyAlignment="1">
      <alignment horizontal="center" vertical="center" wrapText="1"/>
    </xf>
    <xf numFmtId="0" fontId="47" fillId="5" borderId="21" xfId="0" applyFont="1" applyFill="1" applyBorder="1" applyAlignment="1">
      <alignment horizontal="center" vertical="center" wrapText="1"/>
    </xf>
    <xf numFmtId="0" fontId="47" fillId="5" borderId="60" xfId="0" applyFont="1" applyFill="1" applyBorder="1" applyAlignment="1">
      <alignment horizontal="center" vertical="center" wrapText="1"/>
    </xf>
    <xf numFmtId="0" fontId="57" fillId="5" borderId="90" xfId="0" applyFont="1" applyFill="1" applyBorder="1" applyAlignment="1">
      <alignment horizontal="center" vertical="center" wrapText="1"/>
    </xf>
    <xf numFmtId="0" fontId="57" fillId="5" borderId="0" xfId="0" applyFont="1" applyFill="1" applyAlignment="1">
      <alignment horizontal="center" vertical="center" wrapText="1"/>
    </xf>
    <xf numFmtId="0" fontId="6" fillId="0" borderId="90" xfId="0" applyFont="1" applyBorder="1" applyAlignment="1">
      <alignment horizontal="center"/>
    </xf>
    <xf numFmtId="0" fontId="6" fillId="0" borderId="0" xfId="0" applyFont="1" applyAlignment="1">
      <alignment horizontal="center"/>
    </xf>
    <xf numFmtId="0" fontId="6" fillId="0" borderId="54" xfId="0" applyFont="1" applyBorder="1" applyAlignment="1">
      <alignment horizontal="center"/>
    </xf>
    <xf numFmtId="0" fontId="6" fillId="0" borderId="63" xfId="0" applyFont="1" applyBorder="1" applyAlignment="1">
      <alignment horizontal="center" vertical="center" wrapText="1"/>
    </xf>
    <xf numFmtId="0" fontId="6" fillId="0" borderId="60" xfId="0" applyFont="1" applyBorder="1" applyAlignment="1">
      <alignment horizontal="center" vertical="center" wrapText="1"/>
    </xf>
    <xf numFmtId="0" fontId="37" fillId="21" borderId="63" xfId="0" applyFont="1" applyFill="1" applyBorder="1" applyAlignment="1">
      <alignment horizontal="center" vertical="center"/>
    </xf>
    <xf numFmtId="0" fontId="37" fillId="21" borderId="21" xfId="0" applyFont="1" applyFill="1" applyBorder="1" applyAlignment="1">
      <alignment horizontal="center" vertical="center"/>
    </xf>
    <xf numFmtId="0" fontId="37" fillId="21" borderId="60" xfId="0" applyFont="1" applyFill="1" applyBorder="1" applyAlignment="1">
      <alignment horizontal="center" vertical="center"/>
    </xf>
    <xf numFmtId="0" fontId="20" fillId="0" borderId="63" xfId="0" applyFont="1" applyBorder="1" applyAlignment="1">
      <alignment horizontal="center" vertical="center"/>
    </xf>
    <xf numFmtId="0" fontId="20" fillId="0" borderId="60" xfId="0" applyFont="1" applyBorder="1" applyAlignment="1">
      <alignment horizontal="center" vertical="center"/>
    </xf>
    <xf numFmtId="0" fontId="6" fillId="6" borderId="90" xfId="0" applyFont="1" applyFill="1" applyBorder="1" applyAlignment="1">
      <alignment horizontal="center"/>
    </xf>
    <xf numFmtId="0" fontId="6" fillId="6" borderId="0" xfId="0" applyFont="1" applyFill="1" applyAlignment="1">
      <alignment horizontal="center"/>
    </xf>
    <xf numFmtId="0" fontId="6" fillId="6" borderId="54" xfId="0" applyFont="1" applyFill="1" applyBorder="1" applyAlignment="1">
      <alignment horizontal="center"/>
    </xf>
    <xf numFmtId="0" fontId="6" fillId="0" borderId="63" xfId="0" applyFont="1" applyBorder="1" applyAlignment="1">
      <alignment horizontal="center" vertical="center"/>
    </xf>
    <xf numFmtId="0" fontId="6" fillId="0" borderId="21" xfId="0" applyFont="1" applyBorder="1" applyAlignment="1">
      <alignment horizontal="center" vertical="center"/>
    </xf>
    <xf numFmtId="0" fontId="6" fillId="0" borderId="60" xfId="0" applyFont="1" applyBorder="1" applyAlignment="1">
      <alignment horizontal="center" vertical="center"/>
    </xf>
    <xf numFmtId="0" fontId="6" fillId="0" borderId="87" xfId="0" applyFont="1" applyBorder="1" applyAlignment="1">
      <alignment horizontal="center"/>
    </xf>
    <xf numFmtId="0" fontId="6" fillId="0" borderId="22" xfId="0" applyFont="1" applyBorder="1" applyAlignment="1">
      <alignment horizontal="center"/>
    </xf>
    <xf numFmtId="0" fontId="6" fillId="0" borderId="52" xfId="0" applyFont="1" applyBorder="1" applyAlignment="1">
      <alignment horizontal="center"/>
    </xf>
    <xf numFmtId="0" fontId="10" fillId="0" borderId="78" xfId="0" applyFont="1" applyBorder="1" applyAlignment="1">
      <alignment horizontal="center" vertical="center" wrapText="1"/>
    </xf>
    <xf numFmtId="0" fontId="6" fillId="6" borderId="91" xfId="0" applyFont="1" applyFill="1" applyBorder="1" applyAlignment="1">
      <alignment horizontal="center"/>
    </xf>
    <xf numFmtId="0" fontId="6" fillId="6" borderId="55" xfId="0" applyFont="1" applyFill="1" applyBorder="1" applyAlignment="1">
      <alignment horizontal="center"/>
    </xf>
    <xf numFmtId="0" fontId="6" fillId="6" borderId="61" xfId="0" applyFont="1" applyFill="1" applyBorder="1" applyAlignment="1">
      <alignment horizontal="center"/>
    </xf>
    <xf numFmtId="0" fontId="37" fillId="14" borderId="63" xfId="0" applyFont="1" applyFill="1" applyBorder="1" applyAlignment="1">
      <alignment horizontal="center" vertical="center"/>
    </xf>
    <xf numFmtId="0" fontId="37" fillId="14" borderId="21" xfId="0" applyFont="1" applyFill="1" applyBorder="1" applyAlignment="1">
      <alignment horizontal="center" vertical="center"/>
    </xf>
    <xf numFmtId="0" fontId="37" fillId="14" borderId="60" xfId="0" applyFont="1" applyFill="1" applyBorder="1" applyAlignment="1">
      <alignment horizontal="center" vertical="center"/>
    </xf>
    <xf numFmtId="0" fontId="6" fillId="10" borderId="63" xfId="0" applyFont="1" applyFill="1" applyBorder="1" applyAlignment="1">
      <alignment horizontal="center"/>
    </xf>
    <xf numFmtId="0" fontId="6" fillId="10" borderId="21" xfId="0" applyFont="1" applyFill="1" applyBorder="1" applyAlignment="1">
      <alignment horizontal="center"/>
    </xf>
    <xf numFmtId="0" fontId="6" fillId="10" borderId="60" xfId="0" applyFont="1" applyFill="1" applyBorder="1" applyAlignment="1">
      <alignment horizontal="center"/>
    </xf>
    <xf numFmtId="0" fontId="37" fillId="0" borderId="63" xfId="0" applyFont="1" applyBorder="1" applyAlignment="1">
      <alignment horizontal="center"/>
    </xf>
    <xf numFmtId="0" fontId="37" fillId="0" borderId="21" xfId="0" applyFont="1" applyBorder="1" applyAlignment="1">
      <alignment horizontal="center"/>
    </xf>
    <xf numFmtId="0" fontId="37" fillId="0" borderId="60" xfId="0" applyFont="1" applyBorder="1" applyAlignment="1">
      <alignment horizontal="center"/>
    </xf>
    <xf numFmtId="0" fontId="6" fillId="6" borderId="89" xfId="0" applyFont="1" applyFill="1" applyBorder="1" applyAlignment="1">
      <alignment horizontal="center"/>
    </xf>
    <xf numFmtId="0" fontId="6" fillId="6" borderId="93" xfId="0" applyFont="1" applyFill="1" applyBorder="1" applyAlignment="1">
      <alignment horizontal="center"/>
    </xf>
    <xf numFmtId="0" fontId="6" fillId="0" borderId="97" xfId="0" applyFont="1" applyBorder="1" applyAlignment="1">
      <alignment horizontal="center"/>
    </xf>
    <xf numFmtId="0" fontId="6" fillId="0" borderId="94" xfId="0" applyFont="1" applyBorder="1" applyAlignment="1">
      <alignment horizontal="center"/>
    </xf>
    <xf numFmtId="0" fontId="37" fillId="25" borderId="63" xfId="0" applyFont="1" applyFill="1" applyBorder="1" applyAlignment="1">
      <alignment horizontal="center"/>
    </xf>
    <xf numFmtId="0" fontId="37" fillId="25" borderId="21" xfId="0" applyFont="1" applyFill="1" applyBorder="1" applyAlignment="1">
      <alignment horizontal="center"/>
    </xf>
    <xf numFmtId="0" fontId="37" fillId="25" borderId="60" xfId="0" applyFont="1" applyFill="1" applyBorder="1" applyAlignment="1">
      <alignment horizontal="center"/>
    </xf>
    <xf numFmtId="0" fontId="19" fillId="0" borderId="74" xfId="0" applyFont="1" applyBorder="1" applyAlignment="1">
      <alignment horizontal="center" vertical="center"/>
    </xf>
    <xf numFmtId="0" fontId="19" fillId="0" borderId="63" xfId="0" applyFont="1" applyBorder="1" applyAlignment="1">
      <alignment horizontal="center" vertical="center"/>
    </xf>
    <xf numFmtId="0" fontId="19" fillId="0" borderId="21" xfId="0" applyFont="1" applyBorder="1" applyAlignment="1">
      <alignment horizontal="center" vertical="center"/>
    </xf>
    <xf numFmtId="0" fontId="19" fillId="0" borderId="60" xfId="0" applyFont="1" applyBorder="1" applyAlignment="1">
      <alignment horizontal="center" vertical="center"/>
    </xf>
    <xf numFmtId="0" fontId="10" fillId="0" borderId="78" xfId="0" applyFont="1" applyBorder="1" applyAlignment="1">
      <alignment horizontal="center" vertical="center"/>
    </xf>
    <xf numFmtId="0" fontId="13" fillId="0" borderId="78" xfId="0" applyFont="1" applyBorder="1" applyAlignment="1">
      <alignment horizontal="center" vertical="center" wrapText="1"/>
    </xf>
    <xf numFmtId="0" fontId="47" fillId="11" borderId="18" xfId="0" applyFont="1" applyFill="1" applyBorder="1" applyAlignment="1">
      <alignment horizontal="center" vertical="center"/>
    </xf>
    <xf numFmtId="0" fontId="47" fillId="11" borderId="19" xfId="0" applyFont="1" applyFill="1" applyBorder="1" applyAlignment="1">
      <alignment horizontal="center" vertical="center"/>
    </xf>
    <xf numFmtId="0" fontId="16" fillId="0" borderId="11" xfId="0" applyFont="1" applyBorder="1" applyAlignment="1">
      <alignment horizontal="center" vertical="center" wrapText="1"/>
    </xf>
    <xf numFmtId="0" fontId="35" fillId="0" borderId="11" xfId="0" applyFont="1" applyBorder="1" applyAlignment="1">
      <alignment horizontal="center" vertical="center" wrapText="1"/>
    </xf>
    <xf numFmtId="0" fontId="35" fillId="0" borderId="11" xfId="0" applyFont="1" applyBorder="1" applyAlignment="1">
      <alignment horizontal="center" vertical="center"/>
    </xf>
    <xf numFmtId="0" fontId="4" fillId="0" borderId="51" xfId="0" applyFont="1" applyBorder="1" applyAlignment="1">
      <alignment horizontal="center" vertical="center" wrapText="1"/>
    </xf>
    <xf numFmtId="0" fontId="4" fillId="0" borderId="58" xfId="0" applyFont="1" applyBorder="1" applyAlignment="1">
      <alignment horizontal="center" vertical="center" wrapText="1"/>
    </xf>
    <xf numFmtId="0" fontId="3" fillId="0" borderId="38" xfId="0" applyFont="1" applyBorder="1" applyAlignment="1">
      <alignment horizontal="center" vertical="center" wrapText="1"/>
    </xf>
    <xf numFmtId="0" fontId="3" fillId="0" borderId="37" xfId="0" applyFont="1" applyBorder="1" applyAlignment="1">
      <alignment horizontal="center" vertical="center" wrapText="1"/>
    </xf>
    <xf numFmtId="0" fontId="20" fillId="0" borderId="38" xfId="0" applyFont="1" applyBorder="1" applyAlignment="1">
      <alignment horizontal="center" vertical="center" textRotation="90"/>
    </xf>
    <xf numFmtId="0" fontId="20" fillId="0" borderId="37" xfId="0" applyFont="1" applyBorder="1" applyAlignment="1">
      <alignment horizontal="center" vertical="center" textRotation="90"/>
    </xf>
    <xf numFmtId="0" fontId="16" fillId="11" borderId="18" xfId="0" applyFont="1" applyFill="1" applyBorder="1" applyAlignment="1">
      <alignment horizontal="center" vertical="center"/>
    </xf>
    <xf numFmtId="0" fontId="16" fillId="11" borderId="19" xfId="0" applyFont="1" applyFill="1" applyBorder="1" applyAlignment="1">
      <alignment horizontal="center" vertical="center"/>
    </xf>
    <xf numFmtId="0" fontId="3" fillId="0" borderId="0" xfId="0" applyFont="1" applyAlignment="1">
      <alignment horizontal="center"/>
    </xf>
    <xf numFmtId="0" fontId="3" fillId="0" borderId="0" xfId="0" applyFont="1" applyAlignment="1">
      <alignment horizontal="center" vertical="top" wrapText="1"/>
    </xf>
    <xf numFmtId="0" fontId="3" fillId="0" borderId="3" xfId="0" applyFont="1" applyBorder="1" applyAlignment="1">
      <alignment horizontal="center" vertical="center" wrapText="1"/>
    </xf>
    <xf numFmtId="0" fontId="3" fillId="0" borderId="24"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0" xfId="0" applyFont="1" applyBorder="1" applyAlignment="1">
      <alignment horizontal="center" vertical="center" wrapText="1"/>
    </xf>
    <xf numFmtId="0" fontId="20" fillId="0" borderId="11" xfId="0" applyFont="1" applyBorder="1" applyAlignment="1">
      <alignment horizontal="center" vertical="center" textRotation="90"/>
    </xf>
    <xf numFmtId="0" fontId="20" fillId="0" borderId="1" xfId="0" applyFont="1" applyBorder="1" applyAlignment="1">
      <alignment horizontal="center" vertical="center" textRotation="90"/>
    </xf>
    <xf numFmtId="0" fontId="26" fillId="0" borderId="0" xfId="0" applyFont="1" applyAlignment="1">
      <alignment horizontal="center" vertical="center" wrapText="1"/>
    </xf>
    <xf numFmtId="0" fontId="4" fillId="0" borderId="22" xfId="0" applyFont="1" applyBorder="1" applyAlignment="1">
      <alignment horizontal="center" vertical="center" wrapText="1"/>
    </xf>
    <xf numFmtId="0" fontId="4" fillId="0" borderId="31"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31" xfId="0" applyFont="1" applyBorder="1" applyAlignment="1">
      <alignment horizontal="center" vertical="center" wrapText="1"/>
    </xf>
    <xf numFmtId="0" fontId="20" fillId="0" borderId="22" xfId="0" applyFont="1" applyBorder="1" applyAlignment="1">
      <alignment horizontal="center" vertical="center" textRotation="90"/>
    </xf>
    <xf numFmtId="0" fontId="20" fillId="0" borderId="31" xfId="0" applyFont="1" applyBorder="1" applyAlignment="1">
      <alignment horizontal="center" vertical="center" textRotation="90"/>
    </xf>
    <xf numFmtId="0" fontId="7" fillId="0" borderId="51" xfId="0" applyFont="1" applyBorder="1" applyAlignment="1">
      <alignment horizontal="center" vertical="center" wrapText="1"/>
    </xf>
    <xf numFmtId="0" fontId="7" fillId="0" borderId="58" xfId="0" applyFont="1" applyBorder="1" applyAlignment="1">
      <alignment horizontal="center" vertical="center" wrapText="1"/>
    </xf>
    <xf numFmtId="0" fontId="20" fillId="0" borderId="38" xfId="0" applyFont="1" applyBorder="1" applyAlignment="1">
      <alignment horizontal="center" vertical="center" wrapText="1"/>
    </xf>
    <xf numFmtId="0" fontId="20" fillId="0" borderId="37" xfId="0" applyFont="1" applyBorder="1" applyAlignment="1">
      <alignment horizontal="center" vertical="center" wrapText="1"/>
    </xf>
    <xf numFmtId="0" fontId="20" fillId="0" borderId="48" xfId="0" applyFont="1" applyBorder="1" applyAlignment="1">
      <alignment horizontal="center" vertical="center" textRotation="90"/>
    </xf>
    <xf numFmtId="0" fontId="16" fillId="11" borderId="18" xfId="0" applyFont="1" applyFill="1" applyBorder="1" applyAlignment="1">
      <alignment horizontal="center" vertical="center" wrapText="1"/>
    </xf>
    <xf numFmtId="0" fontId="66" fillId="0" borderId="11" xfId="0" applyFont="1" applyBorder="1" applyAlignment="1" applyProtection="1">
      <alignment horizontal="center" vertical="center" wrapText="1"/>
      <protection locked="0"/>
    </xf>
    <xf numFmtId="0" fontId="47" fillId="11" borderId="23" xfId="0" applyFont="1" applyFill="1" applyBorder="1" applyAlignment="1">
      <alignment horizontal="center" vertical="center"/>
    </xf>
    <xf numFmtId="0" fontId="47" fillId="11" borderId="0" xfId="0" applyFont="1" applyFill="1" applyAlignment="1">
      <alignment horizontal="center" vertical="center"/>
    </xf>
    <xf numFmtId="0" fontId="47" fillId="11" borderId="23" xfId="0" applyFont="1" applyFill="1" applyBorder="1" applyAlignment="1">
      <alignment horizontal="center" vertical="center" wrapText="1"/>
    </xf>
    <xf numFmtId="0" fontId="47" fillId="11" borderId="0" xfId="0" applyFont="1" applyFill="1" applyAlignment="1">
      <alignment horizontal="center" vertical="center" wrapText="1"/>
    </xf>
    <xf numFmtId="0" fontId="7" fillId="0" borderId="11" xfId="0" applyFont="1" applyBorder="1" applyAlignment="1">
      <alignment horizontal="center" vertical="center" wrapText="1"/>
    </xf>
    <xf numFmtId="0" fontId="14" fillId="0" borderId="11" xfId="0" applyFont="1" applyBorder="1" applyAlignment="1">
      <alignment horizontal="center" vertical="center" wrapText="1"/>
    </xf>
    <xf numFmtId="0" fontId="29" fillId="0" borderId="11" xfId="0" applyFont="1" applyBorder="1" applyAlignment="1">
      <alignment horizontal="center" vertical="center" textRotation="90" wrapText="1"/>
    </xf>
    <xf numFmtId="0" fontId="32" fillId="0" borderId="11" xfId="0" applyFont="1" applyBorder="1" applyAlignment="1">
      <alignment horizontal="center" vertical="center" wrapText="1"/>
    </xf>
    <xf numFmtId="0" fontId="17" fillId="13" borderId="18" xfId="0" quotePrefix="1" applyFont="1" applyFill="1" applyBorder="1" applyAlignment="1">
      <alignment horizontal="center" vertical="center" wrapText="1"/>
    </xf>
    <xf numFmtId="0" fontId="17" fillId="13" borderId="19" xfId="0" quotePrefix="1" applyFont="1" applyFill="1" applyBorder="1" applyAlignment="1">
      <alignment horizontal="center" vertical="center" wrapText="1"/>
    </xf>
    <xf numFmtId="0" fontId="4" fillId="13" borderId="18" xfId="0" quotePrefix="1" applyFont="1" applyFill="1" applyBorder="1" applyAlignment="1">
      <alignment horizontal="center" vertical="center" wrapText="1"/>
    </xf>
    <xf numFmtId="0" fontId="4" fillId="13" borderId="19" xfId="0" quotePrefix="1" applyFont="1" applyFill="1" applyBorder="1" applyAlignment="1">
      <alignment horizontal="center" vertical="center" wrapText="1"/>
    </xf>
    <xf numFmtId="0" fontId="17" fillId="4" borderId="18" xfId="0" quotePrefix="1" applyFont="1" applyFill="1" applyBorder="1" applyAlignment="1">
      <alignment horizontal="center" vertical="center" wrapText="1"/>
    </xf>
    <xf numFmtId="0" fontId="17" fillId="4" borderId="19" xfId="0" applyFont="1" applyFill="1" applyBorder="1" applyAlignment="1">
      <alignment horizontal="center" vertical="center" wrapText="1"/>
    </xf>
    <xf numFmtId="0" fontId="7" fillId="14" borderId="18" xfId="0" applyFont="1" applyFill="1" applyBorder="1" applyAlignment="1">
      <alignment horizontal="center" vertical="center" wrapText="1"/>
    </xf>
    <xf numFmtId="0" fontId="7" fillId="14" borderId="19" xfId="0" applyFont="1" applyFill="1" applyBorder="1" applyAlignment="1">
      <alignment horizontal="center" vertical="center" wrapText="1"/>
    </xf>
    <xf numFmtId="0" fontId="7" fillId="14" borderId="20" xfId="0" applyFont="1" applyFill="1" applyBorder="1" applyAlignment="1">
      <alignment horizontal="center" vertical="center" wrapText="1"/>
    </xf>
    <xf numFmtId="0" fontId="13" fillId="0" borderId="11" xfId="0" applyFont="1" applyBorder="1" applyAlignment="1">
      <alignment horizontal="center" vertical="center" textRotation="90" wrapText="1"/>
    </xf>
    <xf numFmtId="0" fontId="6" fillId="16" borderId="90" xfId="0" applyFont="1" applyFill="1" applyBorder="1" applyAlignment="1">
      <alignment horizontal="center"/>
    </xf>
    <xf numFmtId="0" fontId="6" fillId="16" borderId="0" xfId="0" applyFont="1" applyFill="1" applyAlignment="1">
      <alignment horizontal="center"/>
    </xf>
    <xf numFmtId="0" fontId="6" fillId="16" borderId="54" xfId="0" applyFont="1" applyFill="1" applyBorder="1" applyAlignment="1">
      <alignment horizontal="center"/>
    </xf>
    <xf numFmtId="0" fontId="6" fillId="0" borderId="55" xfId="0" applyFont="1" applyBorder="1" applyAlignment="1">
      <alignment horizontal="center" vertical="center" wrapText="1"/>
    </xf>
    <xf numFmtId="0" fontId="13" fillId="0" borderId="11" xfId="0" applyFont="1" applyBorder="1" applyAlignment="1">
      <alignment horizontal="center" vertical="center" wrapText="1"/>
    </xf>
    <xf numFmtId="0" fontId="69" fillId="0" borderId="11"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5" xfId="0" applyFont="1" applyBorder="1" applyAlignment="1">
      <alignment horizontal="center" vertical="center" wrapText="1"/>
    </xf>
    <xf numFmtId="0" fontId="14" fillId="7" borderId="18" xfId="0" applyFont="1" applyFill="1" applyBorder="1" applyAlignment="1">
      <alignment horizontal="center" vertical="center" wrapText="1"/>
    </xf>
    <xf numFmtId="0" fontId="14" fillId="7" borderId="19" xfId="0" applyFont="1" applyFill="1" applyBorder="1" applyAlignment="1">
      <alignment horizontal="center" vertical="center" wrapText="1"/>
    </xf>
    <xf numFmtId="0" fontId="14" fillId="7" borderId="20" xfId="0" applyFont="1" applyFill="1" applyBorder="1" applyAlignment="1">
      <alignment horizontal="center" vertical="center" wrapText="1"/>
    </xf>
    <xf numFmtId="0" fontId="7" fillId="7" borderId="18" xfId="0" applyFont="1" applyFill="1" applyBorder="1" applyAlignment="1">
      <alignment horizontal="center" vertical="center" wrapText="1"/>
    </xf>
    <xf numFmtId="0" fontId="7" fillId="7" borderId="19" xfId="0" applyFont="1" applyFill="1" applyBorder="1" applyAlignment="1">
      <alignment horizontal="center" vertical="center" wrapText="1"/>
    </xf>
    <xf numFmtId="0" fontId="29" fillId="0" borderId="11" xfId="0" applyFont="1" applyBorder="1" applyAlignment="1">
      <alignment horizontal="center" vertical="center" wrapText="1"/>
    </xf>
    <xf numFmtId="0" fontId="14" fillId="15" borderId="18" xfId="0" applyFont="1" applyFill="1" applyBorder="1" applyAlignment="1">
      <alignment horizontal="center" vertical="center" wrapText="1"/>
    </xf>
    <xf numFmtId="0" fontId="7" fillId="15" borderId="19" xfId="0" applyFont="1" applyFill="1" applyBorder="1" applyAlignment="1">
      <alignment horizontal="center" vertical="center" wrapText="1"/>
    </xf>
    <xf numFmtId="0" fontId="19" fillId="0" borderId="1"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5" xfId="0" applyFont="1" applyBorder="1" applyAlignment="1">
      <alignment horizontal="center" vertical="center" wrapText="1"/>
    </xf>
    <xf numFmtId="0" fontId="8" fillId="0" borderId="1" xfId="0" applyFont="1" applyBorder="1" applyAlignment="1">
      <alignment horizontal="center" vertical="center" wrapText="1"/>
    </xf>
    <xf numFmtId="0" fontId="8" fillId="0" borderId="6" xfId="0" applyFont="1" applyBorder="1" applyAlignment="1">
      <alignment horizontal="center" vertical="center"/>
    </xf>
    <xf numFmtId="0" fontId="8" fillId="0" borderId="5" xfId="0" applyFont="1" applyBorder="1" applyAlignment="1">
      <alignment horizontal="center" vertical="center"/>
    </xf>
    <xf numFmtId="0" fontId="34" fillId="16" borderId="18" xfId="0" quotePrefix="1" applyFont="1" applyFill="1" applyBorder="1" applyAlignment="1">
      <alignment horizontal="center" vertical="center" wrapText="1"/>
    </xf>
    <xf numFmtId="0" fontId="34" fillId="16" borderId="19" xfId="0" applyFont="1" applyFill="1" applyBorder="1" applyAlignment="1">
      <alignment horizontal="center" vertical="center" wrapText="1"/>
    </xf>
    <xf numFmtId="0" fontId="15" fillId="9" borderId="63" xfId="0" applyFont="1" applyFill="1" applyBorder="1" applyAlignment="1">
      <alignment horizontal="right" vertical="center"/>
    </xf>
    <xf numFmtId="0" fontId="15" fillId="9" borderId="21" xfId="0" applyFont="1" applyFill="1" applyBorder="1" applyAlignment="1">
      <alignment horizontal="right" vertical="center"/>
    </xf>
    <xf numFmtId="0" fontId="15" fillId="20" borderId="21" xfId="0" applyFont="1" applyFill="1" applyBorder="1" applyAlignment="1">
      <alignment horizontal="center" vertical="center"/>
    </xf>
    <xf numFmtId="0" fontId="0" fillId="8" borderId="21" xfId="0" applyFill="1" applyBorder="1" applyAlignment="1">
      <alignment horizontal="center"/>
    </xf>
    <xf numFmtId="0" fontId="0" fillId="8" borderId="60" xfId="0" applyFill="1" applyBorder="1" applyAlignment="1">
      <alignment horizontal="center"/>
    </xf>
    <xf numFmtId="0" fontId="11" fillId="16" borderId="18" xfId="0" quotePrefix="1" applyFont="1" applyFill="1" applyBorder="1" applyAlignment="1">
      <alignment horizontal="center" vertical="center" wrapText="1"/>
    </xf>
    <xf numFmtId="0" fontId="11" fillId="16" borderId="19" xfId="0" applyFont="1" applyFill="1" applyBorder="1" applyAlignment="1">
      <alignment horizontal="center" vertical="center" wrapText="1"/>
    </xf>
    <xf numFmtId="0" fontId="34" fillId="15" borderId="18" xfId="0" quotePrefix="1" applyFont="1" applyFill="1" applyBorder="1" applyAlignment="1">
      <alignment horizontal="center" vertical="center" wrapText="1"/>
    </xf>
    <xf numFmtId="0" fontId="34" fillId="15" borderId="19" xfId="0" applyFont="1" applyFill="1" applyBorder="1" applyAlignment="1">
      <alignment horizontal="center" vertical="center" wrapText="1"/>
    </xf>
    <xf numFmtId="0" fontId="34" fillId="18" borderId="18" xfId="0" quotePrefix="1" applyFont="1" applyFill="1" applyBorder="1" applyAlignment="1">
      <alignment horizontal="center" vertical="center" wrapText="1"/>
    </xf>
    <xf numFmtId="0" fontId="14" fillId="0" borderId="38"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37" xfId="0" applyFont="1" applyBorder="1" applyAlignment="1">
      <alignment horizontal="center" vertical="center" wrapText="1"/>
    </xf>
    <xf numFmtId="0" fontId="7" fillId="0" borderId="53" xfId="0" applyFont="1" applyBorder="1" applyAlignment="1">
      <alignment horizontal="center" vertical="center" wrapText="1"/>
    </xf>
    <xf numFmtId="0" fontId="14" fillId="0" borderId="6" xfId="0" applyFont="1" applyBorder="1" applyAlignment="1">
      <alignment horizontal="center" vertical="center" wrapText="1"/>
    </xf>
    <xf numFmtId="0" fontId="14" fillId="17" borderId="63" xfId="0" quotePrefix="1" applyFont="1" applyFill="1" applyBorder="1" applyAlignment="1">
      <alignment horizontal="center" vertical="center" wrapText="1"/>
    </xf>
    <xf numFmtId="0" fontId="14" fillId="17" borderId="21" xfId="0" applyFont="1" applyFill="1" applyBorder="1" applyAlignment="1">
      <alignment horizontal="center" vertical="center" wrapText="1"/>
    </xf>
    <xf numFmtId="0" fontId="14" fillId="18" borderId="33" xfId="0" quotePrefix="1" applyFont="1" applyFill="1" applyBorder="1" applyAlignment="1">
      <alignment horizontal="center" vertical="center" wrapText="1"/>
    </xf>
    <xf numFmtId="0" fontId="14" fillId="18" borderId="0" xfId="0" applyFont="1" applyFill="1" applyAlignment="1">
      <alignment horizontal="center" vertical="center" wrapText="1"/>
    </xf>
    <xf numFmtId="0" fontId="29" fillId="0" borderId="38" xfId="0" applyFont="1" applyBorder="1" applyAlignment="1">
      <alignment horizontal="center" vertical="center" textRotation="90" wrapText="1"/>
    </xf>
    <xf numFmtId="0" fontId="29" fillId="0" borderId="6" xfId="0" applyFont="1" applyBorder="1" applyAlignment="1">
      <alignment horizontal="center" vertical="center" textRotation="90" wrapText="1"/>
    </xf>
    <xf numFmtId="0" fontId="24" fillId="12" borderId="22" xfId="0" applyFont="1" applyFill="1" applyBorder="1" applyAlignment="1">
      <alignment horizontal="center" vertical="center" textRotation="90"/>
    </xf>
    <xf numFmtId="0" fontId="24" fillId="12" borderId="0" xfId="0" applyFont="1" applyFill="1" applyAlignment="1">
      <alignment horizontal="center" vertical="center" textRotation="90"/>
    </xf>
    <xf numFmtId="0" fontId="30" fillId="14" borderId="52" xfId="0" applyFont="1" applyFill="1" applyBorder="1" applyAlignment="1">
      <alignment horizontal="center" vertical="center" textRotation="90" wrapText="1"/>
    </xf>
    <xf numFmtId="0" fontId="30" fillId="14" borderId="54" xfId="0" applyFont="1" applyFill="1" applyBorder="1" applyAlignment="1">
      <alignment horizontal="center" vertical="center" textRotation="90" wrapText="1"/>
    </xf>
    <xf numFmtId="0" fontId="29" fillId="0" borderId="38" xfId="0" applyFont="1" applyBorder="1" applyAlignment="1">
      <alignment horizontal="center" vertical="center" wrapText="1"/>
    </xf>
    <xf numFmtId="0" fontId="29" fillId="0" borderId="6" xfId="0" applyFont="1" applyBorder="1" applyAlignment="1">
      <alignment horizontal="center" vertical="center" wrapText="1"/>
    </xf>
    <xf numFmtId="0" fontId="29" fillId="0" borderId="35" xfId="0" applyFont="1" applyBorder="1" applyAlignment="1">
      <alignment horizontal="center" vertical="center" textRotation="90" wrapText="1"/>
    </xf>
    <xf numFmtId="0" fontId="29" fillId="0" borderId="10" xfId="0" applyFont="1" applyBorder="1" applyAlignment="1">
      <alignment horizontal="center" vertical="center" textRotation="90" wrapText="1"/>
    </xf>
    <xf numFmtId="0" fontId="14" fillId="0" borderId="35" xfId="0" applyFont="1" applyBorder="1" applyAlignment="1">
      <alignment horizontal="center" vertical="center" wrapText="1"/>
    </xf>
    <xf numFmtId="0" fontId="14" fillId="0" borderId="10" xfId="0" applyFont="1" applyBorder="1" applyAlignment="1">
      <alignment horizontal="center" vertical="center" wrapText="1"/>
    </xf>
    <xf numFmtId="0" fontId="7" fillId="0" borderId="39" xfId="0" applyFont="1" applyBorder="1" applyAlignment="1">
      <alignment horizontal="center" vertical="center" wrapText="1"/>
    </xf>
    <xf numFmtId="0" fontId="7" fillId="0" borderId="45" xfId="0" applyFont="1" applyBorder="1" applyAlignment="1">
      <alignment horizontal="center" vertical="center" wrapText="1"/>
    </xf>
    <xf numFmtId="0" fontId="14" fillId="10" borderId="33" xfId="0" applyFont="1" applyFill="1" applyBorder="1" applyAlignment="1">
      <alignment horizontal="center" vertical="center" wrapText="1"/>
    </xf>
    <xf numFmtId="0" fontId="14" fillId="10" borderId="0" xfId="0" applyFont="1" applyFill="1" applyAlignment="1">
      <alignment horizontal="center" vertical="center" wrapText="1"/>
    </xf>
    <xf numFmtId="0" fontId="3" fillId="0" borderId="0" xfId="0" applyFont="1" applyAlignment="1">
      <alignment horizontal="center" wrapText="1"/>
    </xf>
    <xf numFmtId="0" fontId="4" fillId="15" borderId="63" xfId="0" quotePrefix="1" applyFont="1" applyFill="1" applyBorder="1" applyAlignment="1">
      <alignment horizontal="center" vertical="top" wrapText="1"/>
    </xf>
    <xf numFmtId="0" fontId="4" fillId="15" borderId="21" xfId="0" quotePrefix="1" applyFont="1" applyFill="1" applyBorder="1" applyAlignment="1">
      <alignment horizontal="center" vertical="top" wrapText="1"/>
    </xf>
    <xf numFmtId="0" fontId="4" fillId="15" borderId="60" xfId="0" quotePrefix="1" applyFont="1" applyFill="1" applyBorder="1" applyAlignment="1">
      <alignment horizontal="center" vertical="top" wrapText="1"/>
    </xf>
    <xf numFmtId="0" fontId="9" fillId="18" borderId="63" xfId="0" applyFont="1" applyFill="1" applyBorder="1" applyAlignment="1">
      <alignment horizontal="center" vertical="top"/>
    </xf>
    <xf numFmtId="0" fontId="9" fillId="18" borderId="21" xfId="0" applyFont="1" applyFill="1" applyBorder="1" applyAlignment="1">
      <alignment horizontal="center" vertical="top"/>
    </xf>
    <xf numFmtId="0" fontId="9" fillId="18" borderId="60" xfId="0" applyFont="1" applyFill="1" applyBorder="1" applyAlignment="1">
      <alignment horizontal="center" vertical="top"/>
    </xf>
    <xf numFmtId="0" fontId="4" fillId="11" borderId="46" xfId="0" applyFont="1" applyFill="1" applyBorder="1" applyAlignment="1">
      <alignment horizontal="center" vertical="center"/>
    </xf>
    <xf numFmtId="0" fontId="4" fillId="11" borderId="34" xfId="0" applyFont="1" applyFill="1" applyBorder="1" applyAlignment="1">
      <alignment horizontal="center" vertical="center"/>
    </xf>
    <xf numFmtId="0" fontId="4" fillId="11" borderId="47" xfId="0" applyFont="1" applyFill="1" applyBorder="1" applyAlignment="1">
      <alignment horizontal="center" vertical="center"/>
    </xf>
    <xf numFmtId="0" fontId="4" fillId="16" borderId="63" xfId="0" quotePrefix="1" applyFont="1" applyFill="1" applyBorder="1" applyAlignment="1">
      <alignment horizontal="center" vertical="center" wrapText="1"/>
    </xf>
    <xf numFmtId="0" fontId="4" fillId="16" borderId="21" xfId="0" quotePrefix="1" applyFont="1" applyFill="1" applyBorder="1" applyAlignment="1">
      <alignment horizontal="center" vertical="center" wrapText="1"/>
    </xf>
    <xf numFmtId="0" fontId="4" fillId="16" borderId="60" xfId="0" quotePrefix="1" applyFont="1" applyFill="1" applyBorder="1" applyAlignment="1">
      <alignment horizontal="center" vertical="center" wrapText="1"/>
    </xf>
    <xf numFmtId="0" fontId="4" fillId="11" borderId="63" xfId="0" applyFont="1" applyFill="1" applyBorder="1" applyAlignment="1">
      <alignment horizontal="center" vertical="center" wrapText="1"/>
    </xf>
    <xf numFmtId="0" fontId="4" fillId="11" borderId="21" xfId="0" applyFont="1" applyFill="1" applyBorder="1" applyAlignment="1">
      <alignment horizontal="center" vertical="center"/>
    </xf>
    <xf numFmtId="0" fontId="4" fillId="11" borderId="60" xfId="0" applyFont="1" applyFill="1" applyBorder="1" applyAlignment="1">
      <alignment horizontal="center" vertical="center"/>
    </xf>
    <xf numFmtId="0" fontId="4" fillId="11" borderId="63" xfId="0" applyFont="1" applyFill="1" applyBorder="1" applyAlignment="1">
      <alignment horizontal="center" vertical="center"/>
    </xf>
    <xf numFmtId="0" fontId="16" fillId="11" borderId="134" xfId="0" applyFont="1" applyFill="1" applyBorder="1" applyAlignment="1">
      <alignment horizontal="center" vertical="center"/>
    </xf>
    <xf numFmtId="0" fontId="16" fillId="11" borderId="135" xfId="0" applyFont="1" applyFill="1" applyBorder="1" applyAlignment="1">
      <alignment horizontal="center" vertical="center"/>
    </xf>
    <xf numFmtId="0" fontId="4" fillId="0" borderId="87" xfId="0" applyFont="1" applyBorder="1" applyAlignment="1">
      <alignment horizontal="center" vertical="center" wrapText="1"/>
    </xf>
    <xf numFmtId="0" fontId="4" fillId="0" borderId="136" xfId="0" applyFont="1" applyBorder="1" applyAlignment="1">
      <alignment horizontal="center" vertical="center" wrapText="1"/>
    </xf>
    <xf numFmtId="0" fontId="26" fillId="0" borderId="90" xfId="0" applyFont="1" applyBorder="1" applyAlignment="1">
      <alignment horizontal="center" vertical="center" wrapText="1"/>
    </xf>
    <xf numFmtId="0" fontId="3" fillId="0" borderId="90" xfId="0" applyFont="1" applyBorder="1" applyAlignment="1">
      <alignment horizontal="center" vertical="top" wrapText="1"/>
    </xf>
    <xf numFmtId="0" fontId="16" fillId="11" borderId="148" xfId="0" applyFont="1" applyFill="1" applyBorder="1" applyAlignment="1">
      <alignment horizontal="center" vertical="center"/>
    </xf>
    <xf numFmtId="0" fontId="15" fillId="14" borderId="63" xfId="0" applyFont="1" applyFill="1" applyBorder="1" applyAlignment="1">
      <alignment horizontal="center"/>
    </xf>
    <xf numFmtId="0" fontId="15" fillId="14" borderId="60" xfId="0" applyFont="1" applyFill="1" applyBorder="1" applyAlignment="1">
      <alignment horizontal="center"/>
    </xf>
    <xf numFmtId="0" fontId="4" fillId="17" borderId="63" xfId="0" quotePrefix="1" applyFont="1" applyFill="1" applyBorder="1" applyAlignment="1">
      <alignment horizontal="center" vertical="top" wrapText="1"/>
    </xf>
    <xf numFmtId="0" fontId="11" fillId="17" borderId="21" xfId="0" quotePrefix="1" applyFont="1" applyFill="1" applyBorder="1" applyAlignment="1">
      <alignment horizontal="center" vertical="top" wrapText="1"/>
    </xf>
    <xf numFmtId="0" fontId="4" fillId="7" borderId="63" xfId="0" quotePrefix="1" applyFont="1" applyFill="1" applyBorder="1" applyAlignment="1">
      <alignment horizontal="center" vertical="top" wrapText="1"/>
    </xf>
    <xf numFmtId="0" fontId="4" fillId="7" borderId="21" xfId="0" quotePrefix="1" applyFont="1" applyFill="1" applyBorder="1" applyAlignment="1">
      <alignment horizontal="center" vertical="top" wrapText="1"/>
    </xf>
    <xf numFmtId="0" fontId="4" fillId="7" borderId="60" xfId="0" quotePrefix="1" applyFont="1" applyFill="1" applyBorder="1" applyAlignment="1">
      <alignment horizontal="center" vertical="top" wrapText="1"/>
    </xf>
    <xf numFmtId="20" fontId="20" fillId="0" borderId="0" xfId="0" applyNumberFormat="1" applyFont="1" applyAlignment="1">
      <alignment horizontal="left" vertical="top"/>
    </xf>
    <xf numFmtId="0" fontId="21" fillId="6" borderId="63" xfId="0" applyFont="1" applyFill="1" applyBorder="1" applyAlignment="1">
      <alignment horizontal="left" vertical="center" wrapText="1"/>
    </xf>
    <xf numFmtId="0" fontId="21" fillId="6" borderId="21" xfId="0" applyFont="1" applyFill="1" applyBorder="1" applyAlignment="1">
      <alignment horizontal="left" vertical="center" wrapText="1"/>
    </xf>
    <xf numFmtId="0" fontId="21" fillId="6" borderId="60" xfId="0" applyFont="1" applyFill="1" applyBorder="1" applyAlignment="1">
      <alignment horizontal="left" vertical="center" wrapText="1"/>
    </xf>
    <xf numFmtId="0" fontId="4" fillId="4" borderId="46" xfId="0" applyFont="1" applyFill="1" applyBorder="1" applyAlignment="1">
      <alignment horizontal="center" vertical="center" wrapText="1"/>
    </xf>
    <xf numFmtId="0" fontId="4" fillId="4" borderId="34" xfId="0" applyFont="1" applyFill="1" applyBorder="1" applyAlignment="1">
      <alignment horizontal="center" vertical="center" wrapText="1"/>
    </xf>
    <xf numFmtId="0" fontId="4" fillId="4" borderId="47" xfId="0" applyFont="1" applyFill="1" applyBorder="1" applyAlignment="1">
      <alignment horizontal="center" vertical="center" wrapText="1"/>
    </xf>
    <xf numFmtId="0" fontId="50" fillId="13" borderId="63" xfId="0" quotePrefix="1" applyFont="1" applyFill="1" applyBorder="1" applyAlignment="1">
      <alignment horizontal="center" vertical="center" wrapText="1"/>
    </xf>
    <xf numFmtId="0" fontId="50" fillId="13" borderId="21" xfId="0" quotePrefix="1" applyFont="1" applyFill="1" applyBorder="1" applyAlignment="1">
      <alignment horizontal="center" vertical="center" wrapText="1"/>
    </xf>
    <xf numFmtId="0" fontId="50" fillId="13" borderId="60" xfId="0" quotePrefix="1" applyFont="1" applyFill="1" applyBorder="1" applyAlignment="1">
      <alignment horizontal="center" vertical="center" wrapText="1"/>
    </xf>
    <xf numFmtId="0" fontId="4" fillId="10" borderId="63" xfId="0" quotePrefix="1" applyFont="1" applyFill="1" applyBorder="1" applyAlignment="1">
      <alignment horizontal="center" vertical="center" wrapText="1"/>
    </xf>
    <xf numFmtId="0" fontId="4" fillId="10" borderId="21" xfId="0" quotePrefix="1" applyFont="1" applyFill="1" applyBorder="1" applyAlignment="1">
      <alignment horizontal="center" vertical="center" wrapText="1"/>
    </xf>
    <xf numFmtId="0" fontId="4" fillId="10" borderId="60" xfId="0" quotePrefix="1" applyFont="1" applyFill="1" applyBorder="1" applyAlignment="1">
      <alignment horizontal="center" vertical="center" wrapText="1"/>
    </xf>
    <xf numFmtId="0" fontId="4" fillId="13" borderId="63" xfId="0" quotePrefix="1" applyFont="1" applyFill="1" applyBorder="1" applyAlignment="1">
      <alignment horizontal="center" vertical="center" wrapText="1"/>
    </xf>
    <xf numFmtId="0" fontId="4" fillId="13" borderId="21" xfId="0" quotePrefix="1" applyFont="1" applyFill="1" applyBorder="1" applyAlignment="1">
      <alignment horizontal="center" vertical="center" wrapText="1"/>
    </xf>
    <xf numFmtId="0" fontId="4" fillId="13" borderId="60" xfId="0" quotePrefix="1" applyFont="1" applyFill="1" applyBorder="1" applyAlignment="1">
      <alignment horizontal="center" vertical="center" wrapText="1"/>
    </xf>
    <xf numFmtId="0" fontId="34" fillId="16" borderId="18" xfId="0" applyFont="1" applyFill="1" applyBorder="1" applyAlignment="1">
      <alignment horizontal="center" vertical="center" wrapText="1"/>
    </xf>
    <xf numFmtId="0" fontId="11" fillId="16" borderId="18" xfId="0" applyFont="1" applyFill="1" applyBorder="1" applyAlignment="1">
      <alignment horizontal="center" vertical="center" wrapText="1"/>
    </xf>
    <xf numFmtId="0" fontId="34" fillId="15" borderId="18" xfId="0" applyFont="1" applyFill="1" applyBorder="1" applyAlignment="1">
      <alignment horizontal="center" vertical="center" wrapText="1"/>
    </xf>
    <xf numFmtId="0" fontId="14" fillId="3" borderId="33" xfId="0" applyFont="1" applyFill="1" applyBorder="1" applyAlignment="1">
      <alignment horizontal="center" vertical="center" wrapText="1"/>
    </xf>
    <xf numFmtId="0" fontId="14" fillId="3" borderId="0" xfId="0" applyFont="1" applyFill="1" applyAlignment="1">
      <alignment horizontal="center" vertical="center" wrapText="1"/>
    </xf>
    <xf numFmtId="0" fontId="29" fillId="0" borderId="1" xfId="0" applyFont="1" applyBorder="1" applyAlignment="1">
      <alignment horizontal="center" vertical="center" textRotation="90" wrapText="1"/>
    </xf>
    <xf numFmtId="0" fontId="29" fillId="0" borderId="37" xfId="0" applyFont="1" applyBorder="1" applyAlignment="1">
      <alignment horizontal="center" vertical="center" textRotation="90" wrapText="1"/>
    </xf>
    <xf numFmtId="0" fontId="7" fillId="0" borderId="1" xfId="0" applyFont="1" applyBorder="1" applyAlignment="1">
      <alignment horizontal="center" vertical="center" wrapText="1"/>
    </xf>
    <xf numFmtId="0" fontId="7" fillId="0" borderId="37" xfId="0" applyFont="1" applyBorder="1" applyAlignment="1">
      <alignment horizontal="center" vertical="center" wrapText="1"/>
    </xf>
    <xf numFmtId="0" fontId="14" fillId="0" borderId="1" xfId="0" applyFont="1" applyBorder="1" applyAlignment="1">
      <alignment horizontal="center" vertical="center" wrapText="1"/>
    </xf>
  </cellXfs>
  <cellStyles count="1">
    <cellStyle name="표준" xfId="0" builtinId="0"/>
  </cellStyles>
  <dxfs count="0"/>
  <tableStyles count="0" defaultTableStyle="TableStyleMedium2" defaultPivotStyle="PivotStyleLight16"/>
  <colors>
    <mruColors>
      <color rgb="FFCCCCFF"/>
      <color rgb="FF0000FF"/>
      <color rgb="FFFF99CC"/>
      <color rgb="FFFFFFCC"/>
      <color rgb="FFFFFF66"/>
      <color rgb="FFCC0000"/>
      <color rgb="FF99FFCC"/>
      <color rgb="FF00FF00"/>
      <color rgb="FFFF6600"/>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Z:\Stock\Stock%20Produits%20finis.xlsx" TargetMode="External"/><Relationship Id="rId1" Type="http://schemas.openxmlformats.org/officeDocument/2006/relationships/externalLinkPath" Target="file:///Z:\Stock\Stock%20Produits%20fin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ALAL"/>
      <sheetName val="H.G + S.A.G"/>
      <sheetName val="BN 200"/>
      <sheetName val="H.M"/>
      <sheetName val="SPECIALITES"/>
      <sheetName val="NEGOCE (Jambon + Terrine)"/>
      <sheetName val="A CUIRE + FILET MIGNON"/>
    </sheetNames>
    <sheetDataSet>
      <sheetData sheetId="0">
        <row r="25">
          <cell r="AC25">
            <v>3.6734693877551021</v>
          </cell>
          <cell r="AD25"/>
        </row>
        <row r="48">
          <cell r="AC48">
            <v>2.4888888888888889</v>
          </cell>
          <cell r="AD48"/>
        </row>
        <row r="82">
          <cell r="AC82">
            <v>1.0236410256410255</v>
          </cell>
          <cell r="AD82"/>
        </row>
        <row r="115">
          <cell r="AC115">
            <v>1.2308205128205127</v>
          </cell>
          <cell r="AD115"/>
        </row>
        <row r="128">
          <cell r="AC128">
            <v>0</v>
          </cell>
          <cell r="AD128"/>
        </row>
        <row r="135">
          <cell r="AC135">
            <v>0</v>
          </cell>
          <cell r="AD135"/>
        </row>
      </sheetData>
      <sheetData sheetId="1">
        <row r="8">
          <cell r="AC8">
            <v>5.9782608695652176E-2</v>
          </cell>
          <cell r="AD8"/>
        </row>
        <row r="16">
          <cell r="AC16">
            <v>0.17455555555555557</v>
          </cell>
          <cell r="AD16"/>
        </row>
        <row r="35">
          <cell r="AC35">
            <v>2.1210869565217392</v>
          </cell>
          <cell r="AD35"/>
        </row>
        <row r="60">
          <cell r="AC60">
            <v>0.25240384615384615</v>
          </cell>
          <cell r="AD60"/>
        </row>
        <row r="82">
          <cell r="AC82">
            <v>0.32</v>
          </cell>
          <cell r="AD82"/>
        </row>
        <row r="88">
          <cell r="AC88">
            <v>0.58355555555555561</v>
          </cell>
          <cell r="AD88"/>
        </row>
        <row r="118">
          <cell r="AC118">
            <v>0.68574468085106388</v>
          </cell>
          <cell r="AD118"/>
        </row>
      </sheetData>
      <sheetData sheetId="2">
        <row r="66">
          <cell r="AC66">
            <v>25.769978260869561</v>
          </cell>
          <cell r="AD66"/>
        </row>
      </sheetData>
      <sheetData sheetId="3">
        <row r="5">
          <cell r="AC5">
            <v>8.152173913043478E-3</v>
          </cell>
          <cell r="AD5"/>
        </row>
        <row r="13">
          <cell r="AC13">
            <v>7.0833333333333331E-2</v>
          </cell>
          <cell r="AD13"/>
        </row>
        <row r="21">
          <cell r="AC21">
            <v>9.0129870129870129E-2</v>
          </cell>
          <cell r="AD21"/>
        </row>
        <row r="29">
          <cell r="AC29">
            <v>0.44255319148936173</v>
          </cell>
          <cell r="AD29"/>
        </row>
        <row r="48">
          <cell r="AC48">
            <v>5.4545434782608693</v>
          </cell>
          <cell r="AD48"/>
        </row>
        <row r="72">
          <cell r="AC72">
            <v>3.0733653846153848</v>
          </cell>
          <cell r="AD72"/>
        </row>
      </sheetData>
      <sheetData sheetId="4">
        <row r="15">
          <cell r="AC15">
            <v>1.1896907216494845</v>
          </cell>
          <cell r="AD15"/>
        </row>
        <row r="28">
          <cell r="AC28">
            <v>0.6123711340206186</v>
          </cell>
          <cell r="AD28"/>
        </row>
        <row r="38">
          <cell r="AC38">
            <v>1.0577319587628866</v>
          </cell>
          <cell r="AD38"/>
        </row>
        <row r="53">
          <cell r="AC53">
            <v>0.36565656565656568</v>
          </cell>
          <cell r="AD53"/>
        </row>
        <row r="66">
          <cell r="AC66">
            <v>1.6509803921568624</v>
          </cell>
          <cell r="AD66"/>
        </row>
        <row r="82">
          <cell r="AC82">
            <v>0.86</v>
          </cell>
          <cell r="AD82"/>
        </row>
        <row r="92">
          <cell r="AC92">
            <v>1.3708333333333336</v>
          </cell>
          <cell r="AD92"/>
        </row>
        <row r="107">
          <cell r="AC107">
            <v>0.32210526315789473</v>
          </cell>
          <cell r="AD107"/>
        </row>
        <row r="117">
          <cell r="AC117">
            <v>0</v>
          </cell>
          <cell r="AD117"/>
        </row>
        <row r="126">
          <cell r="AC126">
            <v>0.42352941176470593</v>
          </cell>
          <cell r="AD126"/>
        </row>
        <row r="134">
          <cell r="AC134">
            <v>0.16344086021505377</v>
          </cell>
          <cell r="AD134"/>
        </row>
        <row r="143">
          <cell r="AC143">
            <v>0.45918367346938777</v>
          </cell>
          <cell r="AD143"/>
        </row>
        <row r="151">
          <cell r="AC151">
            <v>0.15789473684210525</v>
          </cell>
          <cell r="AD151"/>
        </row>
        <row r="160">
          <cell r="AC160">
            <v>0.26382978723404255</v>
          </cell>
          <cell r="AD160"/>
        </row>
        <row r="179">
          <cell r="AC179">
            <v>0.218</v>
          </cell>
          <cell r="AD179"/>
        </row>
        <row r="200">
          <cell r="AC200">
            <v>1.2463157894736843</v>
          </cell>
          <cell r="AD200"/>
        </row>
        <row r="212">
          <cell r="AC212">
            <v>0.65806451612903227</v>
          </cell>
          <cell r="AD212"/>
        </row>
        <row r="235">
          <cell r="AC235">
            <v>0.52043010752688179</v>
          </cell>
          <cell r="AD235"/>
        </row>
        <row r="268">
          <cell r="AC268">
            <v>0.50212765957446814</v>
          </cell>
          <cell r="AD268"/>
        </row>
      </sheetData>
      <sheetData sheetId="5"/>
      <sheetData sheetId="6"/>
    </sheetDataSet>
  </externalBook>
</externalLink>
</file>

<file path=xl/persons/person.xml><?xml version="1.0" encoding="utf-8"?>
<personList xmlns="http://schemas.microsoft.com/office/spreadsheetml/2018/threadedcomments" xmlns:x="http://schemas.openxmlformats.org/spreadsheetml/2006/main">
  <person displayName="Salomé Prost" id="{F86A1EAB-A8A5-4F67-8F3C-8D92D0856AD4}" userId="7880a25a6a508777" providerId="Windows Live"/>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5" dT="2023-06-29T09:20:21.22" personId="{F86A1EAB-A8A5-4F67-8F3C-8D92D0856AD4}" id="{828A5329-B24E-4536-A52B-C417CE9728C8}">
    <text>Manueva 29/06/2023 : Au moins 7 mêlées pour produire du halal</text>
  </threadedComment>
  <threadedComment ref="A41" dT="2023-06-29T09:49:27.08" personId="{F86A1EAB-A8A5-4F67-8F3C-8D92D0856AD4}" id="{ED20E222-B550-4000-9EFB-0D98D072BA6F}">
    <text>Manueva 29/06/2023 : produit qui part dans les CSE. Faire attention à ne pas être en rupture pendant la période des CSE</text>
  </threadedComment>
  <threadedComment ref="A43" dT="2023-06-29T10:03:42.66" personId="{F86A1EAB-A8A5-4F67-8F3C-8D92D0856AD4}" id="{3F4A1451-3716-4555-81DE-F06BD661BEB9}">
    <text>Manueva 29/06/2023 : Temps d'embossage plus long car nécessite bridage à la main</text>
  </threadedComment>
  <threadedComment ref="A47" dT="2023-06-29T10:20:08.02" personId="{F86A1EAB-A8A5-4F67-8F3C-8D92D0856AD4}" id="{CF0B4355-9524-494A-AE4A-2844E398CAC5}">
    <text>Manueva 29/06/2023 : Fabrication à la demande du client (Service des Gourmands)</text>
  </threadedComment>
  <threadedComment ref="A65" dT="2023-06-29T10:34:03.10" personId="{F86A1EAB-A8A5-4F67-8F3C-8D92D0856AD4}" id="{21B74CF3-606A-40FB-85C1-5F6561CBDCE7}">
    <text>Manueva 29/06/2023 : à produire par 2 mêlées</text>
  </threadedComment>
  <threadedComment ref="A68" dT="2023-06-29T10:46:21.20" personId="{F86A1EAB-A8A5-4F67-8F3C-8D92D0856AD4}" id="{326C103D-DB20-477A-95ED-FD0972BE08EB}">
    <text>Manueva 29/06/2023 : Production par 30 pièces : soit 0.3 mêlée</text>
  </threadedComment>
  <threadedComment ref="A73" dT="2023-06-29T11:01:49.98" personId="{F86A1EAB-A8A5-4F67-8F3C-8D92D0856AD4}" id="{E246F47A-D82D-4BA0-98E5-2E4D5403FD68}">
    <text>Manueva 29/06/2023 : Pour les spé, évitez les demi-mêlée, privilégiez mêlée complète, sauf pour petite référence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CDA07-F543-4633-93AC-7E2C187EEDB3}">
  <sheetPr codeName="Sheet1">
    <pageSetUpPr fitToPage="1"/>
  </sheetPr>
  <dimension ref="A1:S107"/>
  <sheetViews>
    <sheetView tabSelected="1" zoomScale="85" zoomScaleNormal="85" workbookViewId="0">
      <selection activeCell="K68" sqref="K68"/>
    </sheetView>
  </sheetViews>
  <sheetFormatPr defaultColWidth="11.44140625" defaultRowHeight="26.4" x14ac:dyDescent="0.8"/>
  <cols>
    <col min="1" max="1" width="58" style="133" bestFit="1" customWidth="1"/>
    <col min="2" max="2" width="7.33203125" style="133" bestFit="1" customWidth="1"/>
    <col min="3" max="3" width="13.109375" style="133" customWidth="1"/>
    <col min="4" max="4" width="15.88671875" style="133" customWidth="1"/>
    <col min="5" max="5" width="15.5546875" style="195" customWidth="1"/>
    <col min="6" max="6" width="11.44140625" style="868"/>
    <col min="7" max="7" width="11.44140625" style="860"/>
    <col min="8" max="8" width="0" style="860" hidden="1" customWidth="1"/>
    <col min="9" max="9" width="11.44140625" style="860"/>
    <col min="10" max="10" width="11.44140625" style="133" customWidth="1"/>
    <col min="11" max="16" width="11.44140625" style="133"/>
    <col min="17" max="17" width="11.44140625" style="133" customWidth="1"/>
    <col min="18" max="16384" width="11.44140625" style="133"/>
  </cols>
  <sheetData>
    <row r="1" spans="1:13" s="134" customFormat="1" ht="33.6" thickBot="1" x14ac:dyDescent="1.05">
      <c r="A1" s="894" t="s">
        <v>574</v>
      </c>
      <c r="B1" s="895"/>
      <c r="C1" s="895"/>
      <c r="D1" s="895"/>
      <c r="E1" s="896"/>
      <c r="F1" s="857"/>
      <c r="G1" s="858"/>
      <c r="H1" s="858"/>
      <c r="I1" s="858"/>
    </row>
    <row r="2" spans="1:13" ht="37.5" customHeight="1" thickBot="1" x14ac:dyDescent="0.85">
      <c r="F2" s="859" t="s">
        <v>299</v>
      </c>
      <c r="G2" s="859" t="s">
        <v>300</v>
      </c>
      <c r="I2" s="859" t="s">
        <v>301</v>
      </c>
    </row>
    <row r="3" spans="1:13" ht="45.75" customHeight="1" thickBot="1" x14ac:dyDescent="0.85">
      <c r="A3" s="232" t="s">
        <v>245</v>
      </c>
      <c r="B3" s="233"/>
      <c r="C3" s="929" t="s">
        <v>317</v>
      </c>
      <c r="D3" s="930"/>
      <c r="E3" s="261">
        <v>0</v>
      </c>
      <c r="F3" s="868">
        <v>0</v>
      </c>
    </row>
    <row r="4" spans="1:13" ht="10.5" customHeight="1" thickBot="1" x14ac:dyDescent="0.85"/>
    <row r="5" spans="1:13" ht="27.6" thickTop="1" thickBot="1" x14ac:dyDescent="0.85">
      <c r="A5" s="904" t="s">
        <v>139</v>
      </c>
      <c r="B5" s="905"/>
      <c r="C5" s="905"/>
      <c r="D5" s="906"/>
      <c r="E5" s="194">
        <f>SUM(E7:E12)</f>
        <v>0</v>
      </c>
      <c r="F5" s="869" t="s">
        <v>146</v>
      </c>
      <c r="L5" s="133" t="s">
        <v>243</v>
      </c>
      <c r="M5" s="133">
        <f>E5+E14+E24+E30+E42+E64</f>
        <v>40.6</v>
      </c>
    </row>
    <row r="6" spans="1:13" ht="45" customHeight="1" thickTop="1" thickBot="1" x14ac:dyDescent="0.85">
      <c r="A6" s="907" t="s">
        <v>318</v>
      </c>
      <c r="B6" s="908"/>
      <c r="C6" s="908"/>
      <c r="D6" s="908"/>
      <c r="E6" s="908"/>
      <c r="F6" s="859" t="s">
        <v>299</v>
      </c>
      <c r="G6" s="859" t="s">
        <v>300</v>
      </c>
      <c r="I6" s="859" t="s">
        <v>301</v>
      </c>
    </row>
    <row r="7" spans="1:13" ht="25.5" customHeight="1" thickBot="1" x14ac:dyDescent="0.85">
      <c r="A7" s="873" t="s">
        <v>140</v>
      </c>
      <c r="B7" s="873"/>
      <c r="C7" s="873"/>
      <c r="D7" s="873"/>
      <c r="E7" s="196">
        <v>0</v>
      </c>
      <c r="F7" s="868">
        <v>0</v>
      </c>
      <c r="G7" s="861" cm="1">
        <f t="array" ref="G7:H7">[1]HALAL!$AC$25:$AD$25</f>
        <v>3.6734693877551021</v>
      </c>
      <c r="H7" s="860">
        <v>0</v>
      </c>
      <c r="L7" s="5"/>
      <c r="M7" s="5"/>
    </row>
    <row r="8" spans="1:13" ht="25.5" customHeight="1" thickBot="1" x14ac:dyDescent="0.85">
      <c r="A8" s="909" t="s">
        <v>141</v>
      </c>
      <c r="B8" s="909"/>
      <c r="C8" s="909"/>
      <c r="D8" s="909"/>
      <c r="E8" s="197">
        <v>0</v>
      </c>
      <c r="F8" s="868">
        <v>0</v>
      </c>
      <c r="G8" s="861" cm="1">
        <f t="array" ref="G8:H8">[1]HALAL!$AC$48:$AD$48</f>
        <v>2.4888888888888889</v>
      </c>
      <c r="H8" s="860">
        <v>0</v>
      </c>
      <c r="L8" s="5"/>
      <c r="M8" s="5"/>
    </row>
    <row r="9" spans="1:13" ht="25.5" customHeight="1" thickBot="1" x14ac:dyDescent="0.85">
      <c r="A9" s="873" t="s">
        <v>142</v>
      </c>
      <c r="B9" s="873"/>
      <c r="C9" s="873"/>
      <c r="D9" s="873"/>
      <c r="E9" s="196">
        <v>0</v>
      </c>
      <c r="F9" s="868">
        <v>0</v>
      </c>
      <c r="G9" s="861" cm="1">
        <f t="array" ref="G9:H9">[1]HALAL!$AC$128:$AD$128</f>
        <v>0</v>
      </c>
      <c r="H9" s="860">
        <v>0</v>
      </c>
      <c r="L9" s="5"/>
      <c r="M9" s="5"/>
    </row>
    <row r="10" spans="1:13" ht="25.5" customHeight="1" thickBot="1" x14ac:dyDescent="0.85">
      <c r="A10" s="909" t="s">
        <v>143</v>
      </c>
      <c r="B10" s="909"/>
      <c r="C10" s="909"/>
      <c r="D10" s="909"/>
      <c r="E10" s="197">
        <v>0</v>
      </c>
      <c r="F10" s="868">
        <v>0</v>
      </c>
      <c r="G10" s="861" cm="1">
        <f t="array" ref="G10:H10">[1]HALAL!$AC$135:$AD$135</f>
        <v>0</v>
      </c>
      <c r="H10" s="860">
        <v>0</v>
      </c>
      <c r="L10" s="5"/>
      <c r="M10" s="5"/>
    </row>
    <row r="11" spans="1:13" ht="25.5" customHeight="1" thickBot="1" x14ac:dyDescent="0.85">
      <c r="A11" s="873" t="s">
        <v>144</v>
      </c>
      <c r="B11" s="873"/>
      <c r="C11" s="873"/>
      <c r="D11" s="873"/>
      <c r="E11" s="196">
        <v>0</v>
      </c>
      <c r="F11" s="868">
        <v>0</v>
      </c>
      <c r="G11" s="861" cm="1">
        <f t="array" ref="G11:H11">[1]HALAL!$AC$82:$AD$82</f>
        <v>1.0236410256410255</v>
      </c>
      <c r="H11" s="860">
        <v>0</v>
      </c>
      <c r="L11" s="5"/>
      <c r="M11" s="5"/>
    </row>
    <row r="12" spans="1:13" ht="25.5" customHeight="1" thickBot="1" x14ac:dyDescent="0.85">
      <c r="A12" s="909" t="s">
        <v>145</v>
      </c>
      <c r="B12" s="909"/>
      <c r="C12" s="909"/>
      <c r="D12" s="909"/>
      <c r="E12" s="196">
        <v>0</v>
      </c>
      <c r="F12" s="868">
        <v>0</v>
      </c>
      <c r="G12" s="861" cm="1">
        <f t="array" ref="G12:H12">[1]HALAL!$AC$115:$AD$115</f>
        <v>1.2308205128205127</v>
      </c>
      <c r="H12" s="860">
        <v>0</v>
      </c>
      <c r="L12" s="5"/>
      <c r="M12" s="5"/>
    </row>
    <row r="13" spans="1:13" ht="9" customHeight="1" thickBot="1" x14ac:dyDescent="0.85">
      <c r="A13" s="881"/>
      <c r="B13" s="881"/>
      <c r="C13" s="881"/>
      <c r="D13" s="881"/>
    </row>
    <row r="14" spans="1:13" ht="27.6" thickTop="1" thickBot="1" x14ac:dyDescent="0.85">
      <c r="A14" s="898" t="s">
        <v>31</v>
      </c>
      <c r="B14" s="899"/>
      <c r="C14" s="899"/>
      <c r="D14" s="900"/>
      <c r="E14" s="191">
        <f>SUM(E16:E22)</f>
        <v>2</v>
      </c>
      <c r="F14" s="869" t="s">
        <v>146</v>
      </c>
    </row>
    <row r="15" spans="1:13" ht="34.799999999999997" thickTop="1" thickBot="1" x14ac:dyDescent="0.85">
      <c r="A15" s="902" t="s">
        <v>571</v>
      </c>
      <c r="B15" s="902"/>
      <c r="C15" s="902"/>
      <c r="D15" s="902"/>
      <c r="E15" s="902"/>
      <c r="F15" s="859" t="s">
        <v>299</v>
      </c>
      <c r="G15" s="859" t="s">
        <v>300</v>
      </c>
      <c r="I15" s="859" t="s">
        <v>301</v>
      </c>
    </row>
    <row r="16" spans="1:13" ht="27" thickBot="1" x14ac:dyDescent="0.85">
      <c r="A16" s="881" t="s">
        <v>157</v>
      </c>
      <c r="B16" s="881"/>
      <c r="C16" s="881"/>
      <c r="D16" s="881"/>
      <c r="E16" s="196">
        <v>2</v>
      </c>
      <c r="F16" s="868">
        <v>0</v>
      </c>
      <c r="G16" s="862" cm="1">
        <f t="array" ref="G16:H16">'[1]H.G + S.A.G'!$AC$118:$AD$118</f>
        <v>0.68574468085106388</v>
      </c>
      <c r="H16" s="860">
        <v>0</v>
      </c>
    </row>
    <row r="17" spans="1:9" ht="19.5" hidden="1" customHeight="1" x14ac:dyDescent="0.8">
      <c r="A17" s="897" t="s">
        <v>356</v>
      </c>
      <c r="B17" s="897"/>
      <c r="C17" s="897"/>
      <c r="D17" s="897"/>
      <c r="E17" s="198"/>
    </row>
    <row r="18" spans="1:9" ht="19.5" hidden="1" customHeight="1" x14ac:dyDescent="0.8">
      <c r="A18" s="897" t="s">
        <v>158</v>
      </c>
      <c r="B18" s="897"/>
      <c r="C18" s="897"/>
      <c r="D18" s="897"/>
      <c r="E18" s="199"/>
    </row>
    <row r="19" spans="1:9" ht="19.5" hidden="1" customHeight="1" x14ac:dyDescent="0.8">
      <c r="A19" s="897" t="s">
        <v>357</v>
      </c>
      <c r="B19" s="897"/>
      <c r="C19" s="897"/>
      <c r="D19" s="897"/>
      <c r="E19" s="199"/>
    </row>
    <row r="20" spans="1:9" ht="19.5" hidden="1" customHeight="1" x14ac:dyDescent="0.8">
      <c r="A20" s="897" t="s">
        <v>358</v>
      </c>
      <c r="B20" s="897"/>
      <c r="C20" s="897"/>
      <c r="D20" s="897"/>
      <c r="E20" s="199"/>
    </row>
    <row r="21" spans="1:9" ht="19.5" hidden="1" customHeight="1" x14ac:dyDescent="0.8">
      <c r="A21" s="897" t="s">
        <v>159</v>
      </c>
      <c r="B21" s="897"/>
      <c r="C21" s="897"/>
      <c r="D21" s="897"/>
      <c r="E21" s="199"/>
    </row>
    <row r="22" spans="1:9" ht="19.5" hidden="1" customHeight="1" x14ac:dyDescent="0.8">
      <c r="A22" s="897" t="s">
        <v>162</v>
      </c>
      <c r="B22" s="897"/>
      <c r="C22" s="897"/>
      <c r="D22" s="897"/>
      <c r="E22" s="199"/>
    </row>
    <row r="23" spans="1:9" ht="24" hidden="1" customHeight="1" thickBot="1" x14ac:dyDescent="0.85"/>
    <row r="24" spans="1:9" ht="27.6" thickTop="1" thickBot="1" x14ac:dyDescent="0.85">
      <c r="A24" s="882" t="s">
        <v>149</v>
      </c>
      <c r="B24" s="883"/>
      <c r="C24" s="883"/>
      <c r="D24" s="884"/>
      <c r="E24" s="193">
        <f>E26+E27+E28+E29</f>
        <v>1.8</v>
      </c>
      <c r="F24" s="869" t="s">
        <v>146</v>
      </c>
    </row>
    <row r="25" spans="1:9" ht="34.799999999999997" thickTop="1" thickBot="1" x14ac:dyDescent="0.85">
      <c r="A25" s="903" t="s">
        <v>150</v>
      </c>
      <c r="B25" s="903"/>
      <c r="C25" s="903"/>
      <c r="D25" s="903"/>
      <c r="E25" s="903"/>
      <c r="F25" s="859" t="s">
        <v>299</v>
      </c>
      <c r="G25" s="859" t="s">
        <v>300</v>
      </c>
      <c r="I25" s="859" t="s">
        <v>301</v>
      </c>
    </row>
    <row r="26" spans="1:9" ht="27" thickBot="1" x14ac:dyDescent="0.85">
      <c r="A26" s="259" t="s">
        <v>151</v>
      </c>
      <c r="B26" s="260"/>
      <c r="C26" s="260"/>
      <c r="D26" s="260"/>
      <c r="E26" s="196">
        <v>1</v>
      </c>
      <c r="F26" s="868">
        <v>1.5</v>
      </c>
    </row>
    <row r="27" spans="1:9" ht="27" thickBot="1" x14ac:dyDescent="0.85">
      <c r="A27" s="132" t="s">
        <v>152</v>
      </c>
      <c r="B27" s="260"/>
      <c r="C27" s="260"/>
      <c r="D27" s="260"/>
      <c r="E27" s="200">
        <v>0.5</v>
      </c>
      <c r="F27" s="868">
        <v>0.5</v>
      </c>
    </row>
    <row r="28" spans="1:9" ht="27" hidden="1" thickBot="1" x14ac:dyDescent="0.85">
      <c r="A28" s="259" t="s">
        <v>310</v>
      </c>
      <c r="B28" s="275" t="s">
        <v>156</v>
      </c>
      <c r="C28" s="275"/>
      <c r="D28" s="276"/>
      <c r="E28" s="196"/>
    </row>
    <row r="29" spans="1:9" ht="27" thickBot="1" x14ac:dyDescent="0.85">
      <c r="A29" s="885" t="s">
        <v>24</v>
      </c>
      <c r="B29" s="885"/>
      <c r="C29" s="885"/>
      <c r="D29" s="885"/>
      <c r="E29" s="196">
        <v>0.3</v>
      </c>
      <c r="F29" s="868">
        <v>0.5</v>
      </c>
    </row>
    <row r="30" spans="1:9" ht="27.6" thickTop="1" thickBot="1" x14ac:dyDescent="0.85">
      <c r="A30" s="891" t="s">
        <v>188</v>
      </c>
      <c r="B30" s="892"/>
      <c r="C30" s="892"/>
      <c r="D30" s="893"/>
      <c r="E30" s="191">
        <f>SUM(E32:E40)</f>
        <v>4</v>
      </c>
      <c r="F30" s="869" t="s">
        <v>146</v>
      </c>
    </row>
    <row r="31" spans="1:9" ht="34.799999999999997" thickTop="1" thickBot="1" x14ac:dyDescent="0.85">
      <c r="A31" s="890" t="s">
        <v>153</v>
      </c>
      <c r="B31" s="890"/>
      <c r="C31" s="890"/>
      <c r="D31" s="890"/>
      <c r="E31" s="890"/>
      <c r="F31" s="859" t="s">
        <v>299</v>
      </c>
      <c r="G31" s="859" t="s">
        <v>300</v>
      </c>
      <c r="I31" s="859" t="s">
        <v>301</v>
      </c>
    </row>
    <row r="32" spans="1:9" ht="24.6" customHeight="1" thickBot="1" x14ac:dyDescent="0.85">
      <c r="A32" s="873" t="s">
        <v>192</v>
      </c>
      <c r="B32" s="873"/>
      <c r="C32" s="873"/>
      <c r="D32" s="873"/>
      <c r="E32" s="197">
        <v>0</v>
      </c>
      <c r="F32" s="868">
        <v>1</v>
      </c>
      <c r="G32" s="862" cm="1">
        <f t="array" ref="G32:H32">'[1]H.G + S.A.G'!$AC$82:$AD$82</f>
        <v>0.32</v>
      </c>
      <c r="H32" s="860">
        <v>0</v>
      </c>
      <c r="I32" s="860">
        <v>1</v>
      </c>
    </row>
    <row r="33" spans="1:9" ht="24.6" customHeight="1" thickBot="1" x14ac:dyDescent="0.85">
      <c r="A33" s="873" t="s">
        <v>397</v>
      </c>
      <c r="B33" s="873"/>
      <c r="C33" s="873"/>
      <c r="D33" s="135" t="s">
        <v>156</v>
      </c>
      <c r="E33" s="196">
        <v>0.5</v>
      </c>
      <c r="F33" s="868">
        <v>0</v>
      </c>
      <c r="G33" s="862" cm="1">
        <f t="array" ref="G33:H33">'[1]H.G + S.A.G'!$AC$8:$AD$8</f>
        <v>5.9782608695652176E-2</v>
      </c>
      <c r="H33" s="860">
        <v>0</v>
      </c>
    </row>
    <row r="34" spans="1:9" ht="24.6" customHeight="1" thickBot="1" x14ac:dyDescent="0.85">
      <c r="A34" s="878" t="s">
        <v>563</v>
      </c>
      <c r="B34" s="878"/>
      <c r="C34" s="878"/>
      <c r="D34" s="269" t="s">
        <v>156</v>
      </c>
      <c r="E34" s="270">
        <v>3</v>
      </c>
      <c r="F34" s="868">
        <v>3</v>
      </c>
      <c r="G34" s="862" cm="1">
        <f t="array" ref="G34:H34">'[1]H.G + S.A.G'!$AC$35:$AD$35</f>
        <v>2.1210869565217392</v>
      </c>
      <c r="H34" s="860">
        <v>0</v>
      </c>
    </row>
    <row r="35" spans="1:9" ht="24.6" customHeight="1" thickBot="1" x14ac:dyDescent="0.85">
      <c r="A35" s="873" t="s">
        <v>562</v>
      </c>
      <c r="B35" s="873"/>
      <c r="C35" s="873"/>
      <c r="D35" s="135" t="s">
        <v>156</v>
      </c>
      <c r="E35" s="196">
        <v>0</v>
      </c>
      <c r="F35" s="868">
        <v>0</v>
      </c>
      <c r="G35" s="862" cm="1">
        <f t="array" ref="G35:H35">'[1]H.G + S.A.G'!$AC$60:$AD$60</f>
        <v>0.25240384615384615</v>
      </c>
      <c r="H35" s="860">
        <v>0</v>
      </c>
    </row>
    <row r="36" spans="1:9" ht="24.6" hidden="1" customHeight="1" thickBot="1" x14ac:dyDescent="0.85">
      <c r="A36" s="873" t="s">
        <v>154</v>
      </c>
      <c r="B36" s="873"/>
      <c r="C36" s="873"/>
      <c r="D36" s="135" t="s">
        <v>156</v>
      </c>
      <c r="E36" s="201"/>
      <c r="G36" s="862"/>
    </row>
    <row r="37" spans="1:9" ht="24.6" customHeight="1" thickBot="1" x14ac:dyDescent="0.85">
      <c r="A37" s="873" t="s">
        <v>155</v>
      </c>
      <c r="B37" s="873"/>
      <c r="C37" s="873"/>
      <c r="D37" s="135" t="s">
        <v>156</v>
      </c>
      <c r="E37" s="196">
        <v>0.5</v>
      </c>
      <c r="F37" s="868">
        <v>0</v>
      </c>
      <c r="G37" s="862" cm="1">
        <f t="array" ref="G37:H37">'[1]H.G + S.A.G'!$AC$16:$AD$16</f>
        <v>0.17455555555555557</v>
      </c>
      <c r="H37" s="860">
        <v>0</v>
      </c>
    </row>
    <row r="38" spans="1:9" ht="24.6" customHeight="1" thickBot="1" x14ac:dyDescent="0.85">
      <c r="A38" s="873" t="s">
        <v>564</v>
      </c>
      <c r="B38" s="873"/>
      <c r="C38" s="873"/>
      <c r="D38" s="135" t="s">
        <v>156</v>
      </c>
      <c r="E38" s="196">
        <v>0</v>
      </c>
      <c r="F38" s="868">
        <v>0</v>
      </c>
      <c r="G38" s="862" cm="1">
        <f t="array" ref="G38:H38">'[1]H.G + S.A.G'!$AC$88:$AD$88</f>
        <v>0.58355555555555561</v>
      </c>
      <c r="H38" s="860">
        <v>0</v>
      </c>
    </row>
    <row r="39" spans="1:9" ht="24.6" hidden="1" customHeight="1" thickBot="1" x14ac:dyDescent="0.85">
      <c r="A39" s="873" t="s">
        <v>160</v>
      </c>
      <c r="B39" s="873"/>
      <c r="C39" s="873"/>
      <c r="D39" s="873"/>
      <c r="E39" s="196"/>
    </row>
    <row r="40" spans="1:9" ht="24.6" hidden="1" customHeight="1" thickBot="1" x14ac:dyDescent="0.85">
      <c r="A40" s="873" t="s">
        <v>161</v>
      </c>
      <c r="B40" s="873"/>
      <c r="C40" s="873"/>
      <c r="D40" s="873"/>
      <c r="E40" s="202"/>
    </row>
    <row r="41" spans="1:9" ht="9.75" customHeight="1" thickBot="1" x14ac:dyDescent="0.85">
      <c r="A41" s="132"/>
      <c r="B41" s="132"/>
      <c r="C41" s="132"/>
      <c r="D41" s="132"/>
    </row>
    <row r="42" spans="1:9" ht="27.6" thickTop="1" thickBot="1" x14ac:dyDescent="0.85">
      <c r="A42" s="911" t="s">
        <v>147</v>
      </c>
      <c r="B42" s="912"/>
      <c r="C42" s="912"/>
      <c r="D42" s="913"/>
      <c r="E42" s="192">
        <f>SUM(E44:E62)</f>
        <v>25.3</v>
      </c>
      <c r="F42" s="869" t="s">
        <v>146</v>
      </c>
      <c r="G42" s="863"/>
    </row>
    <row r="43" spans="1:9" ht="34.799999999999997" thickTop="1" thickBot="1" x14ac:dyDescent="0.85">
      <c r="A43" s="910" t="s">
        <v>150</v>
      </c>
      <c r="B43" s="910"/>
      <c r="C43" s="910"/>
      <c r="D43" s="910"/>
      <c r="E43" s="910"/>
      <c r="F43" s="859" t="s">
        <v>299</v>
      </c>
      <c r="G43" s="859" t="s">
        <v>300</v>
      </c>
      <c r="I43" s="859" t="s">
        <v>301</v>
      </c>
    </row>
    <row r="44" spans="1:9" ht="26.25" customHeight="1" thickBot="1" x14ac:dyDescent="0.85">
      <c r="A44" s="901" t="s">
        <v>528</v>
      </c>
      <c r="B44" s="901"/>
      <c r="C44" s="901"/>
      <c r="D44" s="901"/>
      <c r="E44" s="270">
        <v>3</v>
      </c>
      <c r="F44" s="868">
        <v>5</v>
      </c>
      <c r="G44" s="862" cm="1">
        <f t="array" ref="G44:H44">[1]H.M!$AC$48:$AD$48</f>
        <v>5.4545434782608693</v>
      </c>
      <c r="H44" s="860">
        <v>0</v>
      </c>
    </row>
    <row r="45" spans="1:9" ht="26.25" customHeight="1" thickBot="1" x14ac:dyDescent="0.85">
      <c r="A45" s="881" t="s">
        <v>464</v>
      </c>
      <c r="B45" s="881"/>
      <c r="C45" s="881"/>
      <c r="D45" s="881"/>
      <c r="E45" s="196">
        <v>2</v>
      </c>
      <c r="F45" s="868">
        <v>3</v>
      </c>
      <c r="G45" s="862" cm="1">
        <f t="array" ref="G45:H45">[1]H.M!$AC$72:$AD$72</f>
        <v>3.0733653846153848</v>
      </c>
      <c r="H45" s="860">
        <v>0</v>
      </c>
    </row>
    <row r="46" spans="1:9" s="136" customFormat="1" ht="18.75" hidden="1" customHeight="1" x14ac:dyDescent="0.3">
      <c r="A46" s="886" t="s">
        <v>163</v>
      </c>
      <c r="B46" s="886"/>
      <c r="C46" s="886"/>
      <c r="D46" s="886"/>
      <c r="E46" s="203"/>
      <c r="F46" s="865"/>
      <c r="G46" s="864"/>
      <c r="H46" s="865"/>
      <c r="I46" s="865"/>
    </row>
    <row r="47" spans="1:9" s="136" customFormat="1" ht="18.75" hidden="1" customHeight="1" x14ac:dyDescent="0.3">
      <c r="A47" s="886" t="s">
        <v>359</v>
      </c>
      <c r="B47" s="886"/>
      <c r="C47" s="886"/>
      <c r="D47" s="886"/>
      <c r="E47" s="204"/>
      <c r="F47" s="865"/>
      <c r="G47" s="864"/>
      <c r="H47" s="865"/>
      <c r="I47" s="865"/>
    </row>
    <row r="48" spans="1:9" s="136" customFormat="1" ht="18.75" hidden="1" customHeight="1" x14ac:dyDescent="0.3">
      <c r="A48" s="886" t="s">
        <v>164</v>
      </c>
      <c r="B48" s="886"/>
      <c r="C48" s="886"/>
      <c r="D48" s="886"/>
      <c r="E48" s="204"/>
      <c r="F48" s="865"/>
      <c r="G48" s="864"/>
      <c r="H48" s="865"/>
      <c r="I48" s="865"/>
    </row>
    <row r="49" spans="1:9" s="136" customFormat="1" ht="18.75" hidden="1" customHeight="1" x14ac:dyDescent="0.3">
      <c r="A49" s="886" t="s">
        <v>360</v>
      </c>
      <c r="B49" s="886"/>
      <c r="C49" s="886"/>
      <c r="D49" s="886"/>
      <c r="E49" s="204"/>
      <c r="F49" s="865"/>
      <c r="G49" s="864"/>
      <c r="H49" s="865"/>
      <c r="I49" s="865"/>
    </row>
    <row r="50" spans="1:9" s="136" customFormat="1" ht="18.75" hidden="1" customHeight="1" x14ac:dyDescent="0.3">
      <c r="A50" s="886" t="s">
        <v>361</v>
      </c>
      <c r="B50" s="886"/>
      <c r="C50" s="886"/>
      <c r="D50" s="886"/>
      <c r="E50" s="204"/>
      <c r="F50" s="865"/>
      <c r="G50" s="864"/>
      <c r="H50" s="865"/>
      <c r="I50" s="865"/>
    </row>
    <row r="51" spans="1:9" s="136" customFormat="1" ht="18.75" hidden="1" customHeight="1" x14ac:dyDescent="0.3">
      <c r="A51" s="886" t="s">
        <v>362</v>
      </c>
      <c r="B51" s="886"/>
      <c r="C51" s="886"/>
      <c r="D51" s="886"/>
      <c r="E51" s="204"/>
      <c r="F51" s="865"/>
      <c r="G51" s="864"/>
      <c r="H51" s="865"/>
      <c r="I51" s="865"/>
    </row>
    <row r="52" spans="1:9" s="136" customFormat="1" ht="18.75" hidden="1" customHeight="1" x14ac:dyDescent="0.3">
      <c r="A52" s="886" t="s">
        <v>165</v>
      </c>
      <c r="B52" s="886"/>
      <c r="C52" s="886"/>
      <c r="D52" s="886"/>
      <c r="E52" s="204"/>
      <c r="F52" s="865"/>
      <c r="G52" s="864"/>
      <c r="H52" s="865"/>
      <c r="I52" s="865"/>
    </row>
    <row r="53" spans="1:9" s="136" customFormat="1" ht="18.75" hidden="1" customHeight="1" x14ac:dyDescent="0.3">
      <c r="A53" s="886" t="s">
        <v>166</v>
      </c>
      <c r="B53" s="886"/>
      <c r="C53" s="886"/>
      <c r="D53" s="886"/>
      <c r="E53" s="204"/>
      <c r="F53" s="865"/>
      <c r="G53" s="864"/>
      <c r="H53" s="865"/>
      <c r="I53" s="865"/>
    </row>
    <row r="54" spans="1:9" s="136" customFormat="1" ht="18.75" hidden="1" customHeight="1" x14ac:dyDescent="0.3">
      <c r="A54" s="886" t="s">
        <v>363</v>
      </c>
      <c r="B54" s="886"/>
      <c r="C54" s="886"/>
      <c r="D54" s="886"/>
      <c r="E54" s="204"/>
      <c r="F54" s="865"/>
      <c r="G54" s="864"/>
      <c r="H54" s="865"/>
      <c r="I54" s="865"/>
    </row>
    <row r="55" spans="1:9" s="136" customFormat="1" ht="18.75" hidden="1" customHeight="1" thickBot="1" x14ac:dyDescent="0.35">
      <c r="A55" s="886" t="s">
        <v>187</v>
      </c>
      <c r="B55" s="886"/>
      <c r="C55" s="886"/>
      <c r="D55" s="886"/>
      <c r="E55" s="205"/>
      <c r="F55" s="865"/>
      <c r="G55" s="864"/>
      <c r="H55" s="865"/>
      <c r="I55" s="865"/>
    </row>
    <row r="56" spans="1:9" ht="27" thickBot="1" x14ac:dyDescent="0.85">
      <c r="A56" s="881" t="s">
        <v>398</v>
      </c>
      <c r="B56" s="881"/>
      <c r="C56" s="881"/>
      <c r="D56" s="881"/>
      <c r="E56" s="196">
        <v>0</v>
      </c>
      <c r="F56" s="868">
        <v>0</v>
      </c>
      <c r="G56" s="862" cm="1">
        <f t="array" ref="G56:H56">[1]H.M!$AC$29:$AD$29</f>
        <v>0.44255319148936173</v>
      </c>
      <c r="H56" s="860">
        <v>0</v>
      </c>
      <c r="I56" s="860">
        <v>2</v>
      </c>
    </row>
    <row r="57" spans="1:9" ht="27" thickBot="1" x14ac:dyDescent="0.85">
      <c r="A57" s="881" t="s">
        <v>399</v>
      </c>
      <c r="B57" s="881"/>
      <c r="C57" s="881"/>
      <c r="D57" s="881"/>
      <c r="E57" s="196">
        <v>0</v>
      </c>
      <c r="F57" s="868">
        <v>0</v>
      </c>
      <c r="G57" s="862" cm="1">
        <f t="array" ref="G57:H57">[1]H.M!$AC$5:$AD$5</f>
        <v>8.152173913043478E-3</v>
      </c>
      <c r="H57" s="860">
        <v>0</v>
      </c>
      <c r="I57" s="860">
        <v>1</v>
      </c>
    </row>
    <row r="58" spans="1:9" ht="27" thickBot="1" x14ac:dyDescent="0.85">
      <c r="A58" s="881" t="s">
        <v>400</v>
      </c>
      <c r="B58" s="881"/>
      <c r="C58" s="881"/>
      <c r="D58" s="881"/>
      <c r="E58" s="196">
        <v>0</v>
      </c>
      <c r="F58" s="868">
        <v>0</v>
      </c>
      <c r="G58" s="862" cm="1">
        <f t="array" ref="G58:H58">[1]H.M!$AC$13:$AD$13</f>
        <v>7.0833333333333331E-2</v>
      </c>
      <c r="H58" s="860">
        <v>0</v>
      </c>
    </row>
    <row r="59" spans="1:9" ht="27" thickBot="1" x14ac:dyDescent="0.85">
      <c r="A59" s="881" t="s">
        <v>576</v>
      </c>
      <c r="B59" s="881"/>
      <c r="C59" s="881"/>
      <c r="D59" s="881"/>
      <c r="E59" s="196">
        <v>0.3</v>
      </c>
      <c r="F59" s="868">
        <v>0</v>
      </c>
      <c r="G59" s="862" cm="1">
        <f t="array" ref="G59:H59">[1]H.M!$AC$21:$AD$21</f>
        <v>9.0129870129870129E-2</v>
      </c>
      <c r="H59" s="860">
        <v>0</v>
      </c>
    </row>
    <row r="60" spans="1:9" ht="27" hidden="1" thickBot="1" x14ac:dyDescent="0.85">
      <c r="A60" s="881" t="s">
        <v>148</v>
      </c>
      <c r="B60" s="881"/>
      <c r="C60" s="881"/>
      <c r="D60" s="881"/>
      <c r="G60" s="862"/>
    </row>
    <row r="61" spans="1:9" ht="27" thickBot="1" x14ac:dyDescent="0.85">
      <c r="A61" s="878" t="s">
        <v>189</v>
      </c>
      <c r="B61" s="878"/>
      <c r="C61" s="878"/>
      <c r="D61" s="878"/>
      <c r="E61" s="270">
        <v>20</v>
      </c>
      <c r="F61" s="868">
        <v>30</v>
      </c>
      <c r="G61" s="862" cm="1">
        <f t="array" ref="G61:H61">'[1]BN 200'!$AC$66:$AD$66</f>
        <v>25.769978260869561</v>
      </c>
      <c r="H61" s="860">
        <v>0</v>
      </c>
    </row>
    <row r="62" spans="1:9" ht="27" thickBot="1" x14ac:dyDescent="0.85">
      <c r="A62" s="885" t="s">
        <v>190</v>
      </c>
      <c r="B62" s="885"/>
      <c r="C62" s="885"/>
      <c r="D62" s="885"/>
      <c r="E62" s="218"/>
    </row>
    <row r="63" spans="1:9" ht="12" customHeight="1" thickBot="1" x14ac:dyDescent="0.85">
      <c r="A63" s="137"/>
      <c r="B63" s="137"/>
      <c r="C63" s="137"/>
      <c r="D63" s="137"/>
    </row>
    <row r="64" spans="1:9" ht="27.6" thickTop="1" thickBot="1" x14ac:dyDescent="0.85">
      <c r="A64" s="887" t="s">
        <v>167</v>
      </c>
      <c r="B64" s="888"/>
      <c r="C64" s="888"/>
      <c r="D64" s="889"/>
      <c r="E64" s="191">
        <f>SUM(E66:E90)</f>
        <v>7.5</v>
      </c>
      <c r="F64" s="869" t="s">
        <v>146</v>
      </c>
    </row>
    <row r="65" spans="1:19" ht="39.75" customHeight="1" thickTop="1" thickBot="1" x14ac:dyDescent="0.85">
      <c r="A65" s="880" t="s">
        <v>315</v>
      </c>
      <c r="B65" s="880"/>
      <c r="C65" s="880"/>
      <c r="D65" s="880"/>
      <c r="E65" s="880"/>
      <c r="F65" s="859" t="s">
        <v>299</v>
      </c>
      <c r="G65" s="859" t="s">
        <v>300</v>
      </c>
      <c r="I65" s="859" t="s">
        <v>301</v>
      </c>
    </row>
    <row r="66" spans="1:19" ht="22.2" customHeight="1" thickBot="1" x14ac:dyDescent="0.85">
      <c r="A66" s="878" t="s">
        <v>572</v>
      </c>
      <c r="B66" s="878"/>
      <c r="C66" s="876" t="s">
        <v>267</v>
      </c>
      <c r="D66" s="877"/>
      <c r="E66" s="271">
        <v>2</v>
      </c>
      <c r="F66" s="868">
        <v>2</v>
      </c>
      <c r="G66" s="862" cm="1">
        <f t="array" ref="G66:H66">[1]SPECIALITES!$AC$15:$AD$15</f>
        <v>1.1896907216494845</v>
      </c>
      <c r="H66" s="860">
        <v>0</v>
      </c>
      <c r="K66" s="928" t="s">
        <v>573</v>
      </c>
      <c r="L66" s="928"/>
      <c r="M66" s="928"/>
      <c r="N66" s="928"/>
      <c r="O66" s="928"/>
      <c r="P66" s="928"/>
      <c r="Q66" s="928"/>
      <c r="R66" s="928"/>
      <c r="S66" s="928"/>
    </row>
    <row r="67" spans="1:19" ht="22.2" customHeight="1" thickBot="1" x14ac:dyDescent="0.85">
      <c r="A67" s="873" t="s">
        <v>168</v>
      </c>
      <c r="B67" s="873"/>
      <c r="C67" s="876" t="s">
        <v>268</v>
      </c>
      <c r="D67" s="877"/>
      <c r="E67" s="196">
        <v>0</v>
      </c>
      <c r="F67" s="868">
        <v>0</v>
      </c>
      <c r="G67" s="862" cm="1">
        <f t="array" ref="G67:H67">[1]SPECIALITES!$AC$38:$AD$38</f>
        <v>1.0577319587628866</v>
      </c>
      <c r="H67" s="860">
        <v>0</v>
      </c>
      <c r="I67" s="860">
        <v>1</v>
      </c>
    </row>
    <row r="68" spans="1:19" ht="22.2" customHeight="1" thickBot="1" x14ac:dyDescent="0.85">
      <c r="A68" s="873" t="s">
        <v>169</v>
      </c>
      <c r="B68" s="873"/>
      <c r="C68" s="876" t="s">
        <v>269</v>
      </c>
      <c r="D68" s="877"/>
      <c r="E68" s="196">
        <v>1</v>
      </c>
      <c r="F68" s="868">
        <v>0</v>
      </c>
      <c r="G68" s="862" cm="1">
        <f t="array" ref="G68:H68">[1]SPECIALITES!$AC$28:$AD$28</f>
        <v>0.6123711340206186</v>
      </c>
      <c r="H68" s="860">
        <v>0</v>
      </c>
    </row>
    <row r="69" spans="1:19" ht="39" customHeight="1" thickBot="1" x14ac:dyDescent="0.85">
      <c r="A69" s="879" t="s">
        <v>170</v>
      </c>
      <c r="B69" s="879"/>
      <c r="C69" s="874" t="s">
        <v>270</v>
      </c>
      <c r="D69" s="875"/>
      <c r="E69" s="202">
        <v>0</v>
      </c>
      <c r="F69" s="868">
        <v>0.5</v>
      </c>
      <c r="G69" s="862" cm="1">
        <f t="array" ref="G69:H69">[1]SPECIALITES!$AC$53:$AD$53</f>
        <v>0.36565656565656568</v>
      </c>
      <c r="H69" s="860">
        <v>0</v>
      </c>
    </row>
    <row r="70" spans="1:19" ht="22.2" customHeight="1" thickBot="1" x14ac:dyDescent="0.85">
      <c r="A70" s="878" t="s">
        <v>171</v>
      </c>
      <c r="B70" s="878"/>
      <c r="C70" s="876" t="s">
        <v>271</v>
      </c>
      <c r="D70" s="877"/>
      <c r="E70" s="270">
        <v>0</v>
      </c>
      <c r="F70" s="868">
        <v>2</v>
      </c>
      <c r="G70" s="862" cm="1">
        <f t="array" ref="G70:H70">[1]SPECIALITES!$AC$66:$AD$66</f>
        <v>1.6509803921568624</v>
      </c>
      <c r="H70" s="860">
        <v>0</v>
      </c>
    </row>
    <row r="71" spans="1:19" ht="22.2" customHeight="1" thickBot="1" x14ac:dyDescent="0.85">
      <c r="A71" s="873" t="s">
        <v>172</v>
      </c>
      <c r="B71" s="873"/>
      <c r="C71" s="876" t="s">
        <v>272</v>
      </c>
      <c r="D71" s="877"/>
      <c r="E71" s="196">
        <v>0</v>
      </c>
      <c r="F71" s="868">
        <v>1</v>
      </c>
      <c r="G71" s="862" cm="1">
        <f t="array" ref="G71:H71">[1]SPECIALITES!$AC$82:$AD$82</f>
        <v>0.86</v>
      </c>
      <c r="H71" s="860">
        <v>0</v>
      </c>
    </row>
    <row r="72" spans="1:19" ht="22.2" customHeight="1" thickBot="1" x14ac:dyDescent="0.85">
      <c r="A72" s="873" t="s">
        <v>173</v>
      </c>
      <c r="B72" s="873"/>
      <c r="C72" s="876" t="s">
        <v>273</v>
      </c>
      <c r="D72" s="877"/>
      <c r="E72" s="196">
        <v>0</v>
      </c>
      <c r="F72" s="868">
        <v>0.5</v>
      </c>
      <c r="G72" s="862" cm="1">
        <f t="array" ref="G72:H72">[1]SPECIALITES!$AC$107:$AD$107</f>
        <v>0.32210526315789473</v>
      </c>
      <c r="H72" s="860">
        <v>0</v>
      </c>
    </row>
    <row r="73" spans="1:19" ht="22.2" customHeight="1" thickBot="1" x14ac:dyDescent="0.85">
      <c r="A73" s="873" t="s">
        <v>174</v>
      </c>
      <c r="B73" s="873"/>
      <c r="C73" s="876" t="s">
        <v>274</v>
      </c>
      <c r="D73" s="877"/>
      <c r="E73" s="196">
        <v>0</v>
      </c>
      <c r="F73" s="868">
        <v>0</v>
      </c>
      <c r="G73" s="862" cm="1">
        <f t="array" ref="G73:H73">[1]SPECIALITES!$AC$143:$AD$143</f>
        <v>0.45918367346938777</v>
      </c>
      <c r="H73" s="860">
        <v>0</v>
      </c>
      <c r="I73" s="860">
        <v>0.5</v>
      </c>
    </row>
    <row r="74" spans="1:19" ht="22.2" customHeight="1" thickBot="1" x14ac:dyDescent="0.85">
      <c r="A74" s="873" t="s">
        <v>191</v>
      </c>
      <c r="B74" s="873"/>
      <c r="C74" s="876" t="s">
        <v>275</v>
      </c>
      <c r="D74" s="876"/>
      <c r="E74" s="196">
        <v>0.5</v>
      </c>
      <c r="F74" s="868">
        <v>0.5</v>
      </c>
      <c r="G74" s="862" cm="1">
        <f t="array" ref="G74:H74">[1]SPECIALITES!$AC$117:$AD$117</f>
        <v>0</v>
      </c>
      <c r="H74" s="860">
        <v>0</v>
      </c>
    </row>
    <row r="75" spans="1:19" ht="48.75" customHeight="1" thickBot="1" x14ac:dyDescent="0.85">
      <c r="A75" s="879" t="s">
        <v>175</v>
      </c>
      <c r="B75" s="879"/>
      <c r="C75" s="914" t="s">
        <v>393</v>
      </c>
      <c r="D75" s="877"/>
      <c r="E75" s="196">
        <v>0</v>
      </c>
      <c r="F75" s="868">
        <v>0</v>
      </c>
      <c r="G75" s="862" cm="1">
        <f t="array" ref="G75:H75">[1]SPECIALITES!$AC$134:$AD$134</f>
        <v>0.16344086021505377</v>
      </c>
      <c r="H75" s="860">
        <v>0</v>
      </c>
    </row>
    <row r="76" spans="1:19" ht="53.25" customHeight="1" thickBot="1" x14ac:dyDescent="0.85">
      <c r="A76" s="879" t="s">
        <v>176</v>
      </c>
      <c r="B76" s="879"/>
      <c r="C76" s="914" t="s">
        <v>392</v>
      </c>
      <c r="D76" s="877"/>
      <c r="E76" s="196">
        <v>0</v>
      </c>
      <c r="F76" s="868">
        <v>0</v>
      </c>
      <c r="G76" s="862" cm="1">
        <f t="array" ref="G76:H76">[1]SPECIALITES!$AC$151:$AD$151</f>
        <v>0.15789473684210525</v>
      </c>
      <c r="H76" s="860">
        <v>0</v>
      </c>
    </row>
    <row r="77" spans="1:19" ht="39" customHeight="1" thickBot="1" x14ac:dyDescent="0.85">
      <c r="A77" s="879" t="s">
        <v>242</v>
      </c>
      <c r="B77" s="879"/>
      <c r="C77" s="919" t="s">
        <v>276</v>
      </c>
      <c r="D77" s="920"/>
      <c r="E77" s="196">
        <v>1</v>
      </c>
      <c r="F77" s="868">
        <v>0</v>
      </c>
      <c r="G77" s="862" cm="1">
        <f t="array" ref="G77:H77">[1]SPECIALITES!$AC$92:$AD$92</f>
        <v>1.3708333333333336</v>
      </c>
      <c r="H77" s="860">
        <v>0</v>
      </c>
    </row>
    <row r="78" spans="1:19" ht="89.25" customHeight="1" thickBot="1" x14ac:dyDescent="0.85">
      <c r="A78" s="879" t="s">
        <v>177</v>
      </c>
      <c r="B78" s="879"/>
      <c r="C78" s="914" t="s">
        <v>394</v>
      </c>
      <c r="D78" s="877"/>
      <c r="E78" s="196">
        <v>0.5</v>
      </c>
      <c r="F78" s="868">
        <v>0</v>
      </c>
      <c r="G78" s="862" cm="1">
        <f t="array" ref="G78:H78">[1]SPECIALITES!$AC$126:$AD$126</f>
        <v>0.42352941176470593</v>
      </c>
      <c r="H78" s="860">
        <v>0</v>
      </c>
    </row>
    <row r="79" spans="1:19" ht="22.2" customHeight="1" thickBot="1" x14ac:dyDescent="0.85">
      <c r="A79" s="873" t="s">
        <v>178</v>
      </c>
      <c r="B79" s="873"/>
      <c r="C79" s="915"/>
      <c r="D79" s="916"/>
      <c r="E79" s="196">
        <v>0.5</v>
      </c>
      <c r="F79" s="868">
        <v>0</v>
      </c>
      <c r="G79" s="862" cm="1">
        <f t="array" ref="G79:H79">[1]SPECIALITES!$AC$160:$AD$160</f>
        <v>0.26382978723404255</v>
      </c>
      <c r="H79" s="860">
        <v>0</v>
      </c>
    </row>
    <row r="80" spans="1:19" ht="22.2" customHeight="1" thickBot="1" x14ac:dyDescent="0.85">
      <c r="A80" s="873" t="s">
        <v>179</v>
      </c>
      <c r="B80" s="873"/>
      <c r="C80" s="915"/>
      <c r="D80" s="916"/>
      <c r="E80" s="196">
        <v>0</v>
      </c>
      <c r="F80" s="868">
        <v>0</v>
      </c>
      <c r="G80" s="862" cm="1">
        <f t="array" ref="G80:H80">+[1]SPECIALITES!$AC$179:$AD$179</f>
        <v>0.218</v>
      </c>
      <c r="H80" s="860">
        <v>0</v>
      </c>
    </row>
    <row r="81" spans="1:9" ht="20.25" customHeight="1" thickBot="1" x14ac:dyDescent="0.85">
      <c r="A81" s="873" t="s">
        <v>395</v>
      </c>
      <c r="B81" s="873"/>
      <c r="C81" s="915" t="s">
        <v>396</v>
      </c>
      <c r="D81" s="916"/>
      <c r="E81" s="196">
        <v>1</v>
      </c>
      <c r="F81" s="868">
        <v>0.5</v>
      </c>
      <c r="G81" s="862" cm="1">
        <f t="array" ref="G81:H81">[1]SPECIALITES!$AC$268:$AD$268</f>
        <v>0.50212765957446814</v>
      </c>
      <c r="H81" s="860">
        <v>0</v>
      </c>
    </row>
    <row r="82" spans="1:9" ht="20.25" hidden="1" customHeight="1" x14ac:dyDescent="0.8">
      <c r="A82" s="917" t="s">
        <v>180</v>
      </c>
      <c r="B82" s="917"/>
      <c r="C82" s="915"/>
      <c r="D82" s="916"/>
      <c r="E82" s="199"/>
      <c r="G82" s="862"/>
    </row>
    <row r="83" spans="1:9" ht="20.25" hidden="1" customHeight="1" x14ac:dyDescent="0.8">
      <c r="A83" s="917" t="s">
        <v>182</v>
      </c>
      <c r="B83" s="917"/>
      <c r="C83" s="918"/>
      <c r="D83" s="918"/>
      <c r="E83" s="199"/>
      <c r="G83" s="862"/>
    </row>
    <row r="84" spans="1:9" ht="20.25" hidden="1" customHeight="1" x14ac:dyDescent="0.8">
      <c r="A84" s="917" t="s">
        <v>181</v>
      </c>
      <c r="B84" s="917"/>
      <c r="C84" s="918"/>
      <c r="D84" s="918"/>
      <c r="E84" s="199"/>
      <c r="G84" s="862"/>
    </row>
    <row r="85" spans="1:9" ht="22.2" hidden="1" customHeight="1" x14ac:dyDescent="0.8">
      <c r="A85" s="873" t="s">
        <v>183</v>
      </c>
      <c r="B85" s="873"/>
      <c r="C85" s="918"/>
      <c r="D85" s="918"/>
      <c r="E85" s="199"/>
      <c r="G85" s="862"/>
    </row>
    <row r="86" spans="1:9" ht="18.75" hidden="1" customHeight="1" thickBot="1" x14ac:dyDescent="0.85">
      <c r="A86" s="921" t="s">
        <v>184</v>
      </c>
      <c r="B86" s="921"/>
      <c r="C86" s="918"/>
      <c r="D86" s="918"/>
      <c r="E86" s="206"/>
      <c r="G86" s="862"/>
    </row>
    <row r="87" spans="1:9" ht="22.2" customHeight="1" thickBot="1" x14ac:dyDescent="0.85">
      <c r="A87" s="873" t="s">
        <v>185</v>
      </c>
      <c r="B87" s="873"/>
      <c r="C87" s="918"/>
      <c r="D87" s="918"/>
      <c r="E87" s="196">
        <v>0</v>
      </c>
      <c r="F87" s="868">
        <v>1</v>
      </c>
      <c r="G87" s="862" cm="1">
        <f t="array" ref="G87:H87">[1]SPECIALITES!$AC$200:$AD$200</f>
        <v>1.2463157894736843</v>
      </c>
      <c r="H87" s="860">
        <v>0</v>
      </c>
      <c r="I87" s="860">
        <v>1</v>
      </c>
    </row>
    <row r="88" spans="1:9" ht="22.2" customHeight="1" thickBot="1" x14ac:dyDescent="0.85">
      <c r="A88" s="873" t="s">
        <v>277</v>
      </c>
      <c r="B88" s="873"/>
      <c r="C88" s="918"/>
      <c r="D88" s="918"/>
      <c r="E88" s="196">
        <v>0</v>
      </c>
      <c r="F88" s="868">
        <v>0</v>
      </c>
      <c r="G88" s="862" cm="1">
        <f t="array" ref="G88:H88">[1]SPECIALITES!$AC$235:$AD$235</f>
        <v>0.52043010752688179</v>
      </c>
      <c r="H88" s="860">
        <v>0</v>
      </c>
      <c r="I88" s="860">
        <v>1</v>
      </c>
    </row>
    <row r="89" spans="1:9" ht="22.2" customHeight="1" thickBot="1" x14ac:dyDescent="0.85">
      <c r="A89" s="873" t="s">
        <v>303</v>
      </c>
      <c r="B89" s="873"/>
      <c r="C89" s="918"/>
      <c r="D89" s="918"/>
      <c r="E89" s="196">
        <v>1</v>
      </c>
      <c r="F89" s="868">
        <v>0</v>
      </c>
      <c r="G89" s="862" cm="1">
        <f t="array" ref="G89:H89">[1]SPECIALITES!$AC$212:$AD$212</f>
        <v>0.65806451612903227</v>
      </c>
      <c r="H89" s="860">
        <v>0</v>
      </c>
    </row>
    <row r="90" spans="1:9" ht="22.2" customHeight="1" thickBot="1" x14ac:dyDescent="0.85">
      <c r="A90" s="873" t="s">
        <v>186</v>
      </c>
      <c r="B90" s="873"/>
      <c r="C90" s="918"/>
      <c r="D90" s="918"/>
      <c r="E90" s="196">
        <v>0</v>
      </c>
      <c r="F90" s="868">
        <v>0</v>
      </c>
      <c r="G90" s="866"/>
    </row>
    <row r="91" spans="1:9" ht="72.599999999999994" customHeight="1" x14ac:dyDescent="0.8">
      <c r="A91" s="873"/>
      <c r="B91" s="873"/>
      <c r="C91" s="922"/>
      <c r="D91" s="922"/>
      <c r="E91" s="198"/>
    </row>
    <row r="92" spans="1:9" ht="27.6" hidden="1" thickTop="1" thickBot="1" x14ac:dyDescent="0.85">
      <c r="A92" s="925" t="s">
        <v>193</v>
      </c>
      <c r="B92" s="926"/>
      <c r="C92" s="926"/>
      <c r="D92" s="927"/>
      <c r="E92" s="191">
        <f>SUM(E94:E95)</f>
        <v>0</v>
      </c>
      <c r="F92" s="869" t="s">
        <v>146</v>
      </c>
    </row>
    <row r="93" spans="1:9" ht="27.6" hidden="1" thickTop="1" thickBot="1" x14ac:dyDescent="0.85">
      <c r="A93" s="932" t="s">
        <v>195</v>
      </c>
      <c r="B93" s="933"/>
      <c r="C93" s="933"/>
      <c r="D93" s="933"/>
      <c r="E93" s="933"/>
      <c r="F93" s="933"/>
    </row>
    <row r="94" spans="1:9" ht="27" hidden="1" thickBot="1" x14ac:dyDescent="0.85">
      <c r="A94" s="873" t="s">
        <v>194</v>
      </c>
      <c r="B94" s="873"/>
      <c r="C94" s="922"/>
      <c r="D94" s="922"/>
      <c r="E94" s="196">
        <v>0</v>
      </c>
    </row>
    <row r="95" spans="1:9" ht="27" hidden="1" thickBot="1" x14ac:dyDescent="0.85">
      <c r="A95" s="873" t="s">
        <v>196</v>
      </c>
      <c r="B95" s="873"/>
      <c r="C95" s="922"/>
      <c r="D95" s="922"/>
      <c r="E95" s="196">
        <v>0</v>
      </c>
    </row>
    <row r="96" spans="1:9" x14ac:dyDescent="0.8">
      <c r="A96" s="885"/>
      <c r="B96" s="885"/>
      <c r="C96" s="931"/>
      <c r="D96" s="931"/>
    </row>
    <row r="97" spans="1:4" x14ac:dyDescent="0.8">
      <c r="A97" s="923"/>
      <c r="B97" s="923"/>
      <c r="C97" s="924"/>
      <c r="D97" s="924"/>
    </row>
    <row r="98" spans="1:4" x14ac:dyDescent="0.8">
      <c r="A98" s="923"/>
      <c r="B98" s="923"/>
      <c r="C98" s="924"/>
      <c r="D98" s="924"/>
    </row>
    <row r="99" spans="1:4" x14ac:dyDescent="0.8">
      <c r="A99" s="923"/>
      <c r="B99" s="923"/>
      <c r="C99" s="924"/>
      <c r="D99" s="924"/>
    </row>
    <row r="100" spans="1:4" x14ac:dyDescent="0.8">
      <c r="A100" s="923"/>
      <c r="B100" s="923"/>
      <c r="C100" s="924"/>
      <c r="D100" s="924"/>
    </row>
    <row r="101" spans="1:4" x14ac:dyDescent="0.8">
      <c r="A101" s="923"/>
      <c r="B101" s="923"/>
      <c r="C101" s="924"/>
      <c r="D101" s="924"/>
    </row>
    <row r="102" spans="1:4" x14ac:dyDescent="0.8">
      <c r="A102" s="923"/>
      <c r="B102" s="923"/>
      <c r="C102" s="924"/>
      <c r="D102" s="924"/>
    </row>
    <row r="103" spans="1:4" x14ac:dyDescent="0.8">
      <c r="A103" s="923"/>
      <c r="B103" s="923"/>
      <c r="C103" s="924"/>
      <c r="D103" s="924"/>
    </row>
    <row r="104" spans="1:4" x14ac:dyDescent="0.8">
      <c r="A104" s="923"/>
      <c r="B104" s="923"/>
      <c r="C104" s="924"/>
      <c r="D104" s="924"/>
    </row>
    <row r="105" spans="1:4" x14ac:dyDescent="0.8">
      <c r="A105" s="923"/>
      <c r="B105" s="923"/>
      <c r="C105" s="924"/>
      <c r="D105" s="924"/>
    </row>
    <row r="106" spans="1:4" x14ac:dyDescent="0.8">
      <c r="A106" s="923"/>
      <c r="B106" s="923"/>
      <c r="C106" s="924"/>
      <c r="D106" s="924"/>
    </row>
    <row r="107" spans="1:4" x14ac:dyDescent="0.8">
      <c r="A107" s="923"/>
      <c r="B107" s="923"/>
      <c r="C107" s="924"/>
      <c r="D107" s="924"/>
    </row>
  </sheetData>
  <mergeCells count="140">
    <mergeCell ref="K66:S66"/>
    <mergeCell ref="C3:D3"/>
    <mergeCell ref="A105:B105"/>
    <mergeCell ref="C105:D105"/>
    <mergeCell ref="A99:B99"/>
    <mergeCell ref="C99:D99"/>
    <mergeCell ref="A100:B100"/>
    <mergeCell ref="C100:D100"/>
    <mergeCell ref="A101:B101"/>
    <mergeCell ref="C101:D101"/>
    <mergeCell ref="A96:B96"/>
    <mergeCell ref="C96:D96"/>
    <mergeCell ref="A97:B97"/>
    <mergeCell ref="C97:D97"/>
    <mergeCell ref="A98:B98"/>
    <mergeCell ref="C98:D98"/>
    <mergeCell ref="A94:B94"/>
    <mergeCell ref="C94:D94"/>
    <mergeCell ref="A95:B95"/>
    <mergeCell ref="C95:D95"/>
    <mergeCell ref="A93:F93"/>
    <mergeCell ref="A90:B90"/>
    <mergeCell ref="C90:D90"/>
    <mergeCell ref="A91:B91"/>
    <mergeCell ref="C91:D91"/>
    <mergeCell ref="A106:B106"/>
    <mergeCell ref="C106:D106"/>
    <mergeCell ref="A107:B107"/>
    <mergeCell ref="C107:D107"/>
    <mergeCell ref="A102:B102"/>
    <mergeCell ref="C102:D102"/>
    <mergeCell ref="A103:B103"/>
    <mergeCell ref="C103:D103"/>
    <mergeCell ref="A104:B104"/>
    <mergeCell ref="C104:D104"/>
    <mergeCell ref="A92:D92"/>
    <mergeCell ref="A87:B87"/>
    <mergeCell ref="C87:D87"/>
    <mergeCell ref="A88:B88"/>
    <mergeCell ref="C88:D88"/>
    <mergeCell ref="A89:B89"/>
    <mergeCell ref="C89:D89"/>
    <mergeCell ref="A84:B84"/>
    <mergeCell ref="C84:D84"/>
    <mergeCell ref="A85:B85"/>
    <mergeCell ref="C85:D85"/>
    <mergeCell ref="A86:B86"/>
    <mergeCell ref="C86:D86"/>
    <mergeCell ref="C75:D75"/>
    <mergeCell ref="C74:D74"/>
    <mergeCell ref="A81:B81"/>
    <mergeCell ref="C81:D81"/>
    <mergeCell ref="A82:B82"/>
    <mergeCell ref="C82:D82"/>
    <mergeCell ref="A83:B83"/>
    <mergeCell ref="C83:D83"/>
    <mergeCell ref="C76:D76"/>
    <mergeCell ref="C77:D77"/>
    <mergeCell ref="C78:D78"/>
    <mergeCell ref="A79:B79"/>
    <mergeCell ref="C79:D79"/>
    <mergeCell ref="A80:B80"/>
    <mergeCell ref="C80:D80"/>
    <mergeCell ref="A78:B78"/>
    <mergeCell ref="A75:B75"/>
    <mergeCell ref="A76:B76"/>
    <mergeCell ref="A77:B77"/>
    <mergeCell ref="A74:B74"/>
    <mergeCell ref="A12:D12"/>
    <mergeCell ref="A11:D11"/>
    <mergeCell ref="A10:D10"/>
    <mergeCell ref="A40:D40"/>
    <mergeCell ref="A39:D39"/>
    <mergeCell ref="A43:E43"/>
    <mergeCell ref="A7:D7"/>
    <mergeCell ref="A8:D8"/>
    <mergeCell ref="A9:D9"/>
    <mergeCell ref="A17:D17"/>
    <mergeCell ref="A42:D42"/>
    <mergeCell ref="A1:E1"/>
    <mergeCell ref="A62:D62"/>
    <mergeCell ref="A61:D61"/>
    <mergeCell ref="A19:D19"/>
    <mergeCell ref="A20:D20"/>
    <mergeCell ref="A21:D21"/>
    <mergeCell ref="A22:D22"/>
    <mergeCell ref="A35:C35"/>
    <mergeCell ref="A34:C34"/>
    <mergeCell ref="A33:C33"/>
    <mergeCell ref="A38:C38"/>
    <mergeCell ref="A18:D18"/>
    <mergeCell ref="A13:D13"/>
    <mergeCell ref="A14:D14"/>
    <mergeCell ref="A16:D16"/>
    <mergeCell ref="A44:D44"/>
    <mergeCell ref="A15:E15"/>
    <mergeCell ref="A25:E25"/>
    <mergeCell ref="A5:D5"/>
    <mergeCell ref="A51:D51"/>
    <mergeCell ref="A52:D52"/>
    <mergeCell ref="A53:D53"/>
    <mergeCell ref="A54:D54"/>
    <mergeCell ref="A6:E6"/>
    <mergeCell ref="A65:E65"/>
    <mergeCell ref="A56:D56"/>
    <mergeCell ref="A24:D24"/>
    <mergeCell ref="A32:D32"/>
    <mergeCell ref="A37:C37"/>
    <mergeCell ref="A36:C36"/>
    <mergeCell ref="A29:D29"/>
    <mergeCell ref="A55:D55"/>
    <mergeCell ref="A64:D64"/>
    <mergeCell ref="A45:D45"/>
    <mergeCell ref="A46:D46"/>
    <mergeCell ref="A47:D47"/>
    <mergeCell ref="A48:D48"/>
    <mergeCell ref="A49:D49"/>
    <mergeCell ref="A50:D50"/>
    <mergeCell ref="A60:D60"/>
    <mergeCell ref="A59:D59"/>
    <mergeCell ref="A58:D58"/>
    <mergeCell ref="A57:D57"/>
    <mergeCell ref="A31:E31"/>
    <mergeCell ref="A30:D30"/>
    <mergeCell ref="A71:B71"/>
    <mergeCell ref="A72:B72"/>
    <mergeCell ref="A73:B73"/>
    <mergeCell ref="C69:D69"/>
    <mergeCell ref="C70:D70"/>
    <mergeCell ref="C71:D71"/>
    <mergeCell ref="C72:D72"/>
    <mergeCell ref="C73:D73"/>
    <mergeCell ref="C66:D66"/>
    <mergeCell ref="C67:D67"/>
    <mergeCell ref="C68:D68"/>
    <mergeCell ref="A66:B66"/>
    <mergeCell ref="A67:B67"/>
    <mergeCell ref="A68:B68"/>
    <mergeCell ref="A69:B69"/>
    <mergeCell ref="A70:B70"/>
  </mergeCells>
  <printOptions horizontalCentered="1" verticalCentered="1"/>
  <pageMargins left="0.23622047244094491" right="0.23622047244094491" top="0.19685039370078741" bottom="0.19685039370078741" header="0" footer="0"/>
  <pageSetup paperSize="9" scale="90" fitToHeight="0"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65A3D-DF0A-4B67-A8C1-054A41D3FB47}">
  <sheetPr codeName="Sheet2">
    <pageSetUpPr fitToPage="1"/>
  </sheetPr>
  <dimension ref="A1:AJ35"/>
  <sheetViews>
    <sheetView topLeftCell="K1" zoomScale="40" zoomScaleNormal="40" workbookViewId="0">
      <selection activeCell="T8" sqref="T8"/>
    </sheetView>
  </sheetViews>
  <sheetFormatPr defaultColWidth="11.44140625" defaultRowHeight="33" customHeight="1" x14ac:dyDescent="0.3"/>
  <cols>
    <col min="1" max="1" width="41.109375" style="207" customWidth="1"/>
    <col min="2" max="2" width="28.88671875" style="207" customWidth="1"/>
    <col min="3" max="3" width="90.5546875" style="207" customWidth="1"/>
    <col min="4" max="4" width="8.88671875" style="207" customWidth="1"/>
    <col min="5" max="5" width="63.109375" style="207" customWidth="1"/>
    <col min="6" max="6" width="27.109375" style="207" customWidth="1"/>
    <col min="7" max="7" width="92.88671875" style="207" customWidth="1"/>
    <col min="8" max="8" width="12" style="207" customWidth="1"/>
    <col min="9" max="9" width="50.33203125" style="207" customWidth="1"/>
    <col min="10" max="10" width="30.33203125" style="207" customWidth="1"/>
    <col min="11" max="11" width="105.44140625" style="207" customWidth="1"/>
    <col min="12" max="12" width="6.33203125" style="207" customWidth="1"/>
    <col min="13" max="13" width="38.5546875" style="207" customWidth="1"/>
    <col min="14" max="14" width="38.5546875" style="207" hidden="1" customWidth="1"/>
    <col min="15" max="15" width="43.33203125" style="207" hidden="1" customWidth="1"/>
    <col min="16" max="16" width="41.33203125" style="207" customWidth="1"/>
    <col min="17" max="17" width="72.109375" style="207" customWidth="1"/>
    <col min="18" max="18" width="50.109375" style="207" customWidth="1"/>
    <col min="19" max="19" width="35.6640625" style="207" customWidth="1"/>
    <col min="20" max="20" width="33.44140625" style="207" customWidth="1"/>
    <col min="21" max="21" width="20" style="258" customWidth="1"/>
    <col min="22" max="22" width="65" style="207" customWidth="1"/>
    <col min="23" max="23" width="11.44140625" style="207"/>
    <col min="24" max="25" width="50.6640625" style="207" customWidth="1"/>
    <col min="26" max="26" width="37.88671875" style="207" customWidth="1"/>
    <col min="27" max="27" width="50.6640625" style="207" customWidth="1"/>
    <col min="28" max="28" width="50" style="207" customWidth="1"/>
    <col min="29" max="30" width="50.6640625" style="207" customWidth="1"/>
    <col min="31" max="31" width="42.44140625" style="207" hidden="1" customWidth="1"/>
    <col min="32" max="32" width="38.88671875" style="207" hidden="1" customWidth="1"/>
    <col min="33" max="33" width="39.5546875" style="207" hidden="1" customWidth="1"/>
    <col min="34" max="34" width="38.5546875" style="207" customWidth="1"/>
    <col min="35" max="35" width="44.33203125" style="207" customWidth="1"/>
    <col min="36" max="36" width="50.6640625" style="207" customWidth="1"/>
    <col min="37" max="16384" width="11.44140625" style="207"/>
  </cols>
  <sheetData>
    <row r="1" spans="1:36" ht="236.25" customHeight="1" thickBot="1" x14ac:dyDescent="0.35">
      <c r="A1" s="207" t="s">
        <v>88</v>
      </c>
      <c r="B1" s="207" t="s">
        <v>90</v>
      </c>
      <c r="C1" s="207" t="s">
        <v>89</v>
      </c>
      <c r="I1" s="207" t="s">
        <v>88</v>
      </c>
      <c r="J1" s="207" t="s">
        <v>90</v>
      </c>
      <c r="K1" s="207" t="s">
        <v>89</v>
      </c>
      <c r="M1" s="257" t="s">
        <v>262</v>
      </c>
      <c r="N1" s="257" t="s">
        <v>240</v>
      </c>
      <c r="O1" s="257" t="s">
        <v>241</v>
      </c>
      <c r="P1" s="257" t="s">
        <v>575</v>
      </c>
      <c r="Q1" s="257" t="s">
        <v>247</v>
      </c>
      <c r="R1" s="257" t="s">
        <v>249</v>
      </c>
      <c r="S1" s="257" t="s">
        <v>250</v>
      </c>
      <c r="T1" s="257" t="s">
        <v>251</v>
      </c>
      <c r="X1" s="263" t="s">
        <v>278</v>
      </c>
      <c r="Y1" s="263" t="s">
        <v>240</v>
      </c>
      <c r="Z1" s="263" t="s">
        <v>279</v>
      </c>
      <c r="AA1" s="263" t="s">
        <v>241</v>
      </c>
      <c r="AB1" s="263" t="s">
        <v>248</v>
      </c>
      <c r="AC1" s="263" t="s">
        <v>295</v>
      </c>
      <c r="AD1" s="263" t="s">
        <v>279</v>
      </c>
      <c r="AE1" s="263" t="s">
        <v>249</v>
      </c>
      <c r="AF1" s="263" t="s">
        <v>250</v>
      </c>
      <c r="AG1" s="263" t="s">
        <v>279</v>
      </c>
      <c r="AH1" s="263" t="s">
        <v>251</v>
      </c>
      <c r="AI1" s="268" t="s">
        <v>296</v>
      </c>
      <c r="AJ1" s="263" t="s">
        <v>280</v>
      </c>
    </row>
    <row r="2" spans="1:36" ht="81" customHeight="1" thickBot="1" x14ac:dyDescent="0.35">
      <c r="A2" s="935" t="s">
        <v>93</v>
      </c>
      <c r="B2" s="936"/>
      <c r="C2" s="937"/>
      <c r="E2" s="935" t="s">
        <v>92</v>
      </c>
      <c r="F2" s="936"/>
      <c r="G2" s="937"/>
      <c r="I2" s="935" t="s">
        <v>111</v>
      </c>
      <c r="J2" s="936"/>
      <c r="K2" s="937"/>
      <c r="M2" s="938" t="s">
        <v>113</v>
      </c>
      <c r="N2" s="939"/>
      <c r="O2" s="939"/>
      <c r="P2" s="939"/>
      <c r="Q2" s="234"/>
      <c r="R2" s="234"/>
      <c r="S2" s="234"/>
      <c r="T2" s="234"/>
      <c r="X2" s="934" t="s">
        <v>281</v>
      </c>
      <c r="Y2" s="934"/>
      <c r="Z2" s="934"/>
      <c r="AA2" s="934"/>
      <c r="AB2" s="934"/>
      <c r="AC2" s="934"/>
      <c r="AD2" s="934"/>
      <c r="AE2" s="934"/>
      <c r="AF2" s="934"/>
      <c r="AG2" s="934"/>
      <c r="AH2" s="934"/>
      <c r="AI2" s="934"/>
      <c r="AJ2" s="934"/>
    </row>
    <row r="3" spans="1:36" ht="81" customHeight="1" x14ac:dyDescent="0.3">
      <c r="A3" s="214" t="s">
        <v>1</v>
      </c>
      <c r="B3" s="215">
        <f>'Halrizo 200 + GP '!O7+'Halrizo 200 + GP '!Z7+'Halal 350 BN Pimenté'!E6+'Halal G.P - 200 et BN '!E7+'Halal G.P - 200 et BN '!M7+'Halal G.P - 200 et BN '!U7+'Spécialité Fromagère'!E7+'Spécialité Fromagère'!K7+'Spécialité Fromagère'!E22+'Spécialité Fromagère'!K22+'Spécialité carnée'!E7+'Spécialité carnée'!K7+'Spécialité carnée'!E22+'Spécialité carnée'!K22+'Spécialité Autres'!E7+'Spécialité Autres'!K7+'Spécialité Autres'!Q7+'Spécialité Autres'!E21+'Spécialité Autres'!K21+'Spécialité Autres'!Q21+'Spécialité Autres'!E37+'Spécialité Autres'!K37+'Spécialité Autres'!Q37+'Spécialité Autres'!E55+'Spécialité Autres'!K55+'Spécialité Autres'!Q55+'Spécialité Autres'!Q71+' Snaking'!E8+'Viande francaise'!E7+'Viande francaise'!K7+'Viande francaise'!Q7+'Viande francaise'!E22+'Viande francaise'!K22+'Haché Moyen'!F6+'Haché Moyen'!M6+'Haché Moyen'!S7+'Haché Moyen'!F21+'Haché Moyen'!M21+'Haché Moyen'!S21+'Haché Moyen'!S34+SAG!F6</f>
        <v>107.44500000000001</v>
      </c>
      <c r="C3" s="255" t="s">
        <v>364</v>
      </c>
      <c r="E3" s="214" t="s">
        <v>7</v>
      </c>
      <c r="F3" s="215">
        <f>'Halrizo 200 + GP '!O16+'Halrizo 200 + GP '!Z16+'Spécialité Autres'!E62</f>
        <v>0.35</v>
      </c>
      <c r="G3" s="216"/>
      <c r="I3" s="214" t="s">
        <v>95</v>
      </c>
      <c r="J3" s="215">
        <f>'Spécialité Autres'!E14</f>
        <v>0</v>
      </c>
      <c r="K3" s="216"/>
      <c r="M3" s="235" t="s">
        <v>129</v>
      </c>
      <c r="N3" s="236">
        <f>'PLANNING DE FABRICATION'!E3</f>
        <v>0</v>
      </c>
      <c r="O3" s="236"/>
      <c r="P3" s="237">
        <f>N3+O3</f>
        <v>0</v>
      </c>
      <c r="Q3" s="871">
        <v>402</v>
      </c>
      <c r="R3" s="238">
        <f>P3-Q3</f>
        <v>-402</v>
      </c>
      <c r="S3" s="872">
        <v>0</v>
      </c>
      <c r="T3" s="238">
        <f>S3-R3</f>
        <v>402</v>
      </c>
      <c r="U3" s="258">
        <f>T3/100</f>
        <v>4.0199999999999996</v>
      </c>
      <c r="Y3" s="262"/>
    </row>
    <row r="4" spans="1:36" ht="81" customHeight="1" x14ac:dyDescent="1.65">
      <c r="A4" s="208" t="s">
        <v>20</v>
      </c>
      <c r="B4" s="209">
        <f>'Halrizo 200 + GP '!O6+'Halrizo 200 + GP '!Z6+'Halal 350 BN Pimenté'!E5+'Halal G.P - 200 et BN '!E6+'Halal G.P - 200 et BN '!M6+'Halal G.P - 200 et BN '!U6+'A cuire'!E6+'A cuire'!K6+'A cuire'!E19+'A cuire'!K19+'Spécialité Fromagère'!E6+'Spécialité Fromagère'!K6+'Spécialité Fromagère'!E21+'Spécialité Fromagère'!K21+'Spécialité carnée'!E6+'Spécialité carnée'!K6+'Spécialité carnée'!E21+'Spécialité carnée'!K21+'Spécialité Autres'!E6+'Spécialité Autres'!K6+'Spécialité Autres'!Q6+'Spécialité Autres'!E20+'Spécialité Autres'!K20+'Spécialité Autres'!Q20+'Spécialité Autres'!E36+'Spécialité Autres'!K36+'Spécialité Autres'!Q36+'Spécialité Autres'!E54+'Spécialité Autres'!K54+'Spécialité Autres'!Q54+'Spécialité Autres'!Q70+' Snaking'!E7+SAG!F7+'Haché Moyen'!S6</f>
        <v>49.65</v>
      </c>
      <c r="C4" s="210"/>
      <c r="E4" s="208" t="s">
        <v>6</v>
      </c>
      <c r="F4" s="209">
        <f>'Halrizo 200 + GP '!O15+'Halrizo 200 + GP '!Z15+'Halal 350 BN Pimenté'!E15+'Halal G.P - 200 et BN '!E18+'Halal G.P - 200 et BN '!M18+'Halal G.P - 200 et BN '!U18+'Spécialité Autres'!E63</f>
        <v>0.05</v>
      </c>
      <c r="G4" s="210"/>
      <c r="I4" s="208" t="s">
        <v>96</v>
      </c>
      <c r="J4" s="209">
        <f>'Spécialité Autres'!K14+'ANCIENNCES RECETTES'!E15</f>
        <v>0</v>
      </c>
      <c r="K4" s="210"/>
      <c r="M4" s="239" t="s">
        <v>114</v>
      </c>
      <c r="N4" s="238">
        <f>'Recette viandes'!AD22+'Recette viandes'!AC6</f>
        <v>2474.6</v>
      </c>
      <c r="O4" s="236"/>
      <c r="P4" s="237">
        <f t="shared" ref="P4:P22" si="0">N4+O4</f>
        <v>2474.6</v>
      </c>
      <c r="Q4" s="867">
        <v>340</v>
      </c>
      <c r="R4" s="238">
        <f>P4-Q4</f>
        <v>2134.6</v>
      </c>
      <c r="S4" s="870">
        <f>600*4</f>
        <v>2400</v>
      </c>
      <c r="T4" s="238">
        <f t="shared" ref="T4:T22" si="1">S4-R4</f>
        <v>265.40000000000009</v>
      </c>
      <c r="X4" s="263" t="s">
        <v>282</v>
      </c>
      <c r="Y4" s="264">
        <f>('PLANNING DE FABRICATION'!E7+'PLANNING DE FABRICATION'!E8)*7*2</f>
        <v>0</v>
      </c>
      <c r="Z4" s="264" t="s">
        <v>283</v>
      </c>
      <c r="AA4" s="265"/>
      <c r="AB4" s="264">
        <f>Y4+AA4</f>
        <v>0</v>
      </c>
      <c r="AC4" s="267"/>
      <c r="AD4" s="264" t="s">
        <v>283</v>
      </c>
      <c r="AE4" s="264">
        <f>AB4-AC4</f>
        <v>0</v>
      </c>
      <c r="AF4" s="264">
        <f>AI4*100</f>
        <v>0</v>
      </c>
      <c r="AG4" s="264" t="s">
        <v>283</v>
      </c>
      <c r="AH4" s="264">
        <f>AF4-AE4</f>
        <v>0</v>
      </c>
      <c r="AI4" s="265"/>
      <c r="AJ4" s="264" t="s">
        <v>284</v>
      </c>
    </row>
    <row r="5" spans="1:36" ht="81" customHeight="1" x14ac:dyDescent="1.65">
      <c r="A5" s="208" t="s">
        <v>21</v>
      </c>
      <c r="B5" s="209">
        <f>'Halrizo 200 + GP '!O8+'Halrizo 200 + GP '!Z8+'Halal 350 BN Pimenté'!E7+'Halal G.P - 200 et BN '!E8+'Halal G.P - 200 et BN '!M8+'Halal G.P - 200 et BN '!U8+'Spécialité Fromagère'!E8+'Spécialité Fromagère'!K8+'Spécialité Fromagère'!E23+'Spécialité Fromagère'!K23+'Spécialité carnée'!E8+'Spécialité carnée'!K8+'Spécialité carnée'!E23+'Spécialité carnée'!K23+'Spécialité Autres'!E8+'Spécialité Autres'!K8+'Spécialité Autres'!Q8+'Spécialité Autres'!E22+'Spécialité Autres'!K22+'Spécialité Autres'!Q22+'Spécialité Autres'!E38+'Spécialité Autres'!K38+'Spécialité Autres'!Q38+'Spécialité Autres'!E56+'Spécialité Autres'!K56+'Spécialité Autres'!Q56+'Spécialité Autres'!Q72+' Snaking'!E9+'Viande francaise'!E8+'Viande francaise'!K8+'Viande francaise'!Q8+'Viande francaise'!E23+'Viande francaise'!K23+'Haché Moyen'!F7+'Haché Moyen'!M7+'Haché Moyen'!S8+'Haché Moyen'!F22+'Haché Moyen'!M22+'Haché Moyen'!S22+'Haché Moyen'!S35</f>
        <v>0.75</v>
      </c>
      <c r="C5" s="210"/>
      <c r="E5" s="208" t="s">
        <v>8</v>
      </c>
      <c r="F5" s="209">
        <f>'Halrizo 200 + GP '!O17+'Halrizo 200 + GP '!Z17+'Spécialité Autres'!E64</f>
        <v>0.1</v>
      </c>
      <c r="G5" s="210"/>
      <c r="I5" s="208" t="s">
        <v>97</v>
      </c>
      <c r="J5" s="209">
        <f>'Spécialité Fromagère'!E14</f>
        <v>10</v>
      </c>
      <c r="K5" s="210"/>
      <c r="M5" s="239" t="s">
        <v>115</v>
      </c>
      <c r="N5" s="240">
        <f>'Recette viandes'!AD21</f>
        <v>540</v>
      </c>
      <c r="O5" s="236"/>
      <c r="P5" s="237">
        <f t="shared" si="0"/>
        <v>540</v>
      </c>
      <c r="Q5" s="867">
        <v>620</v>
      </c>
      <c r="R5" s="238">
        <f t="shared" ref="R5:R22" si="2">P5-Q5</f>
        <v>-80</v>
      </c>
      <c r="S5" s="870">
        <f>1000</f>
        <v>1000</v>
      </c>
      <c r="T5" s="238">
        <f t="shared" si="1"/>
        <v>1080</v>
      </c>
      <c r="X5" s="263" t="s">
        <v>285</v>
      </c>
      <c r="Y5" s="264">
        <f>('PLANNING DE FABRICATION'!E11+'PLANNING DE FABRICATION'!E12)*42*2</f>
        <v>0</v>
      </c>
      <c r="Z5" s="264" t="s">
        <v>286</v>
      </c>
      <c r="AA5" s="265"/>
      <c r="AB5" s="264">
        <f>Y5+AA5</f>
        <v>0</v>
      </c>
      <c r="AC5" s="267"/>
      <c r="AD5" s="264" t="s">
        <v>286</v>
      </c>
      <c r="AE5" s="264">
        <f>AB5-AC5</f>
        <v>0</v>
      </c>
      <c r="AF5" s="264">
        <f>AI5*500</f>
        <v>0</v>
      </c>
      <c r="AG5" s="264" t="s">
        <v>286</v>
      </c>
      <c r="AH5" s="264">
        <f t="shared" ref="AH5:AH17" si="3">AF5-AE5</f>
        <v>0</v>
      </c>
      <c r="AI5" s="265"/>
      <c r="AJ5" s="264" t="s">
        <v>284</v>
      </c>
    </row>
    <row r="6" spans="1:36" ht="81" customHeight="1" x14ac:dyDescent="0.3">
      <c r="A6" s="208" t="s">
        <v>3</v>
      </c>
      <c r="B6" s="209">
        <f>'Halrizo 200 + GP '!O11+'Halrizo 200 + GP '!Z11+'Halal 350 BN Pimenté'!E10+'Halal G.P - 200 et BN '!E11+'Halal G.P - 200 et BN '!M11+'Halal G.P - 200 et BN '!U11+'A cuire'!E8+'A cuire'!K8+'A cuire'!E21+'A cuire'!K21+'Spécialité Fromagère'!E9+'Spécialité Fromagère'!K9+'Spécialité Fromagère'!E24+'Spécialité Fromagère'!K24+'Spécialité carnée'!E9+'Spécialité carnée'!K9+'Spécialité carnée'!E24+'Spécialité carnée'!K24+'Spécialité Autres'!E9+'Spécialité Autres'!K9+'Spécialité Autres'!Q9+'Spécialité Autres'!E23+'Spécialité Autres'!K23+'Spécialité Autres'!Q23+'Spécialité Autres'!E39+'Spécialité Autres'!K39+'Spécialité Autres'!Q39+'Spécialité Autres'!E57+'Spécialité Autres'!K57+'Spécialité Autres'!Q57+'Spécialité Autres'!Q73+' Snaking'!E10+'Viande francaise'!E9+'Viande francaise'!K9+'Viande francaise'!Q9+'Viande francaise'!E24+'Viande francaise'!K24+'Haché Moyen'!F8+'Haché Moyen'!M8+'Haché Moyen'!S9+'Haché Moyen'!F23+'Haché Moyen'!M23+'Haché Moyen'!S23+'Haché Moyen'!S36+SAG!F8</f>
        <v>59.519999999999996</v>
      </c>
      <c r="C6" s="210"/>
      <c r="E6" s="208" t="s">
        <v>9</v>
      </c>
      <c r="F6" s="209">
        <f>'Halrizo 200 + GP '!O18+'Halrizo 200 + GP '!Z18+'Halal 350 BN Pimenté'!E17+'Halal G.P - 200 et BN '!E17+'Halal G.P - 200 et BN '!M17+'Halal G.P - 200 et BN '!U17</f>
        <v>0</v>
      </c>
      <c r="G6" s="210"/>
      <c r="I6" s="208" t="s">
        <v>98</v>
      </c>
      <c r="J6" s="209">
        <f>'Spécialité Fromagère'!E29</f>
        <v>0</v>
      </c>
      <c r="K6" s="210"/>
      <c r="M6" s="239" t="s">
        <v>116</v>
      </c>
      <c r="N6" s="240">
        <f>'Recette viandes'!AD20</f>
        <v>300</v>
      </c>
      <c r="O6" s="236"/>
      <c r="P6" s="237">
        <f t="shared" si="0"/>
        <v>300</v>
      </c>
      <c r="Q6" s="867">
        <v>0</v>
      </c>
      <c r="R6" s="238">
        <f t="shared" si="2"/>
        <v>300</v>
      </c>
      <c r="S6" s="870">
        <f>600</f>
        <v>600</v>
      </c>
      <c r="T6" s="238">
        <f t="shared" si="1"/>
        <v>300</v>
      </c>
      <c r="X6" s="263"/>
      <c r="Y6" s="264"/>
      <c r="Z6" s="264"/>
      <c r="AA6" s="264"/>
      <c r="AB6" s="264"/>
      <c r="AC6" s="264"/>
      <c r="AD6" s="264"/>
      <c r="AE6" s="264"/>
      <c r="AF6" s="264"/>
      <c r="AG6" s="264"/>
      <c r="AH6" s="264"/>
      <c r="AI6" s="264"/>
      <c r="AJ6" s="264"/>
    </row>
    <row r="7" spans="1:36" ht="81" customHeight="1" x14ac:dyDescent="1.65">
      <c r="A7" s="208" t="s">
        <v>2</v>
      </c>
      <c r="B7" s="209">
        <f>'Halrizo 200 + GP '!O9+'Halrizo 200 + GP '!Z9+'Halal 350 BN Pimenté'!E8+'Halal G.P - 200 et BN '!E9+'Halal G.P - 200 et BN '!M9+'Halal G.P - 200 et BN '!U9+'A cuire'!E9+'A cuire'!K9+'A cuire'!E22+'A cuire'!K22+'Spécialité Fromagère'!E10+'Spécialité Fromagère'!K10+'Spécialité Fromagère'!E25+'Spécialité Fromagère'!K25+'Spécialité carnée'!E10+'Spécialité carnée'!K10+'Spécialité carnée'!E25+'Spécialité carnée'!K25+'Spécialité Autres'!E10+'Spécialité Autres'!K10+'Spécialité Autres'!Q10+'Spécialité Autres'!E24+'Spécialité Autres'!K24+'Spécialité Autres'!Q24+'Spécialité Autres'!E40+'Spécialité Autres'!K40+'Spécialité Autres'!Q40+'Spécialité Autres'!E58+'Spécialité Autres'!K58+'Spécialité Autres'!Q58+'Spécialité Autres'!Q74+' Snaking'!E11+'Viande francaise'!E10+'Viande francaise'!K10+'Viande francaise'!Q10+'Viande francaise'!E25+'Viande francaise'!K25+'Haché Moyen'!F9+'Haché Moyen'!M9+'Haché Moyen'!S10+'Haché Moyen'!F24+'Haché Moyen'!M24+'Haché Moyen'!S24+'Haché Moyen'!S37+SAG!F9</f>
        <v>18.284999999999997</v>
      </c>
      <c r="C7" s="210"/>
      <c r="E7" s="211" t="s">
        <v>10</v>
      </c>
      <c r="F7" s="212">
        <f>'Halrizo 200 + GP '!O19+'Halrizo 200 + GP '!Z19+'Halal 350 BN Pimenté'!E16+'Halal G.P - 200 et BN '!E16+'Halal G.P - 200 et BN '!M16+'Halal G.P - 200 et BN '!U16</f>
        <v>0</v>
      </c>
      <c r="G7" s="213"/>
      <c r="I7" s="208" t="s">
        <v>99</v>
      </c>
      <c r="J7" s="209">
        <f>'Spécialité Fromagère'!K14</f>
        <v>5</v>
      </c>
      <c r="K7" s="210"/>
      <c r="M7" s="239" t="s">
        <v>117</v>
      </c>
      <c r="N7" s="240">
        <f>'Recette viandes'!AC9+'Recette viandes'!AD23</f>
        <v>1219.4000000000001</v>
      </c>
      <c r="O7" s="236"/>
      <c r="P7" s="237">
        <f t="shared" si="0"/>
        <v>1219.4000000000001</v>
      </c>
      <c r="Q7" s="867">
        <v>474</v>
      </c>
      <c r="R7" s="238">
        <f t="shared" si="2"/>
        <v>745.40000000000009</v>
      </c>
      <c r="S7" s="870">
        <f>700*2</f>
        <v>1400</v>
      </c>
      <c r="T7" s="238">
        <f>S7-R7</f>
        <v>654.59999999999991</v>
      </c>
      <c r="X7" s="263" t="s">
        <v>287</v>
      </c>
      <c r="Y7" s="264">
        <f>('PLANNING DE FABRICATION'!E9+'PLANNING DE FABRICATION'!E10+'PLANNING DE FABRICATION'!E26+'PLANNING DE FABRICATION'!E27)*360</f>
        <v>540</v>
      </c>
      <c r="Z7" s="264" t="s">
        <v>286</v>
      </c>
      <c r="AA7" s="265"/>
      <c r="AB7" s="264">
        <f>Y7+AA7</f>
        <v>540</v>
      </c>
      <c r="AC7" s="267"/>
      <c r="AD7" s="264" t="s">
        <v>286</v>
      </c>
      <c r="AE7" s="264">
        <f>AB7-AC7</f>
        <v>540</v>
      </c>
      <c r="AF7" s="264">
        <f>AI7*10000</f>
        <v>0</v>
      </c>
      <c r="AG7" s="264" t="s">
        <v>286</v>
      </c>
      <c r="AH7" s="264">
        <f t="shared" si="3"/>
        <v>-540</v>
      </c>
      <c r="AI7" s="265"/>
      <c r="AJ7" s="264" t="s">
        <v>288</v>
      </c>
    </row>
    <row r="8" spans="1:36" ht="81" customHeight="1" x14ac:dyDescent="0.3">
      <c r="A8" s="208" t="s">
        <v>91</v>
      </c>
      <c r="B8" s="209">
        <f>'Halrizo 200 + GP '!O10+'Halrizo 200 + GP '!Z10+'Halal 350 BN Pimenté'!E9+'Halal G.P - 200 et BN '!E10+'Halal G.P - 200 et BN '!M10+'Halal G.P - 200 et BN '!U10+'Haché Moyen'!M11</f>
        <v>0</v>
      </c>
      <c r="C8" s="210"/>
      <c r="E8" s="211" t="s">
        <v>136</v>
      </c>
      <c r="F8" s="212">
        <f>'Spécialité Autres'!Q28</f>
        <v>0</v>
      </c>
      <c r="G8" s="213"/>
      <c r="I8" s="208" t="s">
        <v>100</v>
      </c>
      <c r="J8" s="209">
        <f>'Spécialité Fromagère'!K30</f>
        <v>0</v>
      </c>
      <c r="K8" s="210"/>
      <c r="M8" s="239" t="s">
        <v>118</v>
      </c>
      <c r="N8" s="240">
        <f>'Recette viandes'!AC7+'Recette viandes'!AD24</f>
        <v>1522.5</v>
      </c>
      <c r="O8" s="236"/>
      <c r="P8" s="237">
        <f t="shared" si="0"/>
        <v>1522.5</v>
      </c>
      <c r="Q8" s="867">
        <f>3638</f>
        <v>3638</v>
      </c>
      <c r="R8" s="238">
        <f t="shared" si="2"/>
        <v>-2115.5</v>
      </c>
      <c r="S8" s="870">
        <f>518+1000</f>
        <v>1518</v>
      </c>
      <c r="T8" s="238">
        <f>S8-R8</f>
        <v>3633.5</v>
      </c>
      <c r="U8" s="258">
        <f>T8/3000</f>
        <v>1.2111666666666667</v>
      </c>
      <c r="X8" s="263"/>
      <c r="Y8" s="264"/>
      <c r="Z8" s="264"/>
      <c r="AA8" s="264"/>
      <c r="AB8" s="264"/>
      <c r="AC8" s="264"/>
      <c r="AD8" s="264"/>
      <c r="AE8" s="264"/>
      <c r="AF8" s="264"/>
      <c r="AG8" s="264"/>
      <c r="AH8" s="264"/>
      <c r="AI8" s="264"/>
      <c r="AJ8" s="264"/>
    </row>
    <row r="9" spans="1:36" ht="83.25" customHeight="1" x14ac:dyDescent="0.3">
      <c r="A9" s="208" t="s">
        <v>17</v>
      </c>
      <c r="B9" s="209">
        <f>'Halrizo 200 + GP '!O12+'Halrizo 200 + GP '!Z12+'Halal 350 BN Pimenté'!E11+'Halal G.P - 200 et BN '!E12+'Halal G.P - 200 et BN '!M12+'Halal G.P - 200 et BN '!U12+'A cuire'!E10+'A cuire'!K10+'A cuire'!E23+'A cuire'!K23+'Spécialité Fromagère'!E11+'Spécialité Fromagère'!K11+'Spécialité Fromagère'!E26+'Spécialité Fromagère'!K26+'Spécialité carnée'!E11+'Spécialité carnée'!K11+'Spécialité carnée'!E26+'Spécialité carnée'!K26+'Spécialité Autres'!E11+'Spécialité Autres'!K11+'Spécialité Autres'!Q11+'Spécialité Autres'!E25+'Spécialité Autres'!Q25+'Spécialité Autres'!E41+'Spécialité Autres'!K41+'Spécialité Autres'!Q41+'Spécialité Autres'!E59+'Spécialité Autres'!K59+'Spécialité Autres'!Q59+'Spécialité Autres'!Q75+' Snaking'!E12+'Viande francaise'!E11+'Viande francaise'!K11+'Viande francaise'!Q11+'Viande francaise'!E26+'Viande francaise'!K26+'Haché Moyen'!F10+'Haché Moyen'!M10+'Haché Moyen'!S11+'Haché Moyen'!F25+'Haché Moyen'!M25+'Haché Moyen'!S25+'Haché Moyen'!S38+SAG!F10</f>
        <v>9.6750000000000007</v>
      </c>
      <c r="C9" s="210"/>
      <c r="E9" s="211" t="s">
        <v>401</v>
      </c>
      <c r="F9" s="212">
        <f>'Spécialité Autres'!K46+'Spécialité Autres'!K28</f>
        <v>0.05</v>
      </c>
      <c r="G9" s="213"/>
      <c r="I9" s="208" t="s">
        <v>347</v>
      </c>
      <c r="J9" s="209">
        <f>'Spécialité Autres'!Q14</f>
        <v>0</v>
      </c>
      <c r="K9" s="210"/>
      <c r="M9" s="273" t="s">
        <v>119</v>
      </c>
      <c r="N9" s="240">
        <f>'Recette viandes'!AC8+'Recette viandes'!AD25</f>
        <v>0</v>
      </c>
      <c r="O9" s="236"/>
      <c r="P9" s="237">
        <f t="shared" si="0"/>
        <v>0</v>
      </c>
      <c r="Q9" s="867">
        <v>0</v>
      </c>
      <c r="R9" s="238">
        <f t="shared" si="2"/>
        <v>0</v>
      </c>
      <c r="S9" s="870">
        <v>0</v>
      </c>
      <c r="T9" s="238">
        <f t="shared" si="1"/>
        <v>0</v>
      </c>
      <c r="X9" s="263" t="s">
        <v>289</v>
      </c>
      <c r="Y9" s="264"/>
      <c r="Z9" s="264"/>
      <c r="AA9" s="264"/>
      <c r="AB9" s="264">
        <f t="shared" ref="AB9:AB13" si="4">Y9+AA9</f>
        <v>0</v>
      </c>
      <c r="AC9" s="264"/>
      <c r="AD9" s="264"/>
      <c r="AE9" s="264"/>
      <c r="AF9" s="264"/>
      <c r="AG9" s="264"/>
      <c r="AH9" s="264">
        <f t="shared" si="3"/>
        <v>0</v>
      </c>
      <c r="AI9" s="264"/>
      <c r="AJ9" s="264"/>
    </row>
    <row r="10" spans="1:36" ht="81" customHeight="1" x14ac:dyDescent="0.3">
      <c r="A10" s="208" t="s">
        <v>18</v>
      </c>
      <c r="B10" s="209">
        <f>'Halal 350 BN Pimenté'!E12+'Halal G.P - 200 et BN '!E13+'Halal G.P - 200 et BN '!M13+'Halal G.P - 200 et BN '!U13</f>
        <v>0</v>
      </c>
      <c r="C10" s="210"/>
      <c r="E10" s="211" t="s">
        <v>138</v>
      </c>
      <c r="F10" s="212">
        <f>'Spécialité Autres'!Q62</f>
        <v>0</v>
      </c>
      <c r="G10" s="213"/>
      <c r="I10" s="208" t="s">
        <v>32</v>
      </c>
      <c r="J10" s="209">
        <f>SAG!F12+'A cuire'!K28</f>
        <v>2</v>
      </c>
      <c r="K10" s="210"/>
      <c r="M10" s="239" t="s">
        <v>120</v>
      </c>
      <c r="N10" s="240">
        <f>'Recette viandes'!AD26</f>
        <v>7.5</v>
      </c>
      <c r="O10" s="236"/>
      <c r="P10" s="237">
        <f t="shared" si="0"/>
        <v>7.5</v>
      </c>
      <c r="Q10" s="867">
        <v>49</v>
      </c>
      <c r="R10" s="238">
        <f t="shared" si="2"/>
        <v>-41.5</v>
      </c>
      <c r="S10" s="870">
        <v>0</v>
      </c>
      <c r="T10" s="238">
        <f t="shared" si="1"/>
        <v>41.5</v>
      </c>
      <c r="U10" s="258">
        <f>T10/12.5</f>
        <v>3.32</v>
      </c>
      <c r="X10" s="263" t="s">
        <v>290</v>
      </c>
      <c r="Y10" s="266"/>
      <c r="Z10" s="264" t="s">
        <v>286</v>
      </c>
      <c r="AA10" s="266"/>
      <c r="AB10" s="264">
        <f>Y10+AA10</f>
        <v>0</v>
      </c>
      <c r="AC10" s="266"/>
      <c r="AD10" s="264" t="s">
        <v>286</v>
      </c>
      <c r="AE10" s="266"/>
      <c r="AF10" s="266"/>
      <c r="AG10" s="264" t="s">
        <v>286</v>
      </c>
      <c r="AH10" s="266"/>
      <c r="AI10" s="266"/>
      <c r="AJ10" s="266"/>
    </row>
    <row r="11" spans="1:36" ht="81" customHeight="1" x14ac:dyDescent="0.3">
      <c r="A11" s="208" t="s">
        <v>5</v>
      </c>
      <c r="B11" s="209">
        <f>'Halrizo 200 + GP '!O13+'Halrizo 200 + GP '!Z13+'Halal 350 BN Pimenté'!E13+'Halal G.P - 200 et BN '!E14+'Halal G.P - 200 et BN '!M14+'Halal G.P - 200 et BN '!U14+'A cuire'!E11+'A cuire'!K11+'A cuire'!E24+'A cuire'!K24+'Spécialité Fromagère'!E12+'Spécialité Fromagère'!K12+'Spécialité Fromagère'!E27+'Spécialité Fromagère'!K27+'Spécialité carnée'!E12+'Spécialité carnée'!K12+'Spécialité carnée'!E27+'Spécialité carnée'!K27+'Spécialité Autres'!E12+'Spécialité Autres'!K12+'Spécialité Autres'!Q12+'Spécialité Autres'!E26+'Spécialité Autres'!K26+'Spécialité Autres'!Q26+'Spécialité Autres'!E42+'Spécialité Autres'!K42+'Spécialité Autres'!Q42+'Spécialité Autres'!E60+'Spécialité Autres'!K60+'Spécialité Autres'!Q60+'Spécialité Autres'!Q76+' Snaking'!E13+'Viande francaise'!E12+'Viande francaise'!K12+'Viande francaise'!Q12+'Viande francaise'!E27+'Viande francaise'!K27+'Haché Moyen'!F11+'Haché Moyen'!M12+'Haché Moyen'!S12+'Haché Moyen'!F26+'Haché Moyen'!M26+'Haché Moyen'!S26+'Haché Moyen'!S39+SAG!F11</f>
        <v>3.2480000000000002</v>
      </c>
      <c r="C11" s="210"/>
      <c r="E11" s="211" t="s">
        <v>261</v>
      </c>
      <c r="F11" s="212">
        <f>'Halal G.P - 200 et BN '!E20+'Halal G.P - 200 et BN '!M20+'Halal G.P - 200 et BN '!U20</f>
        <v>0</v>
      </c>
      <c r="G11" s="213"/>
      <c r="I11" s="208" t="s">
        <v>101</v>
      </c>
      <c r="J11" s="209">
        <f>'Spécialité Autres'!K45</f>
        <v>0.5</v>
      </c>
      <c r="K11" s="210"/>
      <c r="M11" s="239" t="s">
        <v>298</v>
      </c>
      <c r="N11" s="240">
        <f>'Recette viandes'!AD27</f>
        <v>3</v>
      </c>
      <c r="O11" s="236"/>
      <c r="P11" s="237">
        <f>N11+O11</f>
        <v>3</v>
      </c>
      <c r="Q11" s="867">
        <v>16</v>
      </c>
      <c r="R11" s="238">
        <f t="shared" si="2"/>
        <v>-13</v>
      </c>
      <c r="S11" s="870">
        <v>0</v>
      </c>
      <c r="T11" s="238">
        <f t="shared" si="1"/>
        <v>13</v>
      </c>
      <c r="U11" s="258">
        <f>T11/5</f>
        <v>2.6</v>
      </c>
      <c r="X11" s="263"/>
      <c r="Y11" s="266"/>
      <c r="Z11" s="264"/>
      <c r="AA11" s="266"/>
      <c r="AB11" s="264">
        <f t="shared" si="4"/>
        <v>0</v>
      </c>
      <c r="AC11" s="266"/>
      <c r="AD11" s="264"/>
      <c r="AE11" s="266"/>
      <c r="AF11" s="266"/>
      <c r="AG11" s="264"/>
      <c r="AH11" s="266">
        <f t="shared" si="3"/>
        <v>0</v>
      </c>
      <c r="AI11" s="266"/>
      <c r="AJ11" s="266"/>
    </row>
    <row r="12" spans="1:36" ht="81" customHeight="1" x14ac:dyDescent="0.3">
      <c r="A12" s="208" t="s">
        <v>312</v>
      </c>
      <c r="B12" s="209">
        <f>'A cuire'!E7+'A cuire'!K7+'A cuire'!E20+'A cuire'!K20</f>
        <v>8.1000000000000003E-2</v>
      </c>
      <c r="C12" s="210"/>
      <c r="E12" s="211" t="s">
        <v>322</v>
      </c>
      <c r="F12" s="212">
        <f>'Halrizo 200 + GP '!O20+'Halrizo 200 + GP '!Z20</f>
        <v>0</v>
      </c>
      <c r="G12" s="213"/>
      <c r="I12" s="208" t="s">
        <v>102</v>
      </c>
      <c r="J12" s="209">
        <f>'Spécialité Autres'!K62</f>
        <v>0</v>
      </c>
      <c r="K12" s="210"/>
      <c r="M12" s="273" t="s">
        <v>121</v>
      </c>
      <c r="N12" s="240">
        <f>'Recette viandes'!N6</f>
        <v>0</v>
      </c>
      <c r="O12" s="236"/>
      <c r="P12" s="237">
        <f t="shared" si="0"/>
        <v>0</v>
      </c>
      <c r="Q12" s="867">
        <v>0</v>
      </c>
      <c r="R12" s="238">
        <f t="shared" si="2"/>
        <v>0</v>
      </c>
      <c r="S12" s="870">
        <v>0</v>
      </c>
      <c r="T12" s="238">
        <f t="shared" si="1"/>
        <v>0</v>
      </c>
      <c r="X12" s="263"/>
      <c r="Y12" s="266"/>
      <c r="Z12" s="264"/>
      <c r="AA12" s="266"/>
      <c r="AB12" s="264">
        <f t="shared" si="4"/>
        <v>0</v>
      </c>
      <c r="AC12" s="266"/>
      <c r="AD12" s="264"/>
      <c r="AE12" s="266"/>
      <c r="AF12" s="266"/>
      <c r="AG12" s="264"/>
      <c r="AH12" s="266">
        <f t="shared" si="3"/>
        <v>0</v>
      </c>
      <c r="AI12" s="266"/>
      <c r="AJ12" s="266"/>
    </row>
    <row r="13" spans="1:36" ht="81" customHeight="1" x14ac:dyDescent="0.3">
      <c r="A13" s="211" t="s">
        <v>384</v>
      </c>
      <c r="B13" s="212">
        <f>'Halrizo 200 + GP '!O14+'Halrizo 200 + GP '!Z14+'Halal 350 BN Pimenté'!E14+'Halal G.P - 200 et BN '!E15+'Halal G.P - 200 et BN '!M15+'Halal G.P - 200 et BN '!U15</f>
        <v>0</v>
      </c>
      <c r="C13" s="213"/>
      <c r="E13" s="211"/>
      <c r="F13" s="212"/>
      <c r="G13" s="213"/>
      <c r="I13" s="208" t="s">
        <v>103</v>
      </c>
      <c r="J13" s="209">
        <f>'Spécialité Autres'!E28</f>
        <v>1</v>
      </c>
      <c r="K13" s="210"/>
      <c r="M13" s="273" t="s">
        <v>122</v>
      </c>
      <c r="N13" s="240">
        <f>'Recette viandes'!N7</f>
        <v>0</v>
      </c>
      <c r="O13" s="236"/>
      <c r="P13" s="237">
        <f t="shared" si="0"/>
        <v>0</v>
      </c>
      <c r="Q13" s="867">
        <v>0</v>
      </c>
      <c r="R13" s="238">
        <f t="shared" si="2"/>
        <v>0</v>
      </c>
      <c r="S13" s="870">
        <v>0</v>
      </c>
      <c r="T13" s="238">
        <f t="shared" si="1"/>
        <v>0</v>
      </c>
      <c r="X13" s="263"/>
      <c r="Y13" s="266"/>
      <c r="Z13" s="264"/>
      <c r="AA13" s="266"/>
      <c r="AB13" s="264">
        <f t="shared" si="4"/>
        <v>0</v>
      </c>
      <c r="AC13" s="266"/>
      <c r="AD13" s="264"/>
      <c r="AE13" s="266"/>
      <c r="AF13" s="266"/>
      <c r="AG13" s="264"/>
      <c r="AH13" s="266">
        <f t="shared" si="3"/>
        <v>0</v>
      </c>
      <c r="AI13" s="266"/>
      <c r="AJ13" s="266"/>
    </row>
    <row r="14" spans="1:36" ht="81" customHeight="1" thickBot="1" x14ac:dyDescent="0.35">
      <c r="I14" s="208" t="s">
        <v>104</v>
      </c>
      <c r="J14" s="209">
        <f>'Spécialité Autres'!E44</f>
        <v>2</v>
      </c>
      <c r="K14" s="210"/>
      <c r="M14" s="239" t="s">
        <v>304</v>
      </c>
      <c r="N14" s="240">
        <f>'Recette viandes'!AC10</f>
        <v>23</v>
      </c>
      <c r="O14" s="236"/>
      <c r="P14" s="237">
        <f t="shared" si="0"/>
        <v>23</v>
      </c>
      <c r="Q14" s="867">
        <v>495</v>
      </c>
      <c r="R14" s="238">
        <f t="shared" si="2"/>
        <v>-472</v>
      </c>
      <c r="S14" s="870">
        <v>0</v>
      </c>
      <c r="T14" s="238">
        <f t="shared" si="1"/>
        <v>472</v>
      </c>
      <c r="U14" s="258">
        <f>T14/23</f>
        <v>20.521739130434781</v>
      </c>
      <c r="V14" s="263"/>
      <c r="X14" s="263" t="s">
        <v>291</v>
      </c>
      <c r="Y14" s="266"/>
      <c r="Z14" s="264" t="s">
        <v>286</v>
      </c>
      <c r="AA14" s="266"/>
      <c r="AB14" s="264">
        <f>Y14+AA14</f>
        <v>0</v>
      </c>
      <c r="AC14" s="266"/>
      <c r="AD14" s="264" t="s">
        <v>286</v>
      </c>
      <c r="AE14" s="266"/>
      <c r="AF14" s="266"/>
      <c r="AG14" s="264" t="s">
        <v>286</v>
      </c>
      <c r="AH14" s="266"/>
      <c r="AI14" s="266"/>
      <c r="AJ14" s="266"/>
    </row>
    <row r="15" spans="1:36" ht="81" customHeight="1" thickBot="1" x14ac:dyDescent="0.35">
      <c r="A15" s="935" t="s">
        <v>94</v>
      </c>
      <c r="B15" s="936"/>
      <c r="C15" s="937"/>
      <c r="I15" s="208" t="s">
        <v>105</v>
      </c>
      <c r="J15" s="209">
        <f>'Spécialité Fromagère'!K29</f>
        <v>0</v>
      </c>
      <c r="K15" s="210"/>
      <c r="M15" s="239" t="s">
        <v>123</v>
      </c>
      <c r="N15" s="240">
        <f>'Recette viandes'!AC11</f>
        <v>0</v>
      </c>
      <c r="O15" s="236"/>
      <c r="P15" s="237">
        <f t="shared" si="0"/>
        <v>0</v>
      </c>
      <c r="Q15" s="867">
        <v>0</v>
      </c>
      <c r="R15" s="238">
        <f t="shared" si="2"/>
        <v>0</v>
      </c>
      <c r="S15" s="870">
        <v>0</v>
      </c>
      <c r="T15" s="238">
        <f t="shared" si="1"/>
        <v>0</v>
      </c>
      <c r="U15" s="258">
        <f>T15/23</f>
        <v>0</v>
      </c>
      <c r="V15" s="263" t="s">
        <v>533</v>
      </c>
      <c r="X15" s="263"/>
      <c r="Y15" s="262"/>
      <c r="Z15" s="264"/>
      <c r="AA15" s="264"/>
      <c r="AB15" s="264"/>
      <c r="AC15" s="264"/>
      <c r="AD15" s="264"/>
      <c r="AE15" s="264"/>
      <c r="AF15" s="264"/>
      <c r="AG15" s="264"/>
      <c r="AH15" s="264"/>
      <c r="AI15" s="264"/>
      <c r="AJ15" s="264"/>
    </row>
    <row r="16" spans="1:36" ht="81" customHeight="1" x14ac:dyDescent="0.3">
      <c r="A16" s="214" t="s">
        <v>365</v>
      </c>
      <c r="B16" s="215">
        <f>'A cuire'!E12+'A cuire'!K12+'A cuire'!K25</f>
        <v>1.5</v>
      </c>
      <c r="C16" s="216"/>
      <c r="I16" s="208" t="s">
        <v>106</v>
      </c>
      <c r="J16" s="209">
        <f>'Spécialité Autres'!K44</f>
        <v>5</v>
      </c>
      <c r="K16" s="210"/>
      <c r="M16" s="239" t="s">
        <v>124</v>
      </c>
      <c r="N16" s="240">
        <f>'Recette viandes'!AC12</f>
        <v>0</v>
      </c>
      <c r="O16" s="236"/>
      <c r="P16" s="237">
        <f t="shared" si="0"/>
        <v>0</v>
      </c>
      <c r="Q16" s="867">
        <v>468</v>
      </c>
      <c r="R16" s="238">
        <f t="shared" si="2"/>
        <v>-468</v>
      </c>
      <c r="S16" s="870">
        <v>0</v>
      </c>
      <c r="T16" s="238">
        <f t="shared" si="1"/>
        <v>468</v>
      </c>
      <c r="U16" s="258">
        <f>T16/23</f>
        <v>20.347826086956523</v>
      </c>
      <c r="X16" s="263" t="s">
        <v>292</v>
      </c>
      <c r="Y16" s="264">
        <f>('PLANNING DE FABRICATION'!E29+'PLANNING DE FABRICATION'!E34+'PLANNING DE FABRICATION'!E44)*250*2</f>
        <v>3150</v>
      </c>
      <c r="Z16" s="264" t="s">
        <v>286</v>
      </c>
      <c r="AA16" s="265"/>
      <c r="AB16" s="264">
        <f>Y16+AA16</f>
        <v>3150</v>
      </c>
      <c r="AC16" s="265"/>
      <c r="AD16" s="264" t="s">
        <v>286</v>
      </c>
      <c r="AE16" s="264">
        <f>AB16-AC16</f>
        <v>3150</v>
      </c>
      <c r="AF16" s="264">
        <f>AI16*3200</f>
        <v>0</v>
      </c>
      <c r="AG16" s="264" t="s">
        <v>286</v>
      </c>
      <c r="AH16" s="264">
        <f t="shared" si="3"/>
        <v>-3150</v>
      </c>
      <c r="AI16" s="265"/>
      <c r="AJ16" s="264" t="s">
        <v>288</v>
      </c>
    </row>
    <row r="17" spans="1:36" ht="81" customHeight="1" x14ac:dyDescent="1.65">
      <c r="A17" s="208" t="s">
        <v>366</v>
      </c>
      <c r="B17" s="209">
        <f>' Snaking'!E14+'Haché Moyen'!F12+'Haché Moyen'!M13+'Haché Moyen'!F27+'Haché Moyen'!M27+SAG!F13</f>
        <v>2.2999999999999998</v>
      </c>
      <c r="C17" s="210"/>
      <c r="I17" s="208" t="s">
        <v>107</v>
      </c>
      <c r="J17" s="209">
        <f>'A cuire'!E25</f>
        <v>0.3</v>
      </c>
      <c r="K17" s="210"/>
      <c r="M17" s="239" t="s">
        <v>125</v>
      </c>
      <c r="N17" s="240">
        <f>'Recette viandes'!AC13</f>
        <v>0</v>
      </c>
      <c r="O17" s="236"/>
      <c r="P17" s="237">
        <f t="shared" si="0"/>
        <v>0</v>
      </c>
      <c r="Q17" s="867">
        <v>1004</v>
      </c>
      <c r="R17" s="238">
        <f t="shared" si="2"/>
        <v>-1004</v>
      </c>
      <c r="S17" s="870">
        <v>0</v>
      </c>
      <c r="T17" s="238">
        <f t="shared" si="1"/>
        <v>1004</v>
      </c>
      <c r="U17" s="258">
        <f>T17/23</f>
        <v>43.652173913043477</v>
      </c>
      <c r="X17" s="263" t="s">
        <v>293</v>
      </c>
      <c r="Y17" s="264">
        <f>('PLANNING DE FABRICATION'!E16+'PLANNING DE FABRICATION'!E35+'PLANNING DE FABRICATION'!E45)*130</f>
        <v>520</v>
      </c>
      <c r="Z17" s="264" t="s">
        <v>286</v>
      </c>
      <c r="AA17" s="265"/>
      <c r="AB17" s="264">
        <f>Y17+AA17</f>
        <v>520</v>
      </c>
      <c r="AC17" s="267"/>
      <c r="AD17" s="264" t="s">
        <v>286</v>
      </c>
      <c r="AE17" s="264">
        <f>AB17-AC17</f>
        <v>520</v>
      </c>
      <c r="AF17" s="264">
        <f>AI17*1500</f>
        <v>0</v>
      </c>
      <c r="AG17" s="264" t="s">
        <v>286</v>
      </c>
      <c r="AH17" s="264">
        <f t="shared" si="3"/>
        <v>-520</v>
      </c>
      <c r="AI17" s="265"/>
      <c r="AJ17" s="264" t="s">
        <v>288</v>
      </c>
    </row>
    <row r="18" spans="1:36" ht="81" customHeight="1" x14ac:dyDescent="1.65">
      <c r="A18" s="208" t="s">
        <v>367</v>
      </c>
      <c r="B18" s="209">
        <f>'Spécialité Fromagère'!E13+'Spécialité Fromagère'!K13+'Spécialité Fromagère'!K28+'Spécialité carnée'!E13+'Spécialité carnée'!K13+'Spécialité carnée'!E28+'Spécialité carnée'!K28+'Spécialité Autres'!E13+'Spécialité Autres'!K13+'Spécialité Autres'!Q13+'Spécialité Autres'!E27+'Spécialité Autres'!K27+'Spécialité Autres'!Q27+'Spécialité Autres'!E43+'Spécialité Autres'!K43+'Spécialité Autres'!Q43+'Spécialité Autres'!E61+'Spécialité Autres'!K61+'Spécialité Autres'!Q61+'Spécialité Autres'!Q77+'Viande francaise'!E13+'Viande francaise'!K13+'Viande francaise'!Q13+'Viande francaise'!E28+'Viande francaise'!K28+'Haché Moyen'!S13+'Haché Moyen'!S27+'Haché Moyen'!S40</f>
        <v>36.5</v>
      </c>
      <c r="C18" s="210"/>
      <c r="I18" s="208" t="s">
        <v>112</v>
      </c>
      <c r="J18" s="209">
        <f>'Halrizo 200 + GP '!T8</f>
        <v>0</v>
      </c>
      <c r="K18" s="210"/>
      <c r="M18" s="273" t="s">
        <v>126</v>
      </c>
      <c r="N18" s="240">
        <f>'Recette viandes'!F9</f>
        <v>0</v>
      </c>
      <c r="O18" s="236"/>
      <c r="P18" s="237">
        <f t="shared" si="0"/>
        <v>0</v>
      </c>
      <c r="Q18" s="867">
        <v>0</v>
      </c>
      <c r="R18" s="238">
        <f t="shared" si="2"/>
        <v>0</v>
      </c>
      <c r="S18" s="870">
        <v>0</v>
      </c>
      <c r="T18" s="238">
        <f t="shared" si="1"/>
        <v>0</v>
      </c>
      <c r="V18" s="262" t="s">
        <v>302</v>
      </c>
      <c r="X18" s="263" t="s">
        <v>294</v>
      </c>
      <c r="Y18" s="264">
        <f>('PLANNING DE FABRICATION'!E61+'PLANNING DE FABRICATION'!E64)*500</f>
        <v>13750</v>
      </c>
      <c r="Z18" s="264" t="s">
        <v>286</v>
      </c>
      <c r="AA18" s="265"/>
      <c r="AB18" s="264">
        <f>Y18+AA18</f>
        <v>13750</v>
      </c>
      <c r="AC18" s="267"/>
      <c r="AD18" s="264" t="s">
        <v>286</v>
      </c>
      <c r="AE18" s="264">
        <f>AB18-AC18</f>
        <v>13750</v>
      </c>
      <c r="AF18" s="264">
        <f>AI18*4200</f>
        <v>0</v>
      </c>
      <c r="AG18" s="264" t="s">
        <v>286</v>
      </c>
      <c r="AH18" s="264">
        <f>AF18-AE18</f>
        <v>-13750</v>
      </c>
      <c r="AI18" s="265"/>
      <c r="AJ18" s="264" t="s">
        <v>288</v>
      </c>
    </row>
    <row r="19" spans="1:36" ht="81" customHeight="1" x14ac:dyDescent="0.3">
      <c r="A19" s="208" t="s">
        <v>368</v>
      </c>
      <c r="B19" s="209">
        <f>'Halrizo 200 + GP '!O21+'Halrizo 200 + GP '!Z21+'Halal 350 BN Pimenté'!E18+'Halal G.P - 200 et BN '!E19+'Halal G.P - 200 et BN '!M19+'Halal G.P - 200 et BN '!U19+'Spécialité Fromagère'!E28</f>
        <v>0</v>
      </c>
      <c r="C19" s="210"/>
      <c r="I19" s="208" t="s">
        <v>108</v>
      </c>
      <c r="J19" s="209">
        <f>'A cuire'!K13</f>
        <v>2.25</v>
      </c>
      <c r="K19" s="210"/>
      <c r="M19" s="239" t="s">
        <v>127</v>
      </c>
      <c r="N19" s="240">
        <f>'Recette viandes'!F8</f>
        <v>0</v>
      </c>
      <c r="O19" s="236"/>
      <c r="P19" s="237">
        <f t="shared" si="0"/>
        <v>0</v>
      </c>
      <c r="Q19" s="867">
        <v>1907</v>
      </c>
      <c r="R19" s="238">
        <f t="shared" si="2"/>
        <v>-1907</v>
      </c>
      <c r="S19" s="870">
        <v>0</v>
      </c>
      <c r="T19" s="238">
        <f t="shared" si="1"/>
        <v>1907</v>
      </c>
      <c r="U19" s="258">
        <f>T19/600</f>
        <v>3.1783333333333332</v>
      </c>
    </row>
    <row r="20" spans="1:36" ht="81" customHeight="1" x14ac:dyDescent="0.3">
      <c r="A20" s="217" t="s">
        <v>110</v>
      </c>
      <c r="B20" s="448"/>
      <c r="C20" s="210"/>
      <c r="I20" s="211" t="s">
        <v>109</v>
      </c>
      <c r="J20" s="212">
        <f>'A cuire'!K26</f>
        <v>0</v>
      </c>
      <c r="K20" s="213"/>
      <c r="M20" s="239" t="s">
        <v>128</v>
      </c>
      <c r="N20" s="240">
        <f>'Recette viandes'!F10</f>
        <v>0</v>
      </c>
      <c r="O20" s="236"/>
      <c r="P20" s="237">
        <f t="shared" si="0"/>
        <v>0</v>
      </c>
      <c r="Q20" s="867">
        <v>1016</v>
      </c>
      <c r="R20" s="238">
        <f t="shared" si="2"/>
        <v>-1016</v>
      </c>
      <c r="S20" s="870">
        <v>0</v>
      </c>
      <c r="T20" s="238">
        <f t="shared" si="1"/>
        <v>1016</v>
      </c>
      <c r="U20" s="258">
        <f>T20/1500</f>
        <v>0.67733333333333334</v>
      </c>
    </row>
    <row r="21" spans="1:36" ht="126" customHeight="1" x14ac:dyDescent="0.3">
      <c r="B21" s="284"/>
      <c r="C21" s="284"/>
      <c r="I21" s="211" t="s">
        <v>309</v>
      </c>
      <c r="J21" s="212">
        <f>'A cuire'!K27</f>
        <v>0</v>
      </c>
      <c r="K21" s="213"/>
      <c r="M21" s="239" t="s">
        <v>263</v>
      </c>
      <c r="N21" s="240">
        <f>'Recette viandes'!F6</f>
        <v>0</v>
      </c>
      <c r="O21" s="236"/>
      <c r="P21" s="237">
        <f t="shared" si="0"/>
        <v>0</v>
      </c>
      <c r="Q21" s="867">
        <v>0</v>
      </c>
      <c r="R21" s="238">
        <f t="shared" si="2"/>
        <v>0</v>
      </c>
      <c r="S21" s="870">
        <v>0</v>
      </c>
      <c r="T21" s="238">
        <f t="shared" si="1"/>
        <v>0</v>
      </c>
      <c r="U21" s="258">
        <f>T21/1000</f>
        <v>0</v>
      </c>
    </row>
    <row r="22" spans="1:36" ht="87.75" customHeight="1" x14ac:dyDescent="0.3">
      <c r="I22" s="208" t="s">
        <v>346</v>
      </c>
      <c r="J22" s="209">
        <f>'Spécialité Autres'!Q78</f>
        <v>1.6</v>
      </c>
      <c r="K22" s="210"/>
      <c r="M22" s="239" t="s">
        <v>316</v>
      </c>
      <c r="N22" s="240">
        <f>'Recette viandes'!F11</f>
        <v>0</v>
      </c>
      <c r="O22" s="236"/>
      <c r="P22" s="237">
        <f t="shared" si="0"/>
        <v>0</v>
      </c>
      <c r="Q22" s="867">
        <v>1253</v>
      </c>
      <c r="R22" s="238">
        <f t="shared" si="2"/>
        <v>-1253</v>
      </c>
      <c r="S22" s="870">
        <v>0</v>
      </c>
      <c r="T22" s="238">
        <f t="shared" si="1"/>
        <v>1253</v>
      </c>
      <c r="U22" s="258">
        <f>T22/1500</f>
        <v>0.83533333333333337</v>
      </c>
    </row>
    <row r="23" spans="1:36" ht="60.75" customHeight="1" x14ac:dyDescent="0.3"/>
    <row r="24" spans="1:36" ht="60.75" customHeight="1" x14ac:dyDescent="0.3"/>
    <row r="25" spans="1:36" ht="60.75" customHeight="1" x14ac:dyDescent="0.3"/>
    <row r="26" spans="1:36" ht="60.75" customHeight="1" x14ac:dyDescent="0.3"/>
    <row r="27" spans="1:36" ht="60.75" customHeight="1" x14ac:dyDescent="0.3"/>
    <row r="30" spans="1:36" ht="64.5" customHeight="1" x14ac:dyDescent="0.3"/>
    <row r="31" spans="1:36" ht="64.5" customHeight="1" x14ac:dyDescent="0.3"/>
    <row r="32" spans="1:36" ht="64.5" customHeight="1" x14ac:dyDescent="0.3"/>
    <row r="33" ht="64.5" customHeight="1" x14ac:dyDescent="0.3"/>
    <row r="34" ht="64.5" customHeight="1" x14ac:dyDescent="0.3"/>
    <row r="35" ht="64.5" customHeight="1" x14ac:dyDescent="0.3"/>
  </sheetData>
  <mergeCells count="6">
    <mergeCell ref="X2:AJ2"/>
    <mergeCell ref="A2:C2"/>
    <mergeCell ref="E2:G2"/>
    <mergeCell ref="A15:C15"/>
    <mergeCell ref="I2:K2"/>
    <mergeCell ref="M2:P2"/>
  </mergeCells>
  <printOptions horizontalCentered="1" verticalCentered="1"/>
  <pageMargins left="0.23622047244094491" right="0.23622047244094491" top="0.74803149606299213" bottom="0.74803149606299213" header="0.31496062992125984" footer="0.31496062992125984"/>
  <pageSetup paperSize="9" scale="25" fitToWidth="0" orientation="landscape"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82827-539B-445D-B93C-6518F941940F}">
  <sheetPr codeName="Sheet3"/>
  <dimension ref="A2:AD28"/>
  <sheetViews>
    <sheetView topLeftCell="A16" zoomScaleNormal="100" workbookViewId="0">
      <selection activeCell="D23" sqref="D23"/>
    </sheetView>
  </sheetViews>
  <sheetFormatPr defaultColWidth="11.44140625" defaultRowHeight="19.2" x14ac:dyDescent="0.6"/>
  <cols>
    <col min="1" max="1" width="25.88671875" style="138" customWidth="1"/>
    <col min="2" max="11" width="8.33203125" style="138" customWidth="1"/>
    <col min="12" max="12" width="8.44140625" style="138" customWidth="1"/>
    <col min="13" max="17" width="8.33203125" style="138" customWidth="1"/>
    <col min="18" max="22" width="8.44140625" style="138" customWidth="1"/>
    <col min="23" max="24" width="8.33203125" style="138" customWidth="1"/>
    <col min="25" max="32" width="8.109375" style="138" customWidth="1"/>
    <col min="33" max="16384" width="11.44140625" style="138"/>
  </cols>
  <sheetData>
    <row r="2" spans="1:29" ht="19.8" thickBot="1" x14ac:dyDescent="0.65"/>
    <row r="3" spans="1:29" ht="19.8" thickBot="1" x14ac:dyDescent="0.65">
      <c r="B3" s="945" t="s">
        <v>205</v>
      </c>
      <c r="C3" s="946"/>
      <c r="D3" s="946"/>
      <c r="E3" s="947"/>
      <c r="J3" s="976" t="s">
        <v>225</v>
      </c>
      <c r="K3" s="977"/>
      <c r="L3" s="977"/>
      <c r="M3" s="978"/>
      <c r="S3" s="963" t="s">
        <v>238</v>
      </c>
      <c r="T3" s="964"/>
      <c r="U3" s="964"/>
      <c r="V3" s="964"/>
      <c r="W3" s="964"/>
      <c r="X3" s="964"/>
      <c r="Y3" s="964"/>
      <c r="Z3" s="964"/>
      <c r="AA3" s="964"/>
      <c r="AB3" s="965"/>
    </row>
    <row r="4" spans="1:29" s="6" customFormat="1" ht="150.75" customHeight="1" thickBot="1" x14ac:dyDescent="0.35">
      <c r="A4" s="6" t="s">
        <v>244</v>
      </c>
      <c r="B4" s="943" t="s">
        <v>203</v>
      </c>
      <c r="C4" s="944"/>
      <c r="D4" s="943" t="s">
        <v>204</v>
      </c>
      <c r="E4" s="944"/>
      <c r="J4" s="943" t="s">
        <v>226</v>
      </c>
      <c r="K4" s="944"/>
      <c r="L4" s="943" t="s">
        <v>227</v>
      </c>
      <c r="M4" s="944"/>
      <c r="S4" s="943" t="s">
        <v>234</v>
      </c>
      <c r="T4" s="944"/>
      <c r="U4" s="943" t="s">
        <v>305</v>
      </c>
      <c r="V4" s="944"/>
      <c r="W4" s="943" t="s">
        <v>235</v>
      </c>
      <c r="X4" s="944"/>
      <c r="Y4" s="943" t="s">
        <v>236</v>
      </c>
      <c r="Z4" s="944"/>
      <c r="AA4" s="943" t="s">
        <v>237</v>
      </c>
      <c r="AB4" s="944"/>
    </row>
    <row r="5" spans="1:29" s="6" customFormat="1" ht="40.5" customHeight="1" thickBot="1" x14ac:dyDescent="0.35">
      <c r="A5" s="140" t="s">
        <v>220</v>
      </c>
      <c r="B5" s="176">
        <f>'PLANNING DE FABRICATION'!E7+'PLANNING DE FABRICATION'!E8+'PLANNING DE FABRICATION'!E9+'PLANNING DE FABRICATION'!E10</f>
        <v>0</v>
      </c>
      <c r="C5" s="224" t="s">
        <v>221</v>
      </c>
      <c r="D5" s="176">
        <f>'PLANNING DE FABRICATION'!E11+'PLANNING DE FABRICATION'!E12</f>
        <v>0</v>
      </c>
      <c r="E5" s="224" t="s">
        <v>221</v>
      </c>
      <c r="H5" s="948" t="s">
        <v>230</v>
      </c>
      <c r="I5" s="949"/>
      <c r="J5" s="176">
        <f>'PLANNING DE FABRICATION'!E94</f>
        <v>0</v>
      </c>
      <c r="K5" s="144" t="s">
        <v>221</v>
      </c>
      <c r="L5" s="176">
        <f>'PLANNING DE FABRICATION'!E95</f>
        <v>0</v>
      </c>
      <c r="M5" s="144" t="s">
        <v>221</v>
      </c>
      <c r="P5" s="953" t="s">
        <v>220</v>
      </c>
      <c r="Q5" s="954"/>
      <c r="R5" s="955"/>
      <c r="S5" s="176">
        <f>'PLANNING DE FABRICATION'!E66+'PLANNING DE FABRICATION'!E67+'PLANNING DE FABRICATION'!E68+'PLANNING DE FABRICATION'!E69+'PLANNING DE FABRICATION'!E70+'PLANNING DE FABRICATION'!E71+'PLANNING DE FABRICATION'!E72+'PLANNING DE FABRICATION'!E73+'PLANNING DE FABRICATION'!E74+'PLANNING DE FABRICATION'!E75+'PLANNING DE FABRICATION'!E76+'PLANNING DE FABRICATION'!E77+'PLANNING DE FABRICATION'!E78+'PLANNING DE FABRICATION'!E79+'PLANNING DE FABRICATION'!E80+'PLANNING DE FABRICATION'!E81+'PLANNING DE FABRICATION'!E82+'PLANNING DE FABRICATION'!E83+'PLANNING DE FABRICATION'!E84+'PLANNING DE FABRICATION'!E85+'PLANNING DE FABRICATION'!E86</f>
        <v>6.5</v>
      </c>
      <c r="T5" s="145" t="s">
        <v>221</v>
      </c>
      <c r="U5" s="176">
        <f>'PLANNING DE FABRICATION'!E89</f>
        <v>1</v>
      </c>
      <c r="V5" s="144" t="s">
        <v>221</v>
      </c>
      <c r="W5" s="176">
        <f>'PLANNING DE FABRICATION'!E90</f>
        <v>0</v>
      </c>
      <c r="X5" s="144" t="s">
        <v>221</v>
      </c>
      <c r="Y5" s="176">
        <f>'PLANNING DE FABRICATION'!E88</f>
        <v>0</v>
      </c>
      <c r="Z5" s="144" t="s">
        <v>221</v>
      </c>
      <c r="AA5" s="176">
        <f>'PLANNING DE FABRICATION'!E87</f>
        <v>0</v>
      </c>
      <c r="AB5" s="144" t="s">
        <v>221</v>
      </c>
    </row>
    <row r="6" spans="1:29" x14ac:dyDescent="0.6">
      <c r="A6" s="225" t="s">
        <v>198</v>
      </c>
      <c r="B6" s="226">
        <v>0</v>
      </c>
      <c r="C6" s="148">
        <f>$B$5*B6</f>
        <v>0</v>
      </c>
      <c r="D6" s="228">
        <v>0</v>
      </c>
      <c r="E6" s="148">
        <f t="shared" ref="E6:E11" si="0">D6*$D$5</f>
        <v>0</v>
      </c>
      <c r="F6" s="183">
        <f t="shared" ref="F6:F11" si="1">C6+E6</f>
        <v>0</v>
      </c>
      <c r="H6" s="974" t="s">
        <v>228</v>
      </c>
      <c r="I6" s="975"/>
      <c r="J6" s="149">
        <v>130</v>
      </c>
      <c r="K6" s="150">
        <f>$J$5*J6</f>
        <v>0</v>
      </c>
      <c r="L6" s="149"/>
      <c r="M6" s="182">
        <f>$L$5*L6</f>
        <v>0</v>
      </c>
      <c r="N6" s="183">
        <f>K6+M6</f>
        <v>0</v>
      </c>
      <c r="P6" s="956" t="s">
        <v>231</v>
      </c>
      <c r="Q6" s="957"/>
      <c r="R6" s="958"/>
      <c r="S6" s="147">
        <v>69</v>
      </c>
      <c r="T6" s="148">
        <f t="shared" ref="T6:T13" si="2">$S$5*S6</f>
        <v>448.5</v>
      </c>
      <c r="U6" s="149">
        <v>45</v>
      </c>
      <c r="V6" s="150">
        <f t="shared" ref="V6:V13" si="3">$U$5*U6</f>
        <v>45</v>
      </c>
      <c r="W6" s="149">
        <v>45</v>
      </c>
      <c r="X6" s="150">
        <f t="shared" ref="X6:X13" si="4">$W$5*W6</f>
        <v>0</v>
      </c>
      <c r="Y6" s="149">
        <v>45</v>
      </c>
      <c r="Z6" s="150">
        <f t="shared" ref="Z6:Z13" si="5">$Y$5*Y6</f>
        <v>0</v>
      </c>
      <c r="AA6" s="149">
        <v>45</v>
      </c>
      <c r="AB6" s="182">
        <f t="shared" ref="AB6:AB13" si="6">$AA$5*AA6</f>
        <v>0</v>
      </c>
      <c r="AC6" s="183">
        <f>T6+V6+X6+Z6+AB6</f>
        <v>493.5</v>
      </c>
    </row>
    <row r="7" spans="1:29" ht="19.8" thickBot="1" x14ac:dyDescent="0.65">
      <c r="A7" s="229" t="s">
        <v>199</v>
      </c>
      <c r="B7" s="230">
        <v>0</v>
      </c>
      <c r="C7" s="152">
        <f t="shared" ref="C7:C10" si="7">$B$5*B7</f>
        <v>0</v>
      </c>
      <c r="D7" s="231">
        <v>0</v>
      </c>
      <c r="E7" s="152">
        <f t="shared" si="0"/>
        <v>0</v>
      </c>
      <c r="F7" s="188">
        <f t="shared" si="1"/>
        <v>0</v>
      </c>
      <c r="H7" s="972" t="s">
        <v>229</v>
      </c>
      <c r="I7" s="973"/>
      <c r="J7" s="154">
        <v>20</v>
      </c>
      <c r="K7" s="150">
        <f>$J$5*J7</f>
        <v>0</v>
      </c>
      <c r="L7" s="154"/>
      <c r="M7" s="182">
        <f>$L$5*L7</f>
        <v>0</v>
      </c>
      <c r="N7" s="187">
        <f>K7+M7</f>
        <v>0</v>
      </c>
      <c r="P7" s="950" t="s">
        <v>232</v>
      </c>
      <c r="Q7" s="951"/>
      <c r="R7" s="952"/>
      <c r="S7" s="151">
        <v>47</v>
      </c>
      <c r="T7" s="162">
        <f t="shared" si="2"/>
        <v>305.5</v>
      </c>
      <c r="U7" s="153">
        <v>47</v>
      </c>
      <c r="V7" s="190">
        <f t="shared" si="3"/>
        <v>47</v>
      </c>
      <c r="W7" s="153">
        <v>47</v>
      </c>
      <c r="X7" s="190">
        <f t="shared" si="4"/>
        <v>0</v>
      </c>
      <c r="Y7" s="153">
        <v>47</v>
      </c>
      <c r="Z7" s="190">
        <f t="shared" si="5"/>
        <v>0</v>
      </c>
      <c r="AA7" s="153">
        <v>47</v>
      </c>
      <c r="AB7" s="189">
        <f t="shared" si="6"/>
        <v>0</v>
      </c>
      <c r="AC7" s="188">
        <f>T7+V7+X7+Z7+AB7</f>
        <v>352.5</v>
      </c>
    </row>
    <row r="8" spans="1:29" ht="19.8" thickBot="1" x14ac:dyDescent="0.65">
      <c r="A8" s="227" t="s">
        <v>200</v>
      </c>
      <c r="B8" s="226">
        <v>15</v>
      </c>
      <c r="C8" s="148">
        <f t="shared" si="7"/>
        <v>0</v>
      </c>
      <c r="D8" s="228">
        <v>35</v>
      </c>
      <c r="E8" s="148">
        <f t="shared" si="0"/>
        <v>0</v>
      </c>
      <c r="F8" s="184">
        <f t="shared" si="1"/>
        <v>0</v>
      </c>
      <c r="H8" s="969" t="s">
        <v>217</v>
      </c>
      <c r="I8" s="971"/>
      <c r="J8" s="157">
        <f>SUM(J6:J7)</f>
        <v>150</v>
      </c>
      <c r="K8" s="158">
        <f t="shared" ref="K8:M8" si="8">SUM(K6:K7)</f>
        <v>0</v>
      </c>
      <c r="L8" s="157">
        <f t="shared" si="8"/>
        <v>0</v>
      </c>
      <c r="M8" s="158">
        <f t="shared" si="8"/>
        <v>0</v>
      </c>
      <c r="P8" s="940" t="s">
        <v>213</v>
      </c>
      <c r="Q8" s="941"/>
      <c r="R8" s="942"/>
      <c r="S8" s="147"/>
      <c r="T8" s="148">
        <f t="shared" si="2"/>
        <v>0</v>
      </c>
      <c r="U8" s="155"/>
      <c r="V8" s="150">
        <f t="shared" si="3"/>
        <v>0</v>
      </c>
      <c r="W8" s="155"/>
      <c r="X8" s="150">
        <f t="shared" si="4"/>
        <v>0</v>
      </c>
      <c r="Y8" s="155"/>
      <c r="Z8" s="150">
        <f t="shared" si="5"/>
        <v>0</v>
      </c>
      <c r="AA8" s="155"/>
      <c r="AB8" s="182">
        <f t="shared" si="6"/>
        <v>0</v>
      </c>
      <c r="AC8" s="184">
        <f>T8+V8+X8+Z8+AB8</f>
        <v>0</v>
      </c>
    </row>
    <row r="9" spans="1:29" x14ac:dyDescent="0.6">
      <c r="A9" s="229" t="s">
        <v>201</v>
      </c>
      <c r="B9" s="230">
        <v>0</v>
      </c>
      <c r="C9" s="152">
        <f t="shared" si="7"/>
        <v>0</v>
      </c>
      <c r="D9" s="231">
        <v>0</v>
      </c>
      <c r="E9" s="152">
        <f t="shared" si="0"/>
        <v>0</v>
      </c>
      <c r="F9" s="188">
        <f t="shared" si="1"/>
        <v>0</v>
      </c>
      <c r="P9" s="950" t="s">
        <v>233</v>
      </c>
      <c r="Q9" s="951"/>
      <c r="R9" s="952"/>
      <c r="S9" s="151">
        <v>34</v>
      </c>
      <c r="T9" s="162">
        <f t="shared" si="2"/>
        <v>221</v>
      </c>
      <c r="U9" s="153">
        <v>35</v>
      </c>
      <c r="V9" s="190">
        <f t="shared" si="3"/>
        <v>35</v>
      </c>
      <c r="W9" s="153">
        <v>35</v>
      </c>
      <c r="X9" s="190">
        <f t="shared" si="4"/>
        <v>0</v>
      </c>
      <c r="Y9" s="153">
        <v>35</v>
      </c>
      <c r="Z9" s="190">
        <f t="shared" si="5"/>
        <v>0</v>
      </c>
      <c r="AA9" s="153">
        <v>35</v>
      </c>
      <c r="AB9" s="189">
        <f t="shared" si="6"/>
        <v>0</v>
      </c>
      <c r="AC9" s="188">
        <f t="shared" ref="AC9:AC11" si="9">T9+V9+X9+Z9+AB9</f>
        <v>256</v>
      </c>
    </row>
    <row r="10" spans="1:29" x14ac:dyDescent="0.6">
      <c r="A10" s="227" t="s">
        <v>202</v>
      </c>
      <c r="B10" s="226">
        <v>45</v>
      </c>
      <c r="C10" s="148">
        <f t="shared" si="7"/>
        <v>0</v>
      </c>
      <c r="D10" s="228">
        <v>35</v>
      </c>
      <c r="E10" s="150">
        <f t="shared" si="0"/>
        <v>0</v>
      </c>
      <c r="F10" s="241">
        <f t="shared" si="1"/>
        <v>0</v>
      </c>
      <c r="P10" s="940" t="s">
        <v>304</v>
      </c>
      <c r="Q10" s="941"/>
      <c r="R10" s="942"/>
      <c r="S10" s="147"/>
      <c r="T10" s="148">
        <f t="shared" si="2"/>
        <v>0</v>
      </c>
      <c r="U10" s="155">
        <v>23</v>
      </c>
      <c r="V10" s="150">
        <f t="shared" si="3"/>
        <v>23</v>
      </c>
      <c r="W10" s="155"/>
      <c r="X10" s="150">
        <f t="shared" si="4"/>
        <v>0</v>
      </c>
      <c r="Y10" s="155"/>
      <c r="Z10" s="150">
        <f t="shared" si="5"/>
        <v>0</v>
      </c>
      <c r="AA10" s="155"/>
      <c r="AB10" s="182">
        <f t="shared" si="6"/>
        <v>0</v>
      </c>
      <c r="AC10" s="184">
        <f>T10+V10+X10+Z10+AB10</f>
        <v>23</v>
      </c>
    </row>
    <row r="11" spans="1:29" ht="19.8" thickBot="1" x14ac:dyDescent="0.65">
      <c r="A11" s="242" t="s">
        <v>252</v>
      </c>
      <c r="B11" s="230">
        <v>90</v>
      </c>
      <c r="C11" s="152">
        <f>$B$5*B11</f>
        <v>0</v>
      </c>
      <c r="D11" s="231">
        <v>80</v>
      </c>
      <c r="E11" s="152">
        <f t="shared" si="0"/>
        <v>0</v>
      </c>
      <c r="F11" s="188">
        <f t="shared" si="1"/>
        <v>0</v>
      </c>
      <c r="P11" s="950" t="s">
        <v>123</v>
      </c>
      <c r="Q11" s="951"/>
      <c r="R11" s="952"/>
      <c r="S11" s="161"/>
      <c r="T11" s="162">
        <f t="shared" si="2"/>
        <v>0</v>
      </c>
      <c r="U11" s="153"/>
      <c r="V11" s="190">
        <f t="shared" si="3"/>
        <v>0</v>
      </c>
      <c r="W11" s="153">
        <v>23</v>
      </c>
      <c r="X11" s="190">
        <f t="shared" si="4"/>
        <v>0</v>
      </c>
      <c r="Y11" s="153"/>
      <c r="Z11" s="190">
        <f t="shared" si="5"/>
        <v>0</v>
      </c>
      <c r="AA11" s="153"/>
      <c r="AB11" s="189">
        <f t="shared" si="6"/>
        <v>0</v>
      </c>
      <c r="AC11" s="188">
        <f t="shared" si="9"/>
        <v>0</v>
      </c>
    </row>
    <row r="12" spans="1:29" ht="19.8" thickBot="1" x14ac:dyDescent="0.65">
      <c r="A12" s="159" t="s">
        <v>217</v>
      </c>
      <c r="B12" s="160">
        <f>SUM(B6:B11)</f>
        <v>150</v>
      </c>
      <c r="C12" s="158">
        <f>SUM(C6:C11)</f>
        <v>0</v>
      </c>
      <c r="D12" s="222">
        <f>SUM(D6:D11)</f>
        <v>150</v>
      </c>
      <c r="E12" s="223">
        <f>SUM(E6:E11)</f>
        <v>0</v>
      </c>
      <c r="F12" s="158">
        <f>SUM(F6:F11)</f>
        <v>0</v>
      </c>
      <c r="H12" s="223"/>
      <c r="P12" s="940" t="s">
        <v>124</v>
      </c>
      <c r="Q12" s="941"/>
      <c r="R12" s="942"/>
      <c r="S12" s="147"/>
      <c r="T12" s="148">
        <f t="shared" si="2"/>
        <v>0</v>
      </c>
      <c r="U12" s="155"/>
      <c r="V12" s="150">
        <f t="shared" si="3"/>
        <v>0</v>
      </c>
      <c r="W12" s="155"/>
      <c r="X12" s="150">
        <f t="shared" si="4"/>
        <v>0</v>
      </c>
      <c r="Y12" s="155">
        <v>23</v>
      </c>
      <c r="Z12" s="150">
        <f t="shared" si="5"/>
        <v>0</v>
      </c>
      <c r="AA12" s="155"/>
      <c r="AB12" s="182">
        <f t="shared" si="6"/>
        <v>0</v>
      </c>
      <c r="AC12" s="184">
        <f>T12+V12+X12+Z12+AB12</f>
        <v>0</v>
      </c>
    </row>
    <row r="13" spans="1:29" ht="19.8" thickBot="1" x14ac:dyDescent="0.65">
      <c r="P13" s="960" t="s">
        <v>125</v>
      </c>
      <c r="Q13" s="961"/>
      <c r="R13" s="962"/>
      <c r="S13" s="161"/>
      <c r="T13" s="162">
        <f t="shared" si="2"/>
        <v>0</v>
      </c>
      <c r="U13" s="154"/>
      <c r="V13" s="190">
        <f t="shared" si="3"/>
        <v>0</v>
      </c>
      <c r="W13" s="154"/>
      <c r="X13" s="190">
        <f t="shared" si="4"/>
        <v>0</v>
      </c>
      <c r="Y13" s="154"/>
      <c r="Z13" s="190">
        <f t="shared" si="5"/>
        <v>0</v>
      </c>
      <c r="AA13" s="154">
        <v>23</v>
      </c>
      <c r="AB13" s="189">
        <f t="shared" si="6"/>
        <v>0</v>
      </c>
      <c r="AC13" s="187">
        <f>T13+V13+X13+Z13+AB13</f>
        <v>0</v>
      </c>
    </row>
    <row r="14" spans="1:29" ht="19.8" thickBot="1" x14ac:dyDescent="0.65">
      <c r="P14" s="969" t="s">
        <v>217</v>
      </c>
      <c r="Q14" s="970"/>
      <c r="R14" s="971"/>
      <c r="S14" s="157">
        <f t="shared" ref="S14:AB14" si="10">SUM(S6:S13)</f>
        <v>150</v>
      </c>
      <c r="T14" s="163">
        <f t="shared" si="10"/>
        <v>975</v>
      </c>
      <c r="U14" s="157">
        <f t="shared" si="10"/>
        <v>150</v>
      </c>
      <c r="V14" s="163">
        <f t="shared" si="10"/>
        <v>150</v>
      </c>
      <c r="W14" s="157">
        <f t="shared" si="10"/>
        <v>150</v>
      </c>
      <c r="X14" s="163">
        <f t="shared" si="10"/>
        <v>0</v>
      </c>
      <c r="Y14" s="157">
        <f t="shared" si="10"/>
        <v>150</v>
      </c>
      <c r="Z14" s="163">
        <f t="shared" si="10"/>
        <v>0</v>
      </c>
      <c r="AA14" s="157">
        <f t="shared" si="10"/>
        <v>150</v>
      </c>
      <c r="AB14" s="163">
        <f t="shared" si="10"/>
        <v>0</v>
      </c>
    </row>
    <row r="15" spans="1:29" ht="19.8" thickBot="1" x14ac:dyDescent="0.65"/>
    <row r="16" spans="1:29" ht="19.8" thickBot="1" x14ac:dyDescent="0.65">
      <c r="B16" s="966" t="s">
        <v>239</v>
      </c>
      <c r="C16" s="967"/>
      <c r="D16" s="967"/>
      <c r="E16" s="967"/>
      <c r="F16" s="967"/>
      <c r="G16" s="967"/>
      <c r="H16" s="967"/>
      <c r="I16" s="967"/>
      <c r="J16" s="967"/>
      <c r="K16" s="967"/>
      <c r="L16" s="967"/>
      <c r="M16" s="967"/>
      <c r="N16" s="967"/>
      <c r="O16" s="967"/>
      <c r="P16" s="967"/>
      <c r="Q16" s="967"/>
      <c r="R16" s="967"/>
      <c r="S16" s="967"/>
      <c r="T16" s="967"/>
      <c r="U16" s="967"/>
      <c r="V16" s="967"/>
      <c r="W16" s="968"/>
    </row>
    <row r="17" spans="1:30" s="118" customFormat="1" ht="26.25" customHeight="1" thickBot="1" x14ac:dyDescent="0.35">
      <c r="B17" s="979" t="s">
        <v>206</v>
      </c>
      <c r="C17" s="979"/>
      <c r="D17" s="979"/>
      <c r="E17" s="979"/>
      <c r="F17" s="979" t="s">
        <v>31</v>
      </c>
      <c r="G17" s="979"/>
      <c r="H17" s="980" t="s">
        <v>215</v>
      </c>
      <c r="I17" s="981"/>
      <c r="J17" s="981"/>
      <c r="K17" s="981"/>
      <c r="L17" s="981"/>
      <c r="M17" s="982"/>
      <c r="N17" s="979" t="s">
        <v>216</v>
      </c>
      <c r="O17" s="979"/>
      <c r="P17" s="979"/>
      <c r="Q17" s="979"/>
      <c r="R17" s="979"/>
      <c r="S17" s="979"/>
      <c r="T17" s="979"/>
      <c r="U17" s="979"/>
      <c r="V17" s="979"/>
      <c r="W17" s="979"/>
      <c r="X17" s="979"/>
      <c r="Y17" s="979"/>
    </row>
    <row r="18" spans="1:30" s="17" customFormat="1" ht="157.5" customHeight="1" thickBot="1" x14ac:dyDescent="0.35">
      <c r="B18" s="984" t="s">
        <v>264</v>
      </c>
      <c r="C18" s="984"/>
      <c r="D18" s="959" t="s">
        <v>207</v>
      </c>
      <c r="E18" s="959"/>
      <c r="F18" s="983" t="s">
        <v>31</v>
      </c>
      <c r="G18" s="983"/>
      <c r="H18" s="959" t="s">
        <v>266</v>
      </c>
      <c r="I18" s="959"/>
      <c r="J18" s="959" t="s">
        <v>265</v>
      </c>
      <c r="K18" s="959"/>
      <c r="L18" s="959" t="s">
        <v>311</v>
      </c>
      <c r="M18" s="959"/>
      <c r="N18" s="983" t="s">
        <v>24</v>
      </c>
      <c r="O18" s="983"/>
      <c r="P18" s="959" t="s">
        <v>222</v>
      </c>
      <c r="Q18" s="959"/>
      <c r="R18" s="983" t="s">
        <v>87</v>
      </c>
      <c r="S18" s="983"/>
      <c r="T18" s="959" t="s">
        <v>218</v>
      </c>
      <c r="U18" s="959"/>
      <c r="V18" s="959" t="s">
        <v>219</v>
      </c>
      <c r="W18" s="959"/>
      <c r="X18" s="983" t="s">
        <v>223</v>
      </c>
      <c r="Y18" s="983"/>
      <c r="Z18" s="983" t="s">
        <v>224</v>
      </c>
      <c r="AA18" s="983"/>
    </row>
    <row r="19" spans="1:30" ht="45" customHeight="1" thickBot="1" x14ac:dyDescent="0.65">
      <c r="A19" s="143" t="s">
        <v>220</v>
      </c>
      <c r="B19" s="176">
        <f>'PLANNING DE FABRICATION'!E33+'PLANNING DE FABRICATION'!E34+'PLANNING DE FABRICATION'!E35+'PLANNING DE FABRICATION'!E36+'PLANNING DE FABRICATION'!E37+'PLANNING DE FABRICATION'!E38+'PLANNING DE FABRICATION'!E39</f>
        <v>4</v>
      </c>
      <c r="C19" s="142" t="s">
        <v>221</v>
      </c>
      <c r="D19" s="176">
        <f>'PLANNING DE FABRICATION'!E32</f>
        <v>0</v>
      </c>
      <c r="E19" s="141" t="s">
        <v>221</v>
      </c>
      <c r="F19" s="175">
        <f>'PLANNING DE FABRICATION'!E16+'PLANNING DE FABRICATION'!E17+'PLANNING DE FABRICATION'!E18+'PLANNING DE FABRICATION'!E19+'PLANNING DE FABRICATION'!E20+'PLANNING DE FABRICATION'!E21+'PLANNING DE FABRICATION'!E22</f>
        <v>2</v>
      </c>
      <c r="G19" s="142" t="s">
        <v>221</v>
      </c>
      <c r="H19" s="176">
        <f>'PLANNING DE FABRICATION'!E26+'PLANNING DE FABRICATION'!E27</f>
        <v>1.5</v>
      </c>
      <c r="I19" s="141" t="s">
        <v>221</v>
      </c>
      <c r="J19" s="176">
        <f>0</f>
        <v>0</v>
      </c>
      <c r="K19" s="141" t="s">
        <v>221</v>
      </c>
      <c r="L19" s="175">
        <f>'PLANNING DE FABRICATION'!E28</f>
        <v>0</v>
      </c>
      <c r="M19" s="142" t="s">
        <v>221</v>
      </c>
      <c r="N19" s="219">
        <f>'PLANNING DE FABRICATION'!E29</f>
        <v>0.3</v>
      </c>
      <c r="O19" s="141" t="s">
        <v>221</v>
      </c>
      <c r="P19" s="177">
        <f>'PLANNING DE FABRICATION'!E56+'PLANNING DE FABRICATION'!E57+'PLANNING DE FABRICATION'!E58+'PLANNING DE FABRICATION'!E59</f>
        <v>0.3</v>
      </c>
      <c r="Q19" s="141" t="s">
        <v>221</v>
      </c>
      <c r="R19" s="178">
        <f>'PLANNING DE FABRICATION'!E61</f>
        <v>20</v>
      </c>
      <c r="S19" s="142" t="s">
        <v>221</v>
      </c>
      <c r="T19" s="177">
        <f>'PLANNING DE FABRICATION'!E62</f>
        <v>0</v>
      </c>
      <c r="U19" s="141" t="s">
        <v>221</v>
      </c>
      <c r="V19" s="179">
        <f>'PLANNING DE FABRICATION'!E40</f>
        <v>0</v>
      </c>
      <c r="W19" s="142" t="s">
        <v>221</v>
      </c>
      <c r="X19" s="180">
        <f>'PLANNING DE FABRICATION'!E44</f>
        <v>3</v>
      </c>
      <c r="Y19" s="141" t="s">
        <v>221</v>
      </c>
      <c r="Z19" s="178">
        <f>'PLANNING DE FABRICATION'!E45</f>
        <v>2</v>
      </c>
      <c r="AA19" s="141" t="s">
        <v>221</v>
      </c>
    </row>
    <row r="20" spans="1:30" s="167" customFormat="1" x14ac:dyDescent="0.6">
      <c r="A20" s="164" t="s">
        <v>208</v>
      </c>
      <c r="B20" s="149"/>
      <c r="C20" s="165">
        <f>B20*$B$19</f>
        <v>0</v>
      </c>
      <c r="D20" s="149"/>
      <c r="E20" s="156">
        <f>D20*$D$19</f>
        <v>0</v>
      </c>
      <c r="F20" s="166">
        <v>150</v>
      </c>
      <c r="G20" s="165">
        <f>F20*$F$19</f>
        <v>300</v>
      </c>
      <c r="H20" s="149"/>
      <c r="I20" s="156">
        <f>H20*$J$19</f>
        <v>0</v>
      </c>
      <c r="J20" s="149"/>
      <c r="K20" s="156">
        <f>J20*$J$19</f>
        <v>0</v>
      </c>
      <c r="L20" s="166"/>
      <c r="M20" s="165">
        <f t="shared" ref="M20:M22" si="11">L20*$L$19</f>
        <v>0</v>
      </c>
      <c r="N20" s="149"/>
      <c r="O20" s="156">
        <f>N20*$N$19</f>
        <v>0</v>
      </c>
      <c r="P20" s="149"/>
      <c r="Q20" s="156">
        <f>$P$19*P20</f>
        <v>0</v>
      </c>
      <c r="R20" s="166"/>
      <c r="S20" s="165">
        <f>R20*$R$19</f>
        <v>0</v>
      </c>
      <c r="T20" s="149"/>
      <c r="U20" s="156">
        <f>T20*$T$19</f>
        <v>0</v>
      </c>
      <c r="V20" s="166"/>
      <c r="W20" s="165">
        <f>V20*$V$19</f>
        <v>0</v>
      </c>
      <c r="X20" s="149"/>
      <c r="Y20" s="156">
        <f>X20*$X$19</f>
        <v>0</v>
      </c>
      <c r="Z20" s="166"/>
      <c r="AA20" s="156">
        <f>Z20*$Z$19</f>
        <v>0</v>
      </c>
      <c r="AD20" s="185">
        <f>C20+E20+G20+K20+M20+O20+Q20+S20+U20+W20+Y20+AA20</f>
        <v>300</v>
      </c>
    </row>
    <row r="21" spans="1:30" s="170" customFormat="1" x14ac:dyDescent="0.6">
      <c r="A21" s="151" t="s">
        <v>209</v>
      </c>
      <c r="B21" s="153">
        <v>135</v>
      </c>
      <c r="C21" s="168">
        <f>B21*$B$19</f>
        <v>540</v>
      </c>
      <c r="D21" s="153">
        <v>125</v>
      </c>
      <c r="E21" s="152">
        <f t="shared" ref="E21:E27" si="12">D21*$D$19</f>
        <v>0</v>
      </c>
      <c r="F21" s="169"/>
      <c r="G21" s="168">
        <f t="shared" ref="G21:G27" si="13">F21*$F$19</f>
        <v>0</v>
      </c>
      <c r="H21" s="153"/>
      <c r="I21" s="152">
        <f t="shared" ref="I21:I27" si="14">H21*$J$19</f>
        <v>0</v>
      </c>
      <c r="J21" s="153"/>
      <c r="K21" s="152">
        <f t="shared" ref="K21:K27" si="15">J21*$J$19</f>
        <v>0</v>
      </c>
      <c r="L21" s="169">
        <v>110</v>
      </c>
      <c r="M21" s="168">
        <f t="shared" si="11"/>
        <v>0</v>
      </c>
      <c r="N21" s="153"/>
      <c r="O21" s="152">
        <f t="shared" ref="O21:O27" si="16">N21*$N$19</f>
        <v>0</v>
      </c>
      <c r="P21" s="153"/>
      <c r="Q21" s="152">
        <f t="shared" ref="Q21:Q27" si="17">$P$19*P21</f>
        <v>0</v>
      </c>
      <c r="R21" s="169"/>
      <c r="S21" s="168">
        <f t="shared" ref="S21:S26" si="18">R21*$R$19</f>
        <v>0</v>
      </c>
      <c r="T21" s="153"/>
      <c r="U21" s="152">
        <f t="shared" ref="U21:U27" si="19">T21*$T$19</f>
        <v>0</v>
      </c>
      <c r="V21" s="169">
        <v>84</v>
      </c>
      <c r="W21" s="168">
        <f t="shared" ref="W21:W27" si="20">V21*$V$19</f>
        <v>0</v>
      </c>
      <c r="X21" s="153"/>
      <c r="Y21" s="152">
        <f t="shared" ref="Y21:Y27" si="21">X21*$X$19</f>
        <v>0</v>
      </c>
      <c r="Z21" s="169"/>
      <c r="AA21" s="152">
        <f t="shared" ref="AA21:AA27" si="22">Z21*$Z$19</f>
        <v>0</v>
      </c>
      <c r="AD21" s="146">
        <f>C21+E21+G21+K21+M21+O21+Q21+S21+U21+W21+Y21+AA21</f>
        <v>540</v>
      </c>
    </row>
    <row r="22" spans="1:30" s="167" customFormat="1" x14ac:dyDescent="0.6">
      <c r="A22" s="164" t="s">
        <v>210</v>
      </c>
      <c r="B22" s="155"/>
      <c r="C22" s="165">
        <f t="shared" ref="C22:C27" si="23">B22*$B$19</f>
        <v>0</v>
      </c>
      <c r="D22" s="155"/>
      <c r="E22" s="156">
        <f t="shared" si="12"/>
        <v>0</v>
      </c>
      <c r="F22" s="171"/>
      <c r="G22" s="165">
        <f t="shared" si="13"/>
        <v>0</v>
      </c>
      <c r="H22" s="155">
        <v>105</v>
      </c>
      <c r="I22" s="156">
        <f>H22*$H$19</f>
        <v>157.5</v>
      </c>
      <c r="J22" s="155"/>
      <c r="K22" s="156">
        <f>J22*$J$19</f>
        <v>0</v>
      </c>
      <c r="L22" s="171"/>
      <c r="M22" s="165">
        <f t="shared" si="11"/>
        <v>0</v>
      </c>
      <c r="N22" s="155">
        <v>30</v>
      </c>
      <c r="O22" s="156">
        <f t="shared" si="16"/>
        <v>9</v>
      </c>
      <c r="P22" s="155">
        <v>82</v>
      </c>
      <c r="Q22" s="156">
        <f t="shared" si="17"/>
        <v>24.599999999999998</v>
      </c>
      <c r="R22" s="171">
        <v>69</v>
      </c>
      <c r="S22" s="165">
        <f t="shared" si="18"/>
        <v>1380</v>
      </c>
      <c r="T22" s="155">
        <v>44</v>
      </c>
      <c r="U22" s="156">
        <f t="shared" si="19"/>
        <v>0</v>
      </c>
      <c r="V22" s="171"/>
      <c r="W22" s="165">
        <f t="shared" si="20"/>
        <v>0</v>
      </c>
      <c r="X22" s="155">
        <v>82</v>
      </c>
      <c r="Y22" s="156">
        <f t="shared" si="21"/>
        <v>246</v>
      </c>
      <c r="Z22" s="171">
        <v>82</v>
      </c>
      <c r="AA22" s="156">
        <f t="shared" si="22"/>
        <v>164</v>
      </c>
      <c r="AD22" s="256">
        <f>C22+E22+G22+K22+M22+O22+Q22+S22+U22+W22+Y22+AA22+I22</f>
        <v>1981.1</v>
      </c>
    </row>
    <row r="23" spans="1:30" s="170" customFormat="1" x14ac:dyDescent="0.6">
      <c r="A23" s="151" t="s">
        <v>211</v>
      </c>
      <c r="B23" s="153">
        <v>15</v>
      </c>
      <c r="C23" s="168">
        <f t="shared" si="23"/>
        <v>60</v>
      </c>
      <c r="D23" s="153">
        <v>25</v>
      </c>
      <c r="E23" s="152">
        <f t="shared" si="12"/>
        <v>0</v>
      </c>
      <c r="F23" s="169"/>
      <c r="G23" s="168">
        <f t="shared" si="13"/>
        <v>0</v>
      </c>
      <c r="H23" s="153">
        <v>45</v>
      </c>
      <c r="I23" s="152">
        <f>H23*$H$19</f>
        <v>67.5</v>
      </c>
      <c r="J23" s="153"/>
      <c r="K23" s="152">
        <f t="shared" si="15"/>
        <v>0</v>
      </c>
      <c r="L23" s="169">
        <v>40</v>
      </c>
      <c r="M23" s="168">
        <f>L23*$L$19</f>
        <v>0</v>
      </c>
      <c r="N23" s="153">
        <v>25</v>
      </c>
      <c r="O23" s="152">
        <f>N23*$N$19</f>
        <v>7.5</v>
      </c>
      <c r="P23" s="153">
        <v>28</v>
      </c>
      <c r="Q23" s="152">
        <f t="shared" si="17"/>
        <v>8.4</v>
      </c>
      <c r="R23" s="169">
        <v>34</v>
      </c>
      <c r="S23" s="168">
        <f t="shared" si="18"/>
        <v>680</v>
      </c>
      <c r="T23" s="153">
        <v>26</v>
      </c>
      <c r="U23" s="152">
        <f t="shared" si="19"/>
        <v>0</v>
      </c>
      <c r="V23" s="169">
        <v>26</v>
      </c>
      <c r="W23" s="168">
        <f t="shared" si="20"/>
        <v>0</v>
      </c>
      <c r="X23" s="153">
        <v>28</v>
      </c>
      <c r="Y23" s="152">
        <f t="shared" si="21"/>
        <v>84</v>
      </c>
      <c r="Z23" s="169">
        <v>28</v>
      </c>
      <c r="AA23" s="152">
        <f t="shared" si="22"/>
        <v>56</v>
      </c>
      <c r="AD23" s="146">
        <f>C23+E23+G23+K23+M23+O23+Q23+S23+U23+W23+Y23+AA23+I23</f>
        <v>963.4</v>
      </c>
    </row>
    <row r="24" spans="1:30" s="167" customFormat="1" x14ac:dyDescent="0.6">
      <c r="A24" s="164" t="s">
        <v>212</v>
      </c>
      <c r="B24" s="155"/>
      <c r="C24" s="165">
        <f t="shared" si="23"/>
        <v>0</v>
      </c>
      <c r="D24" s="155"/>
      <c r="E24" s="156">
        <f t="shared" si="12"/>
        <v>0</v>
      </c>
      <c r="F24" s="171"/>
      <c r="G24" s="165">
        <f t="shared" si="13"/>
        <v>0</v>
      </c>
      <c r="H24" s="155"/>
      <c r="I24" s="156">
        <f t="shared" si="14"/>
        <v>0</v>
      </c>
      <c r="J24" s="155"/>
      <c r="K24" s="156">
        <f t="shared" si="15"/>
        <v>0</v>
      </c>
      <c r="L24" s="171"/>
      <c r="M24" s="165">
        <f t="shared" ref="M24:M27" si="24">L24*$L$19</f>
        <v>0</v>
      </c>
      <c r="N24" s="155">
        <v>60</v>
      </c>
      <c r="O24" s="156">
        <f t="shared" si="16"/>
        <v>18</v>
      </c>
      <c r="P24" s="155">
        <v>40</v>
      </c>
      <c r="Q24" s="156">
        <f t="shared" si="17"/>
        <v>12</v>
      </c>
      <c r="R24" s="171">
        <v>47</v>
      </c>
      <c r="S24" s="165">
        <f t="shared" si="18"/>
        <v>940</v>
      </c>
      <c r="T24" s="155">
        <v>60</v>
      </c>
      <c r="U24" s="156">
        <f t="shared" si="19"/>
        <v>0</v>
      </c>
      <c r="V24" s="171">
        <v>40</v>
      </c>
      <c r="W24" s="165">
        <f t="shared" si="20"/>
        <v>0</v>
      </c>
      <c r="X24" s="155">
        <v>40</v>
      </c>
      <c r="Y24" s="156">
        <f t="shared" si="21"/>
        <v>120</v>
      </c>
      <c r="Z24" s="171">
        <v>40</v>
      </c>
      <c r="AA24" s="156">
        <f t="shared" si="22"/>
        <v>80</v>
      </c>
      <c r="AD24" s="256">
        <f>C24+E24+G24+K24+M24+O24+Q24+S24+U24+W24+Y24+AA24</f>
        <v>1170</v>
      </c>
    </row>
    <row r="25" spans="1:30" s="170" customFormat="1" x14ac:dyDescent="0.6">
      <c r="A25" s="151" t="s">
        <v>213</v>
      </c>
      <c r="B25" s="153"/>
      <c r="C25" s="168">
        <f t="shared" si="23"/>
        <v>0</v>
      </c>
      <c r="D25" s="153"/>
      <c r="E25" s="152">
        <f t="shared" si="12"/>
        <v>0</v>
      </c>
      <c r="F25" s="169"/>
      <c r="G25" s="168">
        <f t="shared" si="13"/>
        <v>0</v>
      </c>
      <c r="H25" s="153"/>
      <c r="I25" s="152">
        <f t="shared" si="14"/>
        <v>0</v>
      </c>
      <c r="J25" s="153"/>
      <c r="K25" s="152">
        <f t="shared" si="15"/>
        <v>0</v>
      </c>
      <c r="L25" s="169"/>
      <c r="M25" s="168">
        <f t="shared" si="24"/>
        <v>0</v>
      </c>
      <c r="N25" s="153"/>
      <c r="O25" s="152">
        <f t="shared" si="16"/>
        <v>0</v>
      </c>
      <c r="P25" s="153"/>
      <c r="Q25" s="152">
        <f t="shared" si="17"/>
        <v>0</v>
      </c>
      <c r="R25" s="169"/>
      <c r="S25" s="168">
        <f t="shared" si="18"/>
        <v>0</v>
      </c>
      <c r="T25" s="153">
        <v>20</v>
      </c>
      <c r="U25" s="152">
        <f t="shared" si="19"/>
        <v>0</v>
      </c>
      <c r="V25" s="169"/>
      <c r="W25" s="168">
        <f t="shared" si="20"/>
        <v>0</v>
      </c>
      <c r="X25" s="153"/>
      <c r="Y25" s="152">
        <f t="shared" si="21"/>
        <v>0</v>
      </c>
      <c r="Z25" s="169"/>
      <c r="AA25" s="152">
        <f t="shared" si="22"/>
        <v>0</v>
      </c>
      <c r="AD25" s="146">
        <f>C25+E25+G25+K25+M25+O25+Q25+S25+U25+W25+Y25+AA25</f>
        <v>0</v>
      </c>
    </row>
    <row r="26" spans="1:30" s="167" customFormat="1" x14ac:dyDescent="0.6">
      <c r="A26" s="164" t="s">
        <v>214</v>
      </c>
      <c r="B26" s="155"/>
      <c r="C26" s="165">
        <f t="shared" si="23"/>
        <v>0</v>
      </c>
      <c r="D26" s="155"/>
      <c r="E26" s="156">
        <f t="shared" si="12"/>
        <v>0</v>
      </c>
      <c r="F26" s="171"/>
      <c r="G26" s="165">
        <f t="shared" si="13"/>
        <v>0</v>
      </c>
      <c r="H26" s="155"/>
      <c r="I26" s="156">
        <f t="shared" si="14"/>
        <v>0</v>
      </c>
      <c r="J26" s="155"/>
      <c r="K26" s="156">
        <f t="shared" si="15"/>
        <v>0</v>
      </c>
      <c r="L26" s="171"/>
      <c r="M26" s="165">
        <f t="shared" si="24"/>
        <v>0</v>
      </c>
      <c r="N26" s="155">
        <v>25</v>
      </c>
      <c r="O26" s="156">
        <f t="shared" si="16"/>
        <v>7.5</v>
      </c>
      <c r="P26" s="155"/>
      <c r="Q26" s="156">
        <f t="shared" si="17"/>
        <v>0</v>
      </c>
      <c r="R26" s="171"/>
      <c r="S26" s="165">
        <f t="shared" si="18"/>
        <v>0</v>
      </c>
      <c r="T26" s="155"/>
      <c r="U26" s="156">
        <f t="shared" si="19"/>
        <v>0</v>
      </c>
      <c r="V26" s="171"/>
      <c r="W26" s="165">
        <f t="shared" si="20"/>
        <v>0</v>
      </c>
      <c r="X26" s="155"/>
      <c r="Y26" s="156">
        <f t="shared" si="21"/>
        <v>0</v>
      </c>
      <c r="Z26" s="171"/>
      <c r="AA26" s="156">
        <f t="shared" si="22"/>
        <v>0</v>
      </c>
      <c r="AD26" s="256">
        <f>C26+E26+G26+K26+M26+O26+Q26+S26+U26+W26+Y26+AA26</f>
        <v>7.5</v>
      </c>
    </row>
    <row r="27" spans="1:30" s="170" customFormat="1" ht="19.8" thickBot="1" x14ac:dyDescent="0.65">
      <c r="A27" s="172" t="s">
        <v>297</v>
      </c>
      <c r="B27" s="154"/>
      <c r="C27" s="168">
        <f t="shared" si="23"/>
        <v>0</v>
      </c>
      <c r="D27" s="154"/>
      <c r="E27" s="152">
        <f t="shared" si="12"/>
        <v>0</v>
      </c>
      <c r="F27" s="181"/>
      <c r="G27" s="168">
        <f t="shared" si="13"/>
        <v>0</v>
      </c>
      <c r="H27" s="154"/>
      <c r="I27" s="152">
        <f t="shared" si="14"/>
        <v>0</v>
      </c>
      <c r="J27" s="154"/>
      <c r="K27" s="152">
        <f t="shared" si="15"/>
        <v>0</v>
      </c>
      <c r="L27" s="181"/>
      <c r="M27" s="168">
        <f t="shared" si="24"/>
        <v>0</v>
      </c>
      <c r="N27" s="220">
        <v>10</v>
      </c>
      <c r="O27" s="221">
        <f t="shared" si="16"/>
        <v>3</v>
      </c>
      <c r="P27" s="154"/>
      <c r="Q27" s="152">
        <f t="shared" si="17"/>
        <v>0</v>
      </c>
      <c r="R27" s="181"/>
      <c r="S27" s="168">
        <f>R27*$R$19</f>
        <v>0</v>
      </c>
      <c r="T27" s="154"/>
      <c r="U27" s="152">
        <f t="shared" si="19"/>
        <v>0</v>
      </c>
      <c r="V27" s="181"/>
      <c r="W27" s="168">
        <f t="shared" si="20"/>
        <v>0</v>
      </c>
      <c r="X27" s="154"/>
      <c r="Y27" s="152">
        <f t="shared" si="21"/>
        <v>0</v>
      </c>
      <c r="Z27" s="181"/>
      <c r="AA27" s="152">
        <f t="shared" si="22"/>
        <v>0</v>
      </c>
      <c r="AD27" s="186">
        <f>C27+E27+G27+K27+M27+O27+Q27+S27+U27+W27+Y27+AA27</f>
        <v>3</v>
      </c>
    </row>
    <row r="28" spans="1:30" s="139" customFormat="1" ht="19.5" customHeight="1" thickBot="1" x14ac:dyDescent="0.55000000000000004">
      <c r="A28" s="173" t="s">
        <v>217</v>
      </c>
      <c r="B28" s="173">
        <f>SUM(B20:B27)</f>
        <v>150</v>
      </c>
      <c r="C28" s="174">
        <f t="shared" ref="C28:AA28" si="25">SUM(C20:C27)</f>
        <v>600</v>
      </c>
      <c r="D28" s="173">
        <f>SUM(D20:D27)</f>
        <v>150</v>
      </c>
      <c r="E28" s="174">
        <f>SUM(E20:E27)</f>
        <v>0</v>
      </c>
      <c r="F28" s="173">
        <f>SUM(F20:F27)</f>
        <v>150</v>
      </c>
      <c r="G28" s="174">
        <f t="shared" si="25"/>
        <v>300</v>
      </c>
      <c r="H28" s="173">
        <f>SUM(H20:H27)</f>
        <v>150</v>
      </c>
      <c r="I28" s="174">
        <f>SUM(I20:I27)</f>
        <v>225</v>
      </c>
      <c r="J28" s="173">
        <f>SUM(J20:J27)</f>
        <v>0</v>
      </c>
      <c r="K28" s="174">
        <f t="shared" si="25"/>
        <v>0</v>
      </c>
      <c r="L28" s="173">
        <f>SUM(L20:L27)</f>
        <v>150</v>
      </c>
      <c r="M28" s="174">
        <f t="shared" ref="M28" si="26">SUM(M20:M27)</f>
        <v>0</v>
      </c>
      <c r="N28" s="173">
        <f>SUM(N20:N27)</f>
        <v>150</v>
      </c>
      <c r="O28" s="174">
        <f t="shared" si="25"/>
        <v>45</v>
      </c>
      <c r="P28" s="173">
        <f>SUM(P20:P27)</f>
        <v>150</v>
      </c>
      <c r="Q28" s="174">
        <f t="shared" si="25"/>
        <v>45</v>
      </c>
      <c r="R28" s="173">
        <f>SUM(R20:R27)</f>
        <v>150</v>
      </c>
      <c r="S28" s="174">
        <f t="shared" si="25"/>
        <v>3000</v>
      </c>
      <c r="T28" s="173">
        <f>SUM(T20:T27)</f>
        <v>150</v>
      </c>
      <c r="U28" s="174">
        <f t="shared" si="25"/>
        <v>0</v>
      </c>
      <c r="V28" s="173">
        <f>SUM(V20:V27)</f>
        <v>150</v>
      </c>
      <c r="W28" s="174">
        <f t="shared" si="25"/>
        <v>0</v>
      </c>
      <c r="X28" s="173">
        <f>SUM(X20:X27)</f>
        <v>150</v>
      </c>
      <c r="Y28" s="174">
        <f t="shared" si="25"/>
        <v>450</v>
      </c>
      <c r="Z28" s="173">
        <f>SUM(Z20:Z27)</f>
        <v>150</v>
      </c>
      <c r="AA28" s="174">
        <f t="shared" si="25"/>
        <v>300</v>
      </c>
    </row>
  </sheetData>
  <sheetProtection algorithmName="SHA-512" hashValue="DNiu8vWCI7R1e1MiWNUg6CJbtb02ECes9MAHYD121rdS9gektcYvoopvrC74EsmVcRVxwtYTThtp4YfKPvJwBA==" saltValue="eWFP/hhUMhbDgHxNmAobUg==" spinCount="100000" sheet="1" objects="1" scenarios="1"/>
  <mergeCells count="44">
    <mergeCell ref="B17:E17"/>
    <mergeCell ref="F17:G17"/>
    <mergeCell ref="N17:Y17"/>
    <mergeCell ref="H17:M17"/>
    <mergeCell ref="Z18:AA18"/>
    <mergeCell ref="X18:Y18"/>
    <mergeCell ref="B18:C18"/>
    <mergeCell ref="D18:E18"/>
    <mergeCell ref="F18:G18"/>
    <mergeCell ref="J18:K18"/>
    <mergeCell ref="N18:O18"/>
    <mergeCell ref="L18:M18"/>
    <mergeCell ref="V18:W18"/>
    <mergeCell ref="T18:U18"/>
    <mergeCell ref="R18:S18"/>
    <mergeCell ref="P18:Q18"/>
    <mergeCell ref="H18:I18"/>
    <mergeCell ref="P13:R13"/>
    <mergeCell ref="S3:AB3"/>
    <mergeCell ref="B16:W16"/>
    <mergeCell ref="P14:R14"/>
    <mergeCell ref="S4:T4"/>
    <mergeCell ref="U4:V4"/>
    <mergeCell ref="W4:X4"/>
    <mergeCell ref="Y4:Z4"/>
    <mergeCell ref="AA4:AB4"/>
    <mergeCell ref="P10:R10"/>
    <mergeCell ref="H8:I8"/>
    <mergeCell ref="H7:I7"/>
    <mergeCell ref="H6:I6"/>
    <mergeCell ref="J3:M3"/>
    <mergeCell ref="L4:M4"/>
    <mergeCell ref="P12:R12"/>
    <mergeCell ref="B4:C4"/>
    <mergeCell ref="B3:E3"/>
    <mergeCell ref="H5:I5"/>
    <mergeCell ref="P11:R11"/>
    <mergeCell ref="P5:R5"/>
    <mergeCell ref="J4:K4"/>
    <mergeCell ref="P9:R9"/>
    <mergeCell ref="P8:R8"/>
    <mergeCell ref="P6:R6"/>
    <mergeCell ref="P7:R7"/>
    <mergeCell ref="D4:E4"/>
  </mergeCells>
  <pageMargins left="0.7" right="0.7" top="0.75" bottom="0.75" header="0.3" footer="0.3"/>
  <pageSetup paperSize="9" orientation="landscape" r:id="rId1"/>
  <headerFooter>
    <oddHeader>&amp;C&amp;D</oddHead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0F716-F30D-4CD6-866F-FC660D018C16}">
  <sheetPr codeName="Sheet4">
    <tabColor rgb="FFFF0000"/>
    <pageSetUpPr fitToPage="1"/>
  </sheetPr>
  <dimension ref="A1:Z23"/>
  <sheetViews>
    <sheetView topLeftCell="J1" zoomScale="70" zoomScaleNormal="70" workbookViewId="0">
      <selection activeCell="L17" sqref="L17"/>
    </sheetView>
  </sheetViews>
  <sheetFormatPr defaultColWidth="40.88671875" defaultRowHeight="22.8" x14ac:dyDescent="0.7"/>
  <cols>
    <col min="1" max="1" width="0" style="2" hidden="1" customWidth="1"/>
    <col min="2" max="2" width="19.33203125" style="3" hidden="1" customWidth="1"/>
    <col min="3" max="3" width="4.88671875" style="17" hidden="1" customWidth="1"/>
    <col min="4" max="4" width="12.44140625" style="33" hidden="1" customWidth="1"/>
    <col min="5" max="5" width="5" style="1" hidden="1" customWidth="1"/>
    <col min="6" max="6" width="29.44140625" style="1" hidden="1" customWidth="1"/>
    <col min="7" max="7" width="25.5546875" style="1" hidden="1" customWidth="1"/>
    <col min="8" max="8" width="6.109375" style="23" hidden="1" customWidth="1"/>
    <col min="9" max="9" width="12.33203125" style="1" hidden="1" customWidth="1"/>
    <col min="10" max="10" width="4.33203125" style="1" customWidth="1"/>
    <col min="11" max="11" width="43.6640625" style="1" customWidth="1"/>
    <col min="12" max="12" width="14.109375" style="1" bestFit="1" customWidth="1"/>
    <col min="13" max="13" width="12.5546875" style="1" bestFit="1" customWidth="1"/>
    <col min="14" max="14" width="9.109375" style="23" bestFit="1" customWidth="1"/>
    <col min="15" max="15" width="15.33203125" style="1" customWidth="1"/>
    <col min="16" max="16" width="8.88671875" style="1" customWidth="1"/>
    <col min="17" max="17" width="0" style="1" hidden="1" customWidth="1"/>
    <col min="18" max="18" width="18" style="1" hidden="1" customWidth="1"/>
    <col min="19" max="19" width="6.6640625" style="1" hidden="1" customWidth="1"/>
    <col min="20" max="20" width="14.6640625" style="1" hidden="1" customWidth="1"/>
    <col min="21" max="21" width="40.88671875" style="1"/>
    <col min="22" max="22" width="47.44140625" style="1" bestFit="1" customWidth="1"/>
    <col min="23" max="23" width="13.6640625" style="1" customWidth="1"/>
    <col min="24" max="24" width="13.44140625" style="1" customWidth="1"/>
    <col min="25" max="25" width="10.33203125" style="1" bestFit="1" customWidth="1"/>
    <col min="26" max="26" width="13.109375" style="1" bestFit="1" customWidth="1"/>
    <col min="27" max="16384" width="40.88671875" style="1"/>
  </cols>
  <sheetData>
    <row r="1" spans="1:26" ht="89.25" customHeight="1" thickTop="1" thickBot="1" x14ac:dyDescent="0.75">
      <c r="A1" s="996" t="s">
        <v>46</v>
      </c>
      <c r="B1" s="997"/>
      <c r="C1" s="997"/>
      <c r="D1" s="997"/>
      <c r="F1" s="996" t="s">
        <v>39</v>
      </c>
      <c r="G1" s="997"/>
      <c r="H1" s="997"/>
      <c r="I1" s="997"/>
      <c r="J1" s="20"/>
      <c r="K1" s="985" t="s">
        <v>323</v>
      </c>
      <c r="L1" s="986"/>
      <c r="M1" s="986"/>
      <c r="N1" s="986"/>
      <c r="O1" s="278"/>
      <c r="Q1" s="1018" t="s">
        <v>260</v>
      </c>
      <c r="R1" s="997"/>
      <c r="S1" s="997"/>
      <c r="T1" s="997"/>
      <c r="V1" s="985" t="s">
        <v>350</v>
      </c>
      <c r="W1" s="986"/>
      <c r="X1" s="986"/>
      <c r="Y1" s="986"/>
      <c r="Z1" s="278"/>
    </row>
    <row r="2" spans="1:26" ht="30.6" thickTop="1" x14ac:dyDescent="0.7">
      <c r="F2" s="998" t="s">
        <v>45</v>
      </c>
      <c r="G2" s="998"/>
      <c r="H2" s="998"/>
      <c r="I2" s="998"/>
      <c r="K2" s="3"/>
      <c r="L2" s="3"/>
      <c r="M2" s="3"/>
      <c r="Q2" s="244" t="s">
        <v>259</v>
      </c>
      <c r="R2" s="243"/>
      <c r="S2" s="243"/>
      <c r="T2" s="243"/>
      <c r="V2" s="3"/>
      <c r="W2" s="3"/>
      <c r="X2" s="3"/>
      <c r="Y2" s="23"/>
    </row>
    <row r="3" spans="1:26" ht="26.25" customHeight="1" thickBot="1" x14ac:dyDescent="0.75">
      <c r="K3" s="3"/>
      <c r="L3" s="3"/>
      <c r="M3" s="3"/>
      <c r="S3" s="23"/>
      <c r="V3" s="3"/>
      <c r="W3" s="3"/>
      <c r="X3" s="3"/>
      <c r="Y3" s="23"/>
    </row>
    <row r="4" spans="1:26" ht="26.25" customHeight="1" thickBot="1" x14ac:dyDescent="0.75">
      <c r="A4" s="1002" t="s">
        <v>0</v>
      </c>
      <c r="B4" s="1000" t="s">
        <v>12</v>
      </c>
      <c r="C4" s="1004" t="s">
        <v>35</v>
      </c>
      <c r="D4" s="98" t="s">
        <v>47</v>
      </c>
      <c r="F4" s="1007" t="s">
        <v>0</v>
      </c>
      <c r="G4" s="1009" t="s">
        <v>12</v>
      </c>
      <c r="H4" s="1011" t="s">
        <v>35</v>
      </c>
      <c r="I4" s="99" t="s">
        <v>47</v>
      </c>
      <c r="K4" s="987" t="s">
        <v>0</v>
      </c>
      <c r="L4" s="988" t="s">
        <v>320</v>
      </c>
      <c r="M4" s="988" t="s">
        <v>321</v>
      </c>
      <c r="N4" s="989" t="s">
        <v>35</v>
      </c>
      <c r="O4" s="324" t="s">
        <v>47</v>
      </c>
      <c r="Q4" s="1013" t="s">
        <v>0</v>
      </c>
      <c r="R4" s="1015" t="s">
        <v>12</v>
      </c>
      <c r="S4" s="1017" t="s">
        <v>35</v>
      </c>
      <c r="T4" s="254" t="s">
        <v>258</v>
      </c>
      <c r="V4" s="987" t="s">
        <v>0</v>
      </c>
      <c r="W4" s="988" t="s">
        <v>320</v>
      </c>
      <c r="X4" s="988" t="s">
        <v>321</v>
      </c>
      <c r="Y4" s="989" t="s">
        <v>35</v>
      </c>
      <c r="Z4" s="324" t="s">
        <v>47</v>
      </c>
    </row>
    <row r="5" spans="1:26" ht="26.25" customHeight="1" thickTop="1" thickBot="1" x14ac:dyDescent="0.75">
      <c r="A5" s="1003"/>
      <c r="B5" s="1001"/>
      <c r="C5" s="1005"/>
      <c r="D5" s="103">
        <v>0</v>
      </c>
      <c r="F5" s="1008"/>
      <c r="G5" s="1010"/>
      <c r="H5" s="1012"/>
      <c r="I5" s="102">
        <v>0</v>
      </c>
      <c r="K5" s="987"/>
      <c r="L5" s="988"/>
      <c r="M5" s="988"/>
      <c r="N5" s="989"/>
      <c r="O5" s="325">
        <f>'PLANNING DE FABRICATION'!E12</f>
        <v>0</v>
      </c>
      <c r="Q5" s="1014"/>
      <c r="R5" s="1016"/>
      <c r="S5" s="995"/>
      <c r="T5" s="253">
        <v>0</v>
      </c>
      <c r="V5" s="987"/>
      <c r="W5" s="988"/>
      <c r="X5" s="988"/>
      <c r="Y5" s="989"/>
      <c r="Z5" s="325">
        <f>'PLANNING DE FABRICATION'!E8</f>
        <v>0</v>
      </c>
    </row>
    <row r="6" spans="1:26" ht="50.1" customHeight="1" thickTop="1" x14ac:dyDescent="0.7">
      <c r="A6" s="28" t="s">
        <v>13</v>
      </c>
      <c r="B6" s="22">
        <v>3.75</v>
      </c>
      <c r="C6" s="24" t="s">
        <v>33</v>
      </c>
      <c r="D6" s="100">
        <f t="shared" ref="D6:D20" si="0">B6*$D$5</f>
        <v>0</v>
      </c>
      <c r="F6" s="21" t="s">
        <v>41</v>
      </c>
      <c r="G6" s="22">
        <v>7</v>
      </c>
      <c r="H6" s="24" t="s">
        <v>33</v>
      </c>
      <c r="I6" s="101">
        <f>G6*$I$5</f>
        <v>0</v>
      </c>
      <c r="K6" s="301" t="s">
        <v>131</v>
      </c>
      <c r="L6" s="289">
        <v>3.75</v>
      </c>
      <c r="M6" s="289">
        <f>L6</f>
        <v>3.75</v>
      </c>
      <c r="N6" s="282" t="s">
        <v>254</v>
      </c>
      <c r="O6" s="326">
        <f t="shared" ref="O6:O20" si="1">L6*$O$5</f>
        <v>0</v>
      </c>
      <c r="Q6" s="248" t="s">
        <v>253</v>
      </c>
      <c r="R6" s="245">
        <v>1.5</v>
      </c>
      <c r="S6" s="246" t="s">
        <v>254</v>
      </c>
      <c r="T6" s="281">
        <f>$T$5*R6</f>
        <v>0</v>
      </c>
      <c r="V6" s="301" t="s">
        <v>131</v>
      </c>
      <c r="W6" s="289">
        <v>3.75</v>
      </c>
      <c r="X6" s="289">
        <f>W6</f>
        <v>3.75</v>
      </c>
      <c r="Y6" s="282" t="s">
        <v>254</v>
      </c>
      <c r="Z6" s="326">
        <f>W6*$Z$5</f>
        <v>0</v>
      </c>
    </row>
    <row r="7" spans="1:26" ht="50.1" customHeight="1" x14ac:dyDescent="0.7">
      <c r="A7" s="29" t="s">
        <v>1</v>
      </c>
      <c r="B7" s="27">
        <v>0.75</v>
      </c>
      <c r="C7" s="19" t="s">
        <v>33</v>
      </c>
      <c r="D7" s="35">
        <f t="shared" si="0"/>
        <v>0</v>
      </c>
      <c r="F7" s="26" t="s">
        <v>40</v>
      </c>
      <c r="G7" s="27">
        <v>3.6</v>
      </c>
      <c r="H7" s="19" t="s">
        <v>33</v>
      </c>
      <c r="I7" s="25">
        <f>G7*$I$5</f>
        <v>0</v>
      </c>
      <c r="K7" s="292" t="s">
        <v>1</v>
      </c>
      <c r="L7" s="331">
        <v>0.75</v>
      </c>
      <c r="M7" s="331">
        <f>M6+L7</f>
        <v>4.5</v>
      </c>
      <c r="N7" s="293" t="s">
        <v>254</v>
      </c>
      <c r="O7" s="326">
        <f t="shared" si="1"/>
        <v>0</v>
      </c>
      <c r="Q7" s="249" t="s">
        <v>255</v>
      </c>
      <c r="R7" s="26">
        <v>3</v>
      </c>
      <c r="S7" s="18" t="s">
        <v>254</v>
      </c>
      <c r="T7" s="25">
        <f t="shared" ref="T7:T9" si="2">$T$5*R7</f>
        <v>0</v>
      </c>
      <c r="V7" s="292" t="s">
        <v>1</v>
      </c>
      <c r="W7" s="331">
        <v>0.75</v>
      </c>
      <c r="X7" s="331">
        <f>X6+W7</f>
        <v>4.5</v>
      </c>
      <c r="Y7" s="293" t="s">
        <v>254</v>
      </c>
      <c r="Z7" s="326">
        <f>W7*$Z$5</f>
        <v>0</v>
      </c>
    </row>
    <row r="8" spans="1:26" ht="50.1" customHeight="1" thickBot="1" x14ac:dyDescent="0.75">
      <c r="A8" s="30" t="s">
        <v>14</v>
      </c>
      <c r="B8" s="12">
        <v>1.7999999999999999E-2</v>
      </c>
      <c r="C8" s="18" t="s">
        <v>33</v>
      </c>
      <c r="D8" s="35">
        <f t="shared" si="0"/>
        <v>0</v>
      </c>
      <c r="F8" s="46" t="s">
        <v>42</v>
      </c>
      <c r="G8" s="47">
        <v>9.1</v>
      </c>
      <c r="H8" s="48" t="s">
        <v>33</v>
      </c>
      <c r="I8" s="49">
        <f>G8*$I$5</f>
        <v>0</v>
      </c>
      <c r="K8" s="298" t="s">
        <v>132</v>
      </c>
      <c r="L8" s="333">
        <v>0.02</v>
      </c>
      <c r="M8" s="334">
        <f>M7+L8</f>
        <v>4.5199999999999996</v>
      </c>
      <c r="N8" s="285" t="s">
        <v>254</v>
      </c>
      <c r="O8" s="327">
        <f t="shared" si="1"/>
        <v>0</v>
      </c>
      <c r="Q8" s="250" t="s">
        <v>42</v>
      </c>
      <c r="R8" s="12">
        <v>8.4</v>
      </c>
      <c r="S8" s="18" t="s">
        <v>254</v>
      </c>
      <c r="T8" s="25">
        <f t="shared" si="2"/>
        <v>0</v>
      </c>
      <c r="V8" s="298" t="s">
        <v>132</v>
      </c>
      <c r="W8" s="333">
        <v>0.02</v>
      </c>
      <c r="X8" s="334">
        <f>X7+W8</f>
        <v>4.5199999999999996</v>
      </c>
      <c r="Y8" s="285" t="s">
        <v>254</v>
      </c>
      <c r="Z8" s="326">
        <f>W8*$Z$5</f>
        <v>0</v>
      </c>
    </row>
    <row r="9" spans="1:26" ht="50.1" customHeight="1" thickBot="1" x14ac:dyDescent="0.75">
      <c r="A9" s="29" t="s">
        <v>2</v>
      </c>
      <c r="B9" s="27">
        <v>0.45</v>
      </c>
      <c r="C9" s="19" t="s">
        <v>33</v>
      </c>
      <c r="D9" s="35">
        <f t="shared" si="0"/>
        <v>0</v>
      </c>
      <c r="F9" s="50" t="s">
        <v>43</v>
      </c>
      <c r="G9" s="50">
        <v>2</v>
      </c>
      <c r="H9" s="51" t="s">
        <v>34</v>
      </c>
      <c r="I9" s="52">
        <f>G9*$I$5</f>
        <v>0</v>
      </c>
      <c r="K9" s="305" t="s">
        <v>2</v>
      </c>
      <c r="L9" s="336">
        <v>0.45</v>
      </c>
      <c r="M9" s="336">
        <f>L9</f>
        <v>0.45</v>
      </c>
      <c r="N9" s="297" t="s">
        <v>254</v>
      </c>
      <c r="O9" s="328">
        <f t="shared" si="1"/>
        <v>0</v>
      </c>
      <c r="Q9" s="251" t="s">
        <v>256</v>
      </c>
      <c r="R9" s="247">
        <v>2</v>
      </c>
      <c r="S9" s="252" t="s">
        <v>257</v>
      </c>
      <c r="T9" s="25">
        <f t="shared" si="2"/>
        <v>0</v>
      </c>
      <c r="V9" s="305" t="s">
        <v>2</v>
      </c>
      <c r="W9" s="336">
        <v>0.45</v>
      </c>
      <c r="X9" s="336">
        <f>W9</f>
        <v>0.45</v>
      </c>
      <c r="Y9" s="297" t="s">
        <v>254</v>
      </c>
      <c r="Z9" s="326">
        <f>W9*$Z$5</f>
        <v>0</v>
      </c>
    </row>
    <row r="10" spans="1:26" ht="50.1" customHeight="1" x14ac:dyDescent="0.7">
      <c r="A10" s="30" t="s">
        <v>91</v>
      </c>
      <c r="B10" s="12">
        <v>0.3</v>
      </c>
      <c r="C10" s="18" t="s">
        <v>33</v>
      </c>
      <c r="D10" s="35">
        <f t="shared" si="0"/>
        <v>0</v>
      </c>
      <c r="F10" s="1006" t="s">
        <v>50</v>
      </c>
      <c r="G10" s="1006"/>
      <c r="H10" s="1006"/>
      <c r="I10" s="1006"/>
      <c r="K10" s="301" t="s">
        <v>91</v>
      </c>
      <c r="L10" s="332">
        <v>0.3</v>
      </c>
      <c r="M10" s="332">
        <f t="shared" ref="M10:M16" si="3">M9+L10</f>
        <v>0.75</v>
      </c>
      <c r="N10" s="282" t="s">
        <v>254</v>
      </c>
      <c r="O10" s="326">
        <f t="shared" si="1"/>
        <v>0</v>
      </c>
      <c r="S10" s="23"/>
      <c r="V10" s="301" t="s">
        <v>91</v>
      </c>
      <c r="W10" s="332">
        <v>0.3</v>
      </c>
      <c r="X10" s="332">
        <f t="shared" ref="X10:X16" si="4">X9+W10</f>
        <v>0.75</v>
      </c>
      <c r="Y10" s="282" t="s">
        <v>254</v>
      </c>
      <c r="Z10" s="326">
        <f t="shared" ref="Z10:Z21" si="5">W10*$Z$5</f>
        <v>0</v>
      </c>
    </row>
    <row r="11" spans="1:26" ht="50.1" customHeight="1" x14ac:dyDescent="0.7">
      <c r="A11" s="29" t="s">
        <v>3</v>
      </c>
      <c r="B11" s="27">
        <v>3</v>
      </c>
      <c r="C11" s="19" t="s">
        <v>33</v>
      </c>
      <c r="D11" s="35">
        <f t="shared" si="0"/>
        <v>0</v>
      </c>
      <c r="F11" s="1006"/>
      <c r="G11" s="1006"/>
      <c r="H11" s="1006"/>
      <c r="I11" s="1006"/>
      <c r="K11" s="292" t="s">
        <v>3</v>
      </c>
      <c r="L11" s="331">
        <v>3</v>
      </c>
      <c r="M11" s="331">
        <f t="shared" si="3"/>
        <v>3.75</v>
      </c>
      <c r="N11" s="293" t="s">
        <v>254</v>
      </c>
      <c r="O11" s="326">
        <f t="shared" si="1"/>
        <v>0</v>
      </c>
      <c r="V11" s="292" t="s">
        <v>3</v>
      </c>
      <c r="W11" s="331">
        <v>3</v>
      </c>
      <c r="X11" s="331">
        <f t="shared" si="4"/>
        <v>3.75</v>
      </c>
      <c r="Y11" s="293" t="s">
        <v>254</v>
      </c>
      <c r="Z11" s="326">
        <f t="shared" si="5"/>
        <v>0</v>
      </c>
    </row>
    <row r="12" spans="1:26" ht="50.1" customHeight="1" x14ac:dyDescent="0.7">
      <c r="A12" s="30" t="s">
        <v>4</v>
      </c>
      <c r="B12" s="12">
        <v>0.3</v>
      </c>
      <c r="C12" s="18" t="s">
        <v>33</v>
      </c>
      <c r="D12" s="35">
        <f t="shared" si="0"/>
        <v>0</v>
      </c>
      <c r="F12" s="999" t="s">
        <v>44</v>
      </c>
      <c r="G12" s="999"/>
      <c r="H12" s="999"/>
      <c r="I12" s="999"/>
      <c r="K12" s="301" t="s">
        <v>17</v>
      </c>
      <c r="L12" s="332">
        <v>0.3</v>
      </c>
      <c r="M12" s="332">
        <f t="shared" si="3"/>
        <v>4.05</v>
      </c>
      <c r="N12" s="282" t="s">
        <v>254</v>
      </c>
      <c r="O12" s="326">
        <f t="shared" si="1"/>
        <v>0</v>
      </c>
      <c r="V12" s="301" t="s">
        <v>17</v>
      </c>
      <c r="W12" s="332">
        <v>0.3</v>
      </c>
      <c r="X12" s="332">
        <f t="shared" si="4"/>
        <v>4.05</v>
      </c>
      <c r="Y12" s="282" t="s">
        <v>254</v>
      </c>
      <c r="Z12" s="326">
        <f t="shared" si="5"/>
        <v>0</v>
      </c>
    </row>
    <row r="13" spans="1:26" ht="50.1" customHeight="1" x14ac:dyDescent="0.7">
      <c r="A13" s="29" t="s">
        <v>5</v>
      </c>
      <c r="B13" s="27">
        <v>0.08</v>
      </c>
      <c r="C13" s="19" t="s">
        <v>33</v>
      </c>
      <c r="D13" s="35">
        <f t="shared" si="0"/>
        <v>0</v>
      </c>
      <c r="F13" s="999"/>
      <c r="G13" s="999"/>
      <c r="H13" s="999"/>
      <c r="I13" s="999"/>
      <c r="K13" s="292" t="s">
        <v>5</v>
      </c>
      <c r="L13" s="331">
        <v>0.08</v>
      </c>
      <c r="M13" s="331">
        <f t="shared" si="3"/>
        <v>4.13</v>
      </c>
      <c r="N13" s="293" t="s">
        <v>254</v>
      </c>
      <c r="O13" s="326">
        <f t="shared" si="1"/>
        <v>0</v>
      </c>
      <c r="V13" s="292" t="s">
        <v>5</v>
      </c>
      <c r="W13" s="331">
        <v>0.08</v>
      </c>
      <c r="X13" s="331">
        <f t="shared" si="4"/>
        <v>4.13</v>
      </c>
      <c r="Y13" s="293" t="s">
        <v>254</v>
      </c>
      <c r="Z13" s="326">
        <f t="shared" si="5"/>
        <v>0</v>
      </c>
    </row>
    <row r="14" spans="1:26" ht="50.1" customHeight="1" x14ac:dyDescent="0.7">
      <c r="A14" s="30" t="s">
        <v>15</v>
      </c>
      <c r="B14" s="12">
        <v>0.75</v>
      </c>
      <c r="C14" s="18" t="s">
        <v>33</v>
      </c>
      <c r="D14" s="35">
        <f t="shared" si="0"/>
        <v>0</v>
      </c>
      <c r="F14" s="999"/>
      <c r="G14" s="999"/>
      <c r="H14" s="999"/>
      <c r="I14" s="999"/>
      <c r="J14" s="16"/>
      <c r="K14" s="301" t="s">
        <v>385</v>
      </c>
      <c r="L14" s="332">
        <v>0.75</v>
      </c>
      <c r="M14" s="332">
        <f t="shared" si="3"/>
        <v>4.88</v>
      </c>
      <c r="N14" s="282" t="s">
        <v>254</v>
      </c>
      <c r="O14" s="326">
        <f t="shared" si="1"/>
        <v>0</v>
      </c>
      <c r="V14" s="301" t="s">
        <v>385</v>
      </c>
      <c r="W14" s="332">
        <v>0.75</v>
      </c>
      <c r="X14" s="332">
        <f t="shared" si="4"/>
        <v>4.88</v>
      </c>
      <c r="Y14" s="282" t="s">
        <v>254</v>
      </c>
      <c r="Z14" s="326">
        <f t="shared" si="5"/>
        <v>0</v>
      </c>
    </row>
    <row r="15" spans="1:26" ht="50.1" customHeight="1" thickBot="1" x14ac:dyDescent="0.75">
      <c r="A15" s="29" t="s">
        <v>6</v>
      </c>
      <c r="B15" s="27">
        <v>0.75</v>
      </c>
      <c r="C15" s="19" t="s">
        <v>33</v>
      </c>
      <c r="D15" s="35">
        <f t="shared" si="0"/>
        <v>0</v>
      </c>
      <c r="F15" s="104"/>
      <c r="G15" s="104"/>
      <c r="H15" s="104"/>
      <c r="I15" s="104"/>
      <c r="J15" s="16"/>
      <c r="K15" s="292" t="s">
        <v>6</v>
      </c>
      <c r="L15" s="331">
        <v>0.75</v>
      </c>
      <c r="M15" s="331">
        <f t="shared" si="3"/>
        <v>5.63</v>
      </c>
      <c r="N15" s="293" t="s">
        <v>254</v>
      </c>
      <c r="O15" s="326">
        <f t="shared" si="1"/>
        <v>0</v>
      </c>
      <c r="V15" s="292" t="s">
        <v>6</v>
      </c>
      <c r="W15" s="331">
        <v>0.75</v>
      </c>
      <c r="X15" s="331">
        <f t="shared" si="4"/>
        <v>5.63</v>
      </c>
      <c r="Y15" s="293" t="s">
        <v>254</v>
      </c>
      <c r="Z15" s="326">
        <f t="shared" si="5"/>
        <v>0</v>
      </c>
    </row>
    <row r="16" spans="1:26" ht="50.1" customHeight="1" thickTop="1" thickBot="1" x14ac:dyDescent="0.75">
      <c r="A16" s="30" t="s">
        <v>7</v>
      </c>
      <c r="B16" s="12">
        <v>6</v>
      </c>
      <c r="C16" s="18" t="s">
        <v>33</v>
      </c>
      <c r="D16" s="35">
        <f t="shared" si="0"/>
        <v>0</v>
      </c>
      <c r="F16" s="996" t="s">
        <v>86</v>
      </c>
      <c r="G16" s="997"/>
      <c r="H16" s="997"/>
      <c r="I16" s="997"/>
      <c r="J16" s="16"/>
      <c r="K16" s="301" t="s">
        <v>7</v>
      </c>
      <c r="L16" s="332">
        <v>6</v>
      </c>
      <c r="M16" s="332">
        <f t="shared" si="3"/>
        <v>11.629999999999999</v>
      </c>
      <c r="N16" s="282" t="s">
        <v>254</v>
      </c>
      <c r="O16" s="326">
        <f t="shared" si="1"/>
        <v>0</v>
      </c>
      <c r="V16" s="301" t="s">
        <v>7</v>
      </c>
      <c r="W16" s="332">
        <v>6</v>
      </c>
      <c r="X16" s="332">
        <f t="shared" si="4"/>
        <v>11.629999999999999</v>
      </c>
      <c r="Y16" s="282" t="s">
        <v>254</v>
      </c>
      <c r="Z16" s="326">
        <f t="shared" si="5"/>
        <v>0</v>
      </c>
    </row>
    <row r="17" spans="1:26" ht="50.1" customHeight="1" thickTop="1" thickBot="1" x14ac:dyDescent="0.75">
      <c r="A17" s="29" t="s">
        <v>8</v>
      </c>
      <c r="B17" s="27">
        <v>0.2</v>
      </c>
      <c r="C17" s="19" t="s">
        <v>33</v>
      </c>
      <c r="D17" s="35">
        <f t="shared" si="0"/>
        <v>0</v>
      </c>
      <c r="J17" s="16"/>
      <c r="K17" s="292" t="s">
        <v>8</v>
      </c>
      <c r="L17" s="331">
        <v>0.2</v>
      </c>
      <c r="M17" s="331">
        <f t="shared" ref="M17:M20" si="6">M16+L17</f>
        <v>11.829999999999998</v>
      </c>
      <c r="N17" s="293" t="s">
        <v>254</v>
      </c>
      <c r="O17" s="326">
        <f t="shared" si="1"/>
        <v>0</v>
      </c>
      <c r="V17" s="292" t="s">
        <v>8</v>
      </c>
      <c r="W17" s="331">
        <v>0.2</v>
      </c>
      <c r="X17" s="331">
        <f t="shared" ref="X17:X19" si="7">X16+W17</f>
        <v>11.829999999999998</v>
      </c>
      <c r="Y17" s="293" t="s">
        <v>254</v>
      </c>
      <c r="Z17" s="326">
        <f t="shared" si="5"/>
        <v>0</v>
      </c>
    </row>
    <row r="18" spans="1:26" ht="50.1" customHeight="1" thickBot="1" x14ac:dyDescent="0.75">
      <c r="A18" s="31" t="s">
        <v>9</v>
      </c>
      <c r="B18" s="12">
        <v>0.2</v>
      </c>
      <c r="C18" s="18" t="s">
        <v>33</v>
      </c>
      <c r="D18" s="35">
        <f t="shared" si="0"/>
        <v>0</v>
      </c>
      <c r="F18" s="990" t="s">
        <v>0</v>
      </c>
      <c r="G18" s="992" t="s">
        <v>12</v>
      </c>
      <c r="H18" s="994" t="s">
        <v>35</v>
      </c>
      <c r="I18" s="107" t="s">
        <v>47</v>
      </c>
      <c r="J18" s="16"/>
      <c r="K18" s="288" t="s">
        <v>9</v>
      </c>
      <c r="L18" s="332">
        <v>0.2</v>
      </c>
      <c r="M18" s="332">
        <f t="shared" si="6"/>
        <v>12.029999999999998</v>
      </c>
      <c r="N18" s="282" t="s">
        <v>254</v>
      </c>
      <c r="O18" s="326">
        <f t="shared" si="1"/>
        <v>0</v>
      </c>
      <c r="V18" s="288" t="s">
        <v>9</v>
      </c>
      <c r="W18" s="332">
        <v>0.2</v>
      </c>
      <c r="X18" s="332">
        <f t="shared" si="7"/>
        <v>12.029999999999998</v>
      </c>
      <c r="Y18" s="282" t="s">
        <v>254</v>
      </c>
      <c r="Z18" s="326">
        <f t="shared" si="5"/>
        <v>0</v>
      </c>
    </row>
    <row r="19" spans="1:26" ht="50.1" customHeight="1" thickTop="1" thickBot="1" x14ac:dyDescent="0.75">
      <c r="A19" s="36" t="s">
        <v>10</v>
      </c>
      <c r="B19" s="39">
        <v>0.15</v>
      </c>
      <c r="C19" s="40" t="s">
        <v>33</v>
      </c>
      <c r="D19" s="41">
        <f t="shared" si="0"/>
        <v>0</v>
      </c>
      <c r="F19" s="991"/>
      <c r="G19" s="993"/>
      <c r="H19" s="995"/>
      <c r="I19" s="119"/>
      <c r="J19" s="16"/>
      <c r="K19" s="290" t="s">
        <v>10</v>
      </c>
      <c r="L19" s="331">
        <v>0.15</v>
      </c>
      <c r="M19" s="331">
        <f t="shared" si="6"/>
        <v>12.179999999999998</v>
      </c>
      <c r="N19" s="293" t="s">
        <v>254</v>
      </c>
      <c r="O19" s="326">
        <f t="shared" si="1"/>
        <v>0</v>
      </c>
      <c r="V19" s="290" t="s">
        <v>10</v>
      </c>
      <c r="W19" s="331">
        <v>0.15</v>
      </c>
      <c r="X19" s="331">
        <f t="shared" si="7"/>
        <v>12.179999999999998</v>
      </c>
      <c r="Y19" s="293" t="s">
        <v>254</v>
      </c>
      <c r="Z19" s="326">
        <f t="shared" si="5"/>
        <v>0</v>
      </c>
    </row>
    <row r="20" spans="1:26" ht="50.1" customHeight="1" thickBot="1" x14ac:dyDescent="0.75">
      <c r="A20" s="37" t="s">
        <v>11</v>
      </c>
      <c r="B20" s="42">
        <v>1</v>
      </c>
      <c r="C20" s="43" t="s">
        <v>34</v>
      </c>
      <c r="D20" s="44">
        <f t="shared" si="0"/>
        <v>0</v>
      </c>
      <c r="F20" s="129" t="s">
        <v>42</v>
      </c>
      <c r="G20" s="47">
        <v>12</v>
      </c>
      <c r="H20" s="48" t="s">
        <v>33</v>
      </c>
      <c r="I20" s="105">
        <f>G20*$I$19</f>
        <v>0</v>
      </c>
      <c r="J20" s="16"/>
      <c r="K20" s="335" t="s">
        <v>322</v>
      </c>
      <c r="L20" s="334">
        <v>0.15</v>
      </c>
      <c r="M20" s="334">
        <f t="shared" si="6"/>
        <v>12.329999999999998</v>
      </c>
      <c r="N20" s="285" t="s">
        <v>254</v>
      </c>
      <c r="O20" s="329">
        <f t="shared" si="1"/>
        <v>0</v>
      </c>
      <c r="V20" s="335" t="s">
        <v>322</v>
      </c>
      <c r="W20" s="334">
        <v>7.4999999999999997E-2</v>
      </c>
      <c r="X20" s="334">
        <f>X19+W20</f>
        <v>12.254999999999997</v>
      </c>
      <c r="Y20" s="285" t="s">
        <v>254</v>
      </c>
      <c r="Z20" s="326">
        <f t="shared" si="5"/>
        <v>0</v>
      </c>
    </row>
    <row r="21" spans="1:26" ht="50.1" customHeight="1" thickBot="1" x14ac:dyDescent="0.75">
      <c r="A21" s="4"/>
      <c r="F21" s="131" t="s">
        <v>134</v>
      </c>
      <c r="G21" s="108">
        <v>1</v>
      </c>
      <c r="H21" s="109" t="s">
        <v>34</v>
      </c>
      <c r="I21" s="106">
        <f>G21*$I$19</f>
        <v>0</v>
      </c>
      <c r="J21" s="16"/>
      <c r="K21" s="295" t="s">
        <v>11</v>
      </c>
      <c r="L21" s="307">
        <v>2</v>
      </c>
      <c r="M21" s="307">
        <v>2</v>
      </c>
      <c r="N21" s="297" t="s">
        <v>257</v>
      </c>
      <c r="O21" s="330">
        <f t="shared" ref="O21" si="8">L21*$O$5</f>
        <v>0</v>
      </c>
      <c r="V21" s="295" t="s">
        <v>11</v>
      </c>
      <c r="W21" s="307">
        <v>2</v>
      </c>
      <c r="X21" s="307">
        <v>2</v>
      </c>
      <c r="Y21" s="297" t="s">
        <v>257</v>
      </c>
      <c r="Z21" s="326">
        <f t="shared" si="5"/>
        <v>0</v>
      </c>
    </row>
    <row r="22" spans="1:26" x14ac:dyDescent="0.7">
      <c r="A22" s="5"/>
      <c r="J22" s="16"/>
      <c r="O22" s="3"/>
    </row>
    <row r="23" spans="1:26" x14ac:dyDescent="0.7">
      <c r="O23" s="3"/>
    </row>
  </sheetData>
  <sheetProtection algorithmName="SHA-512" hashValue="qDa96vb2SDIBcg800+Eo8bXLZSFHBillQH8dKkK/69mb8ahFmkoychH2s3F3UZbvhLHVz671GXukE/sVGVE3bQ==" saltValue="lIHZ0K9TI2fspZKIUCXngg==" spinCount="100000" sheet="1" objects="1" scenarios="1"/>
  <mergeCells count="29">
    <mergeCell ref="Q4:Q5"/>
    <mergeCell ref="R4:R5"/>
    <mergeCell ref="S4:S5"/>
    <mergeCell ref="Q1:T1"/>
    <mergeCell ref="K4:K5"/>
    <mergeCell ref="L4:L5"/>
    <mergeCell ref="N4:N5"/>
    <mergeCell ref="K1:N1"/>
    <mergeCell ref="M4:M5"/>
    <mergeCell ref="F18:F19"/>
    <mergeCell ref="G18:G19"/>
    <mergeCell ref="H18:H19"/>
    <mergeCell ref="A1:D1"/>
    <mergeCell ref="F1:I1"/>
    <mergeCell ref="F2:I2"/>
    <mergeCell ref="F12:I14"/>
    <mergeCell ref="B4:B5"/>
    <mergeCell ref="A4:A5"/>
    <mergeCell ref="C4:C5"/>
    <mergeCell ref="F16:I16"/>
    <mergeCell ref="F10:I11"/>
    <mergeCell ref="F4:F5"/>
    <mergeCell ref="G4:G5"/>
    <mergeCell ref="H4:H5"/>
    <mergeCell ref="V1:Y1"/>
    <mergeCell ref="V4:V5"/>
    <mergeCell ref="W4:W5"/>
    <mergeCell ref="X4:X5"/>
    <mergeCell ref="Y4:Y5"/>
  </mergeCells>
  <printOptions horizontalCentered="1" verticalCentered="1"/>
  <pageMargins left="0.70866141732283472" right="0.70866141732283472" top="0.74803149606299213" bottom="0.74803149606299213" header="0.31496062992125984" footer="0.31496062992125984"/>
  <pageSetup paperSize="9" scale="76"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DD118-2859-447B-8E6C-F4C5F9A19F22}">
  <sheetPr codeName="Sheet5">
    <tabColor rgb="FFFF0000"/>
    <pageSetUpPr fitToPage="1"/>
  </sheetPr>
  <dimension ref="A1:J18"/>
  <sheetViews>
    <sheetView topLeftCell="A7" zoomScale="70" zoomScaleNormal="70" workbookViewId="0">
      <selection sqref="A1:D18"/>
    </sheetView>
  </sheetViews>
  <sheetFormatPr defaultColWidth="11.44140625" defaultRowHeight="33.75" customHeight="1" x14ac:dyDescent="0.3"/>
  <cols>
    <col min="1" max="1" width="47.88671875" style="7" bestFit="1" customWidth="1"/>
    <col min="2" max="2" width="14.109375" style="7" customWidth="1"/>
    <col min="3" max="3" width="12.33203125" style="7" customWidth="1"/>
    <col min="4" max="4" width="9.88671875" style="17" customWidth="1"/>
    <col min="5" max="5" width="16.5546875" style="7" bestFit="1" customWidth="1"/>
    <col min="6" max="16384" width="11.44140625" style="7"/>
  </cols>
  <sheetData>
    <row r="1" spans="1:5" ht="33.75" customHeight="1" x14ac:dyDescent="0.3">
      <c r="A1" s="1020" t="s">
        <v>351</v>
      </c>
      <c r="B1" s="1021"/>
      <c r="C1" s="1021"/>
      <c r="D1" s="1021"/>
      <c r="E1" s="279"/>
    </row>
    <row r="2" spans="1:5" ht="33.75" customHeight="1" x14ac:dyDescent="0.3">
      <c r="A2" s="20"/>
      <c r="B2" s="20"/>
      <c r="C2" s="20"/>
      <c r="D2" s="45"/>
    </row>
    <row r="3" spans="1:5" ht="33.75" customHeight="1" thickBot="1" x14ac:dyDescent="0.35">
      <c r="A3" s="987" t="s">
        <v>0</v>
      </c>
      <c r="B3" s="1019" t="s">
        <v>319</v>
      </c>
      <c r="C3" s="1019" t="s">
        <v>321</v>
      </c>
      <c r="D3" s="989" t="s">
        <v>35</v>
      </c>
      <c r="E3" s="337" t="s">
        <v>47</v>
      </c>
    </row>
    <row r="4" spans="1:5" ht="44.25" customHeight="1" x14ac:dyDescent="0.3">
      <c r="A4" s="987"/>
      <c r="B4" s="1019"/>
      <c r="C4" s="1019"/>
      <c r="D4" s="989"/>
      <c r="E4" s="338">
        <f>'PLANNING DE FABRICATION'!E10</f>
        <v>0</v>
      </c>
    </row>
    <row r="5" spans="1:5" ht="50.1" customHeight="1" x14ac:dyDescent="0.3">
      <c r="A5" s="288" t="s">
        <v>16</v>
      </c>
      <c r="B5" s="289">
        <v>3.75</v>
      </c>
      <c r="C5" s="289">
        <f>B5</f>
        <v>3.75</v>
      </c>
      <c r="D5" s="308" t="s">
        <v>254</v>
      </c>
      <c r="E5" s="339">
        <f>B5*$E$4</f>
        <v>0</v>
      </c>
    </row>
    <row r="6" spans="1:5" ht="50.1" customHeight="1" x14ac:dyDescent="0.3">
      <c r="A6" s="290" t="s">
        <v>1</v>
      </c>
      <c r="B6" s="287">
        <v>0.75</v>
      </c>
      <c r="C6" s="287">
        <f>C5+B6</f>
        <v>4.5</v>
      </c>
      <c r="D6" s="291" t="s">
        <v>254</v>
      </c>
      <c r="E6" s="339">
        <f t="shared" ref="E6:E18" si="0">B6*$E$4</f>
        <v>0</v>
      </c>
    </row>
    <row r="7" spans="1:5" ht="50.1" customHeight="1" thickBot="1" x14ac:dyDescent="0.35">
      <c r="A7" s="335" t="s">
        <v>21</v>
      </c>
      <c r="B7" s="333">
        <v>0.02</v>
      </c>
      <c r="C7" s="300">
        <f>C6+B7</f>
        <v>4.5199999999999996</v>
      </c>
      <c r="D7" s="344" t="s">
        <v>254</v>
      </c>
      <c r="E7" s="340">
        <f t="shared" si="0"/>
        <v>0</v>
      </c>
    </row>
    <row r="8" spans="1:5" ht="50.1" customHeight="1" x14ac:dyDescent="0.3">
      <c r="A8" s="345" t="s">
        <v>2</v>
      </c>
      <c r="B8" s="286">
        <v>0.45</v>
      </c>
      <c r="C8" s="286">
        <f>B8</f>
        <v>0.45</v>
      </c>
      <c r="D8" s="346" t="s">
        <v>254</v>
      </c>
      <c r="E8" s="341">
        <f t="shared" si="0"/>
        <v>0</v>
      </c>
    </row>
    <row r="9" spans="1:5" ht="50.1" customHeight="1" x14ac:dyDescent="0.3">
      <c r="A9" s="288" t="s">
        <v>91</v>
      </c>
      <c r="B9" s="302">
        <v>0.3</v>
      </c>
      <c r="C9" s="302">
        <f t="shared" ref="C9:C17" si="1">C8+B9</f>
        <v>0.75</v>
      </c>
      <c r="D9" s="308" t="s">
        <v>254</v>
      </c>
      <c r="E9" s="342">
        <f t="shared" si="0"/>
        <v>0</v>
      </c>
    </row>
    <row r="10" spans="1:5" ht="50.1" customHeight="1" x14ac:dyDescent="0.3">
      <c r="A10" s="290" t="s">
        <v>3</v>
      </c>
      <c r="B10" s="287">
        <v>3</v>
      </c>
      <c r="C10" s="287">
        <f t="shared" si="1"/>
        <v>3.75</v>
      </c>
      <c r="D10" s="291" t="s">
        <v>254</v>
      </c>
      <c r="E10" s="342">
        <f t="shared" si="0"/>
        <v>0</v>
      </c>
    </row>
    <row r="11" spans="1:5" ht="50.1" customHeight="1" x14ac:dyDescent="0.3">
      <c r="A11" s="288" t="s">
        <v>17</v>
      </c>
      <c r="B11" s="302">
        <v>0.45</v>
      </c>
      <c r="C11" s="302">
        <f t="shared" si="1"/>
        <v>4.2</v>
      </c>
      <c r="D11" s="308" t="s">
        <v>254</v>
      </c>
      <c r="E11" s="342">
        <f t="shared" si="0"/>
        <v>0</v>
      </c>
    </row>
    <row r="12" spans="1:5" ht="50.1" customHeight="1" x14ac:dyDescent="0.3">
      <c r="A12" s="290" t="s">
        <v>18</v>
      </c>
      <c r="B12" s="287">
        <v>0.15</v>
      </c>
      <c r="C12" s="287">
        <f t="shared" si="1"/>
        <v>4.3500000000000005</v>
      </c>
      <c r="D12" s="291" t="s">
        <v>254</v>
      </c>
      <c r="E12" s="342">
        <f t="shared" si="0"/>
        <v>0</v>
      </c>
    </row>
    <row r="13" spans="1:5" ht="50.1" customHeight="1" x14ac:dyDescent="0.3">
      <c r="A13" s="288" t="s">
        <v>5</v>
      </c>
      <c r="B13" s="302">
        <v>0.08</v>
      </c>
      <c r="C13" s="302">
        <f t="shared" si="1"/>
        <v>4.4300000000000006</v>
      </c>
      <c r="D13" s="308" t="s">
        <v>254</v>
      </c>
      <c r="E13" s="342">
        <f t="shared" si="0"/>
        <v>0</v>
      </c>
    </row>
    <row r="14" spans="1:5" ht="50.1" customHeight="1" x14ac:dyDescent="0.3">
      <c r="A14" s="290" t="s">
        <v>385</v>
      </c>
      <c r="B14" s="287">
        <v>0.75</v>
      </c>
      <c r="C14" s="287">
        <f t="shared" si="1"/>
        <v>5.1800000000000006</v>
      </c>
      <c r="D14" s="291" t="s">
        <v>254</v>
      </c>
      <c r="E14" s="342">
        <f t="shared" si="0"/>
        <v>0</v>
      </c>
    </row>
    <row r="15" spans="1:5" ht="50.1" customHeight="1" x14ac:dyDescent="0.3">
      <c r="A15" s="288" t="s">
        <v>6</v>
      </c>
      <c r="B15" s="302">
        <v>1.3</v>
      </c>
      <c r="C15" s="302">
        <f t="shared" si="1"/>
        <v>6.48</v>
      </c>
      <c r="D15" s="308" t="s">
        <v>254</v>
      </c>
      <c r="E15" s="342">
        <f t="shared" si="0"/>
        <v>0</v>
      </c>
    </row>
    <row r="16" spans="1:5" ht="50.1" customHeight="1" x14ac:dyDescent="0.3">
      <c r="A16" s="290" t="s">
        <v>10</v>
      </c>
      <c r="B16" s="287">
        <v>0.15</v>
      </c>
      <c r="C16" s="287">
        <f t="shared" si="1"/>
        <v>6.6300000000000008</v>
      </c>
      <c r="D16" s="291" t="s">
        <v>254</v>
      </c>
      <c r="E16" s="342">
        <f t="shared" si="0"/>
        <v>0</v>
      </c>
    </row>
    <row r="17" spans="1:10" ht="50.1" customHeight="1" thickBot="1" x14ac:dyDescent="0.35">
      <c r="A17" s="288" t="s">
        <v>9</v>
      </c>
      <c r="B17" s="302">
        <v>0.4</v>
      </c>
      <c r="C17" s="302">
        <f t="shared" si="1"/>
        <v>7.0300000000000011</v>
      </c>
      <c r="D17" s="308" t="s">
        <v>254</v>
      </c>
      <c r="E17" s="342">
        <f t="shared" si="0"/>
        <v>0</v>
      </c>
      <c r="J17" s="850"/>
    </row>
    <row r="18" spans="1:10" ht="50.1" customHeight="1" x14ac:dyDescent="0.3">
      <c r="A18" s="304" t="s">
        <v>19</v>
      </c>
      <c r="B18" s="309">
        <v>2</v>
      </c>
      <c r="C18" s="309">
        <v>2</v>
      </c>
      <c r="D18" s="310" t="s">
        <v>257</v>
      </c>
      <c r="E18" s="343">
        <f t="shared" si="0"/>
        <v>0</v>
      </c>
    </row>
  </sheetData>
  <sheetProtection algorithmName="SHA-512" hashValue="IegQpB1v2+jhNTbMgLAWOmiVfB+FgJ1nb1NbkBGs5HB30e+0JKZRkrbc/4OPNtPKGmVm0Q7fWi+xjnifwFc2qA==" saltValue="lEvLZGuFD6vrH7fSvrWX0A==" spinCount="100000" sheet="1" objects="1" scenarios="1"/>
  <mergeCells count="5">
    <mergeCell ref="A3:A4"/>
    <mergeCell ref="B3:B4"/>
    <mergeCell ref="D3:D4"/>
    <mergeCell ref="A1:D1"/>
    <mergeCell ref="C3:C4"/>
  </mergeCells>
  <printOptions horizontalCentered="1" verticalCentered="1"/>
  <pageMargins left="0.70866141732283472" right="0.70866141732283472" top="0.74803149606299213" bottom="0.74803149606299213" header="0.31496062992125984" footer="0.31496062992125984"/>
  <pageSetup paperSize="9" scale="8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A946F-8927-4B94-804C-929FB759C381}">
  <sheetPr codeName="Sheet6">
    <tabColor rgb="FFFF0000"/>
    <pageSetUpPr fitToPage="1"/>
  </sheetPr>
  <dimension ref="A1:U21"/>
  <sheetViews>
    <sheetView zoomScale="55" zoomScaleNormal="55" workbookViewId="0">
      <selection activeCell="B20" sqref="B20"/>
    </sheetView>
  </sheetViews>
  <sheetFormatPr defaultColWidth="11.44140625" defaultRowHeight="21" x14ac:dyDescent="0.3"/>
  <cols>
    <col min="1" max="1" width="47.88671875" style="8" bestFit="1" customWidth="1"/>
    <col min="2" max="2" width="14.109375" style="6" bestFit="1" customWidth="1"/>
    <col min="3" max="3" width="16.5546875" style="6" customWidth="1"/>
    <col min="4" max="4" width="10.33203125" style="17" bestFit="1" customWidth="1"/>
    <col min="5" max="5" width="16.109375" style="33" customWidth="1"/>
    <col min="6" max="8" width="11.44140625" style="8"/>
    <col min="9" max="9" width="47.88671875" style="8" bestFit="1" customWidth="1"/>
    <col min="10" max="11" width="17" style="8" customWidth="1"/>
    <col min="12" max="12" width="10.5546875" style="8" bestFit="1" customWidth="1"/>
    <col min="13" max="13" width="17" style="8" customWidth="1"/>
    <col min="14" max="16" width="11.44140625" style="8"/>
    <col min="17" max="17" width="47.44140625" style="8" bestFit="1" customWidth="1"/>
    <col min="18" max="18" width="18.33203125" style="8" customWidth="1"/>
    <col min="19" max="19" width="21" style="8" bestFit="1" customWidth="1"/>
    <col min="20" max="20" width="10.5546875" style="8" customWidth="1"/>
    <col min="21" max="21" width="16.6640625" style="8" bestFit="1" customWidth="1"/>
    <col min="22" max="16384" width="11.44140625" style="8"/>
  </cols>
  <sheetData>
    <row r="1" spans="1:21" ht="22.8" x14ac:dyDescent="0.3">
      <c r="A1" s="11"/>
      <c r="B1" s="3"/>
      <c r="C1" s="3"/>
    </row>
    <row r="2" spans="1:21" ht="72" customHeight="1" x14ac:dyDescent="0.3">
      <c r="A2" s="1022" t="s">
        <v>387</v>
      </c>
      <c r="B2" s="1023"/>
      <c r="C2" s="1023"/>
      <c r="D2" s="1023"/>
      <c r="E2" s="280"/>
      <c r="I2" s="1022" t="s">
        <v>388</v>
      </c>
      <c r="J2" s="1023"/>
      <c r="K2" s="1023"/>
      <c r="L2" s="1023"/>
      <c r="M2" s="280"/>
      <c r="Q2" s="1022" t="s">
        <v>389</v>
      </c>
      <c r="R2" s="1023"/>
      <c r="S2" s="1023"/>
      <c r="T2" s="1023"/>
      <c r="U2" s="280"/>
    </row>
    <row r="3" spans="1:21" x14ac:dyDescent="0.3">
      <c r="F3" s="7"/>
      <c r="J3" s="6"/>
      <c r="K3" s="6"/>
      <c r="L3" s="17"/>
      <c r="M3" s="33"/>
      <c r="R3" s="6"/>
      <c r="S3" s="6"/>
      <c r="T3" s="17"/>
      <c r="U3" s="33"/>
    </row>
    <row r="4" spans="1:21" ht="51.75" customHeight="1" thickBot="1" x14ac:dyDescent="0.35">
      <c r="A4" s="987" t="s">
        <v>0</v>
      </c>
      <c r="B4" s="1019" t="s">
        <v>319</v>
      </c>
      <c r="C4" s="1019" t="s">
        <v>321</v>
      </c>
      <c r="D4" s="988" t="s">
        <v>35</v>
      </c>
      <c r="E4" s="337" t="s">
        <v>47</v>
      </c>
      <c r="F4" s="7"/>
      <c r="I4" s="987" t="s">
        <v>0</v>
      </c>
      <c r="J4" s="1019" t="s">
        <v>319</v>
      </c>
      <c r="K4" s="1019" t="s">
        <v>321</v>
      </c>
      <c r="L4" s="988" t="s">
        <v>35</v>
      </c>
      <c r="M4" s="337" t="s">
        <v>47</v>
      </c>
      <c r="Q4" s="987" t="s">
        <v>0</v>
      </c>
      <c r="R4" s="1019" t="s">
        <v>319</v>
      </c>
      <c r="S4" s="1019" t="s">
        <v>321</v>
      </c>
      <c r="T4" s="988" t="s">
        <v>35</v>
      </c>
      <c r="U4" s="337" t="s">
        <v>47</v>
      </c>
    </row>
    <row r="5" spans="1:21" ht="45" customHeight="1" thickBot="1" x14ac:dyDescent="0.35">
      <c r="A5" s="987"/>
      <c r="B5" s="1019"/>
      <c r="C5" s="1019"/>
      <c r="D5" s="988"/>
      <c r="E5" s="347">
        <f>'PLANNING DE FABRICATION'!E11</f>
        <v>0</v>
      </c>
      <c r="F5" s="7"/>
      <c r="I5" s="987"/>
      <c r="J5" s="1019"/>
      <c r="K5" s="1019"/>
      <c r="L5" s="988"/>
      <c r="M5" s="347">
        <f>'PLANNING DE FABRICATION'!E7</f>
        <v>0</v>
      </c>
      <c r="Q5" s="987"/>
      <c r="R5" s="1019"/>
      <c r="S5" s="1019"/>
      <c r="T5" s="988"/>
      <c r="U5" s="347">
        <f>'PLANNING DE FABRICATION'!E9</f>
        <v>0</v>
      </c>
    </row>
    <row r="6" spans="1:21" ht="50.1" customHeight="1" x14ac:dyDescent="0.3">
      <c r="A6" s="288" t="s">
        <v>20</v>
      </c>
      <c r="B6" s="289">
        <v>3.75</v>
      </c>
      <c r="C6" s="289">
        <f>B6</f>
        <v>3.75</v>
      </c>
      <c r="D6" s="282" t="s">
        <v>254</v>
      </c>
      <c r="E6" s="450">
        <f>B6*$E$5</f>
        <v>0</v>
      </c>
      <c r="F6" s="7"/>
      <c r="I6" s="288" t="s">
        <v>20</v>
      </c>
      <c r="J6" s="289">
        <v>3.75</v>
      </c>
      <c r="K6" s="289">
        <f>J6</f>
        <v>3.75</v>
      </c>
      <c r="L6" s="282" t="s">
        <v>254</v>
      </c>
      <c r="M6" s="450">
        <f>J6*$M$5</f>
        <v>0</v>
      </c>
      <c r="Q6" s="288" t="s">
        <v>20</v>
      </c>
      <c r="R6" s="289">
        <v>3.75</v>
      </c>
      <c r="S6" s="289">
        <f>R6</f>
        <v>3.75</v>
      </c>
      <c r="T6" s="282" t="s">
        <v>254</v>
      </c>
      <c r="U6" s="450">
        <f>R6*$U$5</f>
        <v>0</v>
      </c>
    </row>
    <row r="7" spans="1:21" ht="50.1" customHeight="1" x14ac:dyDescent="0.3">
      <c r="A7" s="292" t="s">
        <v>1</v>
      </c>
      <c r="B7" s="287">
        <v>0.75</v>
      </c>
      <c r="C7" s="287">
        <f>C6+B7</f>
        <v>4.5</v>
      </c>
      <c r="D7" s="293" t="s">
        <v>254</v>
      </c>
      <c r="E7" s="339">
        <f t="shared" ref="E7:E20" si="0">B7*$E$5</f>
        <v>0</v>
      </c>
      <c r="F7" s="7"/>
      <c r="I7" s="292" t="s">
        <v>1</v>
      </c>
      <c r="J7" s="287">
        <v>0.75</v>
      </c>
      <c r="K7" s="287">
        <f>K6+J7</f>
        <v>4.5</v>
      </c>
      <c r="L7" s="293" t="s">
        <v>254</v>
      </c>
      <c r="M7" s="450">
        <f t="shared" ref="M7:M19" si="1">J7*$M$5</f>
        <v>0</v>
      </c>
      <c r="Q7" s="292" t="s">
        <v>1</v>
      </c>
      <c r="R7" s="287">
        <v>0.75</v>
      </c>
      <c r="S7" s="287">
        <f>S6+R7</f>
        <v>4.5</v>
      </c>
      <c r="T7" s="293" t="s">
        <v>254</v>
      </c>
      <c r="U7" s="450">
        <f t="shared" ref="U7:U20" si="2">R7*$U$5</f>
        <v>0</v>
      </c>
    </row>
    <row r="8" spans="1:21" ht="50.1" customHeight="1" thickBot="1" x14ac:dyDescent="0.35">
      <c r="A8" s="298" t="s">
        <v>21</v>
      </c>
      <c r="B8" s="299">
        <v>0.02</v>
      </c>
      <c r="C8" s="300">
        <f>C7+B8</f>
        <v>4.5199999999999996</v>
      </c>
      <c r="D8" s="285" t="s">
        <v>254</v>
      </c>
      <c r="E8" s="451">
        <f>B8*$E$5</f>
        <v>0</v>
      </c>
      <c r="F8" s="7"/>
      <c r="I8" s="298" t="s">
        <v>21</v>
      </c>
      <c r="J8" s="299">
        <v>0.02</v>
      </c>
      <c r="K8" s="300">
        <f>K7+J8</f>
        <v>4.5199999999999996</v>
      </c>
      <c r="L8" s="285" t="s">
        <v>254</v>
      </c>
      <c r="M8" s="450">
        <f t="shared" si="1"/>
        <v>0</v>
      </c>
      <c r="Q8" s="298" t="s">
        <v>21</v>
      </c>
      <c r="R8" s="299">
        <v>0.02</v>
      </c>
      <c r="S8" s="300">
        <f>S7+R8</f>
        <v>4.5199999999999996</v>
      </c>
      <c r="T8" s="285" t="s">
        <v>254</v>
      </c>
      <c r="U8" s="450">
        <f t="shared" si="2"/>
        <v>0</v>
      </c>
    </row>
    <row r="9" spans="1:21" ht="50.1" customHeight="1" x14ac:dyDescent="0.3">
      <c r="A9" s="305" t="s">
        <v>2</v>
      </c>
      <c r="B9" s="286">
        <v>0.45</v>
      </c>
      <c r="C9" s="286">
        <f>B9</f>
        <v>0.45</v>
      </c>
      <c r="D9" s="297" t="s">
        <v>254</v>
      </c>
      <c r="E9" s="343">
        <f t="shared" si="0"/>
        <v>0</v>
      </c>
      <c r="F9" s="7"/>
      <c r="I9" s="305" t="s">
        <v>2</v>
      </c>
      <c r="J9" s="286">
        <v>0.45</v>
      </c>
      <c r="K9" s="286">
        <f>J9</f>
        <v>0.45</v>
      </c>
      <c r="L9" s="297" t="s">
        <v>254</v>
      </c>
      <c r="M9" s="450">
        <f t="shared" si="1"/>
        <v>0</v>
      </c>
      <c r="Q9" s="305" t="s">
        <v>2</v>
      </c>
      <c r="R9" s="286">
        <v>0.45</v>
      </c>
      <c r="S9" s="286">
        <f>R9</f>
        <v>0.45</v>
      </c>
      <c r="T9" s="297" t="s">
        <v>254</v>
      </c>
      <c r="U9" s="450">
        <f t="shared" si="2"/>
        <v>0</v>
      </c>
    </row>
    <row r="10" spans="1:21" ht="50.1" customHeight="1" x14ac:dyDescent="0.3">
      <c r="A10" s="301" t="s">
        <v>91</v>
      </c>
      <c r="B10" s="302">
        <v>0.3</v>
      </c>
      <c r="C10" s="302">
        <f>C9+B10</f>
        <v>0.75</v>
      </c>
      <c r="D10" s="282" t="s">
        <v>254</v>
      </c>
      <c r="E10" s="339">
        <f t="shared" si="0"/>
        <v>0</v>
      </c>
      <c r="F10" s="7"/>
      <c r="I10" s="301" t="s">
        <v>91</v>
      </c>
      <c r="J10" s="302">
        <v>0.3</v>
      </c>
      <c r="K10" s="302">
        <f>K9+J10</f>
        <v>0.75</v>
      </c>
      <c r="L10" s="282" t="s">
        <v>254</v>
      </c>
      <c r="M10" s="450">
        <f>J10*$M$5</f>
        <v>0</v>
      </c>
      <c r="Q10" s="301" t="s">
        <v>91</v>
      </c>
      <c r="R10" s="302">
        <v>0.3</v>
      </c>
      <c r="S10" s="302">
        <f>S9+R10</f>
        <v>0.75</v>
      </c>
      <c r="T10" s="282" t="s">
        <v>254</v>
      </c>
      <c r="U10" s="450">
        <f t="shared" si="2"/>
        <v>0</v>
      </c>
    </row>
    <row r="11" spans="1:21" ht="50.1" customHeight="1" x14ac:dyDescent="0.3">
      <c r="A11" s="292" t="s">
        <v>3</v>
      </c>
      <c r="B11" s="287">
        <v>3.51</v>
      </c>
      <c r="C11" s="287">
        <f t="shared" ref="C11:C16" si="3">C10+B11</f>
        <v>4.26</v>
      </c>
      <c r="D11" s="293" t="s">
        <v>254</v>
      </c>
      <c r="E11" s="339">
        <f t="shared" si="0"/>
        <v>0</v>
      </c>
      <c r="F11" s="7"/>
      <c r="I11" s="292" t="s">
        <v>3</v>
      </c>
      <c r="J11" s="287">
        <v>3.51</v>
      </c>
      <c r="K11" s="287">
        <f t="shared" ref="K11:K16" si="4">K10+J11</f>
        <v>4.26</v>
      </c>
      <c r="L11" s="293" t="s">
        <v>254</v>
      </c>
      <c r="M11" s="450">
        <f t="shared" si="1"/>
        <v>0</v>
      </c>
      <c r="Q11" s="292" t="s">
        <v>3</v>
      </c>
      <c r="R11" s="287">
        <v>3.51</v>
      </c>
      <c r="S11" s="287">
        <f t="shared" ref="S11:S16" si="5">S10+R11</f>
        <v>4.26</v>
      </c>
      <c r="T11" s="293" t="s">
        <v>254</v>
      </c>
      <c r="U11" s="450">
        <f>R11*$U$5</f>
        <v>0</v>
      </c>
    </row>
    <row r="12" spans="1:21" ht="50.1" customHeight="1" x14ac:dyDescent="0.3">
      <c r="A12" s="301" t="s">
        <v>17</v>
      </c>
      <c r="B12" s="302">
        <v>0.45</v>
      </c>
      <c r="C12" s="302">
        <f t="shared" si="3"/>
        <v>4.71</v>
      </c>
      <c r="D12" s="282" t="s">
        <v>254</v>
      </c>
      <c r="E12" s="339">
        <f t="shared" si="0"/>
        <v>0</v>
      </c>
      <c r="F12" s="7"/>
      <c r="I12" s="301" t="s">
        <v>17</v>
      </c>
      <c r="J12" s="302">
        <v>0.45</v>
      </c>
      <c r="K12" s="302">
        <f t="shared" si="4"/>
        <v>4.71</v>
      </c>
      <c r="L12" s="282" t="s">
        <v>254</v>
      </c>
      <c r="M12" s="450">
        <f t="shared" si="1"/>
        <v>0</v>
      </c>
      <c r="Q12" s="301" t="s">
        <v>17</v>
      </c>
      <c r="R12" s="302">
        <v>0.45</v>
      </c>
      <c r="S12" s="302">
        <f t="shared" si="5"/>
        <v>4.71</v>
      </c>
      <c r="T12" s="282" t="s">
        <v>254</v>
      </c>
      <c r="U12" s="450">
        <f t="shared" si="2"/>
        <v>0</v>
      </c>
    </row>
    <row r="13" spans="1:21" ht="50.1" customHeight="1" x14ac:dyDescent="0.3">
      <c r="A13" s="292" t="s">
        <v>18</v>
      </c>
      <c r="B13" s="287">
        <v>0.15</v>
      </c>
      <c r="C13" s="287">
        <f t="shared" si="3"/>
        <v>4.8600000000000003</v>
      </c>
      <c r="D13" s="293" t="s">
        <v>254</v>
      </c>
      <c r="E13" s="339">
        <f t="shared" si="0"/>
        <v>0</v>
      </c>
      <c r="F13" s="7"/>
      <c r="I13" s="292" t="s">
        <v>18</v>
      </c>
      <c r="J13" s="287">
        <v>0.15</v>
      </c>
      <c r="K13" s="287">
        <f t="shared" si="4"/>
        <v>4.8600000000000003</v>
      </c>
      <c r="L13" s="293" t="s">
        <v>254</v>
      </c>
      <c r="M13" s="450">
        <f>J13*$M$5</f>
        <v>0</v>
      </c>
      <c r="Q13" s="292" t="s">
        <v>18</v>
      </c>
      <c r="R13" s="287">
        <v>0.15</v>
      </c>
      <c r="S13" s="287">
        <f t="shared" si="5"/>
        <v>4.8600000000000003</v>
      </c>
      <c r="T13" s="293" t="s">
        <v>254</v>
      </c>
      <c r="U13" s="450">
        <f t="shared" si="2"/>
        <v>0</v>
      </c>
    </row>
    <row r="14" spans="1:21" ht="50.1" customHeight="1" x14ac:dyDescent="0.3">
      <c r="A14" s="301" t="s">
        <v>5</v>
      </c>
      <c r="B14" s="302">
        <v>0.12</v>
      </c>
      <c r="C14" s="302">
        <f t="shared" si="3"/>
        <v>4.9800000000000004</v>
      </c>
      <c r="D14" s="282" t="s">
        <v>254</v>
      </c>
      <c r="E14" s="339">
        <f t="shared" si="0"/>
        <v>0</v>
      </c>
      <c r="F14" s="7"/>
      <c r="I14" s="301" t="s">
        <v>5</v>
      </c>
      <c r="J14" s="302">
        <v>0.12</v>
      </c>
      <c r="K14" s="302">
        <f t="shared" si="4"/>
        <v>4.9800000000000004</v>
      </c>
      <c r="L14" s="282" t="s">
        <v>254</v>
      </c>
      <c r="M14" s="450">
        <f t="shared" si="1"/>
        <v>0</v>
      </c>
      <c r="Q14" s="301" t="s">
        <v>5</v>
      </c>
      <c r="R14" s="302">
        <v>0.12</v>
      </c>
      <c r="S14" s="302">
        <f t="shared" si="5"/>
        <v>4.9800000000000004</v>
      </c>
      <c r="T14" s="282" t="s">
        <v>254</v>
      </c>
      <c r="U14" s="450">
        <f t="shared" si="2"/>
        <v>0</v>
      </c>
    </row>
    <row r="15" spans="1:21" ht="50.1" customHeight="1" x14ac:dyDescent="0.3">
      <c r="A15" s="292" t="s">
        <v>385</v>
      </c>
      <c r="B15" s="287">
        <v>0.75</v>
      </c>
      <c r="C15" s="287">
        <f t="shared" si="3"/>
        <v>5.73</v>
      </c>
      <c r="D15" s="293" t="s">
        <v>254</v>
      </c>
      <c r="E15" s="339">
        <f t="shared" si="0"/>
        <v>0</v>
      </c>
      <c r="F15" s="7"/>
      <c r="I15" s="292" t="s">
        <v>385</v>
      </c>
      <c r="J15" s="287">
        <v>0.75</v>
      </c>
      <c r="K15" s="287">
        <f t="shared" si="4"/>
        <v>5.73</v>
      </c>
      <c r="L15" s="293" t="s">
        <v>254</v>
      </c>
      <c r="M15" s="450">
        <f t="shared" si="1"/>
        <v>0</v>
      </c>
      <c r="Q15" s="292" t="s">
        <v>385</v>
      </c>
      <c r="R15" s="287">
        <v>0.75</v>
      </c>
      <c r="S15" s="287">
        <f t="shared" si="5"/>
        <v>5.73</v>
      </c>
      <c r="T15" s="293" t="s">
        <v>254</v>
      </c>
      <c r="U15" s="450">
        <f t="shared" si="2"/>
        <v>0</v>
      </c>
    </row>
    <row r="16" spans="1:21" ht="50.1" customHeight="1" x14ac:dyDescent="0.3">
      <c r="A16" s="301" t="s">
        <v>10</v>
      </c>
      <c r="B16" s="303">
        <v>7.4999999999999997E-2</v>
      </c>
      <c r="C16" s="302">
        <f t="shared" si="3"/>
        <v>5.8050000000000006</v>
      </c>
      <c r="D16" s="282" t="s">
        <v>254</v>
      </c>
      <c r="E16" s="339">
        <f t="shared" si="0"/>
        <v>0</v>
      </c>
      <c r="F16" s="7"/>
      <c r="I16" s="301" t="s">
        <v>10</v>
      </c>
      <c r="J16" s="303">
        <v>7.4999999999999997E-2</v>
      </c>
      <c r="K16" s="302">
        <f t="shared" si="4"/>
        <v>5.8050000000000006</v>
      </c>
      <c r="L16" s="282" t="s">
        <v>254</v>
      </c>
      <c r="M16" s="450">
        <f>J16*$M$5</f>
        <v>0</v>
      </c>
      <c r="Q16" s="301" t="s">
        <v>10</v>
      </c>
      <c r="R16" s="303">
        <v>7.4999999999999997E-2</v>
      </c>
      <c r="S16" s="302">
        <f t="shared" si="5"/>
        <v>5.8050000000000006</v>
      </c>
      <c r="T16" s="282" t="s">
        <v>254</v>
      </c>
      <c r="U16" s="450">
        <f t="shared" si="2"/>
        <v>0</v>
      </c>
    </row>
    <row r="17" spans="1:21" ht="50.1" customHeight="1" x14ac:dyDescent="0.3">
      <c r="A17" s="292" t="s">
        <v>9</v>
      </c>
      <c r="B17" s="294">
        <v>0.22500000000000001</v>
      </c>
      <c r="C17" s="287">
        <f>C16+B17</f>
        <v>6.03</v>
      </c>
      <c r="D17" s="293" t="s">
        <v>254</v>
      </c>
      <c r="E17" s="339">
        <f t="shared" si="0"/>
        <v>0</v>
      </c>
      <c r="F17" s="7"/>
      <c r="G17" s="32"/>
      <c r="I17" s="292" t="s">
        <v>9</v>
      </c>
      <c r="J17" s="294">
        <v>0.22500000000000001</v>
      </c>
      <c r="K17" s="287">
        <f>K16+J17</f>
        <v>6.03</v>
      </c>
      <c r="L17" s="293" t="s">
        <v>254</v>
      </c>
      <c r="M17" s="450">
        <f t="shared" si="1"/>
        <v>0</v>
      </c>
      <c r="Q17" s="292" t="s">
        <v>9</v>
      </c>
      <c r="R17" s="294">
        <v>0.22500000000000001</v>
      </c>
      <c r="S17" s="287">
        <f>S16+R17</f>
        <v>6.03</v>
      </c>
      <c r="T17" s="293" t="s">
        <v>254</v>
      </c>
      <c r="U17" s="450">
        <f>R17*$U$5</f>
        <v>0</v>
      </c>
    </row>
    <row r="18" spans="1:21" ht="50.1" customHeight="1" thickBot="1" x14ac:dyDescent="0.35">
      <c r="A18" s="298" t="s">
        <v>6</v>
      </c>
      <c r="B18" s="300">
        <v>0.15</v>
      </c>
      <c r="C18" s="300">
        <f>C17+B18</f>
        <v>6.1800000000000006</v>
      </c>
      <c r="D18" s="285" t="s">
        <v>254</v>
      </c>
      <c r="E18" s="451">
        <f>B18*$E$5</f>
        <v>0</v>
      </c>
      <c r="F18" s="7"/>
      <c r="G18" s="32"/>
      <c r="I18" s="298" t="s">
        <v>6</v>
      </c>
      <c r="J18" s="300">
        <v>0.15</v>
      </c>
      <c r="K18" s="300">
        <f>K17+J18</f>
        <v>6.1800000000000006</v>
      </c>
      <c r="L18" s="285" t="s">
        <v>254</v>
      </c>
      <c r="M18" s="450">
        <f t="shared" si="1"/>
        <v>0</v>
      </c>
      <c r="Q18" s="298" t="s">
        <v>6</v>
      </c>
      <c r="R18" s="300">
        <v>0.15</v>
      </c>
      <c r="S18" s="300">
        <f>S17+R18</f>
        <v>6.1800000000000006</v>
      </c>
      <c r="T18" s="285" t="s">
        <v>254</v>
      </c>
      <c r="U18" s="450">
        <f t="shared" si="2"/>
        <v>0</v>
      </c>
    </row>
    <row r="19" spans="1:21" ht="50.1" customHeight="1" x14ac:dyDescent="0.3">
      <c r="A19" s="295" t="s">
        <v>386</v>
      </c>
      <c r="B19" s="296">
        <v>2</v>
      </c>
      <c r="C19" s="296">
        <f>B19</f>
        <v>2</v>
      </c>
      <c r="D19" s="297" t="s">
        <v>257</v>
      </c>
      <c r="E19" s="343">
        <f t="shared" si="0"/>
        <v>0</v>
      </c>
      <c r="F19" s="7"/>
      <c r="I19" s="295" t="s">
        <v>386</v>
      </c>
      <c r="J19" s="296">
        <v>2</v>
      </c>
      <c r="K19" s="296">
        <f>J19</f>
        <v>2</v>
      </c>
      <c r="L19" s="297" t="s">
        <v>257</v>
      </c>
      <c r="M19" s="450">
        <f t="shared" si="1"/>
        <v>0</v>
      </c>
      <c r="Q19" s="295" t="s">
        <v>386</v>
      </c>
      <c r="R19" s="296">
        <v>2</v>
      </c>
      <c r="S19" s="296">
        <f>R19</f>
        <v>2</v>
      </c>
      <c r="T19" s="297" t="s">
        <v>257</v>
      </c>
      <c r="U19" s="450">
        <f t="shared" si="2"/>
        <v>0</v>
      </c>
    </row>
    <row r="20" spans="1:21" ht="50.1" customHeight="1" x14ac:dyDescent="0.3">
      <c r="A20" s="301" t="s">
        <v>261</v>
      </c>
      <c r="B20" s="302">
        <v>0.3</v>
      </c>
      <c r="C20" s="302">
        <f>B20</f>
        <v>0.3</v>
      </c>
      <c r="D20" s="282" t="s">
        <v>254</v>
      </c>
      <c r="E20" s="339">
        <f t="shared" si="0"/>
        <v>0</v>
      </c>
      <c r="F20" s="7"/>
      <c r="I20" s="301" t="s">
        <v>261</v>
      </c>
      <c r="J20" s="302">
        <v>0.3</v>
      </c>
      <c r="K20" s="302">
        <f>J20</f>
        <v>0.3</v>
      </c>
      <c r="L20" s="282" t="s">
        <v>254</v>
      </c>
      <c r="M20" s="450">
        <f>J20*$M$5</f>
        <v>0</v>
      </c>
      <c r="Q20" s="301" t="s">
        <v>261</v>
      </c>
      <c r="R20" s="302">
        <v>0.3</v>
      </c>
      <c r="S20" s="302">
        <f>R20</f>
        <v>0.3</v>
      </c>
      <c r="T20" s="282" t="s">
        <v>254</v>
      </c>
      <c r="U20" s="450">
        <f t="shared" si="2"/>
        <v>0</v>
      </c>
    </row>
    <row r="21" spans="1:21" x14ac:dyDescent="0.3">
      <c r="F21" s="7"/>
    </row>
  </sheetData>
  <sheetProtection algorithmName="SHA-512" hashValue="xl34I7P6ahyeMnxjouW80HS+bA07OsdGQqVEzt/ODHZExw+WSsFFPC/luNZCP5oH1XCg3W/oERS81BbVpZGMfg==" saltValue="RFVl/jEB92wuf4jWj3nedg==" spinCount="100000" sheet="1" objects="1" scenarios="1"/>
  <mergeCells count="15">
    <mergeCell ref="Q2:T2"/>
    <mergeCell ref="Q4:Q5"/>
    <mergeCell ref="R4:R5"/>
    <mergeCell ref="S4:S5"/>
    <mergeCell ref="T4:T5"/>
    <mergeCell ref="I2:L2"/>
    <mergeCell ref="I4:I5"/>
    <mergeCell ref="J4:J5"/>
    <mergeCell ref="K4:K5"/>
    <mergeCell ref="L4:L5"/>
    <mergeCell ref="A4:A5"/>
    <mergeCell ref="B4:B5"/>
    <mergeCell ref="D4:D5"/>
    <mergeCell ref="A2:D2"/>
    <mergeCell ref="C4:C5"/>
  </mergeCells>
  <printOptions horizontalCentered="1" verticalCentered="1"/>
  <pageMargins left="0.70866141732283472" right="0.70866141732283472" top="0.74803149606299213" bottom="0.74803149606299213" header="0.31496062992125984" footer="0.31496062992125984"/>
  <pageSetup paperSize="9" scale="81"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38CEC-58DB-4F02-89B4-F6B888AB23AE}">
  <sheetPr codeName="Sheet7">
    <tabColor rgb="FF00B050"/>
    <pageSetUpPr fitToPage="1"/>
  </sheetPr>
  <dimension ref="A1:O29"/>
  <sheetViews>
    <sheetView topLeftCell="A13" zoomScaleNormal="100" workbookViewId="0">
      <selection activeCell="A14" sqref="A14:D26"/>
    </sheetView>
  </sheetViews>
  <sheetFormatPr defaultColWidth="11.5546875" defaultRowHeight="19.2" x14ac:dyDescent="0.3"/>
  <cols>
    <col min="1" max="1" width="37.44140625" style="8" customWidth="1"/>
    <col min="2" max="2" width="12.33203125" customWidth="1"/>
    <col min="3" max="3" width="9.88671875" bestFit="1" customWidth="1"/>
    <col min="4" max="4" width="8.6640625" customWidth="1"/>
    <col min="5" max="5" width="13.44140625" bestFit="1" customWidth="1"/>
    <col min="6" max="6" width="5" customWidth="1"/>
    <col min="7" max="7" width="38.33203125" customWidth="1"/>
    <col min="8" max="8" width="10.109375" bestFit="1" customWidth="1"/>
    <col min="9" max="9" width="9.44140625" bestFit="1" customWidth="1"/>
    <col min="10" max="10" width="7.33203125" bestFit="1" customWidth="1"/>
    <col min="12" max="12" width="6.33203125" customWidth="1"/>
  </cols>
  <sheetData>
    <row r="1" spans="1:15" ht="10.5" customHeight="1" thickBot="1" x14ac:dyDescent="0.35">
      <c r="A1" s="453"/>
      <c r="B1" s="454"/>
      <c r="C1" s="9"/>
    </row>
    <row r="2" spans="1:15" ht="39.75" customHeight="1" thickTop="1" thickBot="1" x14ac:dyDescent="0.35">
      <c r="A2" s="1028" t="s">
        <v>352</v>
      </c>
      <c r="B2" s="1029"/>
      <c r="C2" s="1029"/>
      <c r="D2" s="1029"/>
      <c r="E2" s="274"/>
      <c r="G2" s="1028" t="s">
        <v>354</v>
      </c>
      <c r="H2" s="1029"/>
      <c r="I2" s="1029"/>
      <c r="J2" s="1029"/>
      <c r="K2" s="274"/>
    </row>
    <row r="3" spans="1:15" ht="15.75" customHeight="1" thickTop="1" x14ac:dyDescent="0.3">
      <c r="A3" s="10"/>
      <c r="B3" s="9"/>
      <c r="C3" s="9"/>
    </row>
    <row r="4" spans="1:15" ht="44.25" customHeight="1" thickBot="1" x14ac:dyDescent="0.35">
      <c r="A4" s="1024" t="s">
        <v>0</v>
      </c>
      <c r="B4" s="1025" t="s">
        <v>23</v>
      </c>
      <c r="C4" s="1025" t="s">
        <v>321</v>
      </c>
      <c r="D4" s="1026" t="s">
        <v>35</v>
      </c>
      <c r="E4" s="348" t="s">
        <v>47</v>
      </c>
      <c r="G4" s="1024" t="s">
        <v>0</v>
      </c>
      <c r="H4" s="1025" t="s">
        <v>23</v>
      </c>
      <c r="I4" s="1025" t="s">
        <v>321</v>
      </c>
      <c r="J4" s="1026" t="s">
        <v>35</v>
      </c>
      <c r="K4" s="348" t="s">
        <v>47</v>
      </c>
    </row>
    <row r="5" spans="1:15" ht="36" customHeight="1" x14ac:dyDescent="0.3">
      <c r="A5" s="1024"/>
      <c r="B5" s="1025"/>
      <c r="C5" s="1025"/>
      <c r="D5" s="1026"/>
      <c r="E5" s="349">
        <f>'PLANNING DE FABRICATION'!E26</f>
        <v>1</v>
      </c>
      <c r="G5" s="1024"/>
      <c r="H5" s="1025"/>
      <c r="I5" s="1025"/>
      <c r="J5" s="1026"/>
      <c r="K5" s="349">
        <f>'PLANNING DE FABRICATION'!E27</f>
        <v>0.5</v>
      </c>
    </row>
    <row r="6" spans="1:15" ht="36" customHeight="1" x14ac:dyDescent="0.3">
      <c r="A6" s="356" t="s">
        <v>20</v>
      </c>
      <c r="B6" s="80">
        <v>3</v>
      </c>
      <c r="C6" s="80">
        <f>B6</f>
        <v>3</v>
      </c>
      <c r="D6" s="357" t="s">
        <v>254</v>
      </c>
      <c r="E6" s="79">
        <f>B6*$E$5</f>
        <v>3</v>
      </c>
      <c r="G6" s="356" t="s">
        <v>20</v>
      </c>
      <c r="H6" s="80">
        <v>3</v>
      </c>
      <c r="I6" s="80">
        <f>H6</f>
        <v>3</v>
      </c>
      <c r="J6" s="357" t="s">
        <v>254</v>
      </c>
      <c r="K6" s="79">
        <f>H6*$K$5</f>
        <v>1.5</v>
      </c>
    </row>
    <row r="7" spans="1:15" ht="36" customHeight="1" x14ac:dyDescent="0.3">
      <c r="A7" s="356" t="s">
        <v>312</v>
      </c>
      <c r="B7" s="80">
        <v>4.4999999999999998E-2</v>
      </c>
      <c r="C7" s="80">
        <f>C6+B7</f>
        <v>3.0449999999999999</v>
      </c>
      <c r="D7" s="357" t="s">
        <v>254</v>
      </c>
      <c r="E7" s="355">
        <f t="shared" ref="E7:E12" si="0">B7*$E$5</f>
        <v>4.4999999999999998E-2</v>
      </c>
      <c r="G7" s="356" t="s">
        <v>312</v>
      </c>
      <c r="H7" s="80">
        <v>4.4999999999999998E-2</v>
      </c>
      <c r="I7" s="80">
        <f>I6+H7</f>
        <v>3.0449999999999999</v>
      </c>
      <c r="J7" s="357" t="s">
        <v>254</v>
      </c>
      <c r="K7" s="79">
        <f t="shared" ref="K7:K13" si="1">H7*$K$5</f>
        <v>2.2499999999999999E-2</v>
      </c>
    </row>
    <row r="8" spans="1:15" ht="36" customHeight="1" x14ac:dyDescent="0.3">
      <c r="A8" s="358" t="s">
        <v>3</v>
      </c>
      <c r="B8" s="78">
        <v>0.9</v>
      </c>
      <c r="C8" s="78">
        <f t="shared" ref="C8:C11" si="2">C7+B8</f>
        <v>3.9449999999999998</v>
      </c>
      <c r="D8" s="359" t="s">
        <v>254</v>
      </c>
      <c r="E8" s="350">
        <f t="shared" si="0"/>
        <v>0.9</v>
      </c>
      <c r="G8" s="358" t="s">
        <v>3</v>
      </c>
      <c r="H8" s="78">
        <v>0.9</v>
      </c>
      <c r="I8" s="78">
        <f>I7+H8</f>
        <v>3.9449999999999998</v>
      </c>
      <c r="J8" s="359" t="s">
        <v>254</v>
      </c>
      <c r="K8" s="79">
        <f t="shared" si="1"/>
        <v>0.45</v>
      </c>
    </row>
    <row r="9" spans="1:15" ht="36" customHeight="1" x14ac:dyDescent="0.3">
      <c r="A9" s="360" t="s">
        <v>2</v>
      </c>
      <c r="B9" s="80">
        <v>0.45</v>
      </c>
      <c r="C9" s="80">
        <f t="shared" si="2"/>
        <v>4.3949999999999996</v>
      </c>
      <c r="D9" s="357" t="s">
        <v>254</v>
      </c>
      <c r="E9" s="350">
        <f t="shared" si="0"/>
        <v>0.45</v>
      </c>
      <c r="G9" s="360" t="s">
        <v>2</v>
      </c>
      <c r="H9" s="80">
        <v>0.45</v>
      </c>
      <c r="I9" s="80">
        <f t="shared" ref="I9:I11" si="3">I8+H9</f>
        <v>4.3949999999999996</v>
      </c>
      <c r="J9" s="357" t="s">
        <v>254</v>
      </c>
      <c r="K9" s="79">
        <f t="shared" si="1"/>
        <v>0.22500000000000001</v>
      </c>
      <c r="O9" s="455"/>
    </row>
    <row r="10" spans="1:15" ht="36" customHeight="1" x14ac:dyDescent="0.3">
      <c r="A10" s="358" t="s">
        <v>17</v>
      </c>
      <c r="B10" s="78">
        <v>0.25</v>
      </c>
      <c r="C10" s="78">
        <f t="shared" si="2"/>
        <v>4.6449999999999996</v>
      </c>
      <c r="D10" s="359" t="s">
        <v>254</v>
      </c>
      <c r="E10" s="350">
        <f t="shared" si="0"/>
        <v>0.25</v>
      </c>
      <c r="G10" s="358" t="s">
        <v>17</v>
      </c>
      <c r="H10" s="78">
        <v>0.25</v>
      </c>
      <c r="I10" s="78">
        <f t="shared" si="3"/>
        <v>4.6449999999999996</v>
      </c>
      <c r="J10" s="359" t="s">
        <v>254</v>
      </c>
      <c r="K10" s="79">
        <f t="shared" si="1"/>
        <v>0.125</v>
      </c>
      <c r="N10" s="455"/>
    </row>
    <row r="11" spans="1:15" ht="36" customHeight="1" thickBot="1" x14ac:dyDescent="0.35">
      <c r="A11" s="363" t="s">
        <v>5</v>
      </c>
      <c r="B11" s="364">
        <v>0.08</v>
      </c>
      <c r="C11" s="364">
        <f t="shared" si="2"/>
        <v>4.7249999999999996</v>
      </c>
      <c r="D11" s="365" t="s">
        <v>254</v>
      </c>
      <c r="E11" s="351">
        <f t="shared" si="0"/>
        <v>0.08</v>
      </c>
      <c r="G11" s="363" t="s">
        <v>5</v>
      </c>
      <c r="H11" s="364">
        <v>0.08</v>
      </c>
      <c r="I11" s="364">
        <f t="shared" si="3"/>
        <v>4.7249999999999996</v>
      </c>
      <c r="J11" s="365" t="s">
        <v>254</v>
      </c>
      <c r="K11" s="82">
        <f t="shared" si="1"/>
        <v>0.04</v>
      </c>
    </row>
    <row r="12" spans="1:15" ht="28.5" customHeight="1" thickBot="1" x14ac:dyDescent="0.35">
      <c r="A12" s="366" t="s">
        <v>22</v>
      </c>
      <c r="B12" s="367">
        <v>1</v>
      </c>
      <c r="C12" s="367">
        <f>B12</f>
        <v>1</v>
      </c>
      <c r="D12" s="368" t="s">
        <v>34</v>
      </c>
      <c r="E12" s="352">
        <f t="shared" si="0"/>
        <v>1</v>
      </c>
      <c r="G12" s="366" t="s">
        <v>22</v>
      </c>
      <c r="H12" s="367">
        <v>1</v>
      </c>
      <c r="I12" s="367">
        <f>H12</f>
        <v>1</v>
      </c>
      <c r="J12" s="368" t="s">
        <v>34</v>
      </c>
      <c r="K12" s="38">
        <f t="shared" si="1"/>
        <v>0.5</v>
      </c>
    </row>
    <row r="13" spans="1:15" ht="28.5" customHeight="1" x14ac:dyDescent="0.3">
      <c r="A13" s="10"/>
      <c r="B13" s="9"/>
      <c r="C13" s="9"/>
      <c r="E13" s="33"/>
      <c r="G13" s="376" t="s">
        <v>53</v>
      </c>
      <c r="H13" s="77">
        <v>4.5</v>
      </c>
      <c r="I13" s="77">
        <f>H13</f>
        <v>4.5</v>
      </c>
      <c r="J13" s="377" t="s">
        <v>254</v>
      </c>
      <c r="K13" s="38">
        <f t="shared" si="1"/>
        <v>2.25</v>
      </c>
    </row>
    <row r="14" spans="1:15" ht="27.75" customHeight="1" thickBot="1" x14ac:dyDescent="0.35">
      <c r="A14" s="10"/>
      <c r="B14" s="9"/>
      <c r="C14" s="9"/>
      <c r="E14" s="33"/>
      <c r="G14" s="10"/>
      <c r="H14" s="9"/>
      <c r="I14" s="9"/>
    </row>
    <row r="15" spans="1:15" ht="54" customHeight="1" thickTop="1" thickBot="1" x14ac:dyDescent="0.35">
      <c r="A15" s="1032" t="s">
        <v>353</v>
      </c>
      <c r="B15" s="1033"/>
      <c r="C15" s="1033"/>
      <c r="D15" s="1033"/>
      <c r="E15" s="277"/>
      <c r="G15" s="1030" t="s">
        <v>355</v>
      </c>
      <c r="H15" s="1031"/>
      <c r="I15" s="1031"/>
      <c r="J15" s="1031"/>
      <c r="K15" s="274"/>
    </row>
    <row r="16" spans="1:15" ht="15.75" customHeight="1" thickTop="1" x14ac:dyDescent="0.3">
      <c r="A16" s="452"/>
      <c r="B16" s="9"/>
      <c r="C16" s="9"/>
      <c r="J16" s="63"/>
    </row>
    <row r="17" spans="1:11" ht="39" customHeight="1" thickBot="1" x14ac:dyDescent="0.35">
      <c r="A17" s="1024" t="s">
        <v>0</v>
      </c>
      <c r="B17" s="1025" t="s">
        <v>23</v>
      </c>
      <c r="C17" s="1025" t="s">
        <v>321</v>
      </c>
      <c r="D17" s="1027" t="s">
        <v>35</v>
      </c>
      <c r="E17" s="348" t="s">
        <v>47</v>
      </c>
      <c r="G17" s="1024" t="s">
        <v>0</v>
      </c>
      <c r="H17" s="1025" t="s">
        <v>23</v>
      </c>
      <c r="I17" s="1025" t="s">
        <v>321</v>
      </c>
      <c r="J17" s="1026" t="s">
        <v>35</v>
      </c>
      <c r="K17" s="348" t="s">
        <v>47</v>
      </c>
    </row>
    <row r="18" spans="1:11" ht="32.25" customHeight="1" thickBot="1" x14ac:dyDescent="0.35">
      <c r="A18" s="1024"/>
      <c r="B18" s="1025"/>
      <c r="C18" s="1025"/>
      <c r="D18" s="1027"/>
      <c r="E18" s="353">
        <f>'PLANNING DE FABRICATION'!E29</f>
        <v>0.3</v>
      </c>
      <c r="G18" s="1024"/>
      <c r="H18" s="1025"/>
      <c r="I18" s="1025"/>
      <c r="J18" s="1026"/>
      <c r="K18" s="353">
        <f>'PLANNING DE FABRICATION'!E28</f>
        <v>0</v>
      </c>
    </row>
    <row r="19" spans="1:11" ht="32.25" customHeight="1" x14ac:dyDescent="0.3">
      <c r="A19" s="356" t="s">
        <v>20</v>
      </c>
      <c r="B19" s="361">
        <v>3</v>
      </c>
      <c r="C19" s="361">
        <f>B19</f>
        <v>3</v>
      </c>
      <c r="D19" s="357" t="s">
        <v>254</v>
      </c>
      <c r="E19" s="354">
        <f t="shared" ref="E19:E25" si="4">B19*$E$18</f>
        <v>0.89999999999999991</v>
      </c>
      <c r="G19" s="356" t="s">
        <v>16</v>
      </c>
      <c r="H19" s="80">
        <v>3</v>
      </c>
      <c r="I19" s="80">
        <f>H19</f>
        <v>3</v>
      </c>
      <c r="J19" s="357" t="s">
        <v>254</v>
      </c>
      <c r="K19" s="79">
        <f>H19*$K$18</f>
        <v>0</v>
      </c>
    </row>
    <row r="20" spans="1:11" ht="32.25" customHeight="1" x14ac:dyDescent="0.3">
      <c r="A20" s="358" t="s">
        <v>312</v>
      </c>
      <c r="B20" s="78">
        <v>4.4999999999999998E-2</v>
      </c>
      <c r="C20" s="78">
        <f>C19+B20</f>
        <v>3.0449999999999999</v>
      </c>
      <c r="D20" s="359" t="s">
        <v>254</v>
      </c>
      <c r="E20" s="350">
        <f t="shared" si="4"/>
        <v>1.35E-2</v>
      </c>
      <c r="G20" s="356" t="s">
        <v>312</v>
      </c>
      <c r="H20" s="80">
        <v>4.4999999999999998E-2</v>
      </c>
      <c r="I20" s="80">
        <f>I19+H20</f>
        <v>3.0449999999999999</v>
      </c>
      <c r="J20" s="357" t="s">
        <v>254</v>
      </c>
      <c r="K20" s="79">
        <f t="shared" ref="K20:K28" si="5">H20*$K$18</f>
        <v>0</v>
      </c>
    </row>
    <row r="21" spans="1:11" ht="32.25" customHeight="1" x14ac:dyDescent="0.3">
      <c r="A21" s="360" t="s">
        <v>3</v>
      </c>
      <c r="B21" s="361">
        <v>0.9</v>
      </c>
      <c r="C21" s="80">
        <f>C20+B21</f>
        <v>3.9449999999999998</v>
      </c>
      <c r="D21" s="357" t="s">
        <v>254</v>
      </c>
      <c r="E21" s="350">
        <f t="shared" si="4"/>
        <v>0.27</v>
      </c>
      <c r="G21" s="358" t="s">
        <v>3</v>
      </c>
      <c r="H21" s="78">
        <v>0.9</v>
      </c>
      <c r="I21" s="78">
        <f>I20+H21</f>
        <v>3.9449999999999998</v>
      </c>
      <c r="J21" s="359" t="s">
        <v>254</v>
      </c>
      <c r="K21" s="79">
        <f>H21*$K$18</f>
        <v>0</v>
      </c>
    </row>
    <row r="22" spans="1:11" ht="32.25" customHeight="1" x14ac:dyDescent="0.3">
      <c r="A22" s="358" t="s">
        <v>2</v>
      </c>
      <c r="B22" s="362">
        <v>0.45</v>
      </c>
      <c r="C22" s="78">
        <f t="shared" ref="C22:C24" si="6">C21+B22</f>
        <v>4.3949999999999996</v>
      </c>
      <c r="D22" s="359" t="s">
        <v>254</v>
      </c>
      <c r="E22" s="350">
        <f t="shared" si="4"/>
        <v>0.13500000000000001</v>
      </c>
      <c r="G22" s="360" t="s">
        <v>2</v>
      </c>
      <c r="H22" s="80">
        <v>0.45</v>
      </c>
      <c r="I22" s="80">
        <f t="shared" ref="I22:I24" si="7">I21+H22</f>
        <v>4.3949999999999996</v>
      </c>
      <c r="J22" s="357" t="s">
        <v>254</v>
      </c>
      <c r="K22" s="79">
        <f t="shared" si="5"/>
        <v>0</v>
      </c>
    </row>
    <row r="23" spans="1:11" ht="32.25" customHeight="1" x14ac:dyDescent="0.3">
      <c r="A23" s="360" t="s">
        <v>17</v>
      </c>
      <c r="B23" s="361">
        <v>0.25</v>
      </c>
      <c r="C23" s="80">
        <f t="shared" si="6"/>
        <v>4.6449999999999996</v>
      </c>
      <c r="D23" s="357" t="s">
        <v>254</v>
      </c>
      <c r="E23" s="350">
        <f t="shared" si="4"/>
        <v>7.4999999999999997E-2</v>
      </c>
      <c r="G23" s="358" t="s">
        <v>17</v>
      </c>
      <c r="H23" s="78">
        <v>0.25</v>
      </c>
      <c r="I23" s="78">
        <f t="shared" si="7"/>
        <v>4.6449999999999996</v>
      </c>
      <c r="J23" s="359" t="s">
        <v>254</v>
      </c>
      <c r="K23" s="79">
        <f t="shared" si="5"/>
        <v>0</v>
      </c>
    </row>
    <row r="24" spans="1:11" ht="32.25" customHeight="1" thickBot="1" x14ac:dyDescent="0.35">
      <c r="A24" s="369" t="s">
        <v>5</v>
      </c>
      <c r="B24" s="370">
        <v>0.08</v>
      </c>
      <c r="C24" s="371">
        <f t="shared" si="6"/>
        <v>4.7249999999999996</v>
      </c>
      <c r="D24" s="372" t="s">
        <v>254</v>
      </c>
      <c r="E24" s="375">
        <f t="shared" si="4"/>
        <v>2.4E-2</v>
      </c>
      <c r="G24" s="363" t="s">
        <v>5</v>
      </c>
      <c r="H24" s="364">
        <v>0.08</v>
      </c>
      <c r="I24" s="364">
        <f t="shared" si="7"/>
        <v>4.7249999999999996</v>
      </c>
      <c r="J24" s="365" t="s">
        <v>254</v>
      </c>
      <c r="K24" s="82">
        <f t="shared" si="5"/>
        <v>0</v>
      </c>
    </row>
    <row r="25" spans="1:11" ht="21.6" thickBot="1" x14ac:dyDescent="0.35">
      <c r="A25" s="373" t="s">
        <v>52</v>
      </c>
      <c r="B25" s="374">
        <v>1</v>
      </c>
      <c r="C25" s="374">
        <f>B25</f>
        <v>1</v>
      </c>
      <c r="D25" s="368" t="s">
        <v>36</v>
      </c>
      <c r="E25" s="38">
        <f t="shared" si="4"/>
        <v>0.3</v>
      </c>
      <c r="G25" s="366" t="s">
        <v>22</v>
      </c>
      <c r="H25" s="367">
        <v>1</v>
      </c>
      <c r="I25" s="367">
        <f>H25</f>
        <v>1</v>
      </c>
      <c r="J25" s="368" t="s">
        <v>34</v>
      </c>
      <c r="K25" s="38">
        <f t="shared" si="5"/>
        <v>0</v>
      </c>
    </row>
    <row r="26" spans="1:11" ht="21.6" thickBot="1" x14ac:dyDescent="0.35">
      <c r="E26" s="33"/>
      <c r="G26" s="376" t="s">
        <v>307</v>
      </c>
      <c r="H26" s="77">
        <v>4.5</v>
      </c>
      <c r="I26" s="77">
        <f>H26</f>
        <v>4.5</v>
      </c>
      <c r="J26" s="377" t="s">
        <v>254</v>
      </c>
      <c r="K26" s="38">
        <f t="shared" si="5"/>
        <v>0</v>
      </c>
    </row>
    <row r="27" spans="1:11" ht="21.6" thickBot="1" x14ac:dyDescent="0.35">
      <c r="E27" s="33"/>
      <c r="G27" s="378" t="s">
        <v>306</v>
      </c>
      <c r="H27" s="379">
        <v>2</v>
      </c>
      <c r="I27" s="379">
        <f>H27</f>
        <v>2</v>
      </c>
      <c r="J27" s="368" t="s">
        <v>254</v>
      </c>
      <c r="K27" s="38">
        <f>H27*$K$18</f>
        <v>0</v>
      </c>
    </row>
    <row r="28" spans="1:11" ht="21" x14ac:dyDescent="0.3">
      <c r="E28" s="33"/>
      <c r="G28" s="376" t="s">
        <v>308</v>
      </c>
      <c r="H28" s="77">
        <v>1</v>
      </c>
      <c r="I28" s="77">
        <f>H28</f>
        <v>1</v>
      </c>
      <c r="J28" s="377" t="s">
        <v>135</v>
      </c>
      <c r="K28" s="38">
        <f t="shared" si="5"/>
        <v>0</v>
      </c>
    </row>
    <row r="29" spans="1:11" ht="21" x14ac:dyDescent="0.3">
      <c r="D29" s="125"/>
      <c r="G29" s="68"/>
      <c r="H29" s="69"/>
      <c r="I29" s="69"/>
      <c r="J29" s="67"/>
      <c r="K29" s="33"/>
    </row>
  </sheetData>
  <sheetProtection algorithmName="SHA-512" hashValue="HzYm0ryl7bLXNFpjQdQLRUoKhaet4VaVWaAYIbjUHs6X8T9M0mlFHBzJhzAd3gf3UH3ZbS1f0KmibRXfHzTSuw==" saltValue="6CMecHAmGcnkzHSEST2DDg==" spinCount="100000" sheet="1" objects="1" scenarios="1"/>
  <mergeCells count="20">
    <mergeCell ref="A2:D2"/>
    <mergeCell ref="G2:J2"/>
    <mergeCell ref="G15:J15"/>
    <mergeCell ref="A15:D15"/>
    <mergeCell ref="G4:G5"/>
    <mergeCell ref="H4:H5"/>
    <mergeCell ref="J4:J5"/>
    <mergeCell ref="A4:A5"/>
    <mergeCell ref="B4:B5"/>
    <mergeCell ref="D4:D5"/>
    <mergeCell ref="C4:C5"/>
    <mergeCell ref="I4:I5"/>
    <mergeCell ref="A17:A18"/>
    <mergeCell ref="G17:G18"/>
    <mergeCell ref="H17:H18"/>
    <mergeCell ref="J17:J18"/>
    <mergeCell ref="D17:D18"/>
    <mergeCell ref="B17:B18"/>
    <mergeCell ref="C17:C18"/>
    <mergeCell ref="I17:I18"/>
  </mergeCells>
  <printOptions horizontalCentered="1" verticalCentered="1"/>
  <pageMargins left="0.70866141732283472" right="0.70866141732283472" top="0.74803149606299213" bottom="0.74803149606299213" header="0.31496062992125984" footer="0.31496062992125984"/>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501C6-EFA2-4441-9E44-2C31F3B25F92}">
  <sheetPr codeName="Sheet8">
    <tabColor rgb="FF00B050"/>
    <pageSetUpPr fitToPage="1"/>
  </sheetPr>
  <dimension ref="A1:W31"/>
  <sheetViews>
    <sheetView zoomScale="70" zoomScaleNormal="70" workbookViewId="0">
      <selection activeCell="A19" sqref="A19:D29"/>
    </sheetView>
  </sheetViews>
  <sheetFormatPr defaultColWidth="11.5546875" defaultRowHeight="14.4" x14ac:dyDescent="0.3"/>
  <cols>
    <col min="1" max="1" width="37.33203125" customWidth="1"/>
    <col min="2" max="2" width="17" customWidth="1"/>
    <col min="3" max="3" width="13.44140625" customWidth="1"/>
    <col min="4" max="4" width="11.44140625" bestFit="1" customWidth="1"/>
    <col min="7" max="7" width="32.88671875" customWidth="1"/>
    <col min="9" max="9" width="12.33203125" customWidth="1"/>
    <col min="10" max="10" width="10" customWidth="1"/>
    <col min="14" max="14" width="35" bestFit="1" customWidth="1"/>
    <col min="16" max="16" width="12.5546875" bestFit="1" customWidth="1"/>
    <col min="17" max="17" width="11.44140625" customWidth="1"/>
    <col min="19" max="19" width="12.5546875" bestFit="1" customWidth="1"/>
  </cols>
  <sheetData>
    <row r="1" spans="1:23" ht="15" thickBot="1" x14ac:dyDescent="0.35"/>
    <row r="2" spans="1:23" ht="41.25" customHeight="1" thickTop="1" thickBot="1" x14ac:dyDescent="0.35">
      <c r="A2" s="1034" t="s">
        <v>58</v>
      </c>
      <c r="B2" s="1035"/>
      <c r="C2" s="1035"/>
      <c r="D2" s="1035"/>
      <c r="E2" s="391"/>
      <c r="G2" s="1034" t="s">
        <v>59</v>
      </c>
      <c r="H2" s="1035"/>
      <c r="I2" s="1035"/>
      <c r="J2" s="1035"/>
      <c r="K2" s="391"/>
      <c r="N2" s="1034" t="s">
        <v>402</v>
      </c>
      <c r="O2" s="1035"/>
      <c r="P2" s="1035"/>
      <c r="Q2" s="1035"/>
      <c r="R2" s="1035"/>
      <c r="S2" s="1036"/>
    </row>
    <row r="3" spans="1:23" ht="21.6" thickTop="1" x14ac:dyDescent="0.3">
      <c r="A3" s="10"/>
      <c r="B3" s="9"/>
      <c r="C3" s="9"/>
      <c r="G3" s="10"/>
      <c r="H3" s="9"/>
      <c r="I3" s="9"/>
    </row>
    <row r="4" spans="1:23" ht="48.75" customHeight="1" thickBot="1" x14ac:dyDescent="0.35">
      <c r="A4" s="1024" t="s">
        <v>0</v>
      </c>
      <c r="B4" s="1025" t="s">
        <v>23</v>
      </c>
      <c r="C4" s="1025" t="s">
        <v>321</v>
      </c>
      <c r="D4" s="1037" t="s">
        <v>35</v>
      </c>
      <c r="E4" s="348" t="s">
        <v>47</v>
      </c>
      <c r="G4" s="1024" t="s">
        <v>0</v>
      </c>
      <c r="H4" s="1025" t="s">
        <v>23</v>
      </c>
      <c r="I4" s="1025" t="s">
        <v>321</v>
      </c>
      <c r="J4" s="1037" t="s">
        <v>35</v>
      </c>
      <c r="K4" s="348" t="s">
        <v>47</v>
      </c>
      <c r="N4" s="1024" t="s">
        <v>0</v>
      </c>
      <c r="O4" s="1025" t="s">
        <v>23</v>
      </c>
      <c r="P4" s="1025" t="s">
        <v>403</v>
      </c>
      <c r="Q4" s="1025" t="s">
        <v>407</v>
      </c>
      <c r="R4" s="1025" t="s">
        <v>408</v>
      </c>
      <c r="S4" s="1025" t="s">
        <v>409</v>
      </c>
    </row>
    <row r="5" spans="1:23" ht="30" customHeight="1" x14ac:dyDescent="0.3">
      <c r="A5" s="1024"/>
      <c r="B5" s="1025"/>
      <c r="C5" s="1025"/>
      <c r="D5" s="1037"/>
      <c r="E5" s="353">
        <f>'PLANNING DE FABRICATION'!E66</f>
        <v>2</v>
      </c>
      <c r="G5" s="1024"/>
      <c r="H5" s="1025"/>
      <c r="I5" s="1025"/>
      <c r="J5" s="1037"/>
      <c r="K5" s="353">
        <f>'PLANNING DE FABRICATION'!E68</f>
        <v>1</v>
      </c>
      <c r="N5" s="1024"/>
      <c r="O5" s="1025"/>
      <c r="P5" s="1025"/>
      <c r="Q5" s="1025"/>
      <c r="R5" s="1025"/>
      <c r="S5" s="1025"/>
    </row>
    <row r="6" spans="1:23" ht="30" customHeight="1" x14ac:dyDescent="0.3">
      <c r="A6" s="381" t="s">
        <v>20</v>
      </c>
      <c r="B6" s="78">
        <v>1.5</v>
      </c>
      <c r="C6" s="78">
        <f>B6</f>
        <v>1.5</v>
      </c>
      <c r="D6" s="395" t="s">
        <v>254</v>
      </c>
      <c r="E6" s="79">
        <f t="shared" ref="E6:E14" si="0">B6*$E$5</f>
        <v>3</v>
      </c>
      <c r="G6" s="381" t="s">
        <v>20</v>
      </c>
      <c r="H6" s="78">
        <v>1.5</v>
      </c>
      <c r="I6" s="78">
        <f>H6</f>
        <v>1.5</v>
      </c>
      <c r="J6" s="395" t="s">
        <v>254</v>
      </c>
      <c r="K6" s="79">
        <f>H6*$K$5</f>
        <v>1.5</v>
      </c>
      <c r="N6" s="381" t="s">
        <v>20</v>
      </c>
      <c r="O6" s="461">
        <f t="shared" ref="O6:O12" si="1">B6</f>
        <v>1.5</v>
      </c>
      <c r="P6" s="456">
        <f>O6*100/(SUM($O$6:$O$13)+150)</f>
        <v>0.93053263688135079</v>
      </c>
      <c r="Q6" s="456">
        <f>O6*100/(SUM($O$6:$O$12,$O$14)+150)</f>
        <v>0.93053263688135079</v>
      </c>
      <c r="R6" s="456">
        <f>O6*100/(SUM($O$6:$O$12,$O$15)+150)</f>
        <v>0.93634127766888475</v>
      </c>
      <c r="S6" s="456">
        <f>O6*100/(SUM($O$6:$O$12,$O$16:$O$17)+150)</f>
        <v>0.91912891089351578</v>
      </c>
    </row>
    <row r="7" spans="1:23" ht="30" customHeight="1" x14ac:dyDescent="0.3">
      <c r="A7" s="380" t="s">
        <v>1</v>
      </c>
      <c r="B7" s="80">
        <v>2.4</v>
      </c>
      <c r="C7" s="80">
        <f t="shared" ref="C7:C12" si="2">C6+B7</f>
        <v>3.9</v>
      </c>
      <c r="D7" s="14" t="s">
        <v>254</v>
      </c>
      <c r="E7" s="79">
        <f t="shared" si="0"/>
        <v>4.8</v>
      </c>
      <c r="G7" s="380" t="s">
        <v>1</v>
      </c>
      <c r="H7" s="80">
        <v>2.4</v>
      </c>
      <c r="I7" s="80">
        <f t="shared" ref="I7:I12" si="3">I6+H7</f>
        <v>3.9</v>
      </c>
      <c r="J7" s="14" t="s">
        <v>254</v>
      </c>
      <c r="K7" s="79">
        <f>H7*$K$5</f>
        <v>2.4</v>
      </c>
      <c r="N7" s="380" t="s">
        <v>1</v>
      </c>
      <c r="O7" s="462">
        <f t="shared" si="1"/>
        <v>2.4</v>
      </c>
      <c r="P7" s="418">
        <f t="shared" ref="P7:P13" si="4">O7*100/(SUM($O$6:$O$13)+150)</f>
        <v>1.4888522190101614</v>
      </c>
      <c r="Q7" s="418">
        <f t="shared" ref="Q7:Q12" si="5">O7*100/(SUM($O$6:$O$12,$O$14)+150)</f>
        <v>1.4888522190101614</v>
      </c>
      <c r="R7" s="418">
        <f t="shared" ref="R7:R12" si="6">O7*100/(SUM($O$6:$O$12,$O$15)+150)</f>
        <v>1.4981460442702155</v>
      </c>
      <c r="S7" s="418">
        <f>O7*100/(SUM($O$6:$O$12,$O$16:$O$17)+150)</f>
        <v>1.4706062574296253</v>
      </c>
      <c r="W7" s="455"/>
    </row>
    <row r="8" spans="1:23" ht="29.25" customHeight="1" x14ac:dyDescent="0.3">
      <c r="A8" s="381" t="s">
        <v>21</v>
      </c>
      <c r="B8" s="362">
        <v>1.7999999999999999E-2</v>
      </c>
      <c r="C8" s="78">
        <f t="shared" si="2"/>
        <v>3.9179999999999997</v>
      </c>
      <c r="D8" s="395" t="s">
        <v>254</v>
      </c>
      <c r="E8" s="79">
        <f t="shared" si="0"/>
        <v>3.5999999999999997E-2</v>
      </c>
      <c r="G8" s="381" t="s">
        <v>21</v>
      </c>
      <c r="H8" s="362">
        <v>1.7999999999999999E-2</v>
      </c>
      <c r="I8" s="78">
        <f t="shared" si="3"/>
        <v>3.9179999999999997</v>
      </c>
      <c r="J8" s="395" t="s">
        <v>254</v>
      </c>
      <c r="K8" s="79">
        <f t="shared" ref="K8:K14" si="7">H8*$K$5</f>
        <v>1.7999999999999999E-2</v>
      </c>
      <c r="N8" s="381" t="s">
        <v>21</v>
      </c>
      <c r="O8" s="463">
        <f t="shared" si="1"/>
        <v>1.7999999999999999E-2</v>
      </c>
      <c r="P8" s="456">
        <f t="shared" si="4"/>
        <v>1.1166391642576209E-2</v>
      </c>
      <c r="Q8" s="456">
        <f t="shared" si="5"/>
        <v>1.1166391642576209E-2</v>
      </c>
      <c r="R8" s="456">
        <f t="shared" si="6"/>
        <v>1.1236095332026616E-2</v>
      </c>
      <c r="S8" s="456">
        <f t="shared" ref="S8:S12" si="8">O8*100/(SUM($O$6:$O$12,$O$16:$O$17)+150)</f>
        <v>1.1029546930722188E-2</v>
      </c>
    </row>
    <row r="9" spans="1:23" ht="29.25" customHeight="1" x14ac:dyDescent="0.3">
      <c r="A9" s="380" t="s">
        <v>3</v>
      </c>
      <c r="B9" s="80">
        <v>1.5</v>
      </c>
      <c r="C9" s="80">
        <f t="shared" si="2"/>
        <v>5.4179999999999993</v>
      </c>
      <c r="D9" s="14" t="s">
        <v>254</v>
      </c>
      <c r="E9" s="79">
        <f t="shared" si="0"/>
        <v>3</v>
      </c>
      <c r="G9" s="380" t="s">
        <v>3</v>
      </c>
      <c r="H9" s="80">
        <v>1.5</v>
      </c>
      <c r="I9" s="80">
        <f t="shared" si="3"/>
        <v>5.4179999999999993</v>
      </c>
      <c r="J9" s="14" t="s">
        <v>254</v>
      </c>
      <c r="K9" s="79">
        <f t="shared" si="7"/>
        <v>1.5</v>
      </c>
      <c r="N9" s="380" t="s">
        <v>3</v>
      </c>
      <c r="O9" s="462">
        <f t="shared" si="1"/>
        <v>1.5</v>
      </c>
      <c r="P9" s="418">
        <f t="shared" si="4"/>
        <v>0.93053263688135079</v>
      </c>
      <c r="Q9" s="418">
        <f t="shared" si="5"/>
        <v>0.93053263688135079</v>
      </c>
      <c r="R9" s="418">
        <f t="shared" si="6"/>
        <v>0.93634127766888475</v>
      </c>
      <c r="S9" s="418">
        <f t="shared" si="8"/>
        <v>0.91912891089351578</v>
      </c>
    </row>
    <row r="10" spans="1:23" ht="29.25" customHeight="1" x14ac:dyDescent="0.3">
      <c r="A10" s="381" t="s">
        <v>2</v>
      </c>
      <c r="B10" s="78">
        <v>0.45</v>
      </c>
      <c r="C10" s="78">
        <f t="shared" si="2"/>
        <v>5.8679999999999994</v>
      </c>
      <c r="D10" s="395" t="s">
        <v>254</v>
      </c>
      <c r="E10" s="79">
        <f t="shared" si="0"/>
        <v>0.9</v>
      </c>
      <c r="G10" s="381" t="s">
        <v>2</v>
      </c>
      <c r="H10" s="78">
        <v>0.45</v>
      </c>
      <c r="I10" s="78">
        <f t="shared" si="3"/>
        <v>5.8679999999999994</v>
      </c>
      <c r="J10" s="395" t="s">
        <v>254</v>
      </c>
      <c r="K10" s="79">
        <f t="shared" si="7"/>
        <v>0.45</v>
      </c>
      <c r="N10" s="381" t="s">
        <v>2</v>
      </c>
      <c r="O10" s="461">
        <f t="shared" si="1"/>
        <v>0.45</v>
      </c>
      <c r="P10" s="456">
        <f t="shared" si="4"/>
        <v>0.27915979106440525</v>
      </c>
      <c r="Q10" s="456">
        <f t="shared" si="5"/>
        <v>0.27915979106440525</v>
      </c>
      <c r="R10" s="456">
        <f t="shared" si="6"/>
        <v>0.28090238330066541</v>
      </c>
      <c r="S10" s="456">
        <f t="shared" si="8"/>
        <v>0.27573867326805473</v>
      </c>
    </row>
    <row r="11" spans="1:23" ht="29.25" customHeight="1" x14ac:dyDescent="0.3">
      <c r="A11" s="380" t="s">
        <v>17</v>
      </c>
      <c r="B11" s="80">
        <v>0.25</v>
      </c>
      <c r="C11" s="80">
        <f t="shared" si="2"/>
        <v>6.1179999999999994</v>
      </c>
      <c r="D11" s="14" t="s">
        <v>254</v>
      </c>
      <c r="E11" s="79">
        <f t="shared" si="0"/>
        <v>0.5</v>
      </c>
      <c r="G11" s="380" t="s">
        <v>17</v>
      </c>
      <c r="H11" s="80">
        <v>0.25</v>
      </c>
      <c r="I11" s="80">
        <f t="shared" si="3"/>
        <v>6.1179999999999994</v>
      </c>
      <c r="J11" s="14" t="s">
        <v>254</v>
      </c>
      <c r="K11" s="79">
        <f t="shared" si="7"/>
        <v>0.25</v>
      </c>
      <c r="N11" s="380" t="s">
        <v>17</v>
      </c>
      <c r="O11" s="462">
        <f t="shared" si="1"/>
        <v>0.25</v>
      </c>
      <c r="P11" s="418">
        <f t="shared" si="4"/>
        <v>0.15508877281355848</v>
      </c>
      <c r="Q11" s="418">
        <f t="shared" si="5"/>
        <v>0.15508877281355848</v>
      </c>
      <c r="R11" s="418">
        <f t="shared" si="6"/>
        <v>0.15605687961148079</v>
      </c>
      <c r="S11" s="418">
        <f t="shared" si="8"/>
        <v>0.15318815181558595</v>
      </c>
    </row>
    <row r="12" spans="1:23" ht="29.25" customHeight="1" thickBot="1" x14ac:dyDescent="0.35">
      <c r="A12" s="396" t="s">
        <v>5</v>
      </c>
      <c r="B12" s="371">
        <v>0.08</v>
      </c>
      <c r="C12" s="371">
        <f t="shared" si="2"/>
        <v>6.1979999999999995</v>
      </c>
      <c r="D12" s="397" t="s">
        <v>254</v>
      </c>
      <c r="E12" s="82">
        <f t="shared" si="0"/>
        <v>0.16</v>
      </c>
      <c r="G12" s="396" t="s">
        <v>5</v>
      </c>
      <c r="H12" s="371">
        <v>0.08</v>
      </c>
      <c r="I12" s="371">
        <f t="shared" si="3"/>
        <v>6.1979999999999995</v>
      </c>
      <c r="J12" s="397" t="s">
        <v>254</v>
      </c>
      <c r="K12" s="82">
        <f t="shared" si="7"/>
        <v>0.08</v>
      </c>
      <c r="N12" s="396" t="s">
        <v>5</v>
      </c>
      <c r="O12" s="464">
        <f t="shared" si="1"/>
        <v>0.08</v>
      </c>
      <c r="P12" s="456">
        <f t="shared" si="4"/>
        <v>4.9628407300338712E-2</v>
      </c>
      <c r="Q12" s="456">
        <f t="shared" si="5"/>
        <v>4.9628407300338712E-2</v>
      </c>
      <c r="R12" s="456">
        <f t="shared" si="6"/>
        <v>4.9938201475673849E-2</v>
      </c>
      <c r="S12" s="456">
        <f t="shared" si="8"/>
        <v>4.9020208580987511E-2</v>
      </c>
    </row>
    <row r="13" spans="1:23" ht="29.25" customHeight="1" thickBot="1" x14ac:dyDescent="0.35">
      <c r="A13" s="385" t="s">
        <v>25</v>
      </c>
      <c r="B13" s="77">
        <v>1</v>
      </c>
      <c r="C13" s="77">
        <f>B13</f>
        <v>1</v>
      </c>
      <c r="D13" s="390" t="s">
        <v>34</v>
      </c>
      <c r="E13" s="38">
        <f t="shared" si="0"/>
        <v>2</v>
      </c>
      <c r="G13" s="385" t="s">
        <v>25</v>
      </c>
      <c r="H13" s="77">
        <v>1</v>
      </c>
      <c r="I13" s="77">
        <f>H13</f>
        <v>1</v>
      </c>
      <c r="J13" s="390" t="s">
        <v>34</v>
      </c>
      <c r="K13" s="38">
        <f t="shared" si="7"/>
        <v>1</v>
      </c>
      <c r="N13" s="392" t="s">
        <v>54</v>
      </c>
      <c r="O13" s="38">
        <f>B14</f>
        <v>5</v>
      </c>
      <c r="P13" s="457">
        <f t="shared" si="4"/>
        <v>3.1017754562711697</v>
      </c>
      <c r="Q13" s="458"/>
      <c r="R13" s="459"/>
      <c r="S13" s="460"/>
    </row>
    <row r="14" spans="1:23" ht="30" customHeight="1" thickBot="1" x14ac:dyDescent="0.35">
      <c r="A14" s="392" t="s">
        <v>54</v>
      </c>
      <c r="B14" s="393">
        <v>5</v>
      </c>
      <c r="C14" s="393">
        <f>B14</f>
        <v>5</v>
      </c>
      <c r="D14" s="393" t="s">
        <v>254</v>
      </c>
      <c r="E14" s="38">
        <f t="shared" si="0"/>
        <v>10</v>
      </c>
      <c r="G14" s="392" t="s">
        <v>55</v>
      </c>
      <c r="H14" s="393">
        <v>5</v>
      </c>
      <c r="I14" s="393">
        <f>H14</f>
        <v>5</v>
      </c>
      <c r="J14" s="393" t="s">
        <v>254</v>
      </c>
      <c r="K14" s="38">
        <f t="shared" si="7"/>
        <v>5</v>
      </c>
      <c r="N14" s="392" t="s">
        <v>404</v>
      </c>
      <c r="O14" s="38">
        <f>H14</f>
        <v>5</v>
      </c>
      <c r="P14" s="458"/>
      <c r="Q14" s="483">
        <f>O14*100/(SUM($O$6:$O$12,$O$14)+150)</f>
        <v>3.1017754562711697</v>
      </c>
      <c r="R14" s="459"/>
      <c r="S14" s="460"/>
    </row>
    <row r="15" spans="1:23" ht="26.25" customHeight="1" thickBot="1" x14ac:dyDescent="0.35">
      <c r="E15" s="33"/>
      <c r="K15" s="33"/>
      <c r="N15" s="392" t="s">
        <v>405</v>
      </c>
      <c r="O15" s="38">
        <f>B29</f>
        <v>4</v>
      </c>
      <c r="P15" s="458"/>
      <c r="Q15" s="458"/>
      <c r="R15" s="457">
        <f>O15*100/(SUM($O$6:$O$12,$O$15)+150)</f>
        <v>2.4969100737836927</v>
      </c>
      <c r="S15" s="460"/>
    </row>
    <row r="16" spans="1:23" ht="26.25" customHeight="1" thickBot="1" x14ac:dyDescent="0.35">
      <c r="E16" s="33"/>
      <c r="N16" s="392" t="s">
        <v>406</v>
      </c>
      <c r="O16" s="38">
        <f>H29</f>
        <v>2</v>
      </c>
      <c r="P16" s="458"/>
      <c r="Q16" s="458"/>
      <c r="R16" s="459"/>
      <c r="S16" s="457">
        <f>O16*100/(SUM($O$6:$O$12,$O$16:$O$17)+150)</f>
        <v>1.2255052145246876</v>
      </c>
    </row>
    <row r="17" spans="1:19" ht="36.75" customHeight="1" thickTop="1" thickBot="1" x14ac:dyDescent="0.35">
      <c r="A17" s="1034" t="s">
        <v>37</v>
      </c>
      <c r="B17" s="1035"/>
      <c r="C17" s="1035"/>
      <c r="D17" s="1035"/>
      <c r="E17" s="391"/>
      <c r="G17" s="1034" t="s">
        <v>60</v>
      </c>
      <c r="H17" s="1035"/>
      <c r="I17" s="1035"/>
      <c r="J17" s="1035"/>
      <c r="K17" s="391"/>
      <c r="N17" s="472" t="s">
        <v>57</v>
      </c>
      <c r="O17" s="82">
        <f>H30</f>
        <v>5</v>
      </c>
      <c r="P17" s="473"/>
      <c r="Q17" s="473"/>
      <c r="R17" s="474"/>
      <c r="S17" s="475">
        <f>O17*100/(SUM($O$6:$O$12,$O$16:$O$17)+150)</f>
        <v>3.0637630363117192</v>
      </c>
    </row>
    <row r="18" spans="1:19" ht="21.6" thickTop="1" x14ac:dyDescent="0.65">
      <c r="G18" s="10"/>
      <c r="H18" s="9"/>
      <c r="I18" s="9"/>
      <c r="N18" s="476" t="s">
        <v>114</v>
      </c>
      <c r="O18" s="477">
        <v>69</v>
      </c>
      <c r="P18" s="478">
        <f>O18*100/150</f>
        <v>46</v>
      </c>
      <c r="Q18" s="479"/>
      <c r="R18" s="480"/>
      <c r="S18" s="480"/>
    </row>
    <row r="19" spans="1:19" ht="38.25" customHeight="1" thickBot="1" x14ac:dyDescent="0.7">
      <c r="A19" s="1024" t="s">
        <v>0</v>
      </c>
      <c r="B19" s="1025" t="s">
        <v>23</v>
      </c>
      <c r="C19" s="1025" t="s">
        <v>321</v>
      </c>
      <c r="D19" s="1037" t="s">
        <v>35</v>
      </c>
      <c r="E19" s="348" t="s">
        <v>47</v>
      </c>
      <c r="G19" s="1024" t="s">
        <v>0</v>
      </c>
      <c r="H19" s="1025" t="s">
        <v>23</v>
      </c>
      <c r="I19" s="1025" t="s">
        <v>321</v>
      </c>
      <c r="J19" s="1037" t="s">
        <v>35</v>
      </c>
      <c r="K19" s="348" t="s">
        <v>47</v>
      </c>
      <c r="N19" s="468" t="s">
        <v>118</v>
      </c>
      <c r="O19" s="469">
        <v>47</v>
      </c>
      <c r="P19" s="470">
        <f>O19*100/150</f>
        <v>31.333333333333332</v>
      </c>
      <c r="Q19" s="481"/>
      <c r="R19" s="482"/>
      <c r="S19" s="482"/>
    </row>
    <row r="20" spans="1:19" ht="48.75" customHeight="1" x14ac:dyDescent="0.65">
      <c r="A20" s="1024"/>
      <c r="B20" s="1025"/>
      <c r="C20" s="1025"/>
      <c r="D20" s="1037"/>
      <c r="E20" s="353">
        <f>'PLANNING DE FABRICATION'!E67</f>
        <v>0</v>
      </c>
      <c r="G20" s="1024"/>
      <c r="H20" s="1025"/>
      <c r="I20" s="1025"/>
      <c r="J20" s="1037"/>
      <c r="K20" s="353">
        <f>'PLANNING DE FABRICATION'!E69</f>
        <v>0</v>
      </c>
      <c r="N20" s="468" t="s">
        <v>117</v>
      </c>
      <c r="O20" s="469">
        <v>34</v>
      </c>
      <c r="P20" s="470">
        <f>O20*100/150</f>
        <v>22.666666666666668</v>
      </c>
      <c r="Q20" s="481"/>
      <c r="R20" s="482"/>
      <c r="S20" s="482"/>
    </row>
    <row r="21" spans="1:19" ht="30" customHeight="1" x14ac:dyDescent="0.3">
      <c r="A21" s="381" t="s">
        <v>20</v>
      </c>
      <c r="B21" s="78">
        <v>1.5</v>
      </c>
      <c r="C21" s="78">
        <f>B21</f>
        <v>1.5</v>
      </c>
      <c r="D21" s="395" t="s">
        <v>254</v>
      </c>
      <c r="E21" s="79">
        <f t="shared" ref="E21:E29" si="9">B21*$E$20</f>
        <v>0</v>
      </c>
      <c r="G21" s="381" t="s">
        <v>20</v>
      </c>
      <c r="H21" s="78">
        <v>1.5</v>
      </c>
      <c r="I21" s="78">
        <f>H21</f>
        <v>1.5</v>
      </c>
      <c r="J21" s="395" t="s">
        <v>254</v>
      </c>
      <c r="K21" s="79">
        <f>H21*$K$20</f>
        <v>0</v>
      </c>
      <c r="P21" s="471"/>
    </row>
    <row r="22" spans="1:19" ht="30" customHeight="1" x14ac:dyDescent="0.3">
      <c r="A22" s="380" t="s">
        <v>1</v>
      </c>
      <c r="B22" s="80">
        <v>2.4</v>
      </c>
      <c r="C22" s="80">
        <f t="shared" ref="C22:C27" si="10">C21+B22</f>
        <v>3.9</v>
      </c>
      <c r="D22" s="14" t="s">
        <v>254</v>
      </c>
      <c r="E22" s="79">
        <f t="shared" si="9"/>
        <v>0</v>
      </c>
      <c r="G22" s="380" t="s">
        <v>1</v>
      </c>
      <c r="H22" s="80">
        <v>2.4</v>
      </c>
      <c r="I22" s="80">
        <f t="shared" ref="I22:I27" si="11">I21+H22</f>
        <v>3.9</v>
      </c>
      <c r="J22" s="14" t="s">
        <v>254</v>
      </c>
      <c r="K22" s="79">
        <f>H22*$K$20</f>
        <v>0</v>
      </c>
      <c r="P22" s="471"/>
    </row>
    <row r="23" spans="1:19" ht="30" customHeight="1" x14ac:dyDescent="0.3">
      <c r="A23" s="381" t="s">
        <v>21</v>
      </c>
      <c r="B23" s="362">
        <v>1.7999999999999999E-2</v>
      </c>
      <c r="C23" s="78">
        <f t="shared" si="10"/>
        <v>3.9179999999999997</v>
      </c>
      <c r="D23" s="395" t="s">
        <v>254</v>
      </c>
      <c r="E23" s="79">
        <f t="shared" si="9"/>
        <v>0</v>
      </c>
      <c r="G23" s="381" t="s">
        <v>21</v>
      </c>
      <c r="H23" s="362">
        <v>1.7999999999999999E-2</v>
      </c>
      <c r="I23" s="78">
        <f t="shared" si="11"/>
        <v>3.9179999999999997</v>
      </c>
      <c r="J23" s="395" t="s">
        <v>254</v>
      </c>
      <c r="K23" s="79">
        <f t="shared" ref="K23:K30" si="12">H23*$K$20</f>
        <v>0</v>
      </c>
    </row>
    <row r="24" spans="1:19" ht="29.25" customHeight="1" x14ac:dyDescent="0.3">
      <c r="A24" s="380" t="s">
        <v>3</v>
      </c>
      <c r="B24" s="80">
        <v>3</v>
      </c>
      <c r="C24" s="80">
        <f t="shared" si="10"/>
        <v>6.9179999999999993</v>
      </c>
      <c r="D24" s="14" t="s">
        <v>254</v>
      </c>
      <c r="E24" s="79">
        <f t="shared" si="9"/>
        <v>0</v>
      </c>
      <c r="G24" s="380" t="s">
        <v>3</v>
      </c>
      <c r="H24" s="80">
        <v>1.5</v>
      </c>
      <c r="I24" s="80">
        <f t="shared" si="11"/>
        <v>5.4179999999999993</v>
      </c>
      <c r="J24" s="14" t="s">
        <v>254</v>
      </c>
      <c r="K24" s="79">
        <f t="shared" si="12"/>
        <v>0</v>
      </c>
    </row>
    <row r="25" spans="1:19" ht="29.25" customHeight="1" x14ac:dyDescent="0.3">
      <c r="A25" s="381" t="s">
        <v>2</v>
      </c>
      <c r="B25" s="78">
        <v>0.45</v>
      </c>
      <c r="C25" s="78">
        <f t="shared" si="10"/>
        <v>7.3679999999999994</v>
      </c>
      <c r="D25" s="395" t="s">
        <v>254</v>
      </c>
      <c r="E25" s="79">
        <f t="shared" si="9"/>
        <v>0</v>
      </c>
      <c r="G25" s="381" t="s">
        <v>2</v>
      </c>
      <c r="H25" s="78">
        <v>0.45</v>
      </c>
      <c r="I25" s="78">
        <f t="shared" si="11"/>
        <v>5.8679999999999994</v>
      </c>
      <c r="J25" s="395" t="s">
        <v>254</v>
      </c>
      <c r="K25" s="79">
        <f t="shared" si="12"/>
        <v>0</v>
      </c>
    </row>
    <row r="26" spans="1:19" ht="29.25" customHeight="1" x14ac:dyDescent="0.3">
      <c r="A26" s="380" t="s">
        <v>17</v>
      </c>
      <c r="B26" s="80">
        <v>0.25</v>
      </c>
      <c r="C26" s="80">
        <f t="shared" si="10"/>
        <v>7.6179999999999994</v>
      </c>
      <c r="D26" s="14" t="s">
        <v>254</v>
      </c>
      <c r="E26" s="79">
        <f t="shared" si="9"/>
        <v>0</v>
      </c>
      <c r="G26" s="380" t="s">
        <v>17</v>
      </c>
      <c r="H26" s="80">
        <v>0.25</v>
      </c>
      <c r="I26" s="80">
        <f t="shared" si="11"/>
        <v>6.1179999999999994</v>
      </c>
      <c r="J26" s="14" t="s">
        <v>254</v>
      </c>
      <c r="K26" s="79">
        <f t="shared" si="12"/>
        <v>0</v>
      </c>
    </row>
    <row r="27" spans="1:19" ht="29.25" customHeight="1" thickBot="1" x14ac:dyDescent="0.35">
      <c r="A27" s="396" t="s">
        <v>5</v>
      </c>
      <c r="B27" s="371">
        <v>0.08</v>
      </c>
      <c r="C27" s="371">
        <f t="shared" si="10"/>
        <v>7.6979999999999995</v>
      </c>
      <c r="D27" s="397" t="s">
        <v>254</v>
      </c>
      <c r="E27" s="82">
        <f t="shared" si="9"/>
        <v>0</v>
      </c>
      <c r="G27" s="396" t="s">
        <v>5</v>
      </c>
      <c r="H27" s="371">
        <v>0.08</v>
      </c>
      <c r="I27" s="371">
        <f t="shared" si="11"/>
        <v>6.1979999999999995</v>
      </c>
      <c r="J27" s="397" t="s">
        <v>254</v>
      </c>
      <c r="K27" s="82">
        <f t="shared" si="12"/>
        <v>0</v>
      </c>
    </row>
    <row r="28" spans="1:19" ht="29.25" customHeight="1" thickBot="1" x14ac:dyDescent="0.35">
      <c r="A28" s="385" t="s">
        <v>26</v>
      </c>
      <c r="B28" s="388">
        <v>1</v>
      </c>
      <c r="C28" s="388">
        <f>B28</f>
        <v>1</v>
      </c>
      <c r="D28" s="390" t="s">
        <v>34</v>
      </c>
      <c r="E28" s="38">
        <f t="shared" si="9"/>
        <v>0</v>
      </c>
      <c r="G28" s="385" t="s">
        <v>25</v>
      </c>
      <c r="H28" s="77">
        <v>1</v>
      </c>
      <c r="I28" s="77">
        <f>H28</f>
        <v>1</v>
      </c>
      <c r="J28" s="390" t="s">
        <v>34</v>
      </c>
      <c r="K28" s="38">
        <f t="shared" si="12"/>
        <v>0</v>
      </c>
    </row>
    <row r="29" spans="1:19" ht="31.5" customHeight="1" thickBot="1" x14ac:dyDescent="0.35">
      <c r="A29" s="394" t="s">
        <v>61</v>
      </c>
      <c r="B29" s="393">
        <v>4</v>
      </c>
      <c r="C29" s="393">
        <f>B29</f>
        <v>4</v>
      </c>
      <c r="D29" s="393" t="s">
        <v>254</v>
      </c>
      <c r="E29" s="38">
        <f t="shared" si="9"/>
        <v>0</v>
      </c>
      <c r="G29" s="392" t="s">
        <v>56</v>
      </c>
      <c r="H29" s="393">
        <v>2</v>
      </c>
      <c r="I29" s="393">
        <f>H29</f>
        <v>2</v>
      </c>
      <c r="J29" s="393" t="s">
        <v>254</v>
      </c>
      <c r="K29" s="38">
        <f t="shared" si="12"/>
        <v>0</v>
      </c>
    </row>
    <row r="30" spans="1:19" ht="27.75" customHeight="1" x14ac:dyDescent="0.3">
      <c r="E30" s="33"/>
      <c r="G30" s="392" t="s">
        <v>57</v>
      </c>
      <c r="H30" s="393">
        <v>5</v>
      </c>
      <c r="I30" s="393">
        <f>H30</f>
        <v>5</v>
      </c>
      <c r="J30" s="393" t="s">
        <v>254</v>
      </c>
      <c r="K30" s="38">
        <f t="shared" si="12"/>
        <v>0</v>
      </c>
    </row>
    <row r="31" spans="1:19" ht="21" x14ac:dyDescent="0.3">
      <c r="K31" s="33"/>
    </row>
  </sheetData>
  <sheetProtection algorithmName="SHA-512" hashValue="YsQwEyzsoEIOLZfGZNcT1xGhlmQp1RflvT6mMgIY0temipCR1Ja1asTkc9vG51JL6x1ZDzyO4LfEh910686Txw==" saltValue="Ghq7uin58jpJ6yWzcORoew==" spinCount="100000" sheet="1" objects="1" scenarios="1"/>
  <mergeCells count="27">
    <mergeCell ref="J4:J5"/>
    <mergeCell ref="D4:D5"/>
    <mergeCell ref="C4:C5"/>
    <mergeCell ref="I4:I5"/>
    <mergeCell ref="A2:D2"/>
    <mergeCell ref="G2:J2"/>
    <mergeCell ref="B4:B5"/>
    <mergeCell ref="A4:A5"/>
    <mergeCell ref="G4:G5"/>
    <mergeCell ref="H4:H5"/>
    <mergeCell ref="J19:J20"/>
    <mergeCell ref="C19:C20"/>
    <mergeCell ref="I19:I20"/>
    <mergeCell ref="G17:J17"/>
    <mergeCell ref="A17:D17"/>
    <mergeCell ref="D19:D20"/>
    <mergeCell ref="B19:B20"/>
    <mergeCell ref="A19:A20"/>
    <mergeCell ref="G19:G20"/>
    <mergeCell ref="H19:H20"/>
    <mergeCell ref="R4:R5"/>
    <mergeCell ref="S4:S5"/>
    <mergeCell ref="N2:S2"/>
    <mergeCell ref="N4:N5"/>
    <mergeCell ref="O4:O5"/>
    <mergeCell ref="P4:P5"/>
    <mergeCell ref="Q4:Q5"/>
  </mergeCells>
  <phoneticPr fontId="18" type="noConversion"/>
  <printOptions horizontalCentered="1" verticalCentered="1"/>
  <pageMargins left="0.23622047244094491" right="0.23622047244094491" top="0.74803149606299213" bottom="0.74803149606299213" header="0.31496062992125984" footer="0.31496062992125984"/>
  <pageSetup paperSize="9" scale="82"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666B5-67E4-412C-BA9C-FD4028BBFCBF}">
  <sheetPr codeName="Sheet9">
    <tabColor rgb="FFFFC000"/>
    <pageSetUpPr fitToPage="1"/>
  </sheetPr>
  <dimension ref="A1:R30"/>
  <sheetViews>
    <sheetView zoomScale="70" zoomScaleNormal="70" workbookViewId="0">
      <selection activeCell="M25" sqref="M25"/>
    </sheetView>
  </sheetViews>
  <sheetFormatPr defaultColWidth="31.88671875" defaultRowHeight="34.5" customHeight="1" x14ac:dyDescent="0.3"/>
  <cols>
    <col min="2" max="2" width="15.88671875" customWidth="1"/>
    <col min="3" max="3" width="14.109375" customWidth="1"/>
    <col min="4" max="4" width="8.33203125" style="63" customWidth="1"/>
    <col min="5" max="5" width="15.5546875" customWidth="1"/>
    <col min="6" max="6" width="11.33203125" customWidth="1"/>
    <col min="8" max="8" width="16.5546875" customWidth="1"/>
    <col min="9" max="9" width="13.6640625" customWidth="1"/>
    <col min="10" max="10" width="6.5546875" style="63" customWidth="1"/>
    <col min="11" max="11" width="16.88671875" customWidth="1"/>
    <col min="14" max="14" width="37.88671875" bestFit="1" customWidth="1"/>
    <col min="15" max="15" width="37.88671875" customWidth="1"/>
    <col min="16" max="16" width="11.88671875" bestFit="1" customWidth="1"/>
    <col min="17" max="24" width="6.88671875" customWidth="1"/>
    <col min="25" max="25" width="31.88671875" customWidth="1"/>
  </cols>
  <sheetData>
    <row r="1" spans="1:18" ht="14.25" customHeight="1" thickBot="1" x14ac:dyDescent="0.35"/>
    <row r="2" spans="1:18" ht="34.5" customHeight="1" thickTop="1" thickBot="1" x14ac:dyDescent="0.35">
      <c r="A2" s="1049" t="s">
        <v>65</v>
      </c>
      <c r="B2" s="1050"/>
      <c r="C2" s="1050"/>
      <c r="D2" s="1050"/>
      <c r="E2" s="403"/>
      <c r="G2" s="1049" t="s">
        <v>66</v>
      </c>
      <c r="H2" s="1050"/>
      <c r="I2" s="1050"/>
      <c r="J2" s="1050"/>
      <c r="K2" s="403"/>
      <c r="N2" s="1046" t="s">
        <v>410</v>
      </c>
      <c r="O2" s="1047"/>
      <c r="P2" s="1048"/>
      <c r="Q2" s="68"/>
      <c r="R2" s="68"/>
    </row>
    <row r="3" spans="1:18" ht="14.25" customHeight="1" thickTop="1" x14ac:dyDescent="0.3">
      <c r="A3" s="10"/>
      <c r="B3" s="9"/>
      <c r="C3" s="9"/>
      <c r="G3" s="10"/>
      <c r="H3" s="9"/>
      <c r="I3" s="9"/>
      <c r="N3" s="10"/>
      <c r="O3" s="10"/>
      <c r="P3" s="9"/>
    </row>
    <row r="4" spans="1:18" ht="34.5" customHeight="1" thickBot="1" x14ac:dyDescent="0.35">
      <c r="A4" s="1024" t="s">
        <v>0</v>
      </c>
      <c r="B4" s="1025" t="s">
        <v>23</v>
      </c>
      <c r="C4" s="1025" t="s">
        <v>321</v>
      </c>
      <c r="D4" s="1026" t="s">
        <v>35</v>
      </c>
      <c r="E4" s="348" t="s">
        <v>47</v>
      </c>
      <c r="G4" s="1024" t="s">
        <v>0</v>
      </c>
      <c r="H4" s="1025" t="s">
        <v>23</v>
      </c>
      <c r="I4" s="1025" t="s">
        <v>321</v>
      </c>
      <c r="J4" s="1026" t="s">
        <v>35</v>
      </c>
      <c r="K4" s="348" t="s">
        <v>47</v>
      </c>
      <c r="N4" s="1042" t="s">
        <v>0</v>
      </c>
      <c r="O4" s="1044" t="s">
        <v>411</v>
      </c>
      <c r="P4" s="1043" t="s">
        <v>412</v>
      </c>
    </row>
    <row r="5" spans="1:18" ht="34.5" customHeight="1" x14ac:dyDescent="0.3">
      <c r="A5" s="1024"/>
      <c r="B5" s="1025"/>
      <c r="C5" s="1025"/>
      <c r="D5" s="1026"/>
      <c r="E5" s="353">
        <f>'PLANNING DE FABRICATION'!E90</f>
        <v>0</v>
      </c>
      <c r="G5" s="1024"/>
      <c r="H5" s="1025"/>
      <c r="I5" s="1025"/>
      <c r="J5" s="1026"/>
      <c r="K5" s="353">
        <f>'PLANNING DE FABRICATION'!E88</f>
        <v>0</v>
      </c>
      <c r="N5" s="1042"/>
      <c r="O5" s="1045"/>
      <c r="P5" s="1043"/>
    </row>
    <row r="6" spans="1:18" ht="34.5" customHeight="1" x14ac:dyDescent="0.3">
      <c r="A6" s="381" t="s">
        <v>20</v>
      </c>
      <c r="B6" s="78">
        <v>1.5</v>
      </c>
      <c r="C6" s="78">
        <f>B6</f>
        <v>1.5</v>
      </c>
      <c r="D6" s="359" t="s">
        <v>254</v>
      </c>
      <c r="E6" s="79">
        <f>B6*$E$5</f>
        <v>0</v>
      </c>
      <c r="G6" s="381" t="s">
        <v>20</v>
      </c>
      <c r="H6" s="78">
        <v>1.5</v>
      </c>
      <c r="I6" s="78">
        <f>H6</f>
        <v>1.5</v>
      </c>
      <c r="J6" s="359" t="s">
        <v>254</v>
      </c>
      <c r="K6" s="79">
        <f>H6*$K$5</f>
        <v>0</v>
      </c>
      <c r="N6" s="465" t="s">
        <v>20</v>
      </c>
      <c r="O6" s="78">
        <f t="shared" ref="O6:O12" si="0">B6</f>
        <v>1.5</v>
      </c>
      <c r="P6" s="456">
        <f>O6*100/(SUM($O$6:$O$13)+150)</f>
        <v>0.83636282534513895</v>
      </c>
    </row>
    <row r="7" spans="1:18" ht="34.5" customHeight="1" x14ac:dyDescent="0.3">
      <c r="A7" s="380" t="s">
        <v>1</v>
      </c>
      <c r="B7" s="80">
        <v>2.5499999999999998</v>
      </c>
      <c r="C7" s="80">
        <f t="shared" ref="C7:C12" si="1">C6+B7</f>
        <v>4.05</v>
      </c>
      <c r="D7" s="357" t="s">
        <v>254</v>
      </c>
      <c r="E7" s="79">
        <f t="shared" ref="E7:E14" si="2">B7*$E$5</f>
        <v>0</v>
      </c>
      <c r="G7" s="380" t="s">
        <v>1</v>
      </c>
      <c r="H7" s="80">
        <v>2.5499999999999998</v>
      </c>
      <c r="I7" s="80">
        <f t="shared" ref="I7:I12" si="3">I6+H7</f>
        <v>4.05</v>
      </c>
      <c r="J7" s="357" t="s">
        <v>254</v>
      </c>
      <c r="K7" s="79">
        <f>H7*$K$5</f>
        <v>0</v>
      </c>
      <c r="N7" s="466" t="s">
        <v>1</v>
      </c>
      <c r="O7" s="80">
        <f t="shared" si="0"/>
        <v>2.5499999999999998</v>
      </c>
      <c r="P7" s="418">
        <f t="shared" ref="P7:P12" si="4">O7*100/(SUM($O$6:$O$13)+150)</f>
        <v>1.4218168030867362</v>
      </c>
    </row>
    <row r="8" spans="1:18" ht="34.5" customHeight="1" x14ac:dyDescent="0.3">
      <c r="A8" s="381" t="s">
        <v>21</v>
      </c>
      <c r="B8" s="362">
        <v>1.7999999999999999E-2</v>
      </c>
      <c r="C8" s="78">
        <f t="shared" si="1"/>
        <v>4.0679999999999996</v>
      </c>
      <c r="D8" s="359" t="s">
        <v>254</v>
      </c>
      <c r="E8" s="79">
        <f t="shared" si="2"/>
        <v>0</v>
      </c>
      <c r="G8" s="381" t="s">
        <v>21</v>
      </c>
      <c r="H8" s="362">
        <v>1.7999999999999999E-2</v>
      </c>
      <c r="I8" s="78">
        <f t="shared" si="3"/>
        <v>4.0679999999999996</v>
      </c>
      <c r="J8" s="359" t="s">
        <v>254</v>
      </c>
      <c r="K8" s="79">
        <f t="shared" ref="K8:K14" si="5">H8*$K$5</f>
        <v>0</v>
      </c>
      <c r="N8" s="465" t="s">
        <v>21</v>
      </c>
      <c r="O8" s="362">
        <f t="shared" si="0"/>
        <v>1.7999999999999999E-2</v>
      </c>
      <c r="P8" s="78">
        <f t="shared" si="4"/>
        <v>1.0036353904141667E-2</v>
      </c>
    </row>
    <row r="9" spans="1:18" ht="34.5" customHeight="1" x14ac:dyDescent="0.3">
      <c r="A9" s="380" t="s">
        <v>3</v>
      </c>
      <c r="B9" s="80">
        <v>1.5</v>
      </c>
      <c r="C9" s="80">
        <f t="shared" si="1"/>
        <v>5.5679999999999996</v>
      </c>
      <c r="D9" s="357" t="s">
        <v>254</v>
      </c>
      <c r="E9" s="79">
        <f t="shared" si="2"/>
        <v>0</v>
      </c>
      <c r="G9" s="380" t="s">
        <v>3</v>
      </c>
      <c r="H9" s="80">
        <v>1.5</v>
      </c>
      <c r="I9" s="80">
        <f t="shared" si="3"/>
        <v>5.5679999999999996</v>
      </c>
      <c r="J9" s="357" t="s">
        <v>254</v>
      </c>
      <c r="K9" s="79">
        <f t="shared" si="5"/>
        <v>0</v>
      </c>
      <c r="N9" s="466" t="s">
        <v>3</v>
      </c>
      <c r="O9" s="80">
        <f t="shared" si="0"/>
        <v>1.5</v>
      </c>
      <c r="P9" s="418">
        <f t="shared" si="4"/>
        <v>0.83636282534513895</v>
      </c>
    </row>
    <row r="10" spans="1:18" ht="34.5" customHeight="1" x14ac:dyDescent="0.3">
      <c r="A10" s="381" t="s">
        <v>2</v>
      </c>
      <c r="B10" s="78">
        <v>0.45</v>
      </c>
      <c r="C10" s="78">
        <f t="shared" si="1"/>
        <v>6.0179999999999998</v>
      </c>
      <c r="D10" s="359" t="s">
        <v>254</v>
      </c>
      <c r="E10" s="79">
        <f t="shared" si="2"/>
        <v>0</v>
      </c>
      <c r="G10" s="381" t="s">
        <v>2</v>
      </c>
      <c r="H10" s="78">
        <v>0.45</v>
      </c>
      <c r="I10" s="78">
        <f t="shared" si="3"/>
        <v>6.0179999999999998</v>
      </c>
      <c r="J10" s="359" t="s">
        <v>254</v>
      </c>
      <c r="K10" s="79">
        <f t="shared" si="5"/>
        <v>0</v>
      </c>
      <c r="N10" s="465" t="s">
        <v>2</v>
      </c>
      <c r="O10" s="78">
        <f t="shared" si="0"/>
        <v>0.45</v>
      </c>
      <c r="P10" s="78">
        <f t="shared" si="4"/>
        <v>0.25090884760354171</v>
      </c>
    </row>
    <row r="11" spans="1:18" ht="34.5" customHeight="1" x14ac:dyDescent="0.3">
      <c r="A11" s="380" t="s">
        <v>17</v>
      </c>
      <c r="B11" s="80">
        <v>0.25</v>
      </c>
      <c r="C11" s="80">
        <f t="shared" si="1"/>
        <v>6.2679999999999998</v>
      </c>
      <c r="D11" s="357" t="s">
        <v>254</v>
      </c>
      <c r="E11" s="79">
        <f t="shared" si="2"/>
        <v>0</v>
      </c>
      <c r="G11" s="380" t="s">
        <v>17</v>
      </c>
      <c r="H11" s="80">
        <v>0.25</v>
      </c>
      <c r="I11" s="80">
        <f t="shared" si="3"/>
        <v>6.2679999999999998</v>
      </c>
      <c r="J11" s="357" t="s">
        <v>254</v>
      </c>
      <c r="K11" s="79">
        <f t="shared" si="5"/>
        <v>0</v>
      </c>
      <c r="N11" s="466" t="s">
        <v>17</v>
      </c>
      <c r="O11" s="80">
        <f t="shared" si="0"/>
        <v>0.25</v>
      </c>
      <c r="P11" s="80">
        <f t="shared" si="4"/>
        <v>0.13939380422418984</v>
      </c>
    </row>
    <row r="12" spans="1:18" ht="34.5" customHeight="1" thickBot="1" x14ac:dyDescent="0.35">
      <c r="A12" s="396" t="s">
        <v>5</v>
      </c>
      <c r="B12" s="371">
        <v>0.08</v>
      </c>
      <c r="C12" s="371">
        <f t="shared" si="1"/>
        <v>6.3479999999999999</v>
      </c>
      <c r="D12" s="372" t="s">
        <v>254</v>
      </c>
      <c r="E12" s="82">
        <f t="shared" si="2"/>
        <v>0</v>
      </c>
      <c r="G12" s="396" t="s">
        <v>5</v>
      </c>
      <c r="H12" s="371">
        <v>0.08</v>
      </c>
      <c r="I12" s="371">
        <f t="shared" si="3"/>
        <v>6.3479999999999999</v>
      </c>
      <c r="J12" s="372" t="s">
        <v>254</v>
      </c>
      <c r="K12" s="82">
        <f t="shared" si="5"/>
        <v>0</v>
      </c>
      <c r="N12" s="467" t="s">
        <v>5</v>
      </c>
      <c r="O12" s="371">
        <f t="shared" si="0"/>
        <v>0.08</v>
      </c>
      <c r="P12" s="78">
        <f t="shared" si="4"/>
        <v>4.4606017351740745E-2</v>
      </c>
    </row>
    <row r="13" spans="1:18" ht="27.75" customHeight="1" thickBot="1" x14ac:dyDescent="0.35">
      <c r="A13" s="385" t="s">
        <v>25</v>
      </c>
      <c r="B13" s="400">
        <v>1</v>
      </c>
      <c r="C13" s="400">
        <f>B13</f>
        <v>1</v>
      </c>
      <c r="D13" s="43" t="s">
        <v>34</v>
      </c>
      <c r="E13" s="38">
        <f t="shared" si="2"/>
        <v>0</v>
      </c>
      <c r="G13" s="385" t="s">
        <v>25</v>
      </c>
      <c r="H13" s="400">
        <v>1</v>
      </c>
      <c r="I13" s="400">
        <f>H13</f>
        <v>1</v>
      </c>
      <c r="J13" s="43" t="s">
        <v>34</v>
      </c>
      <c r="K13" s="38">
        <f t="shared" si="5"/>
        <v>0</v>
      </c>
      <c r="N13" s="387" t="s">
        <v>413</v>
      </c>
      <c r="O13" s="387">
        <f>B14</f>
        <v>23</v>
      </c>
      <c r="P13" s="449">
        <f>O13*100/(SUM($O$6:$O$12)+150)</f>
        <v>14.710773402921687</v>
      </c>
    </row>
    <row r="14" spans="1:18" ht="29.25" customHeight="1" x14ac:dyDescent="0.3">
      <c r="A14" s="401" t="s">
        <v>62</v>
      </c>
      <c r="B14" s="387">
        <v>23</v>
      </c>
      <c r="C14" s="387">
        <f>B14</f>
        <v>23</v>
      </c>
      <c r="D14" s="402" t="s">
        <v>254</v>
      </c>
      <c r="E14" s="38">
        <f t="shared" si="2"/>
        <v>0</v>
      </c>
      <c r="G14" s="401" t="s">
        <v>63</v>
      </c>
      <c r="H14" s="387">
        <v>23</v>
      </c>
      <c r="I14" s="387">
        <f>H14</f>
        <v>23</v>
      </c>
      <c r="J14" s="402" t="s">
        <v>254</v>
      </c>
      <c r="K14" s="38">
        <f t="shared" si="5"/>
        <v>0</v>
      </c>
    </row>
    <row r="15" spans="1:18" ht="29.25" customHeight="1" x14ac:dyDescent="0.3">
      <c r="E15" s="33"/>
      <c r="K15" s="33"/>
    </row>
    <row r="16" spans="1:18" ht="34.5" customHeight="1" thickBot="1" x14ac:dyDescent="0.35">
      <c r="E16" s="33"/>
    </row>
    <row r="17" spans="1:18" ht="34.5" customHeight="1" thickTop="1" thickBot="1" x14ac:dyDescent="0.65">
      <c r="A17" s="1049" t="s">
        <v>313</v>
      </c>
      <c r="B17" s="1050"/>
      <c r="C17" s="1050"/>
      <c r="D17" s="1050"/>
      <c r="E17" s="403"/>
      <c r="G17" s="1049" t="s">
        <v>67</v>
      </c>
      <c r="H17" s="1050"/>
      <c r="I17" s="1050"/>
      <c r="J17" s="1050"/>
      <c r="K17" s="403"/>
      <c r="N17" s="138"/>
      <c r="O17" s="138"/>
      <c r="P17" s="138"/>
    </row>
    <row r="18" spans="1:18" ht="15" customHeight="1" thickTop="1" thickBot="1" x14ac:dyDescent="0.35">
      <c r="G18" s="10"/>
      <c r="H18" s="9"/>
      <c r="I18" s="9"/>
      <c r="N18" s="6"/>
      <c r="O18" s="6"/>
      <c r="P18" s="6"/>
      <c r="Q18" s="1041"/>
      <c r="R18" s="1041"/>
    </row>
    <row r="19" spans="1:18" ht="34.5" customHeight="1" thickBot="1" x14ac:dyDescent="0.35">
      <c r="A19" s="1024" t="s">
        <v>0</v>
      </c>
      <c r="B19" s="1025" t="s">
        <v>23</v>
      </c>
      <c r="C19" s="1025" t="s">
        <v>321</v>
      </c>
      <c r="D19" s="1051" t="s">
        <v>35</v>
      </c>
      <c r="E19" s="398" t="s">
        <v>47</v>
      </c>
      <c r="G19" s="1024" t="s">
        <v>0</v>
      </c>
      <c r="H19" s="1025" t="s">
        <v>23</v>
      </c>
      <c r="I19" s="1025" t="s">
        <v>321</v>
      </c>
      <c r="J19" s="1026" t="s">
        <v>35</v>
      </c>
      <c r="K19" s="348" t="s">
        <v>47</v>
      </c>
      <c r="N19" s="953" t="s">
        <v>416</v>
      </c>
      <c r="O19" s="954"/>
      <c r="P19" s="955"/>
      <c r="Q19" s="491" t="s">
        <v>418</v>
      </c>
      <c r="R19" s="491" t="s">
        <v>415</v>
      </c>
    </row>
    <row r="20" spans="1:18" ht="34.5" customHeight="1" x14ac:dyDescent="0.6">
      <c r="A20" s="1024"/>
      <c r="B20" s="1025"/>
      <c r="C20" s="1025"/>
      <c r="D20" s="1051"/>
      <c r="E20" s="353">
        <f>'PLANNING DE FABRICATION'!E89</f>
        <v>1</v>
      </c>
      <c r="G20" s="1024"/>
      <c r="H20" s="1025"/>
      <c r="I20" s="1025"/>
      <c r="J20" s="1026"/>
      <c r="K20" s="353">
        <f>'PLANNING DE FABRICATION'!E87</f>
        <v>0</v>
      </c>
      <c r="N20" s="1038" t="s">
        <v>231</v>
      </c>
      <c r="O20" s="1039"/>
      <c r="P20" s="1040"/>
      <c r="Q20" s="494">
        <v>45</v>
      </c>
      <c r="R20" s="495">
        <f>Q20*100/SUM($Q$20:$Q$23)</f>
        <v>30</v>
      </c>
    </row>
    <row r="21" spans="1:18" ht="34.5" customHeight="1" x14ac:dyDescent="0.6">
      <c r="A21" s="381" t="s">
        <v>20</v>
      </c>
      <c r="B21" s="78">
        <v>1.5</v>
      </c>
      <c r="C21" s="78">
        <v>1.5</v>
      </c>
      <c r="D21" s="359" t="s">
        <v>254</v>
      </c>
      <c r="E21" s="79">
        <f t="shared" ref="E21:E29" si="6">B21*$E$20</f>
        <v>1.5</v>
      </c>
      <c r="G21" s="381" t="s">
        <v>20</v>
      </c>
      <c r="H21" s="78">
        <v>1.5</v>
      </c>
      <c r="I21" s="78">
        <f>H21</f>
        <v>1.5</v>
      </c>
      <c r="J21" s="359" t="s">
        <v>254</v>
      </c>
      <c r="K21" s="399">
        <f>H21*$K$20</f>
        <v>0</v>
      </c>
      <c r="N21" s="940" t="s">
        <v>232</v>
      </c>
      <c r="O21" s="941"/>
      <c r="P21" s="942"/>
      <c r="Q21" s="155">
        <v>47</v>
      </c>
      <c r="R21" s="492">
        <f t="shared" ref="R21:R23" si="7">Q21*100/SUM($Q$20:$Q$23)</f>
        <v>31.333333333333332</v>
      </c>
    </row>
    <row r="22" spans="1:18" ht="34.5" customHeight="1" x14ac:dyDescent="0.6">
      <c r="A22" s="380" t="s">
        <v>1</v>
      </c>
      <c r="B22" s="80">
        <v>2.5499999999999998</v>
      </c>
      <c r="C22" s="80">
        <v>4.05</v>
      </c>
      <c r="D22" s="357" t="s">
        <v>254</v>
      </c>
      <c r="E22" s="79">
        <f t="shared" si="6"/>
        <v>2.5499999999999998</v>
      </c>
      <c r="G22" s="380" t="s">
        <v>1</v>
      </c>
      <c r="H22" s="80">
        <v>2.5499999999999998</v>
      </c>
      <c r="I22" s="80">
        <f t="shared" ref="I22:I27" si="8">I21+H22</f>
        <v>4.05</v>
      </c>
      <c r="J22" s="357" t="s">
        <v>254</v>
      </c>
      <c r="K22" s="79">
        <f>H22*$K$20</f>
        <v>0</v>
      </c>
      <c r="N22" s="1038" t="s">
        <v>233</v>
      </c>
      <c r="O22" s="1039"/>
      <c r="P22" s="1040"/>
      <c r="Q22" s="496">
        <v>35</v>
      </c>
      <c r="R22" s="495">
        <f t="shared" si="7"/>
        <v>23.333333333333332</v>
      </c>
    </row>
    <row r="23" spans="1:18" ht="34.5" customHeight="1" thickBot="1" x14ac:dyDescent="0.65">
      <c r="A23" s="381" t="s">
        <v>21</v>
      </c>
      <c r="B23" s="362">
        <v>1.7999999999999999E-2</v>
      </c>
      <c r="C23" s="78">
        <v>4.0679999999999996</v>
      </c>
      <c r="D23" s="359" t="s">
        <v>254</v>
      </c>
      <c r="E23" s="79">
        <f t="shared" si="6"/>
        <v>1.7999999999999999E-2</v>
      </c>
      <c r="G23" s="381" t="s">
        <v>21</v>
      </c>
      <c r="H23" s="362">
        <v>1.7999999999999999E-2</v>
      </c>
      <c r="I23" s="78">
        <f t="shared" si="8"/>
        <v>4.0679999999999996</v>
      </c>
      <c r="J23" s="359" t="s">
        <v>254</v>
      </c>
      <c r="K23" s="79">
        <f t="shared" ref="K23:K29" si="9">H23*$K$20</f>
        <v>0</v>
      </c>
      <c r="N23" s="940" t="s">
        <v>419</v>
      </c>
      <c r="O23" s="941"/>
      <c r="P23" s="942"/>
      <c r="Q23" s="155">
        <v>23</v>
      </c>
      <c r="R23" s="492">
        <f t="shared" si="7"/>
        <v>15.333333333333334</v>
      </c>
    </row>
    <row r="24" spans="1:18" ht="34.5" customHeight="1" thickBot="1" x14ac:dyDescent="0.65">
      <c r="A24" s="380" t="s">
        <v>3</v>
      </c>
      <c r="B24" s="80">
        <v>1.5</v>
      </c>
      <c r="C24" s="80">
        <v>5.5679999999999996</v>
      </c>
      <c r="D24" s="357" t="s">
        <v>254</v>
      </c>
      <c r="E24" s="79">
        <f t="shared" si="6"/>
        <v>1.5</v>
      </c>
      <c r="G24" s="380" t="s">
        <v>3</v>
      </c>
      <c r="H24" s="80">
        <v>1.5</v>
      </c>
      <c r="I24" s="80">
        <f t="shared" si="8"/>
        <v>5.5679999999999996</v>
      </c>
      <c r="J24" s="357" t="s">
        <v>254</v>
      </c>
      <c r="K24" s="79">
        <f t="shared" si="9"/>
        <v>0</v>
      </c>
      <c r="N24" s="969" t="s">
        <v>217</v>
      </c>
      <c r="O24" s="970"/>
      <c r="P24" s="971"/>
      <c r="Q24" s="157">
        <f>SUM(Q20:Q23)</f>
        <v>150</v>
      </c>
      <c r="R24" s="493">
        <f>SUM(R20:R23)</f>
        <v>99.999999999999986</v>
      </c>
    </row>
    <row r="25" spans="1:18" ht="34.5" customHeight="1" x14ac:dyDescent="0.6">
      <c r="A25" s="381" t="s">
        <v>2</v>
      </c>
      <c r="B25" s="78">
        <v>0.45</v>
      </c>
      <c r="C25" s="78">
        <v>6.0179999999999998</v>
      </c>
      <c r="D25" s="359" t="s">
        <v>254</v>
      </c>
      <c r="E25" s="79">
        <f t="shared" si="6"/>
        <v>0.45</v>
      </c>
      <c r="G25" s="381" t="s">
        <v>2</v>
      </c>
      <c r="H25" s="78">
        <v>0.45</v>
      </c>
      <c r="I25" s="78">
        <f t="shared" si="8"/>
        <v>6.0179999999999998</v>
      </c>
      <c r="J25" s="359" t="s">
        <v>254</v>
      </c>
      <c r="K25" s="79">
        <f t="shared" si="9"/>
        <v>0</v>
      </c>
      <c r="R25" s="138"/>
    </row>
    <row r="26" spans="1:18" ht="34.5" customHeight="1" x14ac:dyDescent="0.3">
      <c r="A26" s="380" t="s">
        <v>17</v>
      </c>
      <c r="B26" s="80">
        <v>0.25</v>
      </c>
      <c r="C26" s="80">
        <v>6.2679999999999998</v>
      </c>
      <c r="D26" s="357" t="s">
        <v>254</v>
      </c>
      <c r="E26" s="79">
        <f t="shared" si="6"/>
        <v>0.25</v>
      </c>
      <c r="G26" s="380" t="s">
        <v>17</v>
      </c>
      <c r="H26" s="80">
        <v>0.25</v>
      </c>
      <c r="I26" s="80">
        <f t="shared" si="8"/>
        <v>6.2679999999999998</v>
      </c>
      <c r="J26" s="357" t="s">
        <v>254</v>
      </c>
      <c r="K26" s="79">
        <f t="shared" si="9"/>
        <v>0</v>
      </c>
    </row>
    <row r="27" spans="1:18" ht="34.5" customHeight="1" thickBot="1" x14ac:dyDescent="0.35">
      <c r="A27" s="396" t="s">
        <v>5</v>
      </c>
      <c r="B27" s="371">
        <v>0.08</v>
      </c>
      <c r="C27" s="371">
        <v>6.3479999999999999</v>
      </c>
      <c r="D27" s="372" t="s">
        <v>254</v>
      </c>
      <c r="E27" s="82">
        <f t="shared" si="6"/>
        <v>0.08</v>
      </c>
      <c r="G27" s="396" t="s">
        <v>5</v>
      </c>
      <c r="H27" s="371">
        <v>0.08</v>
      </c>
      <c r="I27" s="371">
        <f t="shared" si="8"/>
        <v>6.3479999999999999</v>
      </c>
      <c r="J27" s="372" t="s">
        <v>254</v>
      </c>
      <c r="K27" s="82">
        <f t="shared" si="9"/>
        <v>0</v>
      </c>
    </row>
    <row r="28" spans="1:18" ht="30" customHeight="1" thickBot="1" x14ac:dyDescent="0.35">
      <c r="A28" s="385" t="s">
        <v>25</v>
      </c>
      <c r="B28" s="400">
        <v>1</v>
      </c>
      <c r="C28" s="400">
        <f>B28</f>
        <v>1</v>
      </c>
      <c r="D28" s="43" t="s">
        <v>34</v>
      </c>
      <c r="E28" s="38">
        <f t="shared" si="6"/>
        <v>1</v>
      </c>
      <c r="G28" s="385" t="s">
        <v>25</v>
      </c>
      <c r="H28" s="400">
        <v>1</v>
      </c>
      <c r="I28" s="400">
        <f>H28</f>
        <v>1</v>
      </c>
      <c r="J28" s="43" t="s">
        <v>34</v>
      </c>
      <c r="K28" s="38">
        <f t="shared" si="9"/>
        <v>0</v>
      </c>
    </row>
    <row r="29" spans="1:18" ht="34.5" customHeight="1" x14ac:dyDescent="0.3">
      <c r="A29" s="401" t="s">
        <v>314</v>
      </c>
      <c r="B29" s="387">
        <v>23</v>
      </c>
      <c r="C29" s="387">
        <f>B29</f>
        <v>23</v>
      </c>
      <c r="D29" s="402" t="s">
        <v>254</v>
      </c>
      <c r="E29" s="38">
        <f t="shared" si="6"/>
        <v>23</v>
      </c>
      <c r="G29" s="401" t="s">
        <v>64</v>
      </c>
      <c r="H29" s="387">
        <v>23</v>
      </c>
      <c r="I29" s="387">
        <f>H29</f>
        <v>23</v>
      </c>
      <c r="J29" s="402" t="s">
        <v>254</v>
      </c>
      <c r="K29" s="38">
        <f t="shared" si="9"/>
        <v>0</v>
      </c>
    </row>
    <row r="30" spans="1:18" ht="34.5" customHeight="1" x14ac:dyDescent="0.3">
      <c r="K30" s="33"/>
    </row>
  </sheetData>
  <sheetProtection algorithmName="SHA-512" hashValue="ACOcuyQ9qlMOqUtnFBh74dQ5KnNqZ0ve0WjTGJXF3fIhU7bsShwQd1x0mpNsRld4JcaFOH92ZMrmAMmAi18L7g==" saltValue="+jurplIdOxHNGfEt5xABjw==" spinCount="100000" sheet="1" objects="1" scenarios="1"/>
  <mergeCells count="31">
    <mergeCell ref="J4:J5"/>
    <mergeCell ref="D4:D5"/>
    <mergeCell ref="C4:C5"/>
    <mergeCell ref="I4:I5"/>
    <mergeCell ref="G2:J2"/>
    <mergeCell ref="A2:D2"/>
    <mergeCell ref="B4:B5"/>
    <mergeCell ref="A4:A5"/>
    <mergeCell ref="G4:G5"/>
    <mergeCell ref="H4:H5"/>
    <mergeCell ref="J19:J20"/>
    <mergeCell ref="C19:C20"/>
    <mergeCell ref="I19:I20"/>
    <mergeCell ref="G17:J17"/>
    <mergeCell ref="A17:D17"/>
    <mergeCell ref="D19:D20"/>
    <mergeCell ref="B19:B20"/>
    <mergeCell ref="A19:A20"/>
    <mergeCell ref="G19:G20"/>
    <mergeCell ref="H19:H20"/>
    <mergeCell ref="Q18:R18"/>
    <mergeCell ref="N4:N5"/>
    <mergeCell ref="P4:P5"/>
    <mergeCell ref="O4:O5"/>
    <mergeCell ref="N2:P2"/>
    <mergeCell ref="N23:P23"/>
    <mergeCell ref="N24:P24"/>
    <mergeCell ref="N19:P19"/>
    <mergeCell ref="N20:P20"/>
    <mergeCell ref="N21:P21"/>
    <mergeCell ref="N22:P22"/>
  </mergeCells>
  <printOptions horizontalCentered="1" verticalCentered="1"/>
  <pageMargins left="0.23622047244094491" right="0.23622047244094491" top="0.74803149606299213" bottom="0.74803149606299213" header="0.31496062992125984" footer="0.31496062992125984"/>
  <pageSetup paperSize="9" scale="82"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7CC46-5C8E-4505-B2F1-F89E4841AEF6}">
  <sheetPr codeName="Sheet10">
    <tabColor rgb="FF00B050"/>
    <pageSetUpPr fitToPage="1"/>
  </sheetPr>
  <dimension ref="A1:AA78"/>
  <sheetViews>
    <sheetView topLeftCell="C30" zoomScale="85" zoomScaleNormal="85" workbookViewId="0">
      <selection activeCell="N44" sqref="N44"/>
    </sheetView>
  </sheetViews>
  <sheetFormatPr defaultColWidth="11.5546875" defaultRowHeight="14.4" x14ac:dyDescent="0.3"/>
  <cols>
    <col min="1" max="1" width="34.6640625" bestFit="1" customWidth="1"/>
    <col min="2" max="3" width="13.109375" customWidth="1"/>
    <col min="4" max="4" width="6.33203125" style="63" customWidth="1"/>
    <col min="6" max="6" width="5.6640625" customWidth="1"/>
    <col min="7" max="7" width="37.88671875" customWidth="1"/>
    <col min="8" max="8" width="11.5546875" customWidth="1"/>
    <col min="9" max="9" width="13.5546875" customWidth="1"/>
    <col min="10" max="10" width="5.44140625" customWidth="1"/>
    <col min="12" max="12" width="5.44140625" customWidth="1"/>
    <col min="13" max="13" width="31.109375" customWidth="1"/>
    <col min="14" max="15" width="13.5546875" customWidth="1"/>
    <col min="16" max="16" width="6.5546875" customWidth="1"/>
    <col min="23" max="23" width="23.6640625" bestFit="1" customWidth="1"/>
    <col min="24" max="24" width="19.5546875" bestFit="1" customWidth="1"/>
    <col min="25" max="25" width="29.6640625" customWidth="1"/>
    <col min="26" max="26" width="8.88671875" bestFit="1" customWidth="1"/>
    <col min="27" max="27" width="15.88671875" customWidth="1"/>
  </cols>
  <sheetData>
    <row r="1" spans="1:27" ht="15" thickBot="1" x14ac:dyDescent="0.35"/>
    <row r="2" spans="1:27" ht="21" thickTop="1" thickBot="1" x14ac:dyDescent="0.35">
      <c r="A2" s="1052" t="s">
        <v>324</v>
      </c>
      <c r="B2" s="1053"/>
      <c r="C2" s="1053"/>
      <c r="D2" s="1053"/>
      <c r="E2" s="417"/>
      <c r="G2" s="1052" t="s">
        <v>334</v>
      </c>
      <c r="H2" s="1053"/>
      <c r="I2" s="1053"/>
      <c r="J2" s="1053"/>
      <c r="K2" s="417"/>
      <c r="M2" s="1052" t="s">
        <v>335</v>
      </c>
      <c r="N2" s="1053"/>
      <c r="O2" s="1053"/>
      <c r="P2" s="1053"/>
      <c r="Q2" s="417"/>
    </row>
    <row r="3" spans="1:27" ht="22.2" thickTop="1" thickBot="1" x14ac:dyDescent="0.35">
      <c r="A3" s="10"/>
      <c r="B3" s="9"/>
      <c r="C3" s="9"/>
      <c r="G3" s="10"/>
      <c r="H3" s="9"/>
      <c r="I3" s="9"/>
      <c r="J3" s="63"/>
      <c r="M3" s="10"/>
      <c r="N3" s="9"/>
      <c r="O3" s="9"/>
      <c r="P3" s="63"/>
      <c r="W3" s="1052" t="s">
        <v>332</v>
      </c>
      <c r="X3" s="1053"/>
      <c r="Y3" s="1053"/>
      <c r="Z3" s="1053"/>
    </row>
    <row r="4" spans="1:27" ht="22.2" thickTop="1" thickBot="1" x14ac:dyDescent="0.35">
      <c r="A4" s="1024" t="s">
        <v>0</v>
      </c>
      <c r="B4" s="1025" t="s">
        <v>23</v>
      </c>
      <c r="C4" s="1025" t="s">
        <v>321</v>
      </c>
      <c r="D4" s="1026" t="s">
        <v>35</v>
      </c>
      <c r="E4" s="398" t="s">
        <v>47</v>
      </c>
      <c r="G4" s="1024" t="s">
        <v>0</v>
      </c>
      <c r="H4" s="1025" t="s">
        <v>23</v>
      </c>
      <c r="I4" s="1025" t="s">
        <v>321</v>
      </c>
      <c r="J4" s="1026" t="s">
        <v>35</v>
      </c>
      <c r="K4" s="398" t="s">
        <v>47</v>
      </c>
      <c r="M4" s="1024" t="s">
        <v>0</v>
      </c>
      <c r="N4" s="1025" t="s">
        <v>23</v>
      </c>
      <c r="O4" s="1025" t="s">
        <v>321</v>
      </c>
      <c r="P4" s="1026" t="s">
        <v>35</v>
      </c>
      <c r="Q4" s="398" t="s">
        <v>47</v>
      </c>
    </row>
    <row r="5" spans="1:27" ht="19.8" x14ac:dyDescent="0.3">
      <c r="A5" s="1024"/>
      <c r="B5" s="1025"/>
      <c r="C5" s="1025"/>
      <c r="D5" s="1026"/>
      <c r="E5" s="353">
        <f>'PLANNING DE FABRICATION'!E70</f>
        <v>0</v>
      </c>
      <c r="G5" s="1024"/>
      <c r="H5" s="1025"/>
      <c r="I5" s="1025"/>
      <c r="J5" s="1026"/>
      <c r="K5" s="353">
        <f>'PLANNING DE FABRICATION'!E71</f>
        <v>0</v>
      </c>
      <c r="M5" s="1024"/>
      <c r="N5" s="1025"/>
      <c r="O5" s="1025"/>
      <c r="P5" s="1026"/>
      <c r="Q5" s="353">
        <f>'PLANNING DE FABRICATION'!E72</f>
        <v>0</v>
      </c>
      <c r="W5" s="1024" t="s">
        <v>0</v>
      </c>
      <c r="X5" s="1025" t="s">
        <v>23</v>
      </c>
      <c r="Y5" s="1025" t="s">
        <v>321</v>
      </c>
      <c r="Z5" s="1026" t="s">
        <v>35</v>
      </c>
    </row>
    <row r="6" spans="1:27" ht="21" x14ac:dyDescent="0.3">
      <c r="A6" s="381" t="s">
        <v>20</v>
      </c>
      <c r="B6" s="395">
        <v>1.5</v>
      </c>
      <c r="C6" s="395">
        <f>B6</f>
        <v>1.5</v>
      </c>
      <c r="D6" s="359" t="s">
        <v>254</v>
      </c>
      <c r="E6" s="79">
        <f t="shared" ref="E6:E14" si="0">B6*$E$5</f>
        <v>0</v>
      </c>
      <c r="G6" s="381" t="s">
        <v>20</v>
      </c>
      <c r="H6" s="395">
        <v>1.5</v>
      </c>
      <c r="I6" s="395">
        <f>H6</f>
        <v>1.5</v>
      </c>
      <c r="J6" s="359" t="s">
        <v>254</v>
      </c>
      <c r="K6" s="79">
        <f t="shared" ref="K6:K14" si="1">H6*$K$5</f>
        <v>0</v>
      </c>
      <c r="M6" s="381" t="s">
        <v>20</v>
      </c>
      <c r="N6" s="395">
        <v>1.5</v>
      </c>
      <c r="O6" s="395">
        <f>N6</f>
        <v>1.5</v>
      </c>
      <c r="P6" s="359" t="s">
        <v>254</v>
      </c>
      <c r="Q6" s="79">
        <f>N6*$Q$5</f>
        <v>0</v>
      </c>
      <c r="W6" s="1024"/>
      <c r="X6" s="1025"/>
      <c r="Y6" s="1025"/>
      <c r="Z6" s="1026"/>
    </row>
    <row r="7" spans="1:27" ht="21" x14ac:dyDescent="0.3">
      <c r="A7" s="380" t="s">
        <v>1</v>
      </c>
      <c r="B7" s="14">
        <v>2.4</v>
      </c>
      <c r="C7" s="14">
        <f t="shared" ref="C7:C12" si="2">C6+B7</f>
        <v>3.9</v>
      </c>
      <c r="D7" s="357" t="s">
        <v>254</v>
      </c>
      <c r="E7" s="79">
        <f t="shared" si="0"/>
        <v>0</v>
      </c>
      <c r="G7" s="380" t="s">
        <v>1</v>
      </c>
      <c r="H7" s="14">
        <v>2.4</v>
      </c>
      <c r="I7" s="14">
        <f t="shared" ref="I7:I12" si="3">I6+H7</f>
        <v>3.9</v>
      </c>
      <c r="J7" s="357" t="s">
        <v>254</v>
      </c>
      <c r="K7" s="79">
        <f t="shared" si="1"/>
        <v>0</v>
      </c>
      <c r="M7" s="380" t="s">
        <v>1</v>
      </c>
      <c r="N7" s="14">
        <v>2.4</v>
      </c>
      <c r="O7" s="14">
        <f t="shared" ref="O7:O12" si="4">O6+N7</f>
        <v>3.9</v>
      </c>
      <c r="P7" s="357" t="s">
        <v>254</v>
      </c>
      <c r="Q7" s="79">
        <f t="shared" ref="Q7:Q14" si="5">N7*$Q$5</f>
        <v>0</v>
      </c>
      <c r="W7" s="381" t="s">
        <v>20</v>
      </c>
      <c r="X7" s="395">
        <v>1.5</v>
      </c>
      <c r="Y7" s="395">
        <f>X7</f>
        <v>1.5</v>
      </c>
      <c r="Z7" s="359" t="s">
        <v>254</v>
      </c>
    </row>
    <row r="8" spans="1:27" ht="21" x14ac:dyDescent="0.3">
      <c r="A8" s="381" t="s">
        <v>21</v>
      </c>
      <c r="B8" s="395">
        <v>1.7999999999999999E-2</v>
      </c>
      <c r="C8" s="395">
        <f t="shared" si="2"/>
        <v>3.9179999999999997</v>
      </c>
      <c r="D8" s="359" t="s">
        <v>254</v>
      </c>
      <c r="E8" s="79">
        <f t="shared" si="0"/>
        <v>0</v>
      </c>
      <c r="G8" s="381" t="s">
        <v>21</v>
      </c>
      <c r="H8" s="395">
        <v>1.7999999999999999E-2</v>
      </c>
      <c r="I8" s="395">
        <f t="shared" si="3"/>
        <v>3.9179999999999997</v>
      </c>
      <c r="J8" s="359" t="s">
        <v>254</v>
      </c>
      <c r="K8" s="79">
        <f t="shared" si="1"/>
        <v>0</v>
      </c>
      <c r="M8" s="381" t="s">
        <v>21</v>
      </c>
      <c r="N8" s="395">
        <v>1.7999999999999999E-2</v>
      </c>
      <c r="O8" s="395">
        <f t="shared" si="4"/>
        <v>3.9179999999999997</v>
      </c>
      <c r="P8" s="359" t="s">
        <v>254</v>
      </c>
      <c r="Q8" s="79">
        <f t="shared" si="5"/>
        <v>0</v>
      </c>
      <c r="W8" s="380" t="s">
        <v>1</v>
      </c>
      <c r="X8" s="14">
        <v>2.4</v>
      </c>
      <c r="Y8" s="14">
        <f t="shared" ref="Y8:Y13" si="6">Y7+X8</f>
        <v>3.9</v>
      </c>
      <c r="Z8" s="357" t="s">
        <v>254</v>
      </c>
    </row>
    <row r="9" spans="1:27" ht="39.6" x14ac:dyDescent="0.3">
      <c r="A9" s="380" t="s">
        <v>3</v>
      </c>
      <c r="B9" s="14">
        <v>1.5</v>
      </c>
      <c r="C9" s="14">
        <f t="shared" si="2"/>
        <v>5.4179999999999993</v>
      </c>
      <c r="D9" s="357" t="s">
        <v>254</v>
      </c>
      <c r="E9" s="79">
        <f t="shared" si="0"/>
        <v>0</v>
      </c>
      <c r="G9" s="380" t="s">
        <v>3</v>
      </c>
      <c r="H9" s="14">
        <v>1.5</v>
      </c>
      <c r="I9" s="14">
        <f t="shared" si="3"/>
        <v>5.4179999999999993</v>
      </c>
      <c r="J9" s="357" t="s">
        <v>254</v>
      </c>
      <c r="K9" s="79">
        <f t="shared" si="1"/>
        <v>0</v>
      </c>
      <c r="M9" s="380" t="s">
        <v>3</v>
      </c>
      <c r="N9" s="14">
        <v>1.5</v>
      </c>
      <c r="O9" s="14">
        <f t="shared" si="4"/>
        <v>5.4179999999999993</v>
      </c>
      <c r="P9" s="357" t="s">
        <v>254</v>
      </c>
      <c r="Q9" s="79">
        <f t="shared" si="5"/>
        <v>0</v>
      </c>
      <c r="W9" s="381" t="s">
        <v>21</v>
      </c>
      <c r="X9" s="395">
        <v>1.7999999999999999E-2</v>
      </c>
      <c r="Y9" s="395">
        <f t="shared" si="6"/>
        <v>3.9179999999999997</v>
      </c>
      <c r="Z9" s="359" t="s">
        <v>254</v>
      </c>
    </row>
    <row r="10" spans="1:27" ht="21" x14ac:dyDescent="0.3">
      <c r="A10" s="381" t="s">
        <v>2</v>
      </c>
      <c r="B10" s="395">
        <v>0.45</v>
      </c>
      <c r="C10" s="395">
        <f t="shared" si="2"/>
        <v>5.8679999999999994</v>
      </c>
      <c r="D10" s="359" t="s">
        <v>254</v>
      </c>
      <c r="E10" s="79">
        <f t="shared" si="0"/>
        <v>0</v>
      </c>
      <c r="G10" s="381" t="s">
        <v>2</v>
      </c>
      <c r="H10" s="395">
        <v>0.45</v>
      </c>
      <c r="I10" s="395">
        <f t="shared" si="3"/>
        <v>5.8679999999999994</v>
      </c>
      <c r="J10" s="359" t="s">
        <v>254</v>
      </c>
      <c r="K10" s="79">
        <f t="shared" si="1"/>
        <v>0</v>
      </c>
      <c r="M10" s="381" t="s">
        <v>2</v>
      </c>
      <c r="N10" s="395">
        <v>0.45</v>
      </c>
      <c r="O10" s="395">
        <f t="shared" si="4"/>
        <v>5.8679999999999994</v>
      </c>
      <c r="P10" s="359" t="s">
        <v>254</v>
      </c>
      <c r="Q10" s="79">
        <f t="shared" si="5"/>
        <v>0</v>
      </c>
      <c r="W10" s="380" t="s">
        <v>3</v>
      </c>
      <c r="X10" s="14">
        <v>1.5</v>
      </c>
      <c r="Y10" s="14">
        <f t="shared" si="6"/>
        <v>5.4179999999999993</v>
      </c>
      <c r="Z10" s="357" t="s">
        <v>254</v>
      </c>
    </row>
    <row r="11" spans="1:27" ht="21" x14ac:dyDescent="0.3">
      <c r="A11" s="380" t="s">
        <v>17</v>
      </c>
      <c r="B11" s="14">
        <v>0.25</v>
      </c>
      <c r="C11" s="14">
        <f t="shared" si="2"/>
        <v>6.1179999999999994</v>
      </c>
      <c r="D11" s="357" t="s">
        <v>254</v>
      </c>
      <c r="E11" s="79">
        <f t="shared" si="0"/>
        <v>0</v>
      </c>
      <c r="G11" s="380" t="s">
        <v>17</v>
      </c>
      <c r="H11" s="14">
        <v>0.25</v>
      </c>
      <c r="I11" s="14">
        <f t="shared" si="3"/>
        <v>6.1179999999999994</v>
      </c>
      <c r="J11" s="357" t="s">
        <v>254</v>
      </c>
      <c r="K11" s="79">
        <f t="shared" si="1"/>
        <v>0</v>
      </c>
      <c r="M11" s="380" t="s">
        <v>17</v>
      </c>
      <c r="N11" s="14">
        <v>0.25</v>
      </c>
      <c r="O11" s="14">
        <f t="shared" si="4"/>
        <v>6.1179999999999994</v>
      </c>
      <c r="P11" s="357" t="s">
        <v>254</v>
      </c>
      <c r="Q11" s="79">
        <f t="shared" si="5"/>
        <v>0</v>
      </c>
      <c r="W11" s="381" t="s">
        <v>2</v>
      </c>
      <c r="X11" s="395">
        <v>0.45</v>
      </c>
      <c r="Y11" s="395">
        <f t="shared" si="6"/>
        <v>5.8679999999999994</v>
      </c>
      <c r="Z11" s="359" t="s">
        <v>254</v>
      </c>
    </row>
    <row r="12" spans="1:27" ht="40.200000000000003" thickBot="1" x14ac:dyDescent="0.35">
      <c r="A12" s="396" t="s">
        <v>5</v>
      </c>
      <c r="B12" s="397">
        <v>0.08</v>
      </c>
      <c r="C12" s="397">
        <f t="shared" si="2"/>
        <v>6.1979999999999995</v>
      </c>
      <c r="D12" s="372" t="s">
        <v>254</v>
      </c>
      <c r="E12" s="82">
        <f t="shared" si="0"/>
        <v>0</v>
      </c>
      <c r="G12" s="396" t="s">
        <v>5</v>
      </c>
      <c r="H12" s="397">
        <v>0.08</v>
      </c>
      <c r="I12" s="397">
        <f t="shared" si="3"/>
        <v>6.1979999999999995</v>
      </c>
      <c r="J12" s="372" t="s">
        <v>254</v>
      </c>
      <c r="K12" s="82">
        <f t="shared" si="1"/>
        <v>0</v>
      </c>
      <c r="M12" s="396" t="s">
        <v>5</v>
      </c>
      <c r="N12" s="397">
        <v>0.08</v>
      </c>
      <c r="O12" s="397">
        <f t="shared" si="4"/>
        <v>6.1979999999999995</v>
      </c>
      <c r="P12" s="372" t="s">
        <v>254</v>
      </c>
      <c r="Q12" s="82">
        <f t="shared" si="5"/>
        <v>0</v>
      </c>
      <c r="W12" s="380" t="s">
        <v>17</v>
      </c>
      <c r="X12" s="14">
        <v>0.25</v>
      </c>
      <c r="Y12" s="14">
        <f t="shared" si="6"/>
        <v>6.1179999999999994</v>
      </c>
      <c r="Z12" s="357" t="s">
        <v>254</v>
      </c>
    </row>
    <row r="13" spans="1:27" ht="21.6" thickBot="1" x14ac:dyDescent="0.35">
      <c r="A13" s="406" t="s">
        <v>25</v>
      </c>
      <c r="B13" s="407">
        <v>1</v>
      </c>
      <c r="C13" s="407">
        <f>B13</f>
        <v>1</v>
      </c>
      <c r="D13" s="408" t="s">
        <v>34</v>
      </c>
      <c r="E13" s="70">
        <f t="shared" si="0"/>
        <v>0</v>
      </c>
      <c r="G13" s="406" t="s">
        <v>25</v>
      </c>
      <c r="H13" s="407">
        <v>1</v>
      </c>
      <c r="I13" s="407">
        <f>H13</f>
        <v>1</v>
      </c>
      <c r="J13" s="408" t="s">
        <v>34</v>
      </c>
      <c r="K13" s="70">
        <f t="shared" si="1"/>
        <v>0</v>
      </c>
      <c r="M13" s="406" t="s">
        <v>25</v>
      </c>
      <c r="N13" s="407">
        <v>1</v>
      </c>
      <c r="O13" s="407">
        <f>N13</f>
        <v>1</v>
      </c>
      <c r="P13" s="408" t="s">
        <v>34</v>
      </c>
      <c r="Q13" s="70">
        <f t="shared" si="5"/>
        <v>0</v>
      </c>
      <c r="W13" s="396" t="s">
        <v>5</v>
      </c>
      <c r="X13" s="371">
        <v>0.08</v>
      </c>
      <c r="Y13" s="397">
        <f t="shared" si="6"/>
        <v>6.1979999999999995</v>
      </c>
      <c r="Z13" s="372" t="s">
        <v>254</v>
      </c>
    </row>
    <row r="14" spans="1:27" ht="21" x14ac:dyDescent="0.3">
      <c r="A14" s="386" t="s">
        <v>68</v>
      </c>
      <c r="B14" s="387">
        <v>5</v>
      </c>
      <c r="C14" s="387">
        <f>B14</f>
        <v>5</v>
      </c>
      <c r="D14" s="402" t="s">
        <v>254</v>
      </c>
      <c r="E14" s="38">
        <f t="shared" si="0"/>
        <v>0</v>
      </c>
      <c r="G14" s="386" t="s">
        <v>76</v>
      </c>
      <c r="H14" s="387">
        <v>5</v>
      </c>
      <c r="I14" s="387">
        <f>H14</f>
        <v>5</v>
      </c>
      <c r="J14" s="402" t="s">
        <v>254</v>
      </c>
      <c r="K14" s="38">
        <f t="shared" si="1"/>
        <v>0</v>
      </c>
      <c r="M14" s="386" t="s">
        <v>75</v>
      </c>
      <c r="N14" s="387">
        <v>3</v>
      </c>
      <c r="O14" s="387">
        <f>N14</f>
        <v>3</v>
      </c>
      <c r="P14" s="402" t="s">
        <v>38</v>
      </c>
      <c r="Q14" s="38">
        <f t="shared" si="5"/>
        <v>0</v>
      </c>
      <c r="W14" s="385" t="s">
        <v>25</v>
      </c>
      <c r="X14" s="400">
        <v>1</v>
      </c>
      <c r="Y14" s="400">
        <f>X14</f>
        <v>1</v>
      </c>
      <c r="Z14" s="43" t="s">
        <v>34</v>
      </c>
    </row>
    <row r="15" spans="1:27" ht="20.399999999999999" thickBot="1" x14ac:dyDescent="0.35">
      <c r="A15" s="283"/>
      <c r="B15" s="283"/>
      <c r="C15" s="283"/>
      <c r="D15" s="283"/>
      <c r="E15" s="283"/>
      <c r="G15" s="283"/>
      <c r="H15" s="283"/>
      <c r="I15" s="283"/>
      <c r="J15" s="283"/>
      <c r="K15" s="283"/>
      <c r="P15" s="67"/>
      <c r="Q15" s="83"/>
      <c r="AA15" s="488" t="s">
        <v>415</v>
      </c>
    </row>
    <row r="16" spans="1:27" ht="17.25" customHeight="1" thickTop="1" thickBot="1" x14ac:dyDescent="0.35">
      <c r="A16" s="1052" t="s">
        <v>325</v>
      </c>
      <c r="B16" s="1053"/>
      <c r="C16" s="1053"/>
      <c r="D16" s="1053"/>
      <c r="E16" s="417"/>
      <c r="G16" s="1052" t="s">
        <v>336</v>
      </c>
      <c r="H16" s="1053"/>
      <c r="I16" s="1053"/>
      <c r="J16" s="1053"/>
      <c r="K16" s="417"/>
      <c r="M16" s="1052" t="s">
        <v>337</v>
      </c>
      <c r="N16" s="1053"/>
      <c r="O16" s="1053"/>
      <c r="P16" s="1053"/>
      <c r="Q16" s="417"/>
      <c r="W16" s="1054" t="s">
        <v>333</v>
      </c>
      <c r="X16" s="428" t="s">
        <v>371</v>
      </c>
      <c r="Y16" s="429">
        <v>5</v>
      </c>
      <c r="Z16" s="430" t="s">
        <v>254</v>
      </c>
      <c r="AA16" s="487">
        <f>Y16*100/(SUM($X$7:$X$13,Y16)+150)</f>
        <v>3.1017754562711697</v>
      </c>
    </row>
    <row r="17" spans="1:27" ht="17.25" customHeight="1" thickTop="1" thickBot="1" x14ac:dyDescent="0.35">
      <c r="A17" s="10"/>
      <c r="B17" s="9"/>
      <c r="C17" s="9"/>
      <c r="G17" s="10"/>
      <c r="H17" s="9"/>
      <c r="I17" s="9"/>
      <c r="J17" s="63"/>
      <c r="M17" s="10"/>
      <c r="N17" s="9"/>
      <c r="O17" s="9"/>
      <c r="P17" s="63"/>
      <c r="W17" s="1055"/>
      <c r="X17" s="425" t="s">
        <v>326</v>
      </c>
      <c r="Y17" s="382">
        <v>5</v>
      </c>
      <c r="Z17" s="426" t="s">
        <v>254</v>
      </c>
      <c r="AA17" s="486">
        <f t="shared" ref="AA17:AA21" si="7">Y17*100/(SUM($X$7:$X$13,Y17)+150)</f>
        <v>3.1017754562711697</v>
      </c>
    </row>
    <row r="18" spans="1:27" ht="16.5" customHeight="1" thickBot="1" x14ac:dyDescent="0.35">
      <c r="A18" s="1024" t="s">
        <v>0</v>
      </c>
      <c r="B18" s="1025" t="s">
        <v>23</v>
      </c>
      <c r="C18" s="1025" t="s">
        <v>321</v>
      </c>
      <c r="D18" s="1026" t="s">
        <v>35</v>
      </c>
      <c r="E18" s="398" t="s">
        <v>47</v>
      </c>
      <c r="G18" s="1024" t="s">
        <v>0</v>
      </c>
      <c r="H18" s="1025" t="s">
        <v>23</v>
      </c>
      <c r="I18" s="1025" t="s">
        <v>321</v>
      </c>
      <c r="J18" s="1026" t="s">
        <v>35</v>
      </c>
      <c r="K18" s="398" t="s">
        <v>47</v>
      </c>
      <c r="M18" s="1024" t="s">
        <v>0</v>
      </c>
      <c r="N18" s="1025" t="s">
        <v>23</v>
      </c>
      <c r="O18" s="1025" t="s">
        <v>321</v>
      </c>
      <c r="P18" s="1026" t="s">
        <v>35</v>
      </c>
      <c r="Q18" s="398" t="s">
        <v>47</v>
      </c>
      <c r="W18" s="1055"/>
      <c r="X18" s="428" t="s">
        <v>327</v>
      </c>
      <c r="Y18" s="429">
        <v>3</v>
      </c>
      <c r="Z18" s="430" t="s">
        <v>38</v>
      </c>
      <c r="AA18" s="487">
        <f t="shared" si="7"/>
        <v>1.88444578449478</v>
      </c>
    </row>
    <row r="19" spans="1:27" ht="15.75" customHeight="1" x14ac:dyDescent="0.3">
      <c r="A19" s="1024"/>
      <c r="B19" s="1025"/>
      <c r="C19" s="1025"/>
      <c r="D19" s="1026"/>
      <c r="E19" s="353">
        <f>'PLANNING DE FABRICATION'!E74</f>
        <v>0.5</v>
      </c>
      <c r="G19" s="1024"/>
      <c r="H19" s="1025"/>
      <c r="I19" s="1025"/>
      <c r="J19" s="1026"/>
      <c r="K19" s="353">
        <f>'PLANNING DE FABRICATION'!E75</f>
        <v>0</v>
      </c>
      <c r="M19" s="1024"/>
      <c r="N19" s="1025"/>
      <c r="O19" s="1025"/>
      <c r="P19" s="1026"/>
      <c r="Q19" s="353">
        <f>'PLANNING DE FABRICATION'!E76</f>
        <v>0</v>
      </c>
      <c r="W19" s="1055"/>
      <c r="X19" s="425" t="s">
        <v>370</v>
      </c>
      <c r="Y19" s="382">
        <v>2</v>
      </c>
      <c r="Z19" s="426" t="s">
        <v>254</v>
      </c>
      <c r="AA19" s="486">
        <f t="shared" si="7"/>
        <v>1.2642384859479892</v>
      </c>
    </row>
    <row r="20" spans="1:27" ht="15.75" customHeight="1" x14ac:dyDescent="0.3">
      <c r="A20" s="381" t="s">
        <v>20</v>
      </c>
      <c r="B20" s="395">
        <v>1.5</v>
      </c>
      <c r="C20" s="395">
        <f>B20</f>
        <v>1.5</v>
      </c>
      <c r="D20" s="359" t="s">
        <v>254</v>
      </c>
      <c r="E20" s="79">
        <f t="shared" ref="E20:E28" si="8">B20*$E$19</f>
        <v>0.75</v>
      </c>
      <c r="G20" s="381" t="s">
        <v>20</v>
      </c>
      <c r="H20" s="395">
        <v>1.5</v>
      </c>
      <c r="I20" s="395">
        <f>H20</f>
        <v>1.5</v>
      </c>
      <c r="J20" s="359" t="s">
        <v>254</v>
      </c>
      <c r="K20" s="79">
        <f t="shared" ref="K20:K28" si="9">H20*$K$19</f>
        <v>0</v>
      </c>
      <c r="M20" s="381" t="s">
        <v>20</v>
      </c>
      <c r="N20" s="395">
        <v>1.5</v>
      </c>
      <c r="O20" s="395">
        <f>N20</f>
        <v>1.5</v>
      </c>
      <c r="P20" s="359" t="s">
        <v>254</v>
      </c>
      <c r="Q20" s="79">
        <f t="shared" ref="Q20:Q28" si="10">N20*$Q$19</f>
        <v>0</v>
      </c>
      <c r="W20" s="1055"/>
      <c r="X20" s="428" t="s">
        <v>175</v>
      </c>
      <c r="Y20" s="431">
        <v>0.35</v>
      </c>
      <c r="Z20" s="430" t="s">
        <v>254</v>
      </c>
      <c r="AA20" s="487">
        <f t="shared" si="7"/>
        <v>0.2235736004292613</v>
      </c>
    </row>
    <row r="21" spans="1:27" ht="15.75" customHeight="1" x14ac:dyDescent="0.3">
      <c r="A21" s="380" t="s">
        <v>1</v>
      </c>
      <c r="B21" s="14">
        <v>2.4</v>
      </c>
      <c r="C21" s="14">
        <f t="shared" ref="C21:C26" si="11">C20+B21</f>
        <v>3.9</v>
      </c>
      <c r="D21" s="357" t="s">
        <v>254</v>
      </c>
      <c r="E21" s="79">
        <f t="shared" si="8"/>
        <v>1.2</v>
      </c>
      <c r="G21" s="380" t="s">
        <v>1</v>
      </c>
      <c r="H21" s="14">
        <v>2.4</v>
      </c>
      <c r="I21" s="14">
        <f>I20+H21</f>
        <v>3.9</v>
      </c>
      <c r="J21" s="357" t="s">
        <v>254</v>
      </c>
      <c r="K21" s="79">
        <f t="shared" si="9"/>
        <v>0</v>
      </c>
      <c r="M21" s="380" t="s">
        <v>1</v>
      </c>
      <c r="N21" s="14">
        <v>2.4</v>
      </c>
      <c r="O21" s="14">
        <f>O20+N21</f>
        <v>3.9</v>
      </c>
      <c r="P21" s="357" t="s">
        <v>254</v>
      </c>
      <c r="Q21" s="79">
        <f t="shared" si="10"/>
        <v>0</v>
      </c>
      <c r="W21" s="1055"/>
      <c r="X21" s="425" t="s">
        <v>176</v>
      </c>
      <c r="Y21" s="382">
        <v>0.375</v>
      </c>
      <c r="Z21" s="426" t="s">
        <v>254</v>
      </c>
      <c r="AA21" s="486">
        <f t="shared" si="7"/>
        <v>0.2395048954800636</v>
      </c>
    </row>
    <row r="22" spans="1:27" ht="21" x14ac:dyDescent="0.3">
      <c r="A22" s="381" t="s">
        <v>21</v>
      </c>
      <c r="B22" s="395">
        <v>1.7999999999999999E-2</v>
      </c>
      <c r="C22" s="395">
        <f t="shared" si="11"/>
        <v>3.9179999999999997</v>
      </c>
      <c r="D22" s="359" t="s">
        <v>254</v>
      </c>
      <c r="E22" s="79">
        <f t="shared" si="8"/>
        <v>8.9999999999999993E-3</v>
      </c>
      <c r="G22" s="381" t="s">
        <v>21</v>
      </c>
      <c r="H22" s="395">
        <v>1.7999999999999999E-2</v>
      </c>
      <c r="I22" s="395">
        <f>I21+H22</f>
        <v>3.9179999999999997</v>
      </c>
      <c r="J22" s="359" t="s">
        <v>254</v>
      </c>
      <c r="K22" s="79">
        <f t="shared" si="9"/>
        <v>0</v>
      </c>
      <c r="M22" s="381" t="s">
        <v>21</v>
      </c>
      <c r="N22" s="395">
        <v>1.7999999999999999E-2</v>
      </c>
      <c r="O22" s="395">
        <f t="shared" ref="O22:O25" si="12">O21+N22</f>
        <v>3.9179999999999997</v>
      </c>
      <c r="P22" s="359" t="s">
        <v>254</v>
      </c>
      <c r="Q22" s="79">
        <f t="shared" si="10"/>
        <v>0</v>
      </c>
      <c r="W22" s="1055"/>
      <c r="X22" s="428" t="s">
        <v>328</v>
      </c>
      <c r="Y22" s="429">
        <v>2</v>
      </c>
      <c r="Z22" s="430" t="s">
        <v>254</v>
      </c>
      <c r="AA22" s="487">
        <f t="shared" ref="AA22:AA28" si="13">Y22*100/(SUM($X$7:$X$13,Y22)+150)</f>
        <v>1.2642384859479892</v>
      </c>
    </row>
    <row r="23" spans="1:27" ht="21" x14ac:dyDescent="0.3">
      <c r="A23" s="380" t="s">
        <v>3</v>
      </c>
      <c r="B23" s="14">
        <v>1.5</v>
      </c>
      <c r="C23" s="14">
        <f t="shared" si="11"/>
        <v>5.4179999999999993</v>
      </c>
      <c r="D23" s="357" t="s">
        <v>254</v>
      </c>
      <c r="E23" s="79">
        <f t="shared" si="8"/>
        <v>0.75</v>
      </c>
      <c r="G23" s="380" t="s">
        <v>3</v>
      </c>
      <c r="H23" s="14">
        <v>1.5</v>
      </c>
      <c r="I23" s="14">
        <f t="shared" ref="I23" si="14">I22+H23</f>
        <v>5.4179999999999993</v>
      </c>
      <c r="J23" s="357" t="s">
        <v>254</v>
      </c>
      <c r="K23" s="79">
        <f t="shared" si="9"/>
        <v>0</v>
      </c>
      <c r="M23" s="380" t="s">
        <v>3</v>
      </c>
      <c r="N23" s="14">
        <v>1.5</v>
      </c>
      <c r="O23" s="14">
        <f>O22+N23</f>
        <v>5.4179999999999993</v>
      </c>
      <c r="P23" s="357" t="s">
        <v>254</v>
      </c>
      <c r="Q23" s="79">
        <f t="shared" si="10"/>
        <v>0</v>
      </c>
      <c r="W23" s="1055"/>
      <c r="X23" s="1057" t="s">
        <v>414</v>
      </c>
      <c r="Y23" s="382">
        <v>10</v>
      </c>
      <c r="Z23" s="426" t="s">
        <v>254</v>
      </c>
      <c r="AA23" s="486">
        <f t="shared" si="13"/>
        <v>6.0169195778529225</v>
      </c>
    </row>
    <row r="24" spans="1:27" ht="21" x14ac:dyDescent="0.3">
      <c r="A24" s="381" t="s">
        <v>2</v>
      </c>
      <c r="B24" s="395">
        <v>0.45</v>
      </c>
      <c r="C24" s="395">
        <f t="shared" si="11"/>
        <v>5.8679999999999994</v>
      </c>
      <c r="D24" s="359" t="s">
        <v>254</v>
      </c>
      <c r="E24" s="79">
        <f t="shared" si="8"/>
        <v>0.22500000000000001</v>
      </c>
      <c r="G24" s="381" t="s">
        <v>2</v>
      </c>
      <c r="H24" s="395">
        <v>0.45</v>
      </c>
      <c r="I24" s="395">
        <f>I23+H24</f>
        <v>5.8679999999999994</v>
      </c>
      <c r="J24" s="359" t="s">
        <v>254</v>
      </c>
      <c r="K24" s="79">
        <f t="shared" si="9"/>
        <v>0</v>
      </c>
      <c r="M24" s="381" t="s">
        <v>2</v>
      </c>
      <c r="N24" s="395">
        <v>0.45</v>
      </c>
      <c r="O24" s="395">
        <f t="shared" si="12"/>
        <v>5.8679999999999994</v>
      </c>
      <c r="P24" s="359" t="s">
        <v>254</v>
      </c>
      <c r="Q24" s="79">
        <f t="shared" si="10"/>
        <v>0</v>
      </c>
      <c r="W24" s="1055"/>
      <c r="X24" s="1058"/>
      <c r="Y24" s="382">
        <v>1</v>
      </c>
      <c r="Z24" s="426" t="s">
        <v>135</v>
      </c>
      <c r="AA24" s="486">
        <f t="shared" si="13"/>
        <v>0.63614040891105483</v>
      </c>
    </row>
    <row r="25" spans="1:27" ht="21" x14ac:dyDescent="0.3">
      <c r="A25" s="380" t="s">
        <v>17</v>
      </c>
      <c r="B25" s="14">
        <v>0.25</v>
      </c>
      <c r="C25" s="14">
        <f t="shared" si="11"/>
        <v>6.1179999999999994</v>
      </c>
      <c r="D25" s="357" t="s">
        <v>254</v>
      </c>
      <c r="E25" s="79">
        <f t="shared" si="8"/>
        <v>0.125</v>
      </c>
      <c r="G25" s="380" t="s">
        <v>17</v>
      </c>
      <c r="H25" s="14">
        <v>0.25</v>
      </c>
      <c r="I25" s="14">
        <f>I24+H25</f>
        <v>6.1179999999999994</v>
      </c>
      <c r="J25" s="357" t="s">
        <v>254</v>
      </c>
      <c r="K25" s="79">
        <f t="shared" si="9"/>
        <v>0</v>
      </c>
      <c r="M25" s="380" t="s">
        <v>17</v>
      </c>
      <c r="N25" s="14">
        <v>0.25</v>
      </c>
      <c r="O25" s="14">
        <f t="shared" si="12"/>
        <v>6.1179999999999994</v>
      </c>
      <c r="P25" s="357" t="s">
        <v>254</v>
      </c>
      <c r="Q25" s="79">
        <f t="shared" si="10"/>
        <v>0</v>
      </c>
      <c r="W25" s="1055"/>
      <c r="X25" s="1059"/>
      <c r="Y25" s="485">
        <v>0.1</v>
      </c>
      <c r="Z25" s="484" t="s">
        <v>254</v>
      </c>
      <c r="AA25" s="486">
        <f t="shared" si="13"/>
        <v>6.3980345237942909E-2</v>
      </c>
    </row>
    <row r="26" spans="1:27" ht="21.6" thickBot="1" x14ac:dyDescent="0.35">
      <c r="A26" s="396" t="s">
        <v>5</v>
      </c>
      <c r="B26" s="397">
        <v>0.08</v>
      </c>
      <c r="C26" s="397">
        <f t="shared" si="11"/>
        <v>6.1979999999999995</v>
      </c>
      <c r="D26" s="372" t="s">
        <v>254</v>
      </c>
      <c r="E26" s="82">
        <f t="shared" si="8"/>
        <v>0.04</v>
      </c>
      <c r="G26" s="396" t="s">
        <v>5</v>
      </c>
      <c r="H26" s="397">
        <v>0.08</v>
      </c>
      <c r="I26" s="397">
        <f>I25+H26</f>
        <v>6.1979999999999995</v>
      </c>
      <c r="J26" s="372" t="s">
        <v>254</v>
      </c>
      <c r="K26" s="82">
        <f t="shared" si="9"/>
        <v>0</v>
      </c>
      <c r="M26" s="396" t="s">
        <v>5</v>
      </c>
      <c r="N26" s="397">
        <v>0.08</v>
      </c>
      <c r="O26" s="397">
        <f>O25+N26</f>
        <v>6.1979999999999995</v>
      </c>
      <c r="P26" s="372" t="s">
        <v>254</v>
      </c>
      <c r="Q26" s="82">
        <f t="shared" si="10"/>
        <v>0</v>
      </c>
      <c r="W26" s="1055"/>
      <c r="X26" s="428" t="s">
        <v>329</v>
      </c>
      <c r="Y26" s="431">
        <v>0.52</v>
      </c>
      <c r="Z26" s="430" t="s">
        <v>254</v>
      </c>
      <c r="AA26" s="487">
        <f t="shared" si="13"/>
        <v>0.33180617414719432</v>
      </c>
    </row>
    <row r="27" spans="1:27" ht="21.6" thickBot="1" x14ac:dyDescent="0.35">
      <c r="A27" s="406" t="s">
        <v>25</v>
      </c>
      <c r="B27" s="407">
        <v>1</v>
      </c>
      <c r="C27" s="407">
        <f>B27</f>
        <v>1</v>
      </c>
      <c r="D27" s="408" t="s">
        <v>34</v>
      </c>
      <c r="E27" s="70">
        <f t="shared" si="8"/>
        <v>0.5</v>
      </c>
      <c r="G27" s="406" t="s">
        <v>25</v>
      </c>
      <c r="H27" s="407">
        <v>1</v>
      </c>
      <c r="I27" s="407">
        <f>H27</f>
        <v>1</v>
      </c>
      <c r="J27" s="408" t="s">
        <v>34</v>
      </c>
      <c r="K27" s="70">
        <f t="shared" si="9"/>
        <v>0</v>
      </c>
      <c r="M27" s="406" t="s">
        <v>25</v>
      </c>
      <c r="N27" s="407">
        <v>1</v>
      </c>
      <c r="O27" s="407">
        <f>N27</f>
        <v>1</v>
      </c>
      <c r="P27" s="408" t="s">
        <v>34</v>
      </c>
      <c r="Q27" s="70">
        <f t="shared" si="10"/>
        <v>0</v>
      </c>
      <c r="W27" s="1055"/>
      <c r="X27" s="425" t="s">
        <v>331</v>
      </c>
      <c r="Y27" s="427">
        <v>1.6</v>
      </c>
      <c r="Z27" s="426" t="s">
        <v>254</v>
      </c>
      <c r="AA27" s="486">
        <f t="shared" si="13"/>
        <v>1.0139545494873192</v>
      </c>
    </row>
    <row r="28" spans="1:27" ht="21" x14ac:dyDescent="0.3">
      <c r="A28" s="386" t="s">
        <v>77</v>
      </c>
      <c r="B28" s="387">
        <v>2</v>
      </c>
      <c r="C28" s="387">
        <f>B28</f>
        <v>2</v>
      </c>
      <c r="D28" s="402" t="s">
        <v>254</v>
      </c>
      <c r="E28" s="38">
        <f t="shared" si="8"/>
        <v>1</v>
      </c>
      <c r="G28" s="409" t="s">
        <v>69</v>
      </c>
      <c r="H28" s="387">
        <v>0.35</v>
      </c>
      <c r="I28" s="387">
        <f>H28</f>
        <v>0.35</v>
      </c>
      <c r="J28" s="402" t="s">
        <v>254</v>
      </c>
      <c r="K28" s="38">
        <f t="shared" si="9"/>
        <v>0</v>
      </c>
      <c r="M28" s="386" t="s">
        <v>74</v>
      </c>
      <c r="N28" s="387">
        <v>0.375</v>
      </c>
      <c r="O28" s="387">
        <f>N28</f>
        <v>0.375</v>
      </c>
      <c r="P28" s="402" t="s">
        <v>254</v>
      </c>
      <c r="Q28" s="38">
        <f t="shared" si="10"/>
        <v>0</v>
      </c>
      <c r="W28" s="1056"/>
      <c r="X28" s="428" t="s">
        <v>330</v>
      </c>
      <c r="Y28" s="432">
        <v>0.3</v>
      </c>
      <c r="Z28" s="430" t="s">
        <v>254</v>
      </c>
      <c r="AA28" s="487">
        <f t="shared" si="13"/>
        <v>0.19169574052064564</v>
      </c>
    </row>
    <row r="29" spans="1:27" ht="33.75" customHeight="1" x14ac:dyDescent="0.3">
      <c r="J29" s="67"/>
      <c r="K29" s="83"/>
      <c r="P29" s="67"/>
      <c r="Q29" s="83"/>
      <c r="Y29" s="283"/>
    </row>
    <row r="30" spans="1:27" ht="20.25" customHeight="1" thickBot="1" x14ac:dyDescent="0.35">
      <c r="J30" s="67"/>
      <c r="K30" s="83"/>
      <c r="P30" s="67"/>
      <c r="Q30" s="83"/>
      <c r="W30" s="490" t="s">
        <v>416</v>
      </c>
      <c r="X30" s="489" t="s">
        <v>417</v>
      </c>
      <c r="Y30" s="489" t="s">
        <v>415</v>
      </c>
    </row>
    <row r="31" spans="1:27" ht="20.25" customHeight="1" thickTop="1" thickBot="1" x14ac:dyDescent="0.7">
      <c r="J31" s="67"/>
      <c r="K31" s="83"/>
      <c r="P31" s="67"/>
      <c r="Q31" s="83"/>
      <c r="W31" s="476" t="s">
        <v>114</v>
      </c>
      <c r="X31" s="477">
        <v>69</v>
      </c>
      <c r="Y31" s="478">
        <f>X31*100/150</f>
        <v>46</v>
      </c>
    </row>
    <row r="32" spans="1:27" ht="22.2" thickTop="1" thickBot="1" x14ac:dyDescent="0.7">
      <c r="A32" s="1052" t="s">
        <v>338</v>
      </c>
      <c r="B32" s="1053"/>
      <c r="C32" s="1053"/>
      <c r="D32" s="1053"/>
      <c r="E32" s="417"/>
      <c r="G32" s="1052" t="s">
        <v>339</v>
      </c>
      <c r="H32" s="1053"/>
      <c r="I32" s="1053"/>
      <c r="J32" s="1053"/>
      <c r="K32" s="417"/>
      <c r="M32" s="1052" t="s">
        <v>340</v>
      </c>
      <c r="N32" s="1053"/>
      <c r="O32" s="1053"/>
      <c r="P32" s="1053"/>
      <c r="Q32" s="417"/>
      <c r="W32" s="468" t="s">
        <v>118</v>
      </c>
      <c r="X32" s="469">
        <v>47</v>
      </c>
      <c r="Y32" s="470">
        <f>X32*100/150</f>
        <v>31.333333333333332</v>
      </c>
    </row>
    <row r="33" spans="1:25" ht="33.75" customHeight="1" thickTop="1" thickBot="1" x14ac:dyDescent="0.7">
      <c r="A33" s="10"/>
      <c r="B33" s="9"/>
      <c r="C33" s="9"/>
      <c r="G33" s="10"/>
      <c r="H33" s="9"/>
      <c r="I33" s="9"/>
      <c r="J33" s="63"/>
      <c r="M33" s="10"/>
      <c r="N33" s="9"/>
      <c r="O33" s="9"/>
      <c r="P33" s="63"/>
      <c r="W33" s="468" t="s">
        <v>117</v>
      </c>
      <c r="X33" s="469">
        <v>34</v>
      </c>
      <c r="Y33" s="470">
        <f>X33*100/150</f>
        <v>22.666666666666668</v>
      </c>
    </row>
    <row r="34" spans="1:25" ht="33.75" customHeight="1" thickBot="1" x14ac:dyDescent="0.35">
      <c r="A34" s="1024" t="s">
        <v>0</v>
      </c>
      <c r="B34" s="1025" t="s">
        <v>23</v>
      </c>
      <c r="C34" s="1025" t="s">
        <v>321</v>
      </c>
      <c r="D34" s="1026" t="s">
        <v>35</v>
      </c>
      <c r="E34" s="398" t="s">
        <v>47</v>
      </c>
      <c r="G34" s="1024" t="s">
        <v>0</v>
      </c>
      <c r="H34" s="1025" t="s">
        <v>23</v>
      </c>
      <c r="I34" s="1025" t="s">
        <v>321</v>
      </c>
      <c r="J34" s="1026" t="s">
        <v>35</v>
      </c>
      <c r="K34" s="398" t="s">
        <v>47</v>
      </c>
      <c r="M34" s="1024" t="s">
        <v>0</v>
      </c>
      <c r="N34" s="1025" t="s">
        <v>23</v>
      </c>
      <c r="O34" s="1025" t="s">
        <v>321</v>
      </c>
      <c r="P34" s="1026" t="s">
        <v>35</v>
      </c>
      <c r="Q34" s="398" t="s">
        <v>47</v>
      </c>
    </row>
    <row r="35" spans="1:25" ht="33.75" customHeight="1" x14ac:dyDescent="0.3">
      <c r="A35" s="1024"/>
      <c r="B35" s="1025"/>
      <c r="C35" s="1025"/>
      <c r="D35" s="1026"/>
      <c r="E35" s="353">
        <f>'PLANNING DE FABRICATION'!E77</f>
        <v>1</v>
      </c>
      <c r="G35" s="1024"/>
      <c r="H35" s="1025"/>
      <c r="I35" s="1025"/>
      <c r="J35" s="1026"/>
      <c r="K35" s="353">
        <f>'PLANNING DE FABRICATION'!E78</f>
        <v>0.5</v>
      </c>
      <c r="M35" s="1024"/>
      <c r="N35" s="1025"/>
      <c r="O35" s="1025"/>
      <c r="P35" s="1026"/>
      <c r="Q35" s="353">
        <f>'PLANNING DE FABRICATION'!E80</f>
        <v>0</v>
      </c>
    </row>
    <row r="36" spans="1:25" ht="28.5" customHeight="1" x14ac:dyDescent="0.3">
      <c r="A36" s="381" t="s">
        <v>20</v>
      </c>
      <c r="B36" s="395">
        <v>1.5</v>
      </c>
      <c r="C36" s="395">
        <f>B36</f>
        <v>1.5</v>
      </c>
      <c r="D36" s="359" t="s">
        <v>254</v>
      </c>
      <c r="E36" s="404">
        <f t="shared" ref="E36:E44" si="15">B36*$E$35</f>
        <v>1.5</v>
      </c>
      <c r="G36" s="381" t="s">
        <v>20</v>
      </c>
      <c r="H36" s="395">
        <v>1.5</v>
      </c>
      <c r="I36" s="395">
        <f>H36</f>
        <v>1.5</v>
      </c>
      <c r="J36" s="359" t="s">
        <v>254</v>
      </c>
      <c r="K36" s="404">
        <f t="shared" ref="K36:K46" si="16">H36*$K$35</f>
        <v>0.75</v>
      </c>
      <c r="M36" s="381" t="s">
        <v>20</v>
      </c>
      <c r="N36" s="395">
        <v>1.5</v>
      </c>
      <c r="O36" s="395">
        <f>N36</f>
        <v>1.5</v>
      </c>
      <c r="P36" s="359" t="s">
        <v>254</v>
      </c>
      <c r="Q36" s="404">
        <f>N36*$Q$35</f>
        <v>0</v>
      </c>
    </row>
    <row r="37" spans="1:25" ht="28.5" customHeight="1" x14ac:dyDescent="0.3">
      <c r="A37" s="380" t="s">
        <v>1</v>
      </c>
      <c r="B37" s="14">
        <v>2.4</v>
      </c>
      <c r="C37" s="14">
        <f t="shared" ref="C37:C42" si="17">C36+B37</f>
        <v>3.9</v>
      </c>
      <c r="D37" s="357" t="s">
        <v>254</v>
      </c>
      <c r="E37" s="404">
        <f t="shared" si="15"/>
        <v>2.4</v>
      </c>
      <c r="G37" s="380" t="s">
        <v>1</v>
      </c>
      <c r="H37" s="14">
        <v>2.4</v>
      </c>
      <c r="I37" s="14">
        <f t="shared" ref="I37:I42" si="18">I36+H37</f>
        <v>3.9</v>
      </c>
      <c r="J37" s="357" t="s">
        <v>254</v>
      </c>
      <c r="K37" s="404">
        <f t="shared" si="16"/>
        <v>1.2</v>
      </c>
      <c r="M37" s="380" t="s">
        <v>1</v>
      </c>
      <c r="N37" s="14">
        <v>2.4</v>
      </c>
      <c r="O37" s="14">
        <f>O36+N37</f>
        <v>3.9</v>
      </c>
      <c r="P37" s="357" t="s">
        <v>254</v>
      </c>
      <c r="Q37" s="404">
        <f t="shared" ref="Q37:Q44" si="19">N37*$Q$35</f>
        <v>0</v>
      </c>
    </row>
    <row r="38" spans="1:25" ht="28.5" customHeight="1" x14ac:dyDescent="0.3">
      <c r="A38" s="381" t="s">
        <v>21</v>
      </c>
      <c r="B38" s="395">
        <v>1.7999999999999999E-2</v>
      </c>
      <c r="C38" s="395">
        <f t="shared" si="17"/>
        <v>3.9179999999999997</v>
      </c>
      <c r="D38" s="359" t="s">
        <v>254</v>
      </c>
      <c r="E38" s="404">
        <f t="shared" si="15"/>
        <v>1.7999999999999999E-2</v>
      </c>
      <c r="G38" s="381" t="s">
        <v>21</v>
      </c>
      <c r="H38" s="395">
        <v>1.7999999999999999E-2</v>
      </c>
      <c r="I38" s="395">
        <f t="shared" si="18"/>
        <v>3.9179999999999997</v>
      </c>
      <c r="J38" s="359" t="s">
        <v>254</v>
      </c>
      <c r="K38" s="404">
        <f t="shared" si="16"/>
        <v>8.9999999999999993E-3</v>
      </c>
      <c r="M38" s="381" t="s">
        <v>21</v>
      </c>
      <c r="N38" s="395">
        <v>1.7999999999999999E-2</v>
      </c>
      <c r="O38" s="395">
        <f>O37+N38</f>
        <v>3.9179999999999997</v>
      </c>
      <c r="P38" s="359" t="s">
        <v>254</v>
      </c>
      <c r="Q38" s="404">
        <f t="shared" si="19"/>
        <v>0</v>
      </c>
    </row>
    <row r="39" spans="1:25" ht="28.5" customHeight="1" x14ac:dyDescent="0.3">
      <c r="A39" s="380" t="s">
        <v>3</v>
      </c>
      <c r="B39" s="14">
        <v>1.5</v>
      </c>
      <c r="C39" s="14">
        <f t="shared" si="17"/>
        <v>5.4179999999999993</v>
      </c>
      <c r="D39" s="357" t="s">
        <v>254</v>
      </c>
      <c r="E39" s="404">
        <f t="shared" si="15"/>
        <v>1.5</v>
      </c>
      <c r="G39" s="380" t="s">
        <v>3</v>
      </c>
      <c r="H39" s="14">
        <v>1.5</v>
      </c>
      <c r="I39" s="14">
        <f t="shared" si="18"/>
        <v>5.4179999999999993</v>
      </c>
      <c r="J39" s="357" t="s">
        <v>254</v>
      </c>
      <c r="K39" s="404">
        <f t="shared" si="16"/>
        <v>0.75</v>
      </c>
      <c r="M39" s="380" t="s">
        <v>3</v>
      </c>
      <c r="N39" s="14">
        <v>1.5</v>
      </c>
      <c r="O39" s="14">
        <f t="shared" ref="O39:O41" si="20">O38+N39</f>
        <v>5.4179999999999993</v>
      </c>
      <c r="P39" s="357" t="s">
        <v>254</v>
      </c>
      <c r="Q39" s="404">
        <f t="shared" si="19"/>
        <v>0</v>
      </c>
    </row>
    <row r="40" spans="1:25" ht="28.5" customHeight="1" x14ac:dyDescent="0.3">
      <c r="A40" s="381" t="s">
        <v>2</v>
      </c>
      <c r="B40" s="395">
        <v>0.45</v>
      </c>
      <c r="C40" s="395">
        <f t="shared" si="17"/>
        <v>5.8679999999999994</v>
      </c>
      <c r="D40" s="359" t="s">
        <v>254</v>
      </c>
      <c r="E40" s="404">
        <f t="shared" si="15"/>
        <v>0.45</v>
      </c>
      <c r="G40" s="381" t="s">
        <v>2</v>
      </c>
      <c r="H40" s="395">
        <v>0.45</v>
      </c>
      <c r="I40" s="395">
        <f t="shared" si="18"/>
        <v>5.8679999999999994</v>
      </c>
      <c r="J40" s="359" t="s">
        <v>254</v>
      </c>
      <c r="K40" s="404">
        <f t="shared" si="16"/>
        <v>0.22500000000000001</v>
      </c>
      <c r="M40" s="381" t="s">
        <v>2</v>
      </c>
      <c r="N40" s="395">
        <v>0.45</v>
      </c>
      <c r="O40" s="395">
        <f>O39+N40</f>
        <v>5.8679999999999994</v>
      </c>
      <c r="P40" s="359" t="s">
        <v>254</v>
      </c>
      <c r="Q40" s="404">
        <f t="shared" si="19"/>
        <v>0</v>
      </c>
    </row>
    <row r="41" spans="1:25" ht="28.5" customHeight="1" x14ac:dyDescent="0.3">
      <c r="A41" s="380" t="s">
        <v>17</v>
      </c>
      <c r="B41" s="14">
        <v>0.25</v>
      </c>
      <c r="C41" s="14">
        <f t="shared" si="17"/>
        <v>6.1179999999999994</v>
      </c>
      <c r="D41" s="357" t="s">
        <v>254</v>
      </c>
      <c r="E41" s="404">
        <f t="shared" si="15"/>
        <v>0.25</v>
      </c>
      <c r="G41" s="380" t="s">
        <v>17</v>
      </c>
      <c r="H41" s="14">
        <v>0.25</v>
      </c>
      <c r="I41" s="14">
        <f t="shared" si="18"/>
        <v>6.1179999999999994</v>
      </c>
      <c r="J41" s="357" t="s">
        <v>254</v>
      </c>
      <c r="K41" s="404">
        <f t="shared" si="16"/>
        <v>0.125</v>
      </c>
      <c r="M41" s="380" t="s">
        <v>17</v>
      </c>
      <c r="N41" s="14">
        <v>0.25</v>
      </c>
      <c r="O41" s="14">
        <f t="shared" si="20"/>
        <v>6.1179999999999994</v>
      </c>
      <c r="P41" s="357" t="s">
        <v>254</v>
      </c>
      <c r="Q41" s="404">
        <f t="shared" si="19"/>
        <v>0</v>
      </c>
    </row>
    <row r="42" spans="1:25" ht="28.5" customHeight="1" thickBot="1" x14ac:dyDescent="0.35">
      <c r="A42" s="396" t="s">
        <v>5</v>
      </c>
      <c r="B42" s="397">
        <v>0.08</v>
      </c>
      <c r="C42" s="397">
        <f t="shared" si="17"/>
        <v>6.1979999999999995</v>
      </c>
      <c r="D42" s="372" t="s">
        <v>254</v>
      </c>
      <c r="E42" s="405">
        <f t="shared" si="15"/>
        <v>0.08</v>
      </c>
      <c r="G42" s="396" t="s">
        <v>5</v>
      </c>
      <c r="H42" s="397">
        <v>0.08</v>
      </c>
      <c r="I42" s="397">
        <f t="shared" si="18"/>
        <v>6.1979999999999995</v>
      </c>
      <c r="J42" s="372" t="s">
        <v>254</v>
      </c>
      <c r="K42" s="405">
        <f t="shared" si="16"/>
        <v>0.04</v>
      </c>
      <c r="M42" s="396" t="s">
        <v>5</v>
      </c>
      <c r="N42" s="397">
        <v>0.08</v>
      </c>
      <c r="O42" s="397">
        <f>O41+N42</f>
        <v>6.1979999999999995</v>
      </c>
      <c r="P42" s="372" t="s">
        <v>254</v>
      </c>
      <c r="Q42" s="405">
        <f t="shared" si="19"/>
        <v>0</v>
      </c>
    </row>
    <row r="43" spans="1:25" ht="28.5" customHeight="1" thickBot="1" x14ac:dyDescent="0.35">
      <c r="A43" s="406" t="s">
        <v>25</v>
      </c>
      <c r="B43" s="407">
        <v>1</v>
      </c>
      <c r="C43" s="407">
        <f>B43</f>
        <v>1</v>
      </c>
      <c r="D43" s="408" t="s">
        <v>34</v>
      </c>
      <c r="E43" s="89">
        <f t="shared" si="15"/>
        <v>1</v>
      </c>
      <c r="G43" s="406" t="s">
        <v>25</v>
      </c>
      <c r="H43" s="407">
        <v>1</v>
      </c>
      <c r="I43" s="407">
        <f>H43</f>
        <v>1</v>
      </c>
      <c r="J43" s="408" t="s">
        <v>34</v>
      </c>
      <c r="K43" s="89">
        <f t="shared" si="16"/>
        <v>0.5</v>
      </c>
      <c r="M43" s="406" t="s">
        <v>25</v>
      </c>
      <c r="N43" s="407">
        <v>1</v>
      </c>
      <c r="O43" s="407">
        <f>N43</f>
        <v>1</v>
      </c>
      <c r="P43" s="408" t="s">
        <v>34</v>
      </c>
      <c r="Q43" s="89">
        <f t="shared" si="19"/>
        <v>0</v>
      </c>
    </row>
    <row r="44" spans="1:25" ht="28.5" customHeight="1" thickBot="1" x14ac:dyDescent="0.35">
      <c r="A44" s="386" t="s">
        <v>70</v>
      </c>
      <c r="B44" s="387">
        <v>2</v>
      </c>
      <c r="C44" s="387">
        <f>B44</f>
        <v>2</v>
      </c>
      <c r="D44" s="402" t="s">
        <v>254</v>
      </c>
      <c r="E44" s="410">
        <f t="shared" si="15"/>
        <v>2</v>
      </c>
      <c r="G44" s="411" t="s">
        <v>71</v>
      </c>
      <c r="H44" s="85">
        <v>10</v>
      </c>
      <c r="I44" s="85">
        <f>H44</f>
        <v>10</v>
      </c>
      <c r="J44" s="412" t="s">
        <v>254</v>
      </c>
      <c r="K44" s="89">
        <f t="shared" si="16"/>
        <v>5</v>
      </c>
      <c r="L44" s="416"/>
      <c r="M44" s="386" t="s">
        <v>73</v>
      </c>
      <c r="N44" s="387">
        <v>0.52</v>
      </c>
      <c r="O44" s="387">
        <f>N44</f>
        <v>0.52</v>
      </c>
      <c r="P44" s="402" t="s">
        <v>254</v>
      </c>
      <c r="Q44" s="410">
        <f t="shared" si="19"/>
        <v>0</v>
      </c>
    </row>
    <row r="45" spans="1:25" ht="30.75" customHeight="1" thickBot="1" x14ac:dyDescent="0.35">
      <c r="D45" s="67"/>
      <c r="E45" s="83"/>
      <c r="G45" s="411" t="s">
        <v>72</v>
      </c>
      <c r="H45" s="85">
        <v>1</v>
      </c>
      <c r="I45" s="85">
        <f>H45</f>
        <v>1</v>
      </c>
      <c r="J45" s="412" t="s">
        <v>369</v>
      </c>
      <c r="K45" s="89">
        <f t="shared" si="16"/>
        <v>0.5</v>
      </c>
      <c r="P45" s="67"/>
      <c r="Q45" s="83"/>
    </row>
    <row r="46" spans="1:25" ht="30.75" customHeight="1" x14ac:dyDescent="0.3">
      <c r="D46" s="67"/>
      <c r="E46" s="83"/>
      <c r="G46" s="386" t="s">
        <v>137</v>
      </c>
      <c r="H46" s="413">
        <v>0.1</v>
      </c>
      <c r="I46" s="413">
        <f>H46</f>
        <v>0.1</v>
      </c>
      <c r="J46" s="402" t="s">
        <v>254</v>
      </c>
      <c r="K46" s="410">
        <f t="shared" si="16"/>
        <v>0.05</v>
      </c>
      <c r="P46" s="67"/>
      <c r="Q46" s="83"/>
    </row>
    <row r="47" spans="1:25" ht="30.75" customHeight="1" x14ac:dyDescent="0.3">
      <c r="J47" s="67"/>
      <c r="K47" s="83"/>
    </row>
    <row r="48" spans="1:25" ht="15" customHeight="1" x14ac:dyDescent="0.3"/>
    <row r="49" spans="1:17" ht="15" customHeight="1" thickBot="1" x14ac:dyDescent="0.35"/>
    <row r="50" spans="1:17" ht="21" thickTop="1" thickBot="1" x14ac:dyDescent="0.35">
      <c r="A50" s="1052" t="s">
        <v>341</v>
      </c>
      <c r="B50" s="1053"/>
      <c r="C50" s="1053"/>
      <c r="D50" s="1053"/>
      <c r="E50" s="417"/>
      <c r="G50" s="1052" t="s">
        <v>342</v>
      </c>
      <c r="H50" s="1053"/>
      <c r="I50" s="1053"/>
      <c r="J50" s="1053"/>
      <c r="K50" s="417"/>
      <c r="M50" s="1052" t="s">
        <v>343</v>
      </c>
      <c r="N50" s="1053"/>
      <c r="O50" s="1053"/>
      <c r="P50" s="1053"/>
      <c r="Q50" s="417"/>
    </row>
    <row r="51" spans="1:17" ht="30.75" customHeight="1" thickTop="1" thickBot="1" x14ac:dyDescent="0.35">
      <c r="A51" s="10"/>
      <c r="B51" s="9"/>
      <c r="C51" s="9"/>
      <c r="G51" s="10"/>
      <c r="H51" s="9"/>
      <c r="I51" s="9"/>
      <c r="J51" s="63"/>
      <c r="M51" s="10"/>
      <c r="N51" s="9"/>
      <c r="O51" s="9"/>
      <c r="P51" s="63"/>
    </row>
    <row r="52" spans="1:17" ht="21.6" thickBot="1" x14ac:dyDescent="0.35">
      <c r="A52" s="1024" t="s">
        <v>0</v>
      </c>
      <c r="B52" s="1025" t="s">
        <v>23</v>
      </c>
      <c r="C52" s="1025" t="s">
        <v>321</v>
      </c>
      <c r="D52" s="1026" t="s">
        <v>35</v>
      </c>
      <c r="E52" s="398" t="s">
        <v>47</v>
      </c>
      <c r="G52" s="1024" t="s">
        <v>0</v>
      </c>
      <c r="H52" s="1025" t="s">
        <v>23</v>
      </c>
      <c r="I52" s="1025" t="s">
        <v>321</v>
      </c>
      <c r="J52" s="1026" t="s">
        <v>35</v>
      </c>
      <c r="K52" s="398" t="s">
        <v>47</v>
      </c>
      <c r="M52" s="1024" t="s">
        <v>0</v>
      </c>
      <c r="N52" s="1025" t="s">
        <v>23</v>
      </c>
      <c r="O52" s="1025" t="s">
        <v>321</v>
      </c>
      <c r="P52" s="1026" t="s">
        <v>35</v>
      </c>
      <c r="Q52" s="398" t="s">
        <v>47</v>
      </c>
    </row>
    <row r="53" spans="1:17" ht="19.8" x14ac:dyDescent="0.3">
      <c r="A53" s="1024"/>
      <c r="B53" s="1025"/>
      <c r="C53" s="1025"/>
      <c r="D53" s="1026"/>
      <c r="E53" s="353">
        <f>'PLANNING DE FABRICATION'!E79</f>
        <v>0.5</v>
      </c>
      <c r="G53" s="1024"/>
      <c r="H53" s="1025"/>
      <c r="I53" s="1025"/>
      <c r="J53" s="1026"/>
      <c r="K53" s="353">
        <f>'PLANNING DE FABRICATION'!E73</f>
        <v>0</v>
      </c>
      <c r="M53" s="1024"/>
      <c r="N53" s="1025"/>
      <c r="O53" s="1025"/>
      <c r="P53" s="1026"/>
      <c r="Q53" s="353">
        <f>'PLANNING DE FABRICATION'!E85</f>
        <v>0</v>
      </c>
    </row>
    <row r="54" spans="1:17" ht="26.25" customHeight="1" x14ac:dyDescent="0.3">
      <c r="A54" s="381" t="s">
        <v>20</v>
      </c>
      <c r="B54" s="395">
        <v>1.5</v>
      </c>
      <c r="C54" s="395">
        <f>B54</f>
        <v>1.5</v>
      </c>
      <c r="D54" s="359" t="s">
        <v>254</v>
      </c>
      <c r="E54" s="404">
        <f t="shared" ref="E54:E64" si="21">B54*$E$53</f>
        <v>0.75</v>
      </c>
      <c r="G54" s="381" t="s">
        <v>20</v>
      </c>
      <c r="H54" s="395">
        <v>1.5</v>
      </c>
      <c r="I54" s="395">
        <f>H54</f>
        <v>1.5</v>
      </c>
      <c r="J54" s="359" t="s">
        <v>254</v>
      </c>
      <c r="K54" s="404">
        <f t="shared" ref="K54:K62" si="22">H54*$K$53</f>
        <v>0</v>
      </c>
      <c r="M54" s="381" t="s">
        <v>20</v>
      </c>
      <c r="N54" s="395">
        <v>1.5</v>
      </c>
      <c r="O54" s="395">
        <f>N54</f>
        <v>1.5</v>
      </c>
      <c r="P54" s="359" t="s">
        <v>254</v>
      </c>
      <c r="Q54" s="404">
        <f>N54*$Q$53</f>
        <v>0</v>
      </c>
    </row>
    <row r="55" spans="1:17" ht="26.25" customHeight="1" x14ac:dyDescent="0.3">
      <c r="A55" s="380" t="s">
        <v>1</v>
      </c>
      <c r="B55" s="14">
        <v>2.4</v>
      </c>
      <c r="C55" s="14">
        <f>C54+B55</f>
        <v>3.9</v>
      </c>
      <c r="D55" s="357" t="s">
        <v>254</v>
      </c>
      <c r="E55" s="404">
        <f t="shared" si="21"/>
        <v>1.2</v>
      </c>
      <c r="G55" s="380" t="s">
        <v>1</v>
      </c>
      <c r="H55" s="14">
        <v>2.4</v>
      </c>
      <c r="I55" s="14">
        <f t="shared" ref="I55:I60" si="23">I54+H55</f>
        <v>3.9</v>
      </c>
      <c r="J55" s="357" t="s">
        <v>254</v>
      </c>
      <c r="K55" s="404">
        <f t="shared" si="22"/>
        <v>0</v>
      </c>
      <c r="M55" s="380" t="s">
        <v>1</v>
      </c>
      <c r="N55" s="14">
        <v>2.4</v>
      </c>
      <c r="O55" s="14">
        <f>O54+N55</f>
        <v>3.9</v>
      </c>
      <c r="P55" s="357" t="s">
        <v>254</v>
      </c>
      <c r="Q55" s="404">
        <f t="shared" ref="Q55:Q62" si="24">N55*$Q$53</f>
        <v>0</v>
      </c>
    </row>
    <row r="56" spans="1:17" ht="26.25" customHeight="1" x14ac:dyDescent="0.3">
      <c r="A56" s="381" t="s">
        <v>21</v>
      </c>
      <c r="B56" s="395">
        <v>1.7999999999999999E-2</v>
      </c>
      <c r="C56" s="395">
        <f>C55+B56</f>
        <v>3.9179999999999997</v>
      </c>
      <c r="D56" s="359" t="s">
        <v>254</v>
      </c>
      <c r="E56" s="404">
        <f t="shared" si="21"/>
        <v>8.9999999999999993E-3</v>
      </c>
      <c r="G56" s="381" t="s">
        <v>21</v>
      </c>
      <c r="H56" s="395">
        <v>1.7999999999999999E-2</v>
      </c>
      <c r="I56" s="395">
        <f t="shared" si="23"/>
        <v>3.9179999999999997</v>
      </c>
      <c r="J56" s="359" t="s">
        <v>254</v>
      </c>
      <c r="K56" s="404">
        <f t="shared" si="22"/>
        <v>0</v>
      </c>
      <c r="M56" s="381" t="s">
        <v>21</v>
      </c>
      <c r="N56" s="395">
        <v>1.7999999999999999E-2</v>
      </c>
      <c r="O56" s="395">
        <f>O55+N56</f>
        <v>3.9179999999999997</v>
      </c>
      <c r="P56" s="359" t="s">
        <v>254</v>
      </c>
      <c r="Q56" s="404">
        <f t="shared" si="24"/>
        <v>0</v>
      </c>
    </row>
    <row r="57" spans="1:17" ht="26.25" customHeight="1" x14ac:dyDescent="0.3">
      <c r="A57" s="380" t="s">
        <v>3</v>
      </c>
      <c r="B57" s="14">
        <v>1.5</v>
      </c>
      <c r="C57" s="14">
        <f>C56+B57</f>
        <v>5.4179999999999993</v>
      </c>
      <c r="D57" s="357" t="s">
        <v>254</v>
      </c>
      <c r="E57" s="404">
        <f t="shared" si="21"/>
        <v>0.75</v>
      </c>
      <c r="G57" s="380" t="s">
        <v>3</v>
      </c>
      <c r="H57" s="14">
        <v>1.3</v>
      </c>
      <c r="I57" s="14">
        <f t="shared" si="23"/>
        <v>5.218</v>
      </c>
      <c r="J57" s="357" t="s">
        <v>254</v>
      </c>
      <c r="K57" s="404">
        <f t="shared" si="22"/>
        <v>0</v>
      </c>
      <c r="M57" s="380" t="s">
        <v>3</v>
      </c>
      <c r="N57" s="14">
        <v>1.5</v>
      </c>
      <c r="O57" s="14">
        <f t="shared" ref="O57:O58" si="25">O56+N57</f>
        <v>5.4179999999999993</v>
      </c>
      <c r="P57" s="357" t="s">
        <v>254</v>
      </c>
      <c r="Q57" s="404">
        <f t="shared" si="24"/>
        <v>0</v>
      </c>
    </row>
    <row r="58" spans="1:17" ht="26.25" customHeight="1" x14ac:dyDescent="0.3">
      <c r="A58" s="381" t="s">
        <v>2</v>
      </c>
      <c r="B58" s="395">
        <v>0.45</v>
      </c>
      <c r="C58" s="395">
        <f t="shared" ref="C58" si="26">C57+B58</f>
        <v>5.8679999999999994</v>
      </c>
      <c r="D58" s="359" t="s">
        <v>254</v>
      </c>
      <c r="E58" s="404">
        <f t="shared" si="21"/>
        <v>0.22500000000000001</v>
      </c>
      <c r="G58" s="381" t="s">
        <v>2</v>
      </c>
      <c r="H58" s="395">
        <v>0.35</v>
      </c>
      <c r="I58" s="395">
        <f t="shared" si="23"/>
        <v>5.5679999999999996</v>
      </c>
      <c r="J58" s="359" t="s">
        <v>254</v>
      </c>
      <c r="K58" s="404">
        <f t="shared" si="22"/>
        <v>0</v>
      </c>
      <c r="M58" s="381" t="s">
        <v>2</v>
      </c>
      <c r="N58" s="395">
        <v>0.45</v>
      </c>
      <c r="O58" s="395">
        <f t="shared" si="25"/>
        <v>5.8679999999999994</v>
      </c>
      <c r="P58" s="359" t="s">
        <v>254</v>
      </c>
      <c r="Q58" s="404">
        <f t="shared" si="24"/>
        <v>0</v>
      </c>
    </row>
    <row r="59" spans="1:17" ht="26.25" customHeight="1" x14ac:dyDescent="0.3">
      <c r="A59" s="380" t="s">
        <v>17</v>
      </c>
      <c r="B59" s="418">
        <v>0.2</v>
      </c>
      <c r="C59" s="14">
        <f>C58+B59</f>
        <v>6.0679999999999996</v>
      </c>
      <c r="D59" s="357" t="s">
        <v>254</v>
      </c>
      <c r="E59" s="404">
        <f t="shared" si="21"/>
        <v>0.1</v>
      </c>
      <c r="G59" s="380" t="s">
        <v>17</v>
      </c>
      <c r="H59" s="14">
        <v>0.25</v>
      </c>
      <c r="I59" s="14">
        <f t="shared" si="23"/>
        <v>5.8179999999999996</v>
      </c>
      <c r="J59" s="357" t="s">
        <v>254</v>
      </c>
      <c r="K59" s="404">
        <f t="shared" si="22"/>
        <v>0</v>
      </c>
      <c r="M59" s="380" t="s">
        <v>17</v>
      </c>
      <c r="N59" s="14">
        <v>0.25</v>
      </c>
      <c r="O59" s="14">
        <f>O58+N59</f>
        <v>6.1179999999999994</v>
      </c>
      <c r="P59" s="357" t="s">
        <v>254</v>
      </c>
      <c r="Q59" s="404">
        <f t="shared" si="24"/>
        <v>0</v>
      </c>
    </row>
    <row r="60" spans="1:17" ht="26.25" customHeight="1" thickBot="1" x14ac:dyDescent="0.35">
      <c r="A60" s="396" t="s">
        <v>5</v>
      </c>
      <c r="B60" s="371">
        <v>0.08</v>
      </c>
      <c r="C60" s="397">
        <f>C59+B60</f>
        <v>6.1479999999999997</v>
      </c>
      <c r="D60" s="372" t="s">
        <v>254</v>
      </c>
      <c r="E60" s="405">
        <f t="shared" si="21"/>
        <v>0.04</v>
      </c>
      <c r="G60" s="396" t="s">
        <v>5</v>
      </c>
      <c r="H60" s="371">
        <v>0.08</v>
      </c>
      <c r="I60" s="397">
        <f t="shared" si="23"/>
        <v>5.8979999999999997</v>
      </c>
      <c r="J60" s="372" t="s">
        <v>254</v>
      </c>
      <c r="K60" s="405">
        <f t="shared" si="22"/>
        <v>0</v>
      </c>
      <c r="M60" s="396" t="s">
        <v>5</v>
      </c>
      <c r="N60" s="397">
        <v>0.08</v>
      </c>
      <c r="O60" s="397">
        <f>O59+N60</f>
        <v>6.1979999999999995</v>
      </c>
      <c r="P60" s="372" t="s">
        <v>254</v>
      </c>
      <c r="Q60" s="405">
        <f t="shared" si="24"/>
        <v>0</v>
      </c>
    </row>
    <row r="61" spans="1:17" ht="26.25" customHeight="1" thickBot="1" x14ac:dyDescent="0.35">
      <c r="A61" s="406" t="s">
        <v>25</v>
      </c>
      <c r="B61" s="407">
        <v>1</v>
      </c>
      <c r="C61" s="407">
        <f>B61</f>
        <v>1</v>
      </c>
      <c r="D61" s="408" t="s">
        <v>34</v>
      </c>
      <c r="E61" s="89">
        <f t="shared" si="21"/>
        <v>0.5</v>
      </c>
      <c r="G61" s="406" t="s">
        <v>25</v>
      </c>
      <c r="H61" s="407">
        <v>1</v>
      </c>
      <c r="I61" s="407">
        <f>H61</f>
        <v>1</v>
      </c>
      <c r="J61" s="408" t="s">
        <v>34</v>
      </c>
      <c r="K61" s="89">
        <f t="shared" si="22"/>
        <v>0</v>
      </c>
      <c r="M61" s="406" t="s">
        <v>25</v>
      </c>
      <c r="N61" s="407">
        <v>1</v>
      </c>
      <c r="O61" s="407">
        <f>N61</f>
        <v>1</v>
      </c>
      <c r="P61" s="408" t="s">
        <v>34</v>
      </c>
      <c r="Q61" s="89">
        <f t="shared" si="24"/>
        <v>0</v>
      </c>
    </row>
    <row r="62" spans="1:17" ht="26.25" customHeight="1" thickBot="1" x14ac:dyDescent="0.35">
      <c r="A62" s="414" t="s">
        <v>78</v>
      </c>
      <c r="B62" s="85">
        <v>0.7</v>
      </c>
      <c r="C62" s="85">
        <f>B62</f>
        <v>0.7</v>
      </c>
      <c r="D62" s="86" t="s">
        <v>254</v>
      </c>
      <c r="E62" s="89">
        <f t="shared" si="21"/>
        <v>0.35</v>
      </c>
      <c r="G62" s="386" t="s">
        <v>81</v>
      </c>
      <c r="H62" s="387">
        <v>10</v>
      </c>
      <c r="I62" s="387">
        <f>H62</f>
        <v>10</v>
      </c>
      <c r="J62" s="402" t="s">
        <v>254</v>
      </c>
      <c r="K62" s="410">
        <f t="shared" si="22"/>
        <v>0</v>
      </c>
      <c r="M62" s="386" t="s">
        <v>82</v>
      </c>
      <c r="N62" s="387">
        <v>0.3</v>
      </c>
      <c r="O62" s="387">
        <f>N62</f>
        <v>0.3</v>
      </c>
      <c r="P62" s="402" t="s">
        <v>254</v>
      </c>
      <c r="Q62" s="410">
        <f t="shared" si="24"/>
        <v>0</v>
      </c>
    </row>
    <row r="63" spans="1:17" ht="28.5" customHeight="1" thickBot="1" x14ac:dyDescent="0.35">
      <c r="A63" s="414" t="s">
        <v>79</v>
      </c>
      <c r="B63" s="85">
        <v>0.1</v>
      </c>
      <c r="C63" s="85">
        <f>C62+B63</f>
        <v>0.79999999999999993</v>
      </c>
      <c r="D63" s="86" t="s">
        <v>254</v>
      </c>
      <c r="E63" s="89">
        <f t="shared" si="21"/>
        <v>0.05</v>
      </c>
      <c r="J63" s="67"/>
      <c r="K63" s="83"/>
      <c r="P63" s="67"/>
      <c r="Q63" s="83"/>
    </row>
    <row r="64" spans="1:17" ht="28.5" customHeight="1" x14ac:dyDescent="0.3">
      <c r="A64" s="415" t="s">
        <v>80</v>
      </c>
      <c r="B64" s="387">
        <v>0.2</v>
      </c>
      <c r="C64" s="387">
        <f>C63+B64</f>
        <v>1</v>
      </c>
      <c r="D64" s="402" t="s">
        <v>254</v>
      </c>
      <c r="E64" s="410">
        <f t="shared" si="21"/>
        <v>0.1</v>
      </c>
    </row>
    <row r="65" spans="4:17" ht="20.399999999999999" thickBot="1" x14ac:dyDescent="0.35">
      <c r="D65" s="67"/>
      <c r="E65" s="83"/>
    </row>
    <row r="66" spans="4:17" ht="21" thickTop="1" thickBot="1" x14ac:dyDescent="0.35">
      <c r="M66" s="1052" t="s">
        <v>349</v>
      </c>
      <c r="N66" s="1053"/>
      <c r="O66" s="1053"/>
      <c r="P66" s="1053"/>
      <c r="Q66" s="417"/>
    </row>
    <row r="67" spans="4:17" ht="22.2" thickTop="1" thickBot="1" x14ac:dyDescent="0.35">
      <c r="M67" s="10"/>
      <c r="N67" s="9"/>
      <c r="O67" s="9"/>
      <c r="P67" s="63"/>
    </row>
    <row r="68" spans="4:17" ht="25.5" customHeight="1" thickBot="1" x14ac:dyDescent="0.35">
      <c r="M68" s="1024" t="s">
        <v>0</v>
      </c>
      <c r="N68" s="1025" t="s">
        <v>23</v>
      </c>
      <c r="O68" s="1025" t="s">
        <v>321</v>
      </c>
      <c r="P68" s="1026" t="s">
        <v>35</v>
      </c>
      <c r="Q68" s="398" t="s">
        <v>47</v>
      </c>
    </row>
    <row r="69" spans="4:17" ht="25.5" customHeight="1" x14ac:dyDescent="0.3">
      <c r="M69" s="1024"/>
      <c r="N69" s="1025"/>
      <c r="O69" s="1025"/>
      <c r="P69" s="1026"/>
      <c r="Q69" s="353">
        <f>'PLANNING DE FABRICATION'!E81</f>
        <v>1</v>
      </c>
    </row>
    <row r="70" spans="4:17" ht="25.5" customHeight="1" x14ac:dyDescent="0.3">
      <c r="M70" s="381" t="s">
        <v>20</v>
      </c>
      <c r="N70" s="395">
        <v>1.5</v>
      </c>
      <c r="O70" s="395">
        <f>N70</f>
        <v>1.5</v>
      </c>
      <c r="P70" s="359" t="s">
        <v>254</v>
      </c>
      <c r="Q70" s="404">
        <f>N70*$Q$69</f>
        <v>1.5</v>
      </c>
    </row>
    <row r="71" spans="4:17" ht="25.5" customHeight="1" x14ac:dyDescent="0.3">
      <c r="M71" s="380" t="s">
        <v>1</v>
      </c>
      <c r="N71" s="14">
        <v>2.4</v>
      </c>
      <c r="O71" s="14">
        <f>O70+N71</f>
        <v>3.9</v>
      </c>
      <c r="P71" s="357" t="s">
        <v>254</v>
      </c>
      <c r="Q71" s="404">
        <f t="shared" ref="Q71:Q78" si="27">N71*$Q$69</f>
        <v>2.4</v>
      </c>
    </row>
    <row r="72" spans="4:17" ht="25.5" customHeight="1" x14ac:dyDescent="0.3">
      <c r="M72" s="381" t="s">
        <v>21</v>
      </c>
      <c r="N72" s="395">
        <v>1.7999999999999999E-2</v>
      </c>
      <c r="O72" s="395">
        <f>O71+N72</f>
        <v>3.9179999999999997</v>
      </c>
      <c r="P72" s="359" t="s">
        <v>254</v>
      </c>
      <c r="Q72" s="404">
        <f t="shared" si="27"/>
        <v>1.7999999999999999E-2</v>
      </c>
    </row>
    <row r="73" spans="4:17" ht="25.5" customHeight="1" x14ac:dyDescent="0.3">
      <c r="M73" s="380" t="s">
        <v>3</v>
      </c>
      <c r="N73" s="14">
        <v>1.5</v>
      </c>
      <c r="O73" s="14">
        <f t="shared" ref="O73:O74" si="28">O72+N73</f>
        <v>5.4179999999999993</v>
      </c>
      <c r="P73" s="357" t="s">
        <v>254</v>
      </c>
      <c r="Q73" s="404">
        <f t="shared" si="27"/>
        <v>1.5</v>
      </c>
    </row>
    <row r="74" spans="4:17" ht="25.5" customHeight="1" x14ac:dyDescent="0.3">
      <c r="M74" s="381" t="s">
        <v>2</v>
      </c>
      <c r="N74" s="395">
        <v>0.45</v>
      </c>
      <c r="O74" s="395">
        <f t="shared" si="28"/>
        <v>5.8679999999999994</v>
      </c>
      <c r="P74" s="359" t="s">
        <v>254</v>
      </c>
      <c r="Q74" s="404">
        <f t="shared" si="27"/>
        <v>0.45</v>
      </c>
    </row>
    <row r="75" spans="4:17" ht="25.5" customHeight="1" x14ac:dyDescent="0.3">
      <c r="M75" s="380" t="s">
        <v>17</v>
      </c>
      <c r="N75" s="14">
        <v>0.25</v>
      </c>
      <c r="O75" s="14">
        <f>O74+N75</f>
        <v>6.1179999999999994</v>
      </c>
      <c r="P75" s="357" t="s">
        <v>254</v>
      </c>
      <c r="Q75" s="404">
        <f t="shared" si="27"/>
        <v>0.25</v>
      </c>
    </row>
    <row r="76" spans="4:17" ht="25.5" customHeight="1" thickBot="1" x14ac:dyDescent="0.35">
      <c r="M76" s="396" t="s">
        <v>5</v>
      </c>
      <c r="N76" s="397">
        <v>0.08</v>
      </c>
      <c r="O76" s="397">
        <f>O75+N76</f>
        <v>6.1979999999999995</v>
      </c>
      <c r="P76" s="372" t="s">
        <v>254</v>
      </c>
      <c r="Q76" s="404">
        <f t="shared" si="27"/>
        <v>0.08</v>
      </c>
    </row>
    <row r="77" spans="4:17" ht="25.5" customHeight="1" thickBot="1" x14ac:dyDescent="0.35">
      <c r="M77" s="406" t="s">
        <v>25</v>
      </c>
      <c r="N77" s="407">
        <v>1</v>
      </c>
      <c r="O77" s="407">
        <f>N77</f>
        <v>1</v>
      </c>
      <c r="P77" s="408" t="s">
        <v>34</v>
      </c>
      <c r="Q77" s="404">
        <f t="shared" si="27"/>
        <v>1</v>
      </c>
    </row>
    <row r="78" spans="4:17" ht="25.5" customHeight="1" x14ac:dyDescent="0.3">
      <c r="M78" s="386" t="s">
        <v>348</v>
      </c>
      <c r="N78" s="449">
        <v>1.6</v>
      </c>
      <c r="O78" s="387">
        <f>N78</f>
        <v>1.6</v>
      </c>
      <c r="P78" s="402" t="s">
        <v>254</v>
      </c>
      <c r="Q78" s="404">
        <f t="shared" si="27"/>
        <v>1.6</v>
      </c>
    </row>
  </sheetData>
  <sheetProtection algorithmName="SHA-512" hashValue="Pq0EJi77xPifbEOR8ocL/8OsUFXndllQ40GmpoYYnTwD3fHw2twP9e78lBIw9hipC3NpQ54hKvcAOWiwBV9JfA==" saltValue="qHttHx0tWJXzKhrH5TqOYw==" spinCount="100000" sheet="1" objects="1" scenarios="1"/>
  <mergeCells count="72">
    <mergeCell ref="Y5:Y6"/>
    <mergeCell ref="Z5:Z6"/>
    <mergeCell ref="W3:Z3"/>
    <mergeCell ref="M32:P32"/>
    <mergeCell ref="M16:P16"/>
    <mergeCell ref="W16:W28"/>
    <mergeCell ref="X23:X25"/>
    <mergeCell ref="G32:J32"/>
    <mergeCell ref="A32:D32"/>
    <mergeCell ref="W5:W6"/>
    <mergeCell ref="X5:X6"/>
    <mergeCell ref="A18:A19"/>
    <mergeCell ref="B18:B19"/>
    <mergeCell ref="D4:D5"/>
    <mergeCell ref="B4:B5"/>
    <mergeCell ref="A4:A5"/>
    <mergeCell ref="D18:D19"/>
    <mergeCell ref="C18:C19"/>
    <mergeCell ref="C4:C5"/>
    <mergeCell ref="A16:D16"/>
    <mergeCell ref="M18:M19"/>
    <mergeCell ref="N18:N19"/>
    <mergeCell ref="P18:P19"/>
    <mergeCell ref="A2:D2"/>
    <mergeCell ref="M4:M5"/>
    <mergeCell ref="N4:N5"/>
    <mergeCell ref="P4:P5"/>
    <mergeCell ref="G4:G5"/>
    <mergeCell ref="H4:H5"/>
    <mergeCell ref="J4:J5"/>
    <mergeCell ref="I4:I5"/>
    <mergeCell ref="O4:O5"/>
    <mergeCell ref="M2:P2"/>
    <mergeCell ref="G2:J2"/>
    <mergeCell ref="G18:G19"/>
    <mergeCell ref="H18:H19"/>
    <mergeCell ref="J18:J19"/>
    <mergeCell ref="I18:I19"/>
    <mergeCell ref="O18:O19"/>
    <mergeCell ref="G16:J16"/>
    <mergeCell ref="P52:P53"/>
    <mergeCell ref="M34:M35"/>
    <mergeCell ref="N34:N35"/>
    <mergeCell ref="P34:P35"/>
    <mergeCell ref="G34:G35"/>
    <mergeCell ref="H34:H35"/>
    <mergeCell ref="J34:J35"/>
    <mergeCell ref="G52:G53"/>
    <mergeCell ref="H52:H53"/>
    <mergeCell ref="I34:I35"/>
    <mergeCell ref="I52:I53"/>
    <mergeCell ref="O52:O53"/>
    <mergeCell ref="O34:O35"/>
    <mergeCell ref="J52:J53"/>
    <mergeCell ref="M52:M53"/>
    <mergeCell ref="A52:A53"/>
    <mergeCell ref="B52:B53"/>
    <mergeCell ref="D52:D53"/>
    <mergeCell ref="C34:C35"/>
    <mergeCell ref="C52:C53"/>
    <mergeCell ref="D34:D35"/>
    <mergeCell ref="M50:P50"/>
    <mergeCell ref="G50:J50"/>
    <mergeCell ref="A50:D50"/>
    <mergeCell ref="A34:A35"/>
    <mergeCell ref="B34:B35"/>
    <mergeCell ref="N52:N53"/>
    <mergeCell ref="M66:P66"/>
    <mergeCell ref="M68:M69"/>
    <mergeCell ref="N68:N69"/>
    <mergeCell ref="O68:O69"/>
    <mergeCell ref="P68:P69"/>
  </mergeCells>
  <printOptions horizontalCentered="1" verticalCentered="1"/>
  <pageMargins left="0.23622047244094491" right="0.23622047244094491" top="0.74803149606299213" bottom="0.74803149606299213" header="0.31496062992125984" footer="0.31496062992125984"/>
  <pageSetup paperSize="9" fitToHeight="0"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2423C-7E7B-48A0-93C9-A1DEA076C17C}">
  <sheetPr codeName="Sheet11">
    <tabColor rgb="FF00B050"/>
    <pageSetUpPr fitToPage="1"/>
  </sheetPr>
  <dimension ref="A1:P14"/>
  <sheetViews>
    <sheetView zoomScale="85" zoomScaleNormal="85" workbookViewId="0">
      <selection activeCell="A7" sqref="A7:A14"/>
    </sheetView>
  </sheetViews>
  <sheetFormatPr defaultColWidth="30" defaultRowHeight="35.25" customHeight="1" x14ac:dyDescent="0.3"/>
  <cols>
    <col min="1" max="1" width="31.6640625" bestFit="1" customWidth="1"/>
    <col min="2" max="3" width="13" customWidth="1"/>
    <col min="4" max="4" width="6.33203125" style="63" customWidth="1"/>
    <col min="5" max="5" width="11.5546875" customWidth="1"/>
    <col min="6" max="6" width="4.88671875" customWidth="1"/>
    <col min="7" max="7" width="31.6640625" bestFit="1" customWidth="1"/>
    <col min="8" max="9" width="11.6640625" customWidth="1"/>
    <col min="10" max="10" width="5.88671875" bestFit="1" customWidth="1"/>
    <col min="11" max="11" width="14.109375" customWidth="1"/>
    <col min="12" max="12" width="6.44140625" customWidth="1"/>
    <col min="13" max="13" width="32.33203125" customWidth="1"/>
    <col min="14" max="15" width="12.88671875" customWidth="1"/>
    <col min="16" max="16" width="7.6640625" customWidth="1"/>
    <col min="17" max="17" width="14.5546875" customWidth="1"/>
  </cols>
  <sheetData>
    <row r="1" spans="1:16" ht="35.25" customHeight="1" thickBot="1" x14ac:dyDescent="0.35">
      <c r="A1" s="419" t="s">
        <v>344</v>
      </c>
      <c r="B1" s="420"/>
      <c r="C1" s="420"/>
      <c r="D1" s="423"/>
      <c r="E1" s="423"/>
      <c r="F1" s="96"/>
      <c r="G1" s="96"/>
      <c r="H1" s="96"/>
      <c r="I1" s="96"/>
      <c r="J1" s="96"/>
      <c r="K1" s="96"/>
    </row>
    <row r="2" spans="1:16" ht="35.25" customHeight="1" thickBot="1" x14ac:dyDescent="0.35">
      <c r="J2" s="63"/>
      <c r="P2" s="63"/>
    </row>
    <row r="3" spans="1:16" ht="35.25" customHeight="1" thickTop="1" thickBot="1" x14ac:dyDescent="0.35">
      <c r="A3" s="1060" t="s">
        <v>372</v>
      </c>
      <c r="B3" s="1061"/>
      <c r="C3" s="1061"/>
      <c r="D3" s="1061"/>
      <c r="E3" s="424"/>
    </row>
    <row r="4" spans="1:16" ht="21" customHeight="1" thickTop="1" thickBot="1" x14ac:dyDescent="0.35">
      <c r="A4" s="10"/>
      <c r="B4" s="9"/>
      <c r="C4" s="9"/>
    </row>
    <row r="5" spans="1:16" ht="35.25" customHeight="1" thickBot="1" x14ac:dyDescent="0.35">
      <c r="A5" s="1024" t="s">
        <v>0</v>
      </c>
      <c r="B5" s="1024" t="s">
        <v>23</v>
      </c>
      <c r="C5" s="1024" t="s">
        <v>321</v>
      </c>
      <c r="D5" s="1026" t="s">
        <v>35</v>
      </c>
      <c r="E5" s="398" t="s">
        <v>47</v>
      </c>
    </row>
    <row r="6" spans="1:16" ht="35.25" customHeight="1" x14ac:dyDescent="0.3">
      <c r="A6" s="1024"/>
      <c r="B6" s="1024"/>
      <c r="C6" s="1024"/>
      <c r="D6" s="1026"/>
      <c r="E6" s="353">
        <f>'PLANNING DE FABRICATION'!E32</f>
        <v>0</v>
      </c>
    </row>
    <row r="7" spans="1:16" ht="35.25" customHeight="1" x14ac:dyDescent="0.3">
      <c r="A7" s="381" t="s">
        <v>20</v>
      </c>
      <c r="B7" s="78">
        <v>2</v>
      </c>
      <c r="C7" s="78">
        <f>B7</f>
        <v>2</v>
      </c>
      <c r="D7" s="359" t="s">
        <v>254</v>
      </c>
      <c r="E7" s="79">
        <f t="shared" ref="E7:E14" si="0">B7*$E$6</f>
        <v>0</v>
      </c>
    </row>
    <row r="8" spans="1:16" ht="35.25" customHeight="1" x14ac:dyDescent="0.3">
      <c r="A8" s="380" t="s">
        <v>1</v>
      </c>
      <c r="B8" s="80">
        <v>2.2000000000000002</v>
      </c>
      <c r="C8" s="80">
        <f>C7+B8</f>
        <v>4.2</v>
      </c>
      <c r="D8" s="357" t="s">
        <v>254</v>
      </c>
      <c r="E8" s="79">
        <f t="shared" si="0"/>
        <v>0</v>
      </c>
    </row>
    <row r="9" spans="1:16" ht="35.25" customHeight="1" x14ac:dyDescent="0.3">
      <c r="A9" s="381" t="s">
        <v>21</v>
      </c>
      <c r="B9" s="362">
        <v>1.7999999999999999E-2</v>
      </c>
      <c r="C9" s="78">
        <f t="shared" ref="C9:C12" si="1">C8+B9</f>
        <v>4.218</v>
      </c>
      <c r="D9" s="359" t="s">
        <v>254</v>
      </c>
      <c r="E9" s="79">
        <f t="shared" si="0"/>
        <v>0</v>
      </c>
    </row>
    <row r="10" spans="1:16" ht="35.25" customHeight="1" x14ac:dyDescent="0.3">
      <c r="A10" s="380" t="s">
        <v>3</v>
      </c>
      <c r="B10" s="80">
        <v>3</v>
      </c>
      <c r="C10" s="80">
        <f t="shared" si="1"/>
        <v>7.218</v>
      </c>
      <c r="D10" s="357" t="s">
        <v>254</v>
      </c>
      <c r="E10" s="79">
        <f t="shared" si="0"/>
        <v>0</v>
      </c>
    </row>
    <row r="11" spans="1:16" ht="35.25" customHeight="1" x14ac:dyDescent="0.3">
      <c r="A11" s="381" t="s">
        <v>2</v>
      </c>
      <c r="B11" s="78">
        <v>0.75</v>
      </c>
      <c r="C11" s="78">
        <f>C10+B11</f>
        <v>7.968</v>
      </c>
      <c r="D11" s="359" t="s">
        <v>254</v>
      </c>
      <c r="E11" s="79">
        <f t="shared" si="0"/>
        <v>0</v>
      </c>
    </row>
    <row r="12" spans="1:16" ht="35.25" customHeight="1" x14ac:dyDescent="0.3">
      <c r="A12" s="380" t="s">
        <v>17</v>
      </c>
      <c r="B12" s="80">
        <v>0.25</v>
      </c>
      <c r="C12" s="80">
        <f t="shared" si="1"/>
        <v>8.218</v>
      </c>
      <c r="D12" s="357" t="s">
        <v>254</v>
      </c>
      <c r="E12" s="79">
        <f t="shared" si="0"/>
        <v>0</v>
      </c>
    </row>
    <row r="13" spans="1:16" ht="35.25" customHeight="1" thickBot="1" x14ac:dyDescent="0.35">
      <c r="A13" s="396" t="s">
        <v>5</v>
      </c>
      <c r="B13" s="371">
        <v>0.08</v>
      </c>
      <c r="C13" s="371">
        <f>C12+B13</f>
        <v>8.298</v>
      </c>
      <c r="D13" s="372" t="s">
        <v>254</v>
      </c>
      <c r="E13" s="82">
        <f t="shared" si="0"/>
        <v>0</v>
      </c>
    </row>
    <row r="14" spans="1:16" ht="35.25" customHeight="1" x14ac:dyDescent="0.3">
      <c r="A14" s="385" t="s">
        <v>28</v>
      </c>
      <c r="B14" s="400">
        <v>1</v>
      </c>
      <c r="C14" s="400">
        <f>B14</f>
        <v>1</v>
      </c>
      <c r="D14" s="43" t="s">
        <v>34</v>
      </c>
      <c r="E14" s="38">
        <f t="shared" si="0"/>
        <v>0</v>
      </c>
    </row>
  </sheetData>
  <sheetProtection algorithmName="SHA-512" hashValue="T4C4zOhavcW/3uwN0XC0wrGFbuAymQLKOmaoOHocvOvb1egqrWa/QlHa007ujefMvxwAKBtFFo9QoYkGYdlhNQ==" saltValue="Mgh2xtAzBlsPQnHaCSAqjw==" spinCount="100000" sheet="1" objects="1" scenarios="1"/>
  <mergeCells count="5">
    <mergeCell ref="A3:D3"/>
    <mergeCell ref="A5:A6"/>
    <mergeCell ref="B5:B6"/>
    <mergeCell ref="D5:D6"/>
    <mergeCell ref="C5:C6"/>
  </mergeCells>
  <printOptions horizontalCentered="1" verticalCentered="1"/>
  <pageMargins left="0.25" right="0.25"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5BBCD-28A8-4E58-BC83-4BBD8CFC13E0}">
  <sheetPr codeName="Sheet12">
    <tabColor rgb="FF00B050"/>
    <pageSetUpPr fitToPage="1"/>
  </sheetPr>
  <dimension ref="A1:U31"/>
  <sheetViews>
    <sheetView topLeftCell="A2" zoomScale="55" zoomScaleNormal="55" workbookViewId="0">
      <selection activeCell="G20" sqref="G20:J29"/>
    </sheetView>
  </sheetViews>
  <sheetFormatPr defaultColWidth="11.5546875" defaultRowHeight="14.4" x14ac:dyDescent="0.3"/>
  <cols>
    <col min="1" max="1" width="32.44140625" customWidth="1"/>
    <col min="2" max="3" width="20" customWidth="1"/>
    <col min="4" max="4" width="6.6640625" style="63" customWidth="1"/>
    <col min="6" max="6" width="4.44140625" customWidth="1"/>
    <col min="7" max="7" width="34.109375" customWidth="1"/>
    <col min="8" max="9" width="18.33203125" customWidth="1"/>
    <col min="10" max="10" width="7.33203125" style="63" customWidth="1"/>
    <col min="12" max="12" width="5.6640625" customWidth="1"/>
    <col min="13" max="13" width="34.44140625" customWidth="1"/>
    <col min="14" max="15" width="20.44140625" customWidth="1"/>
    <col min="16" max="16" width="5.5546875" style="63" customWidth="1"/>
    <col min="19" max="19" width="33.33203125" customWidth="1"/>
    <col min="20" max="20" width="22.88671875" customWidth="1"/>
    <col min="21" max="21" width="7.33203125" customWidth="1"/>
  </cols>
  <sheetData>
    <row r="1" spans="1:17" s="95" customFormat="1" ht="35.25" customHeight="1" thickBot="1" x14ac:dyDescent="0.35">
      <c r="A1" s="1062" t="s">
        <v>84</v>
      </c>
      <c r="B1" s="1063"/>
      <c r="C1" s="1063"/>
      <c r="D1" s="1063"/>
      <c r="E1" s="1063"/>
      <c r="F1" s="1063"/>
      <c r="G1" s="1064" t="s">
        <v>246</v>
      </c>
      <c r="H1" s="1064"/>
      <c r="I1" s="1064"/>
      <c r="J1" s="1064"/>
      <c r="K1" s="1064"/>
      <c r="L1" s="1065"/>
      <c r="M1" s="1065"/>
      <c r="N1" s="1065"/>
      <c r="O1" s="1065"/>
      <c r="P1" s="1065"/>
      <c r="Q1" s="1066"/>
    </row>
    <row r="2" spans="1:17" ht="15" thickBot="1" x14ac:dyDescent="0.35"/>
    <row r="3" spans="1:17" ht="42.75" customHeight="1" thickTop="1" thickBot="1" x14ac:dyDescent="0.35">
      <c r="A3" s="1067" t="s">
        <v>373</v>
      </c>
      <c r="B3" s="1068"/>
      <c r="C3" s="1068"/>
      <c r="D3" s="1068"/>
      <c r="E3" s="436"/>
      <c r="G3" s="1067" t="s">
        <v>375</v>
      </c>
      <c r="H3" s="1068"/>
      <c r="I3" s="1068"/>
      <c r="J3" s="1068"/>
      <c r="K3" s="436"/>
      <c r="M3" s="1067" t="s">
        <v>377</v>
      </c>
      <c r="N3" s="1068"/>
      <c r="O3" s="1068"/>
      <c r="P3" s="1068"/>
      <c r="Q3" s="436"/>
    </row>
    <row r="4" spans="1:17" ht="10.5" customHeight="1" thickTop="1" thickBot="1" x14ac:dyDescent="0.35">
      <c r="A4" s="10"/>
      <c r="B4" s="9"/>
      <c r="C4" s="9"/>
      <c r="G4" s="10"/>
      <c r="H4" s="9"/>
      <c r="I4" s="9"/>
      <c r="M4" s="10"/>
      <c r="N4" s="9"/>
      <c r="O4" s="9"/>
    </row>
    <row r="5" spans="1:17" ht="31.5" customHeight="1" thickBot="1" x14ac:dyDescent="0.35">
      <c r="A5" s="1024" t="s">
        <v>0</v>
      </c>
      <c r="B5" s="1025" t="s">
        <v>23</v>
      </c>
      <c r="C5" s="1025" t="s">
        <v>321</v>
      </c>
      <c r="D5" s="1026" t="s">
        <v>35</v>
      </c>
      <c r="E5" s="398" t="s">
        <v>47</v>
      </c>
      <c r="G5" s="1024" t="s">
        <v>0</v>
      </c>
      <c r="H5" s="1025" t="s">
        <v>23</v>
      </c>
      <c r="I5" s="1025" t="s">
        <v>321</v>
      </c>
      <c r="J5" s="1026" t="s">
        <v>35</v>
      </c>
      <c r="K5" s="398" t="s">
        <v>47</v>
      </c>
      <c r="M5" s="1024" t="s">
        <v>0</v>
      </c>
      <c r="N5" s="1025" t="s">
        <v>23</v>
      </c>
      <c r="O5" s="1025" t="s">
        <v>321</v>
      </c>
      <c r="P5" s="1026" t="s">
        <v>35</v>
      </c>
      <c r="Q5" s="398" t="s">
        <v>47</v>
      </c>
    </row>
    <row r="6" spans="1:17" ht="40.5" customHeight="1" x14ac:dyDescent="0.3">
      <c r="A6" s="1024"/>
      <c r="B6" s="1025"/>
      <c r="C6" s="1025"/>
      <c r="D6" s="1026"/>
      <c r="E6" s="353">
        <f>'PLANNING DE FABRICATION'!E33</f>
        <v>0.5</v>
      </c>
      <c r="G6" s="1024"/>
      <c r="H6" s="1025"/>
      <c r="I6" s="1025"/>
      <c r="J6" s="1026"/>
      <c r="K6" s="353">
        <f>'PLANNING DE FABRICATION'!E34</f>
        <v>3</v>
      </c>
      <c r="M6" s="1024"/>
      <c r="N6" s="1025"/>
      <c r="O6" s="1025"/>
      <c r="P6" s="1026"/>
      <c r="Q6" s="434">
        <f>'PLANNING DE FABRICATION'!E37</f>
        <v>0.5</v>
      </c>
    </row>
    <row r="7" spans="1:17" ht="34.5" customHeight="1" x14ac:dyDescent="0.3">
      <c r="A7" s="381" t="s">
        <v>1</v>
      </c>
      <c r="B7" s="78">
        <v>3.9</v>
      </c>
      <c r="C7" s="78">
        <f>B7</f>
        <v>3.9</v>
      </c>
      <c r="D7" s="359" t="s">
        <v>254</v>
      </c>
      <c r="E7" s="79">
        <f t="shared" ref="E7:E13" si="0">B7*$E$6</f>
        <v>1.95</v>
      </c>
      <c r="G7" s="381" t="s">
        <v>1</v>
      </c>
      <c r="H7" s="78">
        <v>3.9</v>
      </c>
      <c r="I7" s="78">
        <f>H7</f>
        <v>3.9</v>
      </c>
      <c r="J7" s="359" t="s">
        <v>254</v>
      </c>
      <c r="K7" s="79">
        <f t="shared" ref="K7:K13" si="1">H7*$K$6</f>
        <v>11.7</v>
      </c>
      <c r="M7" s="381" t="s">
        <v>1</v>
      </c>
      <c r="N7" s="78">
        <v>3.9</v>
      </c>
      <c r="O7" s="78">
        <f>N7</f>
        <v>3.9</v>
      </c>
      <c r="P7" s="359" t="s">
        <v>254</v>
      </c>
      <c r="Q7" s="79">
        <f t="shared" ref="Q7:Q13" si="2">N7*$Q$6</f>
        <v>1.95</v>
      </c>
    </row>
    <row r="8" spans="1:17" ht="34.5" customHeight="1" x14ac:dyDescent="0.3">
      <c r="A8" s="380" t="s">
        <v>21</v>
      </c>
      <c r="B8" s="80">
        <v>2.4E-2</v>
      </c>
      <c r="C8" s="80">
        <f>C7+B8</f>
        <v>3.9239999999999999</v>
      </c>
      <c r="D8" s="357" t="s">
        <v>254</v>
      </c>
      <c r="E8" s="79">
        <f t="shared" si="0"/>
        <v>1.2E-2</v>
      </c>
      <c r="G8" s="380" t="s">
        <v>21</v>
      </c>
      <c r="H8" s="80">
        <v>2.4E-2</v>
      </c>
      <c r="I8" s="80">
        <f>I7+H8</f>
        <v>3.9239999999999999</v>
      </c>
      <c r="J8" s="357" t="s">
        <v>254</v>
      </c>
      <c r="K8" s="79">
        <f t="shared" si="1"/>
        <v>7.2000000000000008E-2</v>
      </c>
      <c r="M8" s="380" t="s">
        <v>21</v>
      </c>
      <c r="N8" s="80">
        <v>2.4E-2</v>
      </c>
      <c r="O8" s="80">
        <f>O7+N8</f>
        <v>3.9239999999999999</v>
      </c>
      <c r="P8" s="357" t="s">
        <v>254</v>
      </c>
      <c r="Q8" s="79">
        <f t="shared" si="2"/>
        <v>1.2E-2</v>
      </c>
    </row>
    <row r="9" spans="1:17" ht="34.5" customHeight="1" x14ac:dyDescent="0.3">
      <c r="A9" s="381" t="s">
        <v>3</v>
      </c>
      <c r="B9" s="78">
        <v>1.5</v>
      </c>
      <c r="C9" s="78">
        <f>C8+B9</f>
        <v>5.4239999999999995</v>
      </c>
      <c r="D9" s="359" t="s">
        <v>254</v>
      </c>
      <c r="E9" s="79">
        <f t="shared" si="0"/>
        <v>0.75</v>
      </c>
      <c r="G9" s="381" t="s">
        <v>3</v>
      </c>
      <c r="H9" s="78">
        <v>1.5</v>
      </c>
      <c r="I9" s="78">
        <f t="shared" ref="I9" si="3">I8+H9</f>
        <v>5.4239999999999995</v>
      </c>
      <c r="J9" s="359" t="s">
        <v>254</v>
      </c>
      <c r="K9" s="79">
        <f t="shared" si="1"/>
        <v>4.5</v>
      </c>
      <c r="M9" s="381" t="s">
        <v>3</v>
      </c>
      <c r="N9" s="78">
        <v>1.5</v>
      </c>
      <c r="O9" s="78">
        <f t="shared" ref="O9:O11" si="4">O8+N9</f>
        <v>5.4239999999999995</v>
      </c>
      <c r="P9" s="359" t="s">
        <v>254</v>
      </c>
      <c r="Q9" s="79">
        <f t="shared" si="2"/>
        <v>0.75</v>
      </c>
    </row>
    <row r="10" spans="1:17" ht="34.5" customHeight="1" x14ac:dyDescent="0.3">
      <c r="A10" s="380" t="s">
        <v>2</v>
      </c>
      <c r="B10" s="80">
        <v>0.45</v>
      </c>
      <c r="C10" s="80">
        <f>C9+B10</f>
        <v>5.8739999999999997</v>
      </c>
      <c r="D10" s="357" t="s">
        <v>254</v>
      </c>
      <c r="E10" s="79">
        <f t="shared" si="0"/>
        <v>0.22500000000000001</v>
      </c>
      <c r="G10" s="380" t="s">
        <v>2</v>
      </c>
      <c r="H10" s="80">
        <v>0.45</v>
      </c>
      <c r="I10" s="80">
        <f>I9+H10</f>
        <v>5.8739999999999997</v>
      </c>
      <c r="J10" s="357" t="s">
        <v>254</v>
      </c>
      <c r="K10" s="79">
        <f t="shared" si="1"/>
        <v>1.35</v>
      </c>
      <c r="M10" s="380" t="s">
        <v>2</v>
      </c>
      <c r="N10" s="80">
        <v>0.45</v>
      </c>
      <c r="O10" s="80">
        <f t="shared" si="4"/>
        <v>5.8739999999999997</v>
      </c>
      <c r="P10" s="357" t="s">
        <v>254</v>
      </c>
      <c r="Q10" s="79">
        <f t="shared" si="2"/>
        <v>0.22500000000000001</v>
      </c>
    </row>
    <row r="11" spans="1:17" ht="34.5" customHeight="1" x14ac:dyDescent="0.3">
      <c r="A11" s="381" t="s">
        <v>17</v>
      </c>
      <c r="B11" s="78">
        <v>0.2</v>
      </c>
      <c r="C11" s="78">
        <f>C10+B11</f>
        <v>6.0739999999999998</v>
      </c>
      <c r="D11" s="359" t="s">
        <v>254</v>
      </c>
      <c r="E11" s="79">
        <f t="shared" si="0"/>
        <v>0.1</v>
      </c>
      <c r="G11" s="381" t="s">
        <v>17</v>
      </c>
      <c r="H11" s="78">
        <v>0.2</v>
      </c>
      <c r="I11" s="78">
        <f>I10+H11</f>
        <v>6.0739999999999998</v>
      </c>
      <c r="J11" s="359" t="s">
        <v>254</v>
      </c>
      <c r="K11" s="79">
        <f t="shared" si="1"/>
        <v>0.60000000000000009</v>
      </c>
      <c r="M11" s="381" t="s">
        <v>17</v>
      </c>
      <c r="N11" s="78">
        <v>0.2</v>
      </c>
      <c r="O11" s="78">
        <f t="shared" si="4"/>
        <v>6.0739999999999998</v>
      </c>
      <c r="P11" s="359" t="s">
        <v>254</v>
      </c>
      <c r="Q11" s="79">
        <f t="shared" si="2"/>
        <v>0.1</v>
      </c>
    </row>
    <row r="12" spans="1:17" ht="34.5" customHeight="1" thickBot="1" x14ac:dyDescent="0.35">
      <c r="A12" s="383" t="s">
        <v>5</v>
      </c>
      <c r="B12" s="364">
        <v>0.08</v>
      </c>
      <c r="C12" s="364">
        <f>C11+B12</f>
        <v>6.1539999999999999</v>
      </c>
      <c r="D12" s="365" t="s">
        <v>254</v>
      </c>
      <c r="E12" s="82">
        <f t="shared" si="0"/>
        <v>0.04</v>
      </c>
      <c r="G12" s="383" t="s">
        <v>5</v>
      </c>
      <c r="H12" s="364">
        <v>0.08</v>
      </c>
      <c r="I12" s="364">
        <f>I11+H12</f>
        <v>6.1539999999999999</v>
      </c>
      <c r="J12" s="365" t="s">
        <v>254</v>
      </c>
      <c r="K12" s="82">
        <f t="shared" si="1"/>
        <v>0.24</v>
      </c>
      <c r="M12" s="383" t="s">
        <v>5</v>
      </c>
      <c r="N12" s="364">
        <v>0.08</v>
      </c>
      <c r="O12" s="364">
        <f>O11+N12</f>
        <v>6.1539999999999999</v>
      </c>
      <c r="P12" s="365" t="s">
        <v>254</v>
      </c>
      <c r="Q12" s="82">
        <f t="shared" si="2"/>
        <v>0.04</v>
      </c>
    </row>
    <row r="13" spans="1:17" ht="34.5" customHeight="1" x14ac:dyDescent="0.3">
      <c r="A13" s="421" t="s">
        <v>25</v>
      </c>
      <c r="B13" s="422">
        <v>1</v>
      </c>
      <c r="C13" s="422">
        <f>B13</f>
        <v>1</v>
      </c>
      <c r="D13" s="51" t="s">
        <v>34</v>
      </c>
      <c r="E13" s="38">
        <f t="shared" si="0"/>
        <v>0.5</v>
      </c>
      <c r="G13" s="421" t="s">
        <v>25</v>
      </c>
      <c r="H13" s="422">
        <v>1</v>
      </c>
      <c r="I13" s="422">
        <f>H13</f>
        <v>1</v>
      </c>
      <c r="J13" s="51" t="s">
        <v>34</v>
      </c>
      <c r="K13" s="38">
        <f t="shared" si="1"/>
        <v>3</v>
      </c>
      <c r="M13" s="421" t="s">
        <v>25</v>
      </c>
      <c r="N13" s="422">
        <v>1</v>
      </c>
      <c r="O13" s="422">
        <f>N13</f>
        <v>1</v>
      </c>
      <c r="P13" s="51" t="s">
        <v>34</v>
      </c>
      <c r="Q13" s="38">
        <f t="shared" si="2"/>
        <v>0.5</v>
      </c>
    </row>
    <row r="14" spans="1:17" ht="24" customHeight="1" x14ac:dyDescent="0.3">
      <c r="E14" s="91"/>
      <c r="K14" s="91"/>
      <c r="Q14" s="91"/>
    </row>
    <row r="15" spans="1:17" ht="17.25" customHeight="1" x14ac:dyDescent="0.3"/>
    <row r="16" spans="1:17" ht="17.25" customHeight="1" x14ac:dyDescent="0.3"/>
    <row r="17" spans="1:21" ht="33.75" customHeight="1" thickBot="1" x14ac:dyDescent="0.35">
      <c r="A17" s="96"/>
      <c r="B17" s="96"/>
      <c r="C17" s="96"/>
      <c r="D17" s="113"/>
      <c r="E17" s="97"/>
      <c r="U17" s="63"/>
    </row>
    <row r="18" spans="1:21" ht="31.5" customHeight="1" thickTop="1" thickBot="1" x14ac:dyDescent="0.35">
      <c r="A18" s="1067" t="s">
        <v>374</v>
      </c>
      <c r="B18" s="1068"/>
      <c r="C18" s="1068"/>
      <c r="D18" s="1068"/>
      <c r="E18" s="436"/>
      <c r="G18" s="1067" t="s">
        <v>376</v>
      </c>
      <c r="H18" s="1068"/>
      <c r="I18" s="1068"/>
      <c r="J18" s="1068"/>
      <c r="K18" s="436"/>
    </row>
    <row r="19" spans="1:21" ht="40.5" customHeight="1" thickTop="1" thickBot="1" x14ac:dyDescent="0.35">
      <c r="A19" s="10"/>
      <c r="B19" s="9"/>
      <c r="C19" s="9"/>
      <c r="G19" s="10"/>
      <c r="H19" s="9"/>
      <c r="I19" s="9"/>
    </row>
    <row r="20" spans="1:21" ht="40.5" customHeight="1" thickBot="1" x14ac:dyDescent="0.35">
      <c r="A20" s="1024" t="s">
        <v>0</v>
      </c>
      <c r="B20" s="1025" t="s">
        <v>23</v>
      </c>
      <c r="C20" s="1025" t="s">
        <v>321</v>
      </c>
      <c r="D20" s="1051" t="s">
        <v>35</v>
      </c>
      <c r="E20" s="398" t="s">
        <v>47</v>
      </c>
      <c r="G20" s="1024" t="s">
        <v>0</v>
      </c>
      <c r="H20" s="1025" t="s">
        <v>23</v>
      </c>
      <c r="I20" s="1025" t="s">
        <v>321</v>
      </c>
      <c r="J20" s="1026" t="s">
        <v>35</v>
      </c>
      <c r="K20" s="398" t="s">
        <v>47</v>
      </c>
    </row>
    <row r="21" spans="1:21" ht="40.5" customHeight="1" x14ac:dyDescent="0.3">
      <c r="A21" s="1024"/>
      <c r="B21" s="1025"/>
      <c r="C21" s="1025"/>
      <c r="D21" s="1051"/>
      <c r="E21" s="353">
        <f>'PLANNING DE FABRICATION'!E35</f>
        <v>0</v>
      </c>
      <c r="G21" s="1024"/>
      <c r="H21" s="1025"/>
      <c r="I21" s="1025"/>
      <c r="J21" s="1026"/>
      <c r="K21" s="353">
        <f>'PLANNING DE FABRICATION'!E38</f>
        <v>0</v>
      </c>
    </row>
    <row r="22" spans="1:21" ht="40.5" customHeight="1" x14ac:dyDescent="0.3">
      <c r="A22" s="381" t="s">
        <v>1</v>
      </c>
      <c r="B22" s="78">
        <v>3.9</v>
      </c>
      <c r="C22" s="78">
        <f>B22</f>
        <v>3.9</v>
      </c>
      <c r="D22" s="359" t="s">
        <v>254</v>
      </c>
      <c r="E22" s="79">
        <f t="shared" ref="E22:E28" si="5">B22*$E$21</f>
        <v>0</v>
      </c>
      <c r="G22" s="435" t="s">
        <v>1</v>
      </c>
      <c r="H22" s="78">
        <v>3.9</v>
      </c>
      <c r="I22" s="78">
        <f>H22</f>
        <v>3.9</v>
      </c>
      <c r="J22" s="359" t="s">
        <v>254</v>
      </c>
      <c r="K22" s="79">
        <f t="shared" ref="K22:K29" si="6">H22*$K$21</f>
        <v>0</v>
      </c>
    </row>
    <row r="23" spans="1:21" ht="36" customHeight="1" x14ac:dyDescent="0.3">
      <c r="A23" s="380" t="s">
        <v>21</v>
      </c>
      <c r="B23" s="80">
        <v>2.4E-2</v>
      </c>
      <c r="C23" s="80">
        <f>C22+B23</f>
        <v>3.9239999999999999</v>
      </c>
      <c r="D23" s="357" t="s">
        <v>254</v>
      </c>
      <c r="E23" s="79">
        <f t="shared" si="5"/>
        <v>0</v>
      </c>
      <c r="G23" s="380" t="s">
        <v>21</v>
      </c>
      <c r="H23" s="80">
        <v>2.4E-2</v>
      </c>
      <c r="I23" s="80">
        <f>I22+H23</f>
        <v>3.9239999999999999</v>
      </c>
      <c r="J23" s="357" t="s">
        <v>254</v>
      </c>
      <c r="K23" s="79">
        <f t="shared" si="6"/>
        <v>0</v>
      </c>
    </row>
    <row r="24" spans="1:21" ht="36" customHeight="1" x14ac:dyDescent="0.3">
      <c r="A24" s="381" t="s">
        <v>3</v>
      </c>
      <c r="B24" s="78">
        <v>1.5</v>
      </c>
      <c r="C24" s="78">
        <f>C23+B24</f>
        <v>5.4239999999999995</v>
      </c>
      <c r="D24" s="359" t="s">
        <v>254</v>
      </c>
      <c r="E24" s="79">
        <f t="shared" si="5"/>
        <v>0</v>
      </c>
      <c r="G24" s="381" t="s">
        <v>3</v>
      </c>
      <c r="H24" s="78">
        <v>1.5</v>
      </c>
      <c r="I24" s="78">
        <f>I23+H24</f>
        <v>5.4239999999999995</v>
      </c>
      <c r="J24" s="359" t="s">
        <v>254</v>
      </c>
      <c r="K24" s="79">
        <f t="shared" si="6"/>
        <v>0</v>
      </c>
    </row>
    <row r="25" spans="1:21" ht="36" customHeight="1" x14ac:dyDescent="0.3">
      <c r="A25" s="380" t="s">
        <v>2</v>
      </c>
      <c r="B25" s="80">
        <v>0.45</v>
      </c>
      <c r="C25" s="80">
        <f>C24+B25</f>
        <v>5.8739999999999997</v>
      </c>
      <c r="D25" s="357" t="s">
        <v>254</v>
      </c>
      <c r="E25" s="79">
        <f t="shared" si="5"/>
        <v>0</v>
      </c>
      <c r="G25" s="380" t="s">
        <v>2</v>
      </c>
      <c r="H25" s="80">
        <v>0.45</v>
      </c>
      <c r="I25" s="80">
        <f>I24+H25</f>
        <v>5.8739999999999997</v>
      </c>
      <c r="J25" s="357" t="s">
        <v>254</v>
      </c>
      <c r="K25" s="79">
        <f t="shared" si="6"/>
        <v>0</v>
      </c>
    </row>
    <row r="26" spans="1:21" ht="36" customHeight="1" x14ac:dyDescent="0.3">
      <c r="A26" s="381" t="s">
        <v>17</v>
      </c>
      <c r="B26" s="78">
        <v>0.25</v>
      </c>
      <c r="C26" s="78">
        <f>C25+B26</f>
        <v>6.1239999999999997</v>
      </c>
      <c r="D26" s="359" t="s">
        <v>254</v>
      </c>
      <c r="E26" s="79">
        <f t="shared" si="5"/>
        <v>0</v>
      </c>
      <c r="G26" s="381" t="s">
        <v>17</v>
      </c>
      <c r="H26" s="78">
        <v>0.2</v>
      </c>
      <c r="I26" s="78">
        <f>I25+H26</f>
        <v>6.0739999999999998</v>
      </c>
      <c r="J26" s="359" t="s">
        <v>254</v>
      </c>
      <c r="K26" s="79">
        <f t="shared" si="6"/>
        <v>0</v>
      </c>
    </row>
    <row r="27" spans="1:21" ht="36" customHeight="1" thickBot="1" x14ac:dyDescent="0.35">
      <c r="A27" s="383" t="s">
        <v>5</v>
      </c>
      <c r="B27" s="364">
        <v>0.08</v>
      </c>
      <c r="C27" s="364">
        <f>C26+B27</f>
        <v>6.2039999999999997</v>
      </c>
      <c r="D27" s="365" t="s">
        <v>254</v>
      </c>
      <c r="E27" s="82">
        <f t="shared" si="5"/>
        <v>0</v>
      </c>
      <c r="G27" s="383" t="s">
        <v>5</v>
      </c>
      <c r="H27" s="364">
        <v>0.08</v>
      </c>
      <c r="I27" s="364">
        <f>I26+H27</f>
        <v>6.1539999999999999</v>
      </c>
      <c r="J27" s="365" t="s">
        <v>254</v>
      </c>
      <c r="K27" s="82">
        <f t="shared" si="6"/>
        <v>0</v>
      </c>
    </row>
    <row r="28" spans="1:21" ht="36" customHeight="1" thickBot="1" x14ac:dyDescent="0.35">
      <c r="A28" s="421" t="s">
        <v>25</v>
      </c>
      <c r="B28" s="422">
        <v>1</v>
      </c>
      <c r="C28" s="422">
        <f>B28</f>
        <v>1</v>
      </c>
      <c r="D28" s="51" t="s">
        <v>34</v>
      </c>
      <c r="E28" s="38">
        <f t="shared" si="5"/>
        <v>0</v>
      </c>
      <c r="G28" s="421" t="s">
        <v>25</v>
      </c>
      <c r="H28" s="422">
        <v>1</v>
      </c>
      <c r="I28" s="422">
        <f>H28</f>
        <v>1</v>
      </c>
      <c r="J28" s="51" t="s">
        <v>34</v>
      </c>
      <c r="K28" s="38">
        <f t="shared" si="6"/>
        <v>0</v>
      </c>
    </row>
    <row r="29" spans="1:21" ht="36" customHeight="1" x14ac:dyDescent="0.3">
      <c r="E29" s="91"/>
      <c r="G29" s="389" t="s">
        <v>27</v>
      </c>
      <c r="H29" s="387">
        <v>0.52</v>
      </c>
      <c r="I29" s="387">
        <f>H29</f>
        <v>0.52</v>
      </c>
      <c r="J29" s="402" t="s">
        <v>254</v>
      </c>
      <c r="K29" s="38">
        <f t="shared" si="6"/>
        <v>0</v>
      </c>
      <c r="P29"/>
      <c r="Q29" s="63"/>
      <c r="R29" s="91"/>
    </row>
    <row r="30" spans="1:21" ht="36" customHeight="1" x14ac:dyDescent="0.3">
      <c r="K30" s="91"/>
    </row>
    <row r="31" spans="1:21" ht="36" customHeight="1" x14ac:dyDescent="0.3"/>
  </sheetData>
  <sheetProtection algorithmName="SHA-512" hashValue="b6eB6vi0EIICAqsMNbV2z7eJ/XTvRnnYKo3wGeuzCOCjc+MnbmGbrjYw0GaQzrc50nK+JwD7OPRakF7wGOdjvw==" saltValue="F5lg4Ca80JMt9bDpig4XRg==" spinCount="100000" sheet="1" objects="1" scenarios="1"/>
  <mergeCells count="28">
    <mergeCell ref="C5:C6"/>
    <mergeCell ref="I5:I6"/>
    <mergeCell ref="M3:P3"/>
    <mergeCell ref="G18:J18"/>
    <mergeCell ref="G3:J3"/>
    <mergeCell ref="G5:G6"/>
    <mergeCell ref="H5:H6"/>
    <mergeCell ref="A3:D3"/>
    <mergeCell ref="B5:B6"/>
    <mergeCell ref="A5:A6"/>
    <mergeCell ref="A18:D18"/>
    <mergeCell ref="D5:D6"/>
    <mergeCell ref="A1:F1"/>
    <mergeCell ref="G1:K1"/>
    <mergeCell ref="L1:Q1"/>
    <mergeCell ref="D20:D21"/>
    <mergeCell ref="B20:B21"/>
    <mergeCell ref="A20:A21"/>
    <mergeCell ref="G20:G21"/>
    <mergeCell ref="H20:H21"/>
    <mergeCell ref="J20:J21"/>
    <mergeCell ref="M5:M6"/>
    <mergeCell ref="N5:N6"/>
    <mergeCell ref="P5:P6"/>
    <mergeCell ref="C20:C21"/>
    <mergeCell ref="J5:J6"/>
    <mergeCell ref="I20:I21"/>
    <mergeCell ref="O5:O6"/>
  </mergeCells>
  <printOptions horizontalCentered="1" verticalCentered="1"/>
  <pageMargins left="0.23622047244094491" right="0.23622047244094491" top="0.74803149606299213" bottom="0.74803149606299213" header="0.31496062992125984" footer="0.31496062992125984"/>
  <pageSetup paperSize="9" scale="82"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F1596-8FDF-472F-AC67-27F9023EA5E6}">
  <sheetPr codeName="Sheet13">
    <tabColor rgb="FF00B050"/>
    <pageSetUpPr fitToPage="1"/>
  </sheetPr>
  <dimension ref="A1:S40"/>
  <sheetViews>
    <sheetView topLeftCell="A7" zoomScale="55" zoomScaleNormal="55" workbookViewId="0">
      <selection activeCell="O19" sqref="O19:R27"/>
    </sheetView>
  </sheetViews>
  <sheetFormatPr defaultColWidth="11.5546875" defaultRowHeight="14.4" x14ac:dyDescent="0.3"/>
  <cols>
    <col min="1" max="1" width="31" bestFit="1" customWidth="1"/>
    <col min="2" max="3" width="15.44140625" customWidth="1"/>
    <col min="4" max="4" width="6.6640625" style="63" customWidth="1"/>
    <col min="5" max="5" width="6.109375" customWidth="1"/>
    <col min="6" max="7" width="15.44140625" customWidth="1"/>
    <col min="9" max="9" width="36.5546875" customWidth="1"/>
    <col min="10" max="11" width="15.44140625" customWidth="1"/>
    <col min="12" max="12" width="6.33203125" customWidth="1"/>
    <col min="13" max="13" width="15.44140625" customWidth="1"/>
    <col min="15" max="15" width="38" customWidth="1"/>
    <col min="16" max="17" width="14.88671875" customWidth="1"/>
    <col min="18" max="18" width="8.109375" customWidth="1"/>
    <col min="19" max="19" width="15.5546875" customWidth="1"/>
  </cols>
  <sheetData>
    <row r="1" spans="1:19" ht="15" thickBot="1" x14ac:dyDescent="0.35"/>
    <row r="2" spans="1:19" ht="28.5" customHeight="1" thickTop="1" thickBot="1" x14ac:dyDescent="0.35">
      <c r="A2" s="1071" t="s">
        <v>379</v>
      </c>
      <c r="B2" s="912"/>
      <c r="C2" s="912"/>
      <c r="D2" s="912"/>
      <c r="E2" s="441"/>
      <c r="F2" s="441"/>
      <c r="G2" s="442"/>
      <c r="I2" s="1071" t="s">
        <v>381</v>
      </c>
      <c r="J2" s="912"/>
      <c r="K2" s="912"/>
      <c r="L2" s="912"/>
      <c r="M2" s="441"/>
      <c r="O2" s="1069" t="s">
        <v>383</v>
      </c>
      <c r="P2" s="1070"/>
      <c r="Q2" s="1070"/>
      <c r="R2" s="1070"/>
      <c r="S2" s="440"/>
    </row>
    <row r="3" spans="1:19" ht="13.5" customHeight="1" thickTop="1" thickBot="1" x14ac:dyDescent="0.35">
      <c r="A3" s="10"/>
      <c r="B3" s="9"/>
      <c r="C3" s="9"/>
      <c r="I3" s="10"/>
      <c r="J3" s="9"/>
      <c r="K3" s="9"/>
      <c r="L3" s="63"/>
      <c r="O3" s="10"/>
      <c r="P3" s="9"/>
      <c r="Q3" s="9"/>
      <c r="R3" s="63"/>
    </row>
    <row r="4" spans="1:19" ht="44.25" customHeight="1" thickBot="1" x14ac:dyDescent="0.35">
      <c r="A4" s="1013" t="s">
        <v>0</v>
      </c>
      <c r="B4" s="1072" t="s">
        <v>23</v>
      </c>
      <c r="C4" s="1072" t="s">
        <v>321</v>
      </c>
      <c r="D4" s="1081" t="s">
        <v>35</v>
      </c>
      <c r="E4" s="1083" t="s">
        <v>48</v>
      </c>
      <c r="F4" s="92" t="s">
        <v>47</v>
      </c>
      <c r="G4" s="1085" t="s">
        <v>51</v>
      </c>
      <c r="I4" s="1013" t="s">
        <v>0</v>
      </c>
      <c r="J4" s="1072" t="s">
        <v>23</v>
      </c>
      <c r="K4" s="1072" t="s">
        <v>321</v>
      </c>
      <c r="L4" s="1081" t="s">
        <v>35</v>
      </c>
      <c r="M4" s="92" t="s">
        <v>47</v>
      </c>
      <c r="O4" s="1013" t="s">
        <v>0</v>
      </c>
      <c r="P4" s="1072" t="s">
        <v>23</v>
      </c>
      <c r="Q4" s="1072" t="s">
        <v>321</v>
      </c>
      <c r="R4" s="1081" t="s">
        <v>35</v>
      </c>
      <c r="S4" s="92" t="s">
        <v>47</v>
      </c>
    </row>
    <row r="5" spans="1:19" ht="34.5" customHeight="1" thickBot="1" x14ac:dyDescent="0.35">
      <c r="A5" s="1075"/>
      <c r="B5" s="1076"/>
      <c r="C5" s="1074"/>
      <c r="D5" s="1082"/>
      <c r="E5" s="1084"/>
      <c r="F5" s="34">
        <f>'PLANNING DE FABRICATION'!E59</f>
        <v>0.3</v>
      </c>
      <c r="G5" s="1086"/>
      <c r="I5" s="1075"/>
      <c r="J5" s="1076"/>
      <c r="K5" s="1074"/>
      <c r="L5" s="1082"/>
      <c r="M5" s="34">
        <f>'PLANNING DE FABRICATION'!E56</f>
        <v>0</v>
      </c>
      <c r="O5" s="1075"/>
      <c r="P5" s="1076"/>
      <c r="Q5" s="1074"/>
      <c r="R5" s="1082"/>
      <c r="S5" s="34">
        <f>'PLANNING DE FABRICATION'!E61</f>
        <v>20</v>
      </c>
    </row>
    <row r="6" spans="1:19" ht="43.5" customHeight="1" x14ac:dyDescent="0.3">
      <c r="A6" s="120" t="s">
        <v>1</v>
      </c>
      <c r="B6" s="111">
        <v>4.6500000000000004</v>
      </c>
      <c r="C6" s="111">
        <f>B6</f>
        <v>4.6500000000000004</v>
      </c>
      <c r="D6" s="314" t="s">
        <v>254</v>
      </c>
      <c r="E6" s="314" t="s">
        <v>49</v>
      </c>
      <c r="F6" s="72">
        <f t="shared" ref="F6:F12" si="0">B6*$F$5</f>
        <v>1.395</v>
      </c>
      <c r="G6" s="73" t="e">
        <f>#REF!*F6</f>
        <v>#REF!</v>
      </c>
      <c r="I6" s="120" t="s">
        <v>1</v>
      </c>
      <c r="J6" s="111">
        <v>4.5</v>
      </c>
      <c r="K6" s="111">
        <f>J6</f>
        <v>4.5</v>
      </c>
      <c r="L6" s="314" t="s">
        <v>254</v>
      </c>
      <c r="M6" s="72">
        <f t="shared" ref="M6:M13" si="1">J6*$M$5</f>
        <v>0</v>
      </c>
      <c r="O6" s="120" t="s">
        <v>20</v>
      </c>
      <c r="P6" s="322">
        <v>1.5</v>
      </c>
      <c r="Q6" s="322">
        <f>P6</f>
        <v>1.5</v>
      </c>
      <c r="R6" s="314" t="s">
        <v>254</v>
      </c>
      <c r="S6" s="72">
        <f>P6*$S$5</f>
        <v>30</v>
      </c>
    </row>
    <row r="7" spans="1:19" ht="43.5" customHeight="1" x14ac:dyDescent="0.3">
      <c r="A7" s="121" t="s">
        <v>21</v>
      </c>
      <c r="B7" s="13">
        <v>0.03</v>
      </c>
      <c r="C7" s="13">
        <f>C6+B7</f>
        <v>4.6800000000000006</v>
      </c>
      <c r="D7" s="65" t="s">
        <v>254</v>
      </c>
      <c r="E7" s="65" t="s">
        <v>49</v>
      </c>
      <c r="F7" s="56">
        <f t="shared" si="0"/>
        <v>8.9999999999999993E-3</v>
      </c>
      <c r="G7" s="74" t="e">
        <f>#REF!*F7</f>
        <v>#REF!</v>
      </c>
      <c r="I7" s="121" t="s">
        <v>21</v>
      </c>
      <c r="J7" s="13">
        <v>0.03</v>
      </c>
      <c r="K7" s="13">
        <f>K6+J7</f>
        <v>4.53</v>
      </c>
      <c r="L7" s="65" t="s">
        <v>254</v>
      </c>
      <c r="M7" s="56">
        <f t="shared" si="1"/>
        <v>0</v>
      </c>
      <c r="O7" s="121" t="s">
        <v>1</v>
      </c>
      <c r="P7" s="15">
        <v>2.4</v>
      </c>
      <c r="Q7" s="15">
        <f>Q6+P7</f>
        <v>3.9</v>
      </c>
      <c r="R7" s="65" t="s">
        <v>254</v>
      </c>
      <c r="S7" s="56">
        <f t="shared" ref="S7:S13" si="2">P7*$S$5</f>
        <v>48</v>
      </c>
    </row>
    <row r="8" spans="1:19" ht="43.5" customHeight="1" x14ac:dyDescent="0.3">
      <c r="A8" s="122" t="s">
        <v>3</v>
      </c>
      <c r="B8" s="55">
        <v>0.5</v>
      </c>
      <c r="C8" s="55">
        <f>C7+B8</f>
        <v>5.1800000000000006</v>
      </c>
      <c r="D8" s="81" t="s">
        <v>254</v>
      </c>
      <c r="E8" s="81" t="s">
        <v>49</v>
      </c>
      <c r="F8" s="56">
        <f t="shared" si="0"/>
        <v>0.15</v>
      </c>
      <c r="G8" s="74" t="e">
        <f>#REF!*F8</f>
        <v>#REF!</v>
      </c>
      <c r="I8" s="122" t="s">
        <v>3</v>
      </c>
      <c r="J8" s="55">
        <v>1.5</v>
      </c>
      <c r="K8" s="55">
        <f>K7+J8</f>
        <v>6.03</v>
      </c>
      <c r="L8" s="81" t="s">
        <v>254</v>
      </c>
      <c r="M8" s="56">
        <f t="shared" si="1"/>
        <v>0</v>
      </c>
      <c r="O8" s="122" t="s">
        <v>21</v>
      </c>
      <c r="P8" s="84">
        <v>1.7999999999999999E-2</v>
      </c>
      <c r="Q8" s="84">
        <f>Q7+P8</f>
        <v>3.9179999999999997</v>
      </c>
      <c r="R8" s="81" t="s">
        <v>254</v>
      </c>
      <c r="S8" s="56">
        <f t="shared" si="2"/>
        <v>0.36</v>
      </c>
    </row>
    <row r="9" spans="1:19" ht="43.5" customHeight="1" x14ac:dyDescent="0.3">
      <c r="A9" s="121" t="s">
        <v>2</v>
      </c>
      <c r="B9" s="13">
        <v>0.5</v>
      </c>
      <c r="C9" s="13">
        <f>C8+B9</f>
        <v>5.6800000000000006</v>
      </c>
      <c r="D9" s="65" t="s">
        <v>254</v>
      </c>
      <c r="E9" s="65" t="s">
        <v>49</v>
      </c>
      <c r="F9" s="56">
        <f t="shared" si="0"/>
        <v>0.15</v>
      </c>
      <c r="G9" s="74" t="e">
        <f>#REF!*F9</f>
        <v>#REF!</v>
      </c>
      <c r="I9" s="121" t="s">
        <v>2</v>
      </c>
      <c r="J9" s="13">
        <v>0.3</v>
      </c>
      <c r="K9" s="13">
        <f>K8+J9</f>
        <v>6.33</v>
      </c>
      <c r="L9" s="65" t="s">
        <v>254</v>
      </c>
      <c r="M9" s="56">
        <f t="shared" si="1"/>
        <v>0</v>
      </c>
      <c r="O9" s="121" t="s">
        <v>3</v>
      </c>
      <c r="P9" s="15">
        <v>1.5</v>
      </c>
      <c r="Q9" s="15">
        <f>Q8+P9</f>
        <v>5.4179999999999993</v>
      </c>
      <c r="R9" s="65" t="s">
        <v>254</v>
      </c>
      <c r="S9" s="56">
        <f t="shared" si="2"/>
        <v>30</v>
      </c>
    </row>
    <row r="10" spans="1:19" ht="43.5" customHeight="1" x14ac:dyDescent="0.3">
      <c r="A10" s="122" t="s">
        <v>17</v>
      </c>
      <c r="B10" s="55">
        <v>0.25</v>
      </c>
      <c r="C10" s="55">
        <f>C9+B10</f>
        <v>5.9300000000000006</v>
      </c>
      <c r="D10" s="81" t="s">
        <v>254</v>
      </c>
      <c r="E10" s="81" t="s">
        <v>49</v>
      </c>
      <c r="F10" s="56">
        <f t="shared" si="0"/>
        <v>7.4999999999999997E-2</v>
      </c>
      <c r="G10" s="74" t="e">
        <f>#REF!*F10</f>
        <v>#REF!</v>
      </c>
      <c r="I10" s="122" t="s">
        <v>17</v>
      </c>
      <c r="J10" s="55">
        <v>0.25</v>
      </c>
      <c r="K10" s="55">
        <f>K9+J10</f>
        <v>6.58</v>
      </c>
      <c r="L10" s="81" t="s">
        <v>254</v>
      </c>
      <c r="M10" s="56">
        <f t="shared" si="1"/>
        <v>0</v>
      </c>
      <c r="O10" s="122" t="s">
        <v>2</v>
      </c>
      <c r="P10" s="84">
        <v>0.45</v>
      </c>
      <c r="Q10" s="84">
        <f t="shared" ref="Q10:Q12" si="3">Q9+P10</f>
        <v>5.8679999999999994</v>
      </c>
      <c r="R10" s="81" t="s">
        <v>254</v>
      </c>
      <c r="S10" s="56">
        <f t="shared" si="2"/>
        <v>9</v>
      </c>
    </row>
    <row r="11" spans="1:19" ht="43.5" customHeight="1" thickBot="1" x14ac:dyDescent="0.35">
      <c r="A11" s="126" t="s">
        <v>5</v>
      </c>
      <c r="B11" s="75">
        <v>0.08</v>
      </c>
      <c r="C11" s="59">
        <f>C10+B11</f>
        <v>6.0100000000000007</v>
      </c>
      <c r="D11" s="71" t="s">
        <v>254</v>
      </c>
      <c r="E11" s="71" t="s">
        <v>49</v>
      </c>
      <c r="F11" s="58">
        <f t="shared" si="0"/>
        <v>2.4E-2</v>
      </c>
      <c r="G11" s="76" t="e">
        <f>#REF!*F11</f>
        <v>#REF!</v>
      </c>
      <c r="I11" s="121" t="s">
        <v>91</v>
      </c>
      <c r="J11" s="13">
        <v>0.3</v>
      </c>
      <c r="K11" s="13">
        <f t="shared" ref="K11" si="4">K10+J11</f>
        <v>6.88</v>
      </c>
      <c r="L11" s="65" t="s">
        <v>254</v>
      </c>
      <c r="M11" s="56">
        <f t="shared" si="1"/>
        <v>0</v>
      </c>
      <c r="O11" s="121" t="s">
        <v>17</v>
      </c>
      <c r="P11" s="15">
        <v>0.25</v>
      </c>
      <c r="Q11" s="15">
        <f>Q10+P11</f>
        <v>6.1179999999999994</v>
      </c>
      <c r="R11" s="65" t="s">
        <v>254</v>
      </c>
      <c r="S11" s="56">
        <f t="shared" si="2"/>
        <v>5</v>
      </c>
    </row>
    <row r="12" spans="1:19" ht="43.5" customHeight="1" thickBot="1" x14ac:dyDescent="0.35">
      <c r="A12" s="315" t="s">
        <v>28</v>
      </c>
      <c r="B12" s="316">
        <v>1</v>
      </c>
      <c r="C12" s="312">
        <f>B12</f>
        <v>1</v>
      </c>
      <c r="D12" s="317" t="s">
        <v>34</v>
      </c>
      <c r="E12" s="318" t="s">
        <v>49</v>
      </c>
      <c r="F12" s="87">
        <f t="shared" si="0"/>
        <v>0.3</v>
      </c>
      <c r="G12" s="88" t="e">
        <f>#REF!*F12</f>
        <v>#REF!</v>
      </c>
      <c r="I12" s="127" t="s">
        <v>5</v>
      </c>
      <c r="J12" s="115">
        <v>0.08</v>
      </c>
      <c r="K12" s="313">
        <f>K11+J12</f>
        <v>6.96</v>
      </c>
      <c r="L12" s="94" t="s">
        <v>254</v>
      </c>
      <c r="M12" s="58">
        <f t="shared" si="1"/>
        <v>0</v>
      </c>
      <c r="O12" s="127" t="s">
        <v>5</v>
      </c>
      <c r="P12" s="115">
        <v>0.08</v>
      </c>
      <c r="Q12" s="320">
        <f t="shared" si="3"/>
        <v>6.1979999999999995</v>
      </c>
      <c r="R12" s="94" t="s">
        <v>254</v>
      </c>
      <c r="S12" s="58">
        <f t="shared" si="2"/>
        <v>1.6</v>
      </c>
    </row>
    <row r="13" spans="1:19" ht="39" customHeight="1" thickBot="1" x14ac:dyDescent="0.35">
      <c r="E13" s="67"/>
      <c r="F13" s="83"/>
      <c r="G13" s="90" t="e">
        <f>SUM(G6:G12)</f>
        <v>#REF!</v>
      </c>
      <c r="I13" s="130" t="s">
        <v>28</v>
      </c>
      <c r="J13" s="110">
        <v>1</v>
      </c>
      <c r="K13" s="61">
        <f>J13</f>
        <v>1</v>
      </c>
      <c r="L13" s="112" t="s">
        <v>34</v>
      </c>
      <c r="M13" s="87">
        <f t="shared" si="1"/>
        <v>0</v>
      </c>
      <c r="O13" s="130" t="s">
        <v>25</v>
      </c>
      <c r="P13" s="110">
        <v>1</v>
      </c>
      <c r="Q13" s="61">
        <f>P13</f>
        <v>1</v>
      </c>
      <c r="R13" s="114" t="s">
        <v>34</v>
      </c>
      <c r="S13" s="87">
        <f t="shared" si="2"/>
        <v>20</v>
      </c>
    </row>
    <row r="14" spans="1:19" ht="21" x14ac:dyDescent="0.3">
      <c r="I14" s="83"/>
      <c r="J14" s="53"/>
      <c r="K14" s="53"/>
      <c r="L14" s="17"/>
      <c r="M14" s="83"/>
      <c r="R14" s="67"/>
      <c r="S14" s="83"/>
    </row>
    <row r="15" spans="1:19" ht="24.75" customHeight="1" x14ac:dyDescent="0.3">
      <c r="R15" s="63"/>
    </row>
    <row r="16" spans="1:19" ht="12" customHeight="1" thickBot="1" x14ac:dyDescent="0.35">
      <c r="R16" s="63"/>
    </row>
    <row r="17" spans="1:19" ht="39" customHeight="1" thickBot="1" x14ac:dyDescent="0.35">
      <c r="A17" s="1079" t="s">
        <v>380</v>
      </c>
      <c r="B17" s="1080"/>
      <c r="C17" s="1080"/>
      <c r="D17" s="1080"/>
      <c r="E17" s="439"/>
      <c r="F17" s="439"/>
      <c r="G17" s="439"/>
      <c r="I17" s="1079" t="s">
        <v>382</v>
      </c>
      <c r="J17" s="1080"/>
      <c r="K17" s="1080"/>
      <c r="L17" s="1080"/>
      <c r="M17" s="439"/>
      <c r="O17" s="1077" t="s">
        <v>391</v>
      </c>
      <c r="P17" s="1078"/>
      <c r="Q17" s="1078"/>
      <c r="R17" s="1078"/>
      <c r="S17" s="437"/>
    </row>
    <row r="18" spans="1:19" ht="32.25" customHeight="1" thickBot="1" x14ac:dyDescent="0.35">
      <c r="A18" s="10"/>
      <c r="B18" s="9"/>
      <c r="C18" s="9"/>
      <c r="I18" s="10"/>
      <c r="J18" s="9"/>
      <c r="K18" s="9"/>
      <c r="L18" s="63"/>
      <c r="O18" s="10"/>
      <c r="P18" s="9"/>
      <c r="Q18" s="9"/>
    </row>
    <row r="19" spans="1:19" ht="32.25" customHeight="1" thickBot="1" x14ac:dyDescent="0.35">
      <c r="A19" s="1013" t="s">
        <v>0</v>
      </c>
      <c r="B19" s="1072" t="s">
        <v>23</v>
      </c>
      <c r="C19" s="1072" t="s">
        <v>321</v>
      </c>
      <c r="D19" s="1087" t="s">
        <v>35</v>
      </c>
      <c r="E19" s="1083" t="s">
        <v>48</v>
      </c>
      <c r="F19" s="92" t="s">
        <v>47</v>
      </c>
      <c r="G19" s="1085" t="s">
        <v>51</v>
      </c>
      <c r="I19" s="1013" t="s">
        <v>0</v>
      </c>
      <c r="J19" s="1072" t="s">
        <v>23</v>
      </c>
      <c r="K19" s="1072" t="s">
        <v>321</v>
      </c>
      <c r="L19" s="1087" t="s">
        <v>35</v>
      </c>
      <c r="M19" s="92" t="s">
        <v>47</v>
      </c>
      <c r="O19" s="1024" t="s">
        <v>0</v>
      </c>
      <c r="P19" s="1025" t="s">
        <v>23</v>
      </c>
      <c r="Q19" s="1025" t="s">
        <v>321</v>
      </c>
      <c r="R19" s="1037" t="s">
        <v>35</v>
      </c>
      <c r="S19" s="398" t="s">
        <v>47</v>
      </c>
    </row>
    <row r="20" spans="1:19" ht="32.25" customHeight="1" thickBot="1" x14ac:dyDescent="0.35">
      <c r="A20" s="1075"/>
      <c r="B20" s="1076"/>
      <c r="C20" s="1073"/>
      <c r="D20" s="1088"/>
      <c r="E20" s="1084"/>
      <c r="F20" s="34">
        <f>'PLANNING DE FABRICATION'!E58</f>
        <v>0</v>
      </c>
      <c r="G20" s="1086"/>
      <c r="I20" s="1075"/>
      <c r="J20" s="1076"/>
      <c r="K20" s="1073"/>
      <c r="L20" s="1088"/>
      <c r="M20" s="34">
        <f>'PLANNING DE FABRICATION'!E57</f>
        <v>0</v>
      </c>
      <c r="O20" s="1024"/>
      <c r="P20" s="1025"/>
      <c r="Q20" s="1025"/>
      <c r="R20" s="1037"/>
      <c r="S20" s="353">
        <f>'PLANNING DE FABRICATION'!E44</f>
        <v>3</v>
      </c>
    </row>
    <row r="21" spans="1:19" ht="39" customHeight="1" x14ac:dyDescent="0.3">
      <c r="A21" s="124" t="s">
        <v>1</v>
      </c>
      <c r="B21" s="116">
        <v>4.5</v>
      </c>
      <c r="C21" s="116">
        <f>B21</f>
        <v>4.5</v>
      </c>
      <c r="D21" s="319" t="s">
        <v>254</v>
      </c>
      <c r="E21" s="319" t="s">
        <v>49</v>
      </c>
      <c r="F21" s="72">
        <f t="shared" ref="F21:F27" si="5">B21*$F$20</f>
        <v>0</v>
      </c>
      <c r="G21" s="117" t="e">
        <f>#REF!*F21</f>
        <v>#REF!</v>
      </c>
      <c r="I21" s="124" t="s">
        <v>1</v>
      </c>
      <c r="J21" s="116">
        <v>4.5</v>
      </c>
      <c r="K21" s="116">
        <f>J21</f>
        <v>4.5</v>
      </c>
      <c r="L21" s="319" t="s">
        <v>254</v>
      </c>
      <c r="M21" s="72">
        <f t="shared" ref="M21:M27" si="6">J21*$M$20</f>
        <v>0</v>
      </c>
      <c r="O21" s="381" t="s">
        <v>1</v>
      </c>
      <c r="P21" s="78">
        <v>3.9</v>
      </c>
      <c r="Q21" s="78">
        <f>P21</f>
        <v>3.9</v>
      </c>
      <c r="R21" s="395" t="s">
        <v>254</v>
      </c>
      <c r="S21" s="79">
        <f>P21*$S$20</f>
        <v>11.7</v>
      </c>
    </row>
    <row r="22" spans="1:19" ht="39" customHeight="1" x14ac:dyDescent="0.3">
      <c r="A22" s="121" t="s">
        <v>21</v>
      </c>
      <c r="B22" s="13">
        <v>0.03</v>
      </c>
      <c r="C22" s="13">
        <f>C21+B22</f>
        <v>4.53</v>
      </c>
      <c r="D22" s="65" t="s">
        <v>254</v>
      </c>
      <c r="E22" s="65" t="s">
        <v>49</v>
      </c>
      <c r="F22" s="56">
        <f t="shared" si="5"/>
        <v>0</v>
      </c>
      <c r="G22" s="74" t="e">
        <f>#REF!*F22</f>
        <v>#REF!</v>
      </c>
      <c r="I22" s="121" t="s">
        <v>21</v>
      </c>
      <c r="J22" s="13">
        <v>0.03</v>
      </c>
      <c r="K22" s="13">
        <f>K21+J22</f>
        <v>4.53</v>
      </c>
      <c r="L22" s="65" t="s">
        <v>254</v>
      </c>
      <c r="M22" s="56">
        <f t="shared" si="6"/>
        <v>0</v>
      </c>
      <c r="O22" s="380" t="s">
        <v>21</v>
      </c>
      <c r="P22" s="80">
        <v>0.03</v>
      </c>
      <c r="Q22" s="80">
        <f>Q21+P22</f>
        <v>3.9299999999999997</v>
      </c>
      <c r="R22" s="14" t="s">
        <v>254</v>
      </c>
      <c r="S22" s="79">
        <f t="shared" ref="S22:S27" si="7">P22*$S$20</f>
        <v>0.09</v>
      </c>
    </row>
    <row r="23" spans="1:19" ht="39" customHeight="1" x14ac:dyDescent="0.3">
      <c r="A23" s="122" t="s">
        <v>3</v>
      </c>
      <c r="B23" s="55">
        <v>3</v>
      </c>
      <c r="C23" s="55">
        <f>C22+B23</f>
        <v>7.53</v>
      </c>
      <c r="D23" s="81" t="s">
        <v>254</v>
      </c>
      <c r="E23" s="81" t="s">
        <v>49</v>
      </c>
      <c r="F23" s="56">
        <f t="shared" si="5"/>
        <v>0</v>
      </c>
      <c r="G23" s="74" t="e">
        <f>#REF!*F23</f>
        <v>#REF!</v>
      </c>
      <c r="I23" s="122" t="s">
        <v>3</v>
      </c>
      <c r="J23" s="55">
        <v>3</v>
      </c>
      <c r="K23" s="55">
        <f>K22+J23</f>
        <v>7.53</v>
      </c>
      <c r="L23" s="81" t="s">
        <v>254</v>
      </c>
      <c r="M23" s="56">
        <f t="shared" si="6"/>
        <v>0</v>
      </c>
      <c r="O23" s="381" t="s">
        <v>3</v>
      </c>
      <c r="P23" s="78">
        <v>1.5</v>
      </c>
      <c r="Q23" s="78">
        <f>Q22+P23</f>
        <v>5.43</v>
      </c>
      <c r="R23" s="395" t="s">
        <v>254</v>
      </c>
      <c r="S23" s="79">
        <f t="shared" si="7"/>
        <v>4.5</v>
      </c>
    </row>
    <row r="24" spans="1:19" ht="39" customHeight="1" x14ac:dyDescent="0.3">
      <c r="A24" s="121" t="s">
        <v>2</v>
      </c>
      <c r="B24" s="13">
        <v>0.45</v>
      </c>
      <c r="C24" s="13">
        <f>C23+B24</f>
        <v>7.98</v>
      </c>
      <c r="D24" s="65" t="s">
        <v>254</v>
      </c>
      <c r="E24" s="65" t="s">
        <v>49</v>
      </c>
      <c r="F24" s="56">
        <f t="shared" si="5"/>
        <v>0</v>
      </c>
      <c r="G24" s="74" t="e">
        <f>#REF!*F24</f>
        <v>#REF!</v>
      </c>
      <c r="I24" s="121" t="s">
        <v>2</v>
      </c>
      <c r="J24" s="13">
        <v>0.45</v>
      </c>
      <c r="K24" s="13">
        <f t="shared" ref="K24" si="8">K23+J24</f>
        <v>7.98</v>
      </c>
      <c r="L24" s="65" t="s">
        <v>254</v>
      </c>
      <c r="M24" s="56">
        <f t="shared" si="6"/>
        <v>0</v>
      </c>
      <c r="O24" s="380" t="s">
        <v>390</v>
      </c>
      <c r="P24" s="80">
        <v>0.45</v>
      </c>
      <c r="Q24" s="80">
        <f>Q23+P24</f>
        <v>5.88</v>
      </c>
      <c r="R24" s="14" t="s">
        <v>254</v>
      </c>
      <c r="S24" s="79">
        <f t="shared" si="7"/>
        <v>1.35</v>
      </c>
    </row>
    <row r="25" spans="1:19" ht="39" customHeight="1" x14ac:dyDescent="0.3">
      <c r="A25" s="122" t="s">
        <v>17</v>
      </c>
      <c r="B25" s="55">
        <v>0.25</v>
      </c>
      <c r="C25" s="55">
        <f>C24+B25</f>
        <v>8.23</v>
      </c>
      <c r="D25" s="81" t="s">
        <v>254</v>
      </c>
      <c r="E25" s="81" t="s">
        <v>49</v>
      </c>
      <c r="F25" s="56">
        <f t="shared" si="5"/>
        <v>0</v>
      </c>
      <c r="G25" s="74" t="e">
        <f>#REF!*F25</f>
        <v>#REF!</v>
      </c>
      <c r="I25" s="122" t="s">
        <v>17</v>
      </c>
      <c r="J25" s="55">
        <v>0.25</v>
      </c>
      <c r="K25" s="55">
        <f>K24+J25</f>
        <v>8.23</v>
      </c>
      <c r="L25" s="81" t="s">
        <v>254</v>
      </c>
      <c r="M25" s="56">
        <f t="shared" si="6"/>
        <v>0</v>
      </c>
      <c r="O25" s="381" t="s">
        <v>17</v>
      </c>
      <c r="P25" s="78">
        <v>0.2</v>
      </c>
      <c r="Q25" s="78">
        <f>Q24+P25</f>
        <v>6.08</v>
      </c>
      <c r="R25" s="395" t="s">
        <v>254</v>
      </c>
      <c r="S25" s="79">
        <f>P25*$S$20</f>
        <v>0.60000000000000009</v>
      </c>
    </row>
    <row r="26" spans="1:19" ht="39" customHeight="1" thickBot="1" x14ac:dyDescent="0.35">
      <c r="A26" s="126" t="s">
        <v>5</v>
      </c>
      <c r="B26" s="75">
        <v>0.08</v>
      </c>
      <c r="C26" s="59">
        <f>C25+B26</f>
        <v>8.31</v>
      </c>
      <c r="D26" s="71" t="s">
        <v>254</v>
      </c>
      <c r="E26" s="71" t="s">
        <v>49</v>
      </c>
      <c r="F26" s="58">
        <f t="shared" si="5"/>
        <v>0</v>
      </c>
      <c r="G26" s="76" t="e">
        <f>#REF!*F26</f>
        <v>#REF!</v>
      </c>
      <c r="I26" s="126" t="s">
        <v>5</v>
      </c>
      <c r="J26" s="75">
        <v>0.08</v>
      </c>
      <c r="K26" s="59">
        <f>K25+J26</f>
        <v>8.31</v>
      </c>
      <c r="L26" s="71" t="s">
        <v>254</v>
      </c>
      <c r="M26" s="58">
        <f t="shared" si="6"/>
        <v>0</v>
      </c>
      <c r="O26" s="383" t="s">
        <v>5</v>
      </c>
      <c r="P26" s="364">
        <v>0.08</v>
      </c>
      <c r="Q26" s="364">
        <f>Q25+P26</f>
        <v>6.16</v>
      </c>
      <c r="R26" s="384" t="s">
        <v>254</v>
      </c>
      <c r="S26" s="79">
        <f t="shared" si="7"/>
        <v>0.24</v>
      </c>
    </row>
    <row r="27" spans="1:19" ht="39" customHeight="1" thickBot="1" x14ac:dyDescent="0.35">
      <c r="A27" s="315" t="s">
        <v>28</v>
      </c>
      <c r="B27" s="316">
        <v>1</v>
      </c>
      <c r="C27" s="312">
        <f>B27</f>
        <v>1</v>
      </c>
      <c r="D27" s="317" t="s">
        <v>34</v>
      </c>
      <c r="E27" s="318" t="s">
        <v>49</v>
      </c>
      <c r="F27" s="87">
        <f t="shared" si="5"/>
        <v>0</v>
      </c>
      <c r="G27" s="88" t="e">
        <f>#REF!*F27</f>
        <v>#REF!</v>
      </c>
      <c r="I27" s="315" t="s">
        <v>28</v>
      </c>
      <c r="J27" s="316">
        <v>1</v>
      </c>
      <c r="K27" s="312">
        <f>J27</f>
        <v>1</v>
      </c>
      <c r="L27" s="317" t="s">
        <v>34</v>
      </c>
      <c r="M27" s="87">
        <f t="shared" si="6"/>
        <v>0</v>
      </c>
      <c r="O27" s="421" t="s">
        <v>25</v>
      </c>
      <c r="P27" s="422">
        <v>1</v>
      </c>
      <c r="Q27" s="422">
        <f>P27</f>
        <v>1</v>
      </c>
      <c r="R27" s="438" t="s">
        <v>34</v>
      </c>
      <c r="S27" s="79">
        <f t="shared" si="7"/>
        <v>3</v>
      </c>
    </row>
    <row r="28" spans="1:19" ht="33.75" customHeight="1" x14ac:dyDescent="0.3">
      <c r="E28" s="67"/>
      <c r="F28" s="83"/>
      <c r="G28" s="90" t="e">
        <f>SUM(G21:G27)</f>
        <v>#REF!</v>
      </c>
      <c r="L28" s="63"/>
      <c r="M28" s="83"/>
    </row>
    <row r="29" spans="1:19" ht="14.25" customHeight="1" thickBot="1" x14ac:dyDescent="0.35">
      <c r="R29" s="67"/>
      <c r="S29" s="83"/>
    </row>
    <row r="30" spans="1:19" ht="45.75" customHeight="1" thickBot="1" x14ac:dyDescent="0.35">
      <c r="O30" s="1077" t="s">
        <v>378</v>
      </c>
      <c r="P30" s="1078"/>
      <c r="Q30" s="1078"/>
      <c r="R30" s="1078"/>
      <c r="S30" s="437"/>
    </row>
    <row r="31" spans="1:19" ht="34.5" customHeight="1" thickBot="1" x14ac:dyDescent="0.35">
      <c r="O31" s="10"/>
      <c r="P31" s="9"/>
      <c r="Q31" s="9"/>
    </row>
    <row r="32" spans="1:19" ht="34.5" customHeight="1" thickBot="1" x14ac:dyDescent="0.35">
      <c r="O32" s="1024" t="s">
        <v>0</v>
      </c>
      <c r="P32" s="1025" t="s">
        <v>23</v>
      </c>
      <c r="Q32" s="1025" t="s">
        <v>321</v>
      </c>
      <c r="R32" s="1037" t="s">
        <v>35</v>
      </c>
      <c r="S32" s="398" t="s">
        <v>47</v>
      </c>
    </row>
    <row r="33" spans="15:19" ht="34.5" customHeight="1" x14ac:dyDescent="0.3">
      <c r="O33" s="1024"/>
      <c r="P33" s="1025"/>
      <c r="Q33" s="1025"/>
      <c r="R33" s="1037"/>
      <c r="S33" s="353">
        <f>'PLANNING DE FABRICATION'!E45</f>
        <v>2</v>
      </c>
    </row>
    <row r="34" spans="15:19" ht="34.5" customHeight="1" x14ac:dyDescent="0.3">
      <c r="O34" s="381" t="s">
        <v>1</v>
      </c>
      <c r="P34" s="78">
        <v>3.9</v>
      </c>
      <c r="Q34" s="78">
        <f>P34</f>
        <v>3.9</v>
      </c>
      <c r="R34" s="395" t="s">
        <v>254</v>
      </c>
      <c r="S34" s="79">
        <f>P34*$S$33</f>
        <v>7.8</v>
      </c>
    </row>
    <row r="35" spans="15:19" ht="34.5" customHeight="1" x14ac:dyDescent="0.3">
      <c r="O35" s="380" t="s">
        <v>21</v>
      </c>
      <c r="P35" s="80">
        <v>0.03</v>
      </c>
      <c r="Q35" s="80">
        <f>Q34+P35</f>
        <v>3.9299999999999997</v>
      </c>
      <c r="R35" s="14" t="s">
        <v>254</v>
      </c>
      <c r="S35" s="79">
        <f t="shared" ref="S35:S40" si="9">P35*$S$33</f>
        <v>0.06</v>
      </c>
    </row>
    <row r="36" spans="15:19" ht="34.5" customHeight="1" x14ac:dyDescent="0.3">
      <c r="O36" s="381" t="s">
        <v>3</v>
      </c>
      <c r="P36" s="78">
        <v>1.5</v>
      </c>
      <c r="Q36" s="78">
        <f>Q35+P36</f>
        <v>5.43</v>
      </c>
      <c r="R36" s="395" t="s">
        <v>254</v>
      </c>
      <c r="S36" s="79">
        <f t="shared" si="9"/>
        <v>3</v>
      </c>
    </row>
    <row r="37" spans="15:19" ht="34.5" customHeight="1" x14ac:dyDescent="0.3">
      <c r="O37" s="380" t="s">
        <v>2</v>
      </c>
      <c r="P37" s="80">
        <v>0.45</v>
      </c>
      <c r="Q37" s="80">
        <f>Q36+P37</f>
        <v>5.88</v>
      </c>
      <c r="R37" s="14" t="s">
        <v>254</v>
      </c>
      <c r="S37" s="79">
        <f>P37*$S$33</f>
        <v>0.9</v>
      </c>
    </row>
    <row r="38" spans="15:19" ht="21" x14ac:dyDescent="0.3">
      <c r="O38" s="381" t="s">
        <v>17</v>
      </c>
      <c r="P38" s="78">
        <v>0.25</v>
      </c>
      <c r="Q38" s="78">
        <f>Q37+P38</f>
        <v>6.13</v>
      </c>
      <c r="R38" s="395" t="s">
        <v>254</v>
      </c>
      <c r="S38" s="79">
        <f t="shared" si="9"/>
        <v>0.5</v>
      </c>
    </row>
    <row r="39" spans="15:19" ht="21.6" thickBot="1" x14ac:dyDescent="0.35">
      <c r="O39" s="383" t="s">
        <v>5</v>
      </c>
      <c r="P39" s="364">
        <v>0.08</v>
      </c>
      <c r="Q39" s="364">
        <f>Q38+P39</f>
        <v>6.21</v>
      </c>
      <c r="R39" s="384" t="s">
        <v>254</v>
      </c>
      <c r="S39" s="79">
        <f t="shared" si="9"/>
        <v>0.16</v>
      </c>
    </row>
    <row r="40" spans="15:19" ht="21" x14ac:dyDescent="0.3">
      <c r="O40" s="421" t="s">
        <v>25</v>
      </c>
      <c r="P40" s="422">
        <v>1</v>
      </c>
      <c r="Q40" s="422">
        <f>P40</f>
        <v>1</v>
      </c>
      <c r="R40" s="438" t="s">
        <v>34</v>
      </c>
      <c r="S40" s="79">
        <f t="shared" si="9"/>
        <v>2</v>
      </c>
    </row>
  </sheetData>
  <sheetProtection algorithmName="SHA-512" hashValue="PQM5jn/4iWjIjTL2dE0B8+r73KplYE2HpJ7jfZJtKwLafp8RzRYmYk8EUo0gFm1kYslIPg6NCLA40mLMgO8+pg==" saltValue="YiLgGRyCroOQ8bHq9cdazg==" spinCount="100000" sheet="1" objects="1" scenarios="1"/>
  <mergeCells count="39">
    <mergeCell ref="O30:R30"/>
    <mergeCell ref="O32:O33"/>
    <mergeCell ref="P32:P33"/>
    <mergeCell ref="Q32:Q33"/>
    <mergeCell ref="R32:R33"/>
    <mergeCell ref="A2:D2"/>
    <mergeCell ref="E19:E20"/>
    <mergeCell ref="G19:G20"/>
    <mergeCell ref="L19:L20"/>
    <mergeCell ref="C19:C20"/>
    <mergeCell ref="A19:A20"/>
    <mergeCell ref="B19:B20"/>
    <mergeCell ref="D19:D20"/>
    <mergeCell ref="P4:P5"/>
    <mergeCell ref="R4:R5"/>
    <mergeCell ref="C4:C5"/>
    <mergeCell ref="D4:D5"/>
    <mergeCell ref="A17:D17"/>
    <mergeCell ref="A4:A5"/>
    <mergeCell ref="B4:B5"/>
    <mergeCell ref="E4:E5"/>
    <mergeCell ref="G4:G5"/>
    <mergeCell ref="I4:I5"/>
    <mergeCell ref="O2:R2"/>
    <mergeCell ref="I2:L2"/>
    <mergeCell ref="K19:K20"/>
    <mergeCell ref="K4:K5"/>
    <mergeCell ref="Q19:Q20"/>
    <mergeCell ref="Q4:Q5"/>
    <mergeCell ref="O19:O20"/>
    <mergeCell ref="P19:P20"/>
    <mergeCell ref="R19:R20"/>
    <mergeCell ref="I19:I20"/>
    <mergeCell ref="J19:J20"/>
    <mergeCell ref="O17:R17"/>
    <mergeCell ref="I17:L17"/>
    <mergeCell ref="J4:J5"/>
    <mergeCell ref="L4:L5"/>
    <mergeCell ref="O4:O5"/>
  </mergeCells>
  <printOptions horizontalCentered="1" verticalCentered="1"/>
  <pageMargins left="0.23622047244094491" right="0.23622047244094491" top="0.74803149606299213" bottom="0.74803149606299213" header="0.31496062992125984" footer="0.31496062992125984"/>
  <pageSetup paperSize="9" scale="32"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3E7F4-FB13-4915-B2D1-395349F83678}">
  <sheetPr codeName="Sheet14">
    <tabColor rgb="FF00B050"/>
    <pageSetUpPr fitToPage="1"/>
  </sheetPr>
  <dimension ref="B2:F21"/>
  <sheetViews>
    <sheetView zoomScale="85" zoomScaleNormal="85" workbookViewId="0">
      <selection activeCell="B14" sqref="B14"/>
    </sheetView>
  </sheetViews>
  <sheetFormatPr defaultColWidth="11.5546875" defaultRowHeight="14.4" x14ac:dyDescent="0.3"/>
  <cols>
    <col min="2" max="2" width="34.33203125" customWidth="1"/>
    <col min="3" max="3" width="12.88671875" customWidth="1"/>
    <col min="4" max="4" width="10.6640625" customWidth="1"/>
    <col min="5" max="5" width="6.5546875" style="63" customWidth="1"/>
    <col min="6" max="6" width="14.44140625" customWidth="1"/>
  </cols>
  <sheetData>
    <row r="2" spans="2:6" ht="51" customHeight="1" x14ac:dyDescent="0.3">
      <c r="B2" s="1095" t="s">
        <v>31</v>
      </c>
      <c r="C2" s="1096"/>
      <c r="D2" s="1096"/>
      <c r="E2" s="1096"/>
      <c r="F2" s="443"/>
    </row>
    <row r="3" spans="2:6" ht="15" thickBot="1" x14ac:dyDescent="0.35"/>
    <row r="4" spans="2:6" ht="30" customHeight="1" thickBot="1" x14ac:dyDescent="0.35">
      <c r="B4" s="1093" t="s">
        <v>0</v>
      </c>
      <c r="C4" s="1091" t="s">
        <v>23</v>
      </c>
      <c r="D4" s="1072" t="s">
        <v>321</v>
      </c>
      <c r="E4" s="1089" t="s">
        <v>35</v>
      </c>
      <c r="F4" s="92" t="s">
        <v>47</v>
      </c>
    </row>
    <row r="5" spans="2:6" ht="33" customHeight="1" thickBot="1" x14ac:dyDescent="0.35">
      <c r="B5" s="1094"/>
      <c r="C5" s="1092"/>
      <c r="D5" s="1074"/>
      <c r="E5" s="1090"/>
      <c r="F5" s="34">
        <f>'PLANNING DE FABRICATION'!E16</f>
        <v>2</v>
      </c>
    </row>
    <row r="6" spans="2:6" ht="33" customHeight="1" x14ac:dyDescent="0.3">
      <c r="B6" s="120" t="s">
        <v>1</v>
      </c>
      <c r="C6" s="111">
        <v>2.4</v>
      </c>
      <c r="D6" s="111">
        <f>C6</f>
        <v>2.4</v>
      </c>
      <c r="E6" s="314" t="s">
        <v>254</v>
      </c>
      <c r="F6" s="72">
        <f t="shared" ref="F6:F13" si="0">C6*$F$5</f>
        <v>4.8</v>
      </c>
    </row>
    <row r="7" spans="2:6" ht="33" customHeight="1" x14ac:dyDescent="0.3">
      <c r="B7" s="121" t="s">
        <v>20</v>
      </c>
      <c r="C7" s="13">
        <v>1.5</v>
      </c>
      <c r="D7" s="13">
        <f>D6+C7</f>
        <v>3.9</v>
      </c>
      <c r="E7" s="65" t="s">
        <v>254</v>
      </c>
      <c r="F7" s="56">
        <f t="shared" si="0"/>
        <v>3</v>
      </c>
    </row>
    <row r="8" spans="2:6" ht="33" customHeight="1" x14ac:dyDescent="0.3">
      <c r="B8" s="122" t="s">
        <v>3</v>
      </c>
      <c r="C8" s="55">
        <v>1.5</v>
      </c>
      <c r="D8" s="55">
        <f>D7+C8</f>
        <v>5.4</v>
      </c>
      <c r="E8" s="81" t="s">
        <v>254</v>
      </c>
      <c r="F8" s="56">
        <f t="shared" si="0"/>
        <v>3</v>
      </c>
    </row>
    <row r="9" spans="2:6" ht="33" customHeight="1" x14ac:dyDescent="0.3">
      <c r="B9" s="121" t="s">
        <v>2</v>
      </c>
      <c r="C9" s="13">
        <v>0.45</v>
      </c>
      <c r="D9" s="13">
        <f>D8+C9</f>
        <v>5.8500000000000005</v>
      </c>
      <c r="E9" s="65" t="s">
        <v>254</v>
      </c>
      <c r="F9" s="56">
        <f t="shared" si="0"/>
        <v>0.9</v>
      </c>
    </row>
    <row r="10" spans="2:6" ht="33" customHeight="1" x14ac:dyDescent="0.3">
      <c r="B10" s="122" t="s">
        <v>17</v>
      </c>
      <c r="C10" s="55">
        <v>0.2</v>
      </c>
      <c r="D10" s="55">
        <f>D9+C10</f>
        <v>6.0500000000000007</v>
      </c>
      <c r="E10" s="81" t="s">
        <v>254</v>
      </c>
      <c r="F10" s="56">
        <f t="shared" si="0"/>
        <v>0.4</v>
      </c>
    </row>
    <row r="11" spans="2:6" ht="33" customHeight="1" thickBot="1" x14ac:dyDescent="0.35">
      <c r="B11" s="128" t="s">
        <v>5</v>
      </c>
      <c r="C11" s="59">
        <v>0.08</v>
      </c>
      <c r="D11" s="13">
        <f>D10+C11</f>
        <v>6.1300000000000008</v>
      </c>
      <c r="E11" s="66" t="s">
        <v>254</v>
      </c>
      <c r="F11" s="56">
        <f t="shared" si="0"/>
        <v>0.16</v>
      </c>
    </row>
    <row r="12" spans="2:6" ht="33.75" customHeight="1" thickBot="1" x14ac:dyDescent="0.35">
      <c r="B12" s="444" t="s">
        <v>32</v>
      </c>
      <c r="C12" s="312">
        <v>1</v>
      </c>
      <c r="D12" s="312">
        <f>C12</f>
        <v>1</v>
      </c>
      <c r="E12" s="306" t="s">
        <v>38</v>
      </c>
      <c r="F12" s="62">
        <f t="shared" si="0"/>
        <v>2</v>
      </c>
    </row>
    <row r="13" spans="2:6" ht="26.25" customHeight="1" thickBot="1" x14ac:dyDescent="0.35">
      <c r="B13" s="130" t="s">
        <v>25</v>
      </c>
      <c r="C13" s="110">
        <v>1</v>
      </c>
      <c r="D13" s="110">
        <f>C13</f>
        <v>1</v>
      </c>
      <c r="E13" s="114" t="s">
        <v>34</v>
      </c>
      <c r="F13" s="87">
        <f t="shared" si="0"/>
        <v>2</v>
      </c>
    </row>
    <row r="14" spans="2:6" ht="36.75" customHeight="1" x14ac:dyDescent="0.3">
      <c r="F14" s="83"/>
    </row>
    <row r="15" spans="2:6" ht="18.75" customHeight="1" x14ac:dyDescent="0.3"/>
    <row r="16" spans="2:6" ht="36.75" customHeight="1" x14ac:dyDescent="0.3"/>
    <row r="17" ht="36.75" customHeight="1" x14ac:dyDescent="0.3"/>
    <row r="18" ht="36.75" customHeight="1" x14ac:dyDescent="0.3"/>
    <row r="19" ht="36.75" customHeight="1" x14ac:dyDescent="0.3"/>
    <row r="20" ht="36.75" customHeight="1" x14ac:dyDescent="0.3"/>
    <row r="21" ht="36.75" customHeight="1" x14ac:dyDescent="0.3"/>
  </sheetData>
  <sheetProtection algorithmName="SHA-512" hashValue="XZqkFZumlFwBr2Wk/Ie9Rqqf57DSWbZRH7oMlyw95dLpwvE1iMsIjEJZmJlmTnGNmlEtAAQaC1zV5R4474HS6w==" saltValue="hAyzxu6oHCZ/CDnzavMNaA==" spinCount="100000" sheet="1" objects="1" scenarios="1"/>
  <mergeCells count="5">
    <mergeCell ref="E4:E5"/>
    <mergeCell ref="C4:C5"/>
    <mergeCell ref="B4:B5"/>
    <mergeCell ref="D4:D5"/>
    <mergeCell ref="B2:E2"/>
  </mergeCells>
  <printOptions horizontalCentered="1" verticalCentered="1"/>
  <pageMargins left="0.23622047244094491" right="0.23622047244094491" top="0.74803149606299213" bottom="0.74803149606299213" header="0.31496062992125984" footer="0.31496062992125984"/>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E9B5F-23FF-46C0-AADA-3588A3334342}">
  <sheetPr codeName="Sheet15"/>
  <dimension ref="A1:FN171"/>
  <sheetViews>
    <sheetView topLeftCell="J125" zoomScale="70" zoomScaleNormal="70" workbookViewId="0">
      <selection activeCell="R145" sqref="R145"/>
    </sheetView>
  </sheetViews>
  <sheetFormatPr defaultColWidth="40.88671875" defaultRowHeight="22.8" x14ac:dyDescent="0.7"/>
  <cols>
    <col min="1" max="1" width="0" style="2" hidden="1" customWidth="1"/>
    <col min="2" max="2" width="19.33203125" style="3" hidden="1" customWidth="1"/>
    <col min="3" max="3" width="4.88671875" style="17" hidden="1" customWidth="1"/>
    <col min="4" max="4" width="12.44140625" style="33" hidden="1" customWidth="1"/>
    <col min="5" max="5" width="5" style="1" hidden="1" customWidth="1"/>
    <col min="6" max="6" width="29.44140625" style="1" hidden="1" customWidth="1"/>
    <col min="7" max="7" width="25.5546875" style="1" hidden="1" customWidth="1"/>
    <col min="8" max="8" width="6.109375" style="23" hidden="1" customWidth="1"/>
    <col min="9" max="9" width="12.33203125" style="1" hidden="1" customWidth="1"/>
    <col min="10" max="10" width="40.109375" style="1" bestFit="1" customWidth="1"/>
    <col min="11" max="11" width="15" style="1" bestFit="1" customWidth="1"/>
    <col min="12" max="12" width="13.88671875" style="498" bestFit="1" customWidth="1"/>
    <col min="13" max="13" width="6.88671875" style="23" bestFit="1" customWidth="1"/>
    <col min="14" max="15" width="10" style="1" customWidth="1"/>
    <col min="16" max="16" width="40.109375" style="1" bestFit="1" customWidth="1"/>
    <col min="17" max="17" width="15" style="1" customWidth="1"/>
    <col min="18" max="18" width="13.88671875" style="1" customWidth="1"/>
    <col min="19" max="19" width="6.88671875" style="1" customWidth="1"/>
    <col min="20" max="20" width="10" style="1" customWidth="1"/>
    <col min="21" max="21" width="13.109375" style="1" customWidth="1"/>
    <col min="22" max="22" width="40.33203125" style="1" customWidth="1"/>
    <col min="23" max="23" width="15" style="1" customWidth="1"/>
    <col min="24" max="24" width="14" style="1" customWidth="1"/>
    <col min="25" max="25" width="7" style="1" customWidth="1"/>
    <col min="26" max="26" width="9.88671875" style="1" customWidth="1"/>
    <col min="27" max="27" width="13.109375" style="1" customWidth="1"/>
    <col min="28" max="28" width="40.33203125" style="1" customWidth="1"/>
    <col min="29" max="29" width="15" style="1" customWidth="1"/>
    <col min="30" max="30" width="14.109375" style="1" customWidth="1"/>
    <col min="31" max="31" width="7" style="1" customWidth="1"/>
    <col min="32" max="32" width="9.6640625" style="1" customWidth="1"/>
    <col min="33" max="33" width="13.109375" style="1" customWidth="1"/>
    <col min="34" max="34" width="40.33203125" style="1" customWidth="1"/>
    <col min="35" max="35" width="15" style="1" customWidth="1"/>
    <col min="36" max="36" width="14.109375" style="1" customWidth="1"/>
    <col min="37" max="37" width="7" style="1" customWidth="1"/>
    <col min="38" max="38" width="9.6640625" style="1" customWidth="1"/>
    <col min="39" max="39" width="13.109375" style="1" customWidth="1"/>
    <col min="40" max="40" width="40.33203125" style="1" customWidth="1"/>
    <col min="41" max="41" width="15" style="1" customWidth="1"/>
    <col min="42" max="42" width="14.109375" style="1" customWidth="1"/>
    <col min="43" max="43" width="7" style="1" customWidth="1"/>
    <col min="44" max="44" width="9.6640625" style="1" customWidth="1"/>
    <col min="45" max="45" width="13.109375" style="1" customWidth="1"/>
    <col min="46" max="46" width="40.33203125" style="1" customWidth="1"/>
    <col min="47" max="47" width="15" style="1" customWidth="1"/>
    <col min="48" max="48" width="14.109375" style="1" customWidth="1"/>
    <col min="49" max="49" width="7" style="1" customWidth="1"/>
    <col min="50" max="50" width="9.6640625" style="1" customWidth="1"/>
    <col min="51" max="51" width="13.109375" style="1" customWidth="1"/>
    <col min="52" max="52" width="40.33203125" style="1" customWidth="1"/>
    <col min="53" max="53" width="15" style="1" customWidth="1"/>
    <col min="54" max="54" width="14.109375" style="1" customWidth="1"/>
    <col min="55" max="55" width="7" style="1" customWidth="1"/>
    <col min="56" max="56" width="9.6640625" style="1" customWidth="1"/>
    <col min="57" max="57" width="13.109375" style="1" customWidth="1"/>
    <col min="58" max="58" width="40.33203125" style="1" customWidth="1"/>
    <col min="59" max="59" width="15" style="1" customWidth="1"/>
    <col min="60" max="60" width="14.109375" style="1" customWidth="1"/>
    <col min="61" max="61" width="7" style="1" customWidth="1"/>
    <col min="62" max="62" width="9.6640625" style="1" customWidth="1"/>
    <col min="63" max="63" width="13.109375" style="1" customWidth="1"/>
    <col min="64" max="64" width="40.33203125" style="1" customWidth="1"/>
    <col min="65" max="65" width="15" style="1" customWidth="1"/>
    <col min="66" max="66" width="14.109375" style="1" customWidth="1"/>
    <col min="67" max="67" width="7" style="1" customWidth="1"/>
    <col min="68" max="68" width="9.6640625" style="1" customWidth="1"/>
    <col min="69" max="69" width="13.109375" style="1" customWidth="1"/>
    <col min="70" max="70" width="40.33203125" style="1" customWidth="1"/>
    <col min="71" max="71" width="15" style="1" customWidth="1"/>
    <col min="72" max="72" width="14.109375" style="1" customWidth="1"/>
    <col min="73" max="73" width="7" style="1" customWidth="1"/>
    <col min="74" max="74" width="9.6640625" style="1" customWidth="1"/>
    <col min="75" max="75" width="13.109375" style="1" customWidth="1"/>
    <col min="76" max="76" width="40.33203125" style="1" customWidth="1"/>
    <col min="77" max="77" width="15" style="1" customWidth="1"/>
    <col min="78" max="78" width="14.109375" style="1" customWidth="1"/>
    <col min="79" max="79" width="7" style="1" customWidth="1"/>
    <col min="80" max="80" width="9.6640625" style="1" customWidth="1"/>
    <col min="81" max="81" width="13.109375" style="1" customWidth="1"/>
    <col min="82" max="82" width="40.33203125" style="1" customWidth="1"/>
    <col min="83" max="83" width="15" style="1" customWidth="1"/>
    <col min="84" max="84" width="14.109375" style="1" customWidth="1"/>
    <col min="85" max="85" width="7" style="1" customWidth="1"/>
    <col min="86" max="86" width="9.6640625" style="1" customWidth="1"/>
    <col min="87" max="87" width="13.109375" style="1" customWidth="1"/>
    <col min="88" max="88" width="40.33203125" style="1" customWidth="1"/>
    <col min="89" max="89" width="15" style="1" customWidth="1"/>
    <col min="90" max="90" width="14.109375" style="1" customWidth="1"/>
    <col min="91" max="91" width="7" style="1" customWidth="1"/>
    <col min="92" max="92" width="9.6640625" style="1" customWidth="1"/>
    <col min="93" max="93" width="13.109375" style="1" customWidth="1"/>
    <col min="94" max="94" width="40.33203125" style="1" customWidth="1"/>
    <col min="95" max="95" width="15" style="1" customWidth="1"/>
    <col min="96" max="96" width="14.109375" style="1" customWidth="1"/>
    <col min="97" max="97" width="7" style="1" customWidth="1"/>
    <col min="98" max="98" width="9.6640625" style="1" customWidth="1"/>
    <col min="99" max="99" width="13.109375" style="1" customWidth="1"/>
    <col min="100" max="100" width="40.33203125" style="1" customWidth="1"/>
    <col min="101" max="101" width="15" style="1" customWidth="1"/>
    <col min="102" max="102" width="14.109375" style="1" customWidth="1"/>
    <col min="103" max="103" width="7" style="1" customWidth="1"/>
    <col min="104" max="104" width="9.6640625" style="1" customWidth="1"/>
    <col min="105" max="105" width="13.109375" style="1" customWidth="1"/>
    <col min="106" max="106" width="40.33203125" style="1" customWidth="1"/>
    <col min="107" max="107" width="15" style="1" customWidth="1"/>
    <col min="108" max="108" width="14.109375" style="1" customWidth="1"/>
    <col min="109" max="109" width="7" style="1" customWidth="1"/>
    <col min="110" max="110" width="9.6640625" style="1" customWidth="1"/>
    <col min="111" max="111" width="13.109375" style="1" customWidth="1"/>
    <col min="112" max="112" width="40.33203125" style="1" customWidth="1"/>
    <col min="113" max="113" width="15" style="1" customWidth="1"/>
    <col min="114" max="114" width="14.109375" style="1" customWidth="1"/>
    <col min="115" max="115" width="7" style="1" customWidth="1"/>
    <col min="116" max="116" width="9.6640625" style="1" customWidth="1"/>
    <col min="117" max="117" width="13.109375" style="1" customWidth="1"/>
    <col min="118" max="118" width="40.33203125" style="1" customWidth="1"/>
    <col min="119" max="119" width="15" style="1" customWidth="1"/>
    <col min="120" max="120" width="14.109375" style="1" customWidth="1"/>
    <col min="121" max="121" width="7" style="1" customWidth="1"/>
    <col min="122" max="122" width="9.6640625" style="1" customWidth="1"/>
    <col min="123" max="123" width="13.109375" style="1" customWidth="1"/>
    <col min="124" max="124" width="40.33203125" style="1" customWidth="1"/>
    <col min="125" max="125" width="15" style="1" customWidth="1"/>
    <col min="126" max="126" width="14.109375" style="1" customWidth="1"/>
    <col min="127" max="127" width="7" style="1" customWidth="1"/>
    <col min="128" max="128" width="9.6640625" style="1" customWidth="1"/>
    <col min="129" max="129" width="13.109375" style="1" customWidth="1"/>
    <col min="130" max="130" width="40.33203125" style="1" customWidth="1"/>
    <col min="131" max="131" width="15" style="1" customWidth="1"/>
    <col min="132" max="132" width="14.109375" style="1" customWidth="1"/>
    <col min="133" max="133" width="7" style="1" customWidth="1"/>
    <col min="134" max="134" width="9.6640625" style="1" customWidth="1"/>
    <col min="135" max="135" width="13.109375" style="1" customWidth="1"/>
    <col min="136" max="136" width="40.33203125" style="1" customWidth="1"/>
    <col min="137" max="137" width="15" style="1" customWidth="1"/>
    <col min="138" max="138" width="14.109375" style="1" customWidth="1"/>
    <col min="139" max="139" width="7" style="1" customWidth="1"/>
    <col min="140" max="140" width="9.6640625" style="1" customWidth="1"/>
    <col min="141" max="141" width="13.109375" style="1" customWidth="1"/>
    <col min="142" max="142" width="40.33203125" style="1" customWidth="1"/>
    <col min="143" max="143" width="15" style="1" customWidth="1"/>
    <col min="144" max="144" width="14.109375" style="1" customWidth="1"/>
    <col min="145" max="145" width="7" style="1" customWidth="1"/>
    <col min="146" max="146" width="9.6640625" style="1" customWidth="1"/>
    <col min="147" max="147" width="13.109375" style="1" customWidth="1"/>
    <col min="148" max="148" width="40.33203125" style="1" customWidth="1"/>
    <col min="149" max="149" width="15" style="1" customWidth="1"/>
    <col min="150" max="150" width="14.109375" style="1" customWidth="1"/>
    <col min="151" max="151" width="7" style="1" customWidth="1"/>
    <col min="152" max="152" width="9.6640625" style="1" customWidth="1"/>
    <col min="153" max="153" width="13.109375" style="1" customWidth="1"/>
    <col min="154" max="154" width="40.33203125" style="1" customWidth="1"/>
    <col min="155" max="155" width="15" style="1" customWidth="1"/>
    <col min="156" max="156" width="14.109375" style="1" customWidth="1"/>
    <col min="157" max="157" width="7" style="1" customWidth="1"/>
    <col min="158" max="158" width="9.6640625" style="1" customWidth="1"/>
    <col min="159" max="159" width="13.109375" style="1" customWidth="1"/>
    <col min="160" max="160" width="40.33203125" style="1" customWidth="1"/>
    <col min="161" max="161" width="15" style="1" customWidth="1"/>
    <col min="162" max="162" width="14.109375" style="1" customWidth="1"/>
    <col min="163" max="163" width="7" style="1" customWidth="1"/>
    <col min="164" max="164" width="9.6640625" style="1" customWidth="1"/>
    <col min="165" max="165" width="13.109375" style="1" customWidth="1"/>
    <col min="166" max="166" width="40.33203125" style="1" customWidth="1"/>
    <col min="167" max="167" width="15" style="1" customWidth="1"/>
    <col min="168" max="168" width="14.109375" style="1" customWidth="1"/>
    <col min="169" max="169" width="7" style="1" customWidth="1"/>
    <col min="170" max="170" width="9.6640625" style="1" customWidth="1"/>
    <col min="171" max="16384" width="40.88671875" style="1"/>
  </cols>
  <sheetData>
    <row r="1" spans="1:44" ht="84.75" customHeight="1" thickBot="1" x14ac:dyDescent="0.95">
      <c r="J1" s="607" t="s">
        <v>439</v>
      </c>
      <c r="L1" s="1097" t="s">
        <v>535</v>
      </c>
      <c r="M1" s="1097"/>
      <c r="N1" s="1097"/>
      <c r="O1" s="1097"/>
      <c r="P1" s="1097"/>
      <c r="Q1" s="1097"/>
      <c r="R1" s="1097"/>
      <c r="S1" s="1097"/>
      <c r="T1" s="1097"/>
      <c r="U1" s="1097"/>
      <c r="V1" s="1097"/>
      <c r="W1" s="1097"/>
      <c r="X1" s="1097"/>
      <c r="Y1" s="1097"/>
      <c r="Z1" s="1097"/>
      <c r="AA1" s="1097"/>
      <c r="AB1" s="1097"/>
      <c r="AC1" s="1097"/>
      <c r="AD1" s="498"/>
    </row>
    <row r="2" spans="1:44" ht="23.4" thickBot="1" x14ac:dyDescent="0.75"/>
    <row r="3" spans="1:44" ht="24" customHeight="1" thickTop="1" thickBot="1" x14ac:dyDescent="0.75">
      <c r="A3" s="996" t="s">
        <v>46</v>
      </c>
      <c r="B3" s="997"/>
      <c r="C3" s="997"/>
      <c r="D3" s="997"/>
      <c r="F3" s="1114" t="s">
        <v>39</v>
      </c>
      <c r="G3" s="1115"/>
      <c r="H3" s="1115"/>
      <c r="I3" s="1115"/>
      <c r="J3" s="585" t="s">
        <v>428</v>
      </c>
      <c r="L3" s="1"/>
      <c r="M3" s="1"/>
      <c r="O3" s="272"/>
      <c r="P3" s="585" t="s">
        <v>430</v>
      </c>
      <c r="R3" s="498"/>
      <c r="S3" s="23"/>
      <c r="V3" s="585" t="s">
        <v>432</v>
      </c>
      <c r="X3" s="498"/>
      <c r="Y3" s="23"/>
      <c r="AB3" s="585" t="s">
        <v>437</v>
      </c>
      <c r="AD3" s="498"/>
      <c r="AE3" s="23"/>
      <c r="AH3" s="585" t="s">
        <v>438</v>
      </c>
      <c r="AJ3" s="498"/>
      <c r="AK3" s="23"/>
      <c r="AN3" s="585" t="s">
        <v>440</v>
      </c>
      <c r="AP3" s="498"/>
      <c r="AQ3" s="23"/>
    </row>
    <row r="4" spans="1:44" ht="39" customHeight="1" thickTop="1" thickBot="1" x14ac:dyDescent="0.75">
      <c r="A4" s="1002" t="s">
        <v>0</v>
      </c>
      <c r="B4" s="1000" t="s">
        <v>12</v>
      </c>
      <c r="C4" s="1004" t="s">
        <v>35</v>
      </c>
      <c r="D4" s="98" t="s">
        <v>47</v>
      </c>
      <c r="F4" s="1116" t="s">
        <v>0</v>
      </c>
      <c r="G4" s="1009" t="s">
        <v>12</v>
      </c>
      <c r="H4" s="1011" t="s">
        <v>35</v>
      </c>
      <c r="I4" s="499" t="s">
        <v>47</v>
      </c>
      <c r="J4" s="1113" t="s">
        <v>388</v>
      </c>
      <c r="K4" s="1111"/>
      <c r="L4" s="1111"/>
      <c r="M4" s="1111"/>
      <c r="N4" s="1112"/>
      <c r="P4" s="1113" t="s">
        <v>429</v>
      </c>
      <c r="Q4" s="1111"/>
      <c r="R4" s="1111"/>
      <c r="S4" s="1111"/>
      <c r="T4" s="1112"/>
      <c r="V4" s="1110" t="s">
        <v>433</v>
      </c>
      <c r="W4" s="1111"/>
      <c r="X4" s="1111"/>
      <c r="Y4" s="1111"/>
      <c r="Z4" s="1112"/>
      <c r="AB4" s="1110" t="s">
        <v>435</v>
      </c>
      <c r="AC4" s="1111"/>
      <c r="AD4" s="1111"/>
      <c r="AE4" s="1111"/>
      <c r="AF4" s="1112"/>
      <c r="AH4" s="1104" t="s">
        <v>323</v>
      </c>
      <c r="AI4" s="1105"/>
      <c r="AJ4" s="1105"/>
      <c r="AK4" s="1105"/>
      <c r="AL4" s="1106"/>
      <c r="AN4" s="1104" t="s">
        <v>441</v>
      </c>
      <c r="AO4" s="1105"/>
      <c r="AP4" s="1105"/>
      <c r="AQ4" s="1105"/>
      <c r="AR4" s="1106"/>
    </row>
    <row r="5" spans="1:44" ht="45" customHeight="1" thickTop="1" thickBot="1" x14ac:dyDescent="0.75">
      <c r="A5" s="1003"/>
      <c r="B5" s="1001"/>
      <c r="C5" s="1005"/>
      <c r="D5" s="103">
        <v>0</v>
      </c>
      <c r="F5" s="1117"/>
      <c r="G5" s="1010"/>
      <c r="H5" s="1012"/>
      <c r="I5" s="504">
        <v>0</v>
      </c>
      <c r="J5" s="500" t="s">
        <v>422</v>
      </c>
      <c r="K5" s="501" t="s">
        <v>320</v>
      </c>
      <c r="L5" s="501" t="s">
        <v>321</v>
      </c>
      <c r="M5" s="502" t="s">
        <v>420</v>
      </c>
      <c r="N5" s="542" t="s">
        <v>415</v>
      </c>
      <c r="P5" s="500" t="s">
        <v>422</v>
      </c>
      <c r="Q5" s="501" t="s">
        <v>320</v>
      </c>
      <c r="R5" s="501" t="s">
        <v>321</v>
      </c>
      <c r="S5" s="502" t="s">
        <v>420</v>
      </c>
      <c r="T5" s="542" t="s">
        <v>415</v>
      </c>
      <c r="V5" s="500" t="s">
        <v>422</v>
      </c>
      <c r="W5" s="501" t="s">
        <v>320</v>
      </c>
      <c r="X5" s="501" t="s">
        <v>321</v>
      </c>
      <c r="Y5" s="502" t="s">
        <v>420</v>
      </c>
      <c r="Z5" s="542" t="s">
        <v>415</v>
      </c>
      <c r="AB5" s="500" t="s">
        <v>422</v>
      </c>
      <c r="AC5" s="501" t="s">
        <v>320</v>
      </c>
      <c r="AD5" s="501" t="s">
        <v>321</v>
      </c>
      <c r="AE5" s="502" t="s">
        <v>420</v>
      </c>
      <c r="AF5" s="542" t="s">
        <v>415</v>
      </c>
      <c r="AH5" s="497" t="s">
        <v>422</v>
      </c>
      <c r="AI5" s="570" t="s">
        <v>320</v>
      </c>
      <c r="AJ5" s="570" t="s">
        <v>321</v>
      </c>
      <c r="AK5" s="571" t="s">
        <v>420</v>
      </c>
      <c r="AL5" s="572" t="s">
        <v>415</v>
      </c>
      <c r="AN5" s="497" t="s">
        <v>422</v>
      </c>
      <c r="AO5" s="570" t="s">
        <v>320</v>
      </c>
      <c r="AP5" s="570" t="s">
        <v>321</v>
      </c>
      <c r="AQ5" s="571" t="s">
        <v>420</v>
      </c>
      <c r="AR5" s="572" t="s">
        <v>415</v>
      </c>
    </row>
    <row r="6" spans="1:44" ht="19.5" customHeight="1" thickTop="1" x14ac:dyDescent="0.7">
      <c r="A6" s="28" t="s">
        <v>13</v>
      </c>
      <c r="B6" s="22">
        <v>3.75</v>
      </c>
      <c r="C6" s="24" t="s">
        <v>33</v>
      </c>
      <c r="D6" s="100">
        <f t="shared" ref="D6:D20" si="0">B6*$D$5</f>
        <v>0</v>
      </c>
      <c r="F6" s="508" t="s">
        <v>41</v>
      </c>
      <c r="G6" s="22">
        <v>7</v>
      </c>
      <c r="H6" s="24" t="s">
        <v>33</v>
      </c>
      <c r="I6" s="509">
        <f>G6*$I$5</f>
        <v>0</v>
      </c>
      <c r="J6" s="548" t="s">
        <v>316</v>
      </c>
      <c r="K6" s="522">
        <f>'Recette viandes'!B11</f>
        <v>90</v>
      </c>
      <c r="L6" s="549">
        <f>K6</f>
        <v>90</v>
      </c>
      <c r="M6" s="550" t="s">
        <v>254</v>
      </c>
      <c r="N6" s="521">
        <f>K6*100/$K$9</f>
        <v>60</v>
      </c>
      <c r="P6" s="548" t="s">
        <v>316</v>
      </c>
      <c r="Q6" s="522">
        <f>'Recette viandes'!B11</f>
        <v>90</v>
      </c>
      <c r="R6" s="549">
        <f>Q6</f>
        <v>90</v>
      </c>
      <c r="S6" s="550" t="s">
        <v>254</v>
      </c>
      <c r="T6" s="521">
        <f>Q6*100/$Q$9</f>
        <v>60</v>
      </c>
      <c r="V6" s="548" t="s">
        <v>316</v>
      </c>
      <c r="W6" s="522">
        <f>'Recette viandes'!B11</f>
        <v>90</v>
      </c>
      <c r="X6" s="549">
        <f>W6</f>
        <v>90</v>
      </c>
      <c r="Y6" s="550" t="s">
        <v>254</v>
      </c>
      <c r="Z6" s="521">
        <f>W6*100/$W$9</f>
        <v>60</v>
      </c>
      <c r="AB6" s="548" t="s">
        <v>316</v>
      </c>
      <c r="AC6" s="522">
        <f>'Recette viandes'!B11</f>
        <v>90</v>
      </c>
      <c r="AD6" s="549">
        <f>AC6</f>
        <v>90</v>
      </c>
      <c r="AE6" s="550" t="s">
        <v>254</v>
      </c>
      <c r="AF6" s="521">
        <f>AC6*100/$AC$9</f>
        <v>60</v>
      </c>
      <c r="AH6" s="548" t="s">
        <v>316</v>
      </c>
      <c r="AI6" s="522">
        <f>'Recette viandes'!D11</f>
        <v>80</v>
      </c>
      <c r="AJ6" s="549">
        <f>AI6</f>
        <v>80</v>
      </c>
      <c r="AK6" s="523" t="s">
        <v>254</v>
      </c>
      <c r="AL6" s="521">
        <f>AI6*100/$AI$9</f>
        <v>53.333333333333336</v>
      </c>
      <c r="AN6" s="548" t="s">
        <v>316</v>
      </c>
      <c r="AO6" s="522">
        <f>'Recette viandes'!D11</f>
        <v>80</v>
      </c>
      <c r="AP6" s="549">
        <f>AO6</f>
        <v>80</v>
      </c>
      <c r="AQ6" s="523" t="s">
        <v>254</v>
      </c>
      <c r="AR6" s="521">
        <f>AO6*100/$AO$9</f>
        <v>53.333333333333336</v>
      </c>
    </row>
    <row r="7" spans="1:44" ht="19.5" customHeight="1" x14ac:dyDescent="0.7">
      <c r="A7" s="29" t="s">
        <v>1</v>
      </c>
      <c r="B7" s="27">
        <v>0.75</v>
      </c>
      <c r="C7" s="19" t="s">
        <v>33</v>
      </c>
      <c r="D7" s="35">
        <f t="shared" si="0"/>
        <v>0</v>
      </c>
      <c r="F7" s="514" t="s">
        <v>40</v>
      </c>
      <c r="G7" s="27">
        <v>3.6</v>
      </c>
      <c r="H7" s="19" t="s">
        <v>33</v>
      </c>
      <c r="I7" s="281">
        <f>G7*$I$5</f>
        <v>0</v>
      </c>
      <c r="J7" s="552" t="s">
        <v>424</v>
      </c>
      <c r="K7" s="528">
        <f>'Recette viandes'!B8</f>
        <v>15</v>
      </c>
      <c r="L7" s="553">
        <f>L6+K7</f>
        <v>105</v>
      </c>
      <c r="M7" s="529" t="s">
        <v>254</v>
      </c>
      <c r="N7" s="507">
        <f t="shared" ref="N7:N8" si="1">K7*100/$K$9</f>
        <v>10</v>
      </c>
      <c r="P7" s="552" t="s">
        <v>424</v>
      </c>
      <c r="Q7" s="528">
        <f>'Recette viandes'!B8</f>
        <v>15</v>
      </c>
      <c r="R7" s="553">
        <f>R6+Q7</f>
        <v>105</v>
      </c>
      <c r="S7" s="529" t="s">
        <v>254</v>
      </c>
      <c r="T7" s="507">
        <f>Q7*100/$Q$9</f>
        <v>10</v>
      </c>
      <c r="V7" s="552" t="s">
        <v>424</v>
      </c>
      <c r="W7" s="528">
        <f>'Recette viandes'!B8</f>
        <v>15</v>
      </c>
      <c r="X7" s="553">
        <f>X6+W7</f>
        <v>105</v>
      </c>
      <c r="Y7" s="529" t="s">
        <v>254</v>
      </c>
      <c r="Z7" s="507">
        <f>W7*100/$W$9</f>
        <v>10</v>
      </c>
      <c r="AB7" s="552" t="s">
        <v>424</v>
      </c>
      <c r="AC7" s="528">
        <f>'Recette viandes'!B8</f>
        <v>15</v>
      </c>
      <c r="AD7" s="553">
        <f>AD6+AC7</f>
        <v>105</v>
      </c>
      <c r="AE7" s="529" t="s">
        <v>254</v>
      </c>
      <c r="AF7" s="507">
        <f>AC7*100/$AC$9</f>
        <v>10</v>
      </c>
      <c r="AH7" s="552" t="s">
        <v>424</v>
      </c>
      <c r="AI7" s="528">
        <f>'Recette viandes'!D8</f>
        <v>35</v>
      </c>
      <c r="AJ7" s="553">
        <f>AJ6+AI7</f>
        <v>115</v>
      </c>
      <c r="AK7" s="529" t="s">
        <v>254</v>
      </c>
      <c r="AL7" s="507">
        <f>AI7*100/$AI$9</f>
        <v>23.333333333333332</v>
      </c>
      <c r="AN7" s="552" t="s">
        <v>424</v>
      </c>
      <c r="AO7" s="528">
        <f>'Recette viandes'!D8</f>
        <v>35</v>
      </c>
      <c r="AP7" s="553">
        <f>AP6+AO7</f>
        <v>115</v>
      </c>
      <c r="AQ7" s="529" t="s">
        <v>254</v>
      </c>
      <c r="AR7" s="507">
        <f>AO7*100/$AO$9</f>
        <v>23.333333333333332</v>
      </c>
    </row>
    <row r="8" spans="1:44" ht="20.25" customHeight="1" thickBot="1" x14ac:dyDescent="0.75">
      <c r="A8" s="30" t="s">
        <v>14</v>
      </c>
      <c r="B8" s="12">
        <v>1.7999999999999999E-2</v>
      </c>
      <c r="C8" s="18" t="s">
        <v>33</v>
      </c>
      <c r="D8" s="35">
        <f t="shared" si="0"/>
        <v>0</v>
      </c>
      <c r="F8" s="518" t="s">
        <v>42</v>
      </c>
      <c r="G8" s="47">
        <v>9.1</v>
      </c>
      <c r="H8" s="48" t="s">
        <v>33</v>
      </c>
      <c r="I8" s="519">
        <f>G8*$I$5</f>
        <v>0</v>
      </c>
      <c r="J8" s="554" t="s">
        <v>425</v>
      </c>
      <c r="K8" s="555">
        <f>'Recette viandes'!B10</f>
        <v>45</v>
      </c>
      <c r="L8" s="556">
        <f>L7+K8</f>
        <v>150</v>
      </c>
      <c r="M8" s="557" t="s">
        <v>254</v>
      </c>
      <c r="N8" s="609">
        <f t="shared" si="1"/>
        <v>30</v>
      </c>
      <c r="P8" s="554" t="s">
        <v>425</v>
      </c>
      <c r="Q8" s="555">
        <f>'Recette viandes'!B10</f>
        <v>45</v>
      </c>
      <c r="R8" s="556">
        <f>R7+Q8</f>
        <v>150</v>
      </c>
      <c r="S8" s="557" t="s">
        <v>254</v>
      </c>
      <c r="T8" s="521">
        <f>Q8*100/$Q$9</f>
        <v>30</v>
      </c>
      <c r="V8" s="554" t="s">
        <v>425</v>
      </c>
      <c r="W8" s="555">
        <f>'Recette viandes'!B10</f>
        <v>45</v>
      </c>
      <c r="X8" s="556">
        <f>X7+W8</f>
        <v>150</v>
      </c>
      <c r="Y8" s="557" t="s">
        <v>254</v>
      </c>
      <c r="Z8" s="521">
        <f>W8*100/$W$9</f>
        <v>30</v>
      </c>
      <c r="AB8" s="554" t="s">
        <v>425</v>
      </c>
      <c r="AC8" s="555">
        <f>'Recette viandes'!B10</f>
        <v>45</v>
      </c>
      <c r="AD8" s="556">
        <f>AD7+AC8</f>
        <v>150</v>
      </c>
      <c r="AE8" s="557" t="s">
        <v>254</v>
      </c>
      <c r="AF8" s="521">
        <f>AC8*100/$AC$9</f>
        <v>30</v>
      </c>
      <c r="AH8" s="551" t="s">
        <v>425</v>
      </c>
      <c r="AI8" s="511">
        <f>'Recette viandes'!D10</f>
        <v>35</v>
      </c>
      <c r="AJ8" s="512">
        <f>AJ7+AI8</f>
        <v>150</v>
      </c>
      <c r="AK8" s="513" t="s">
        <v>254</v>
      </c>
      <c r="AL8" s="521">
        <f>AI8*100/$AI$9</f>
        <v>23.333333333333332</v>
      </c>
      <c r="AN8" s="551" t="s">
        <v>425</v>
      </c>
      <c r="AO8" s="511">
        <f>'Recette viandes'!D10</f>
        <v>35</v>
      </c>
      <c r="AP8" s="512">
        <f>AP7+AO8</f>
        <v>150</v>
      </c>
      <c r="AQ8" s="513" t="s">
        <v>254</v>
      </c>
      <c r="AR8" s="521">
        <f>AO8*100/$AO$9</f>
        <v>23.333333333333332</v>
      </c>
    </row>
    <row r="9" spans="1:44" ht="18.75" customHeight="1" thickBot="1" x14ac:dyDescent="0.75">
      <c r="A9" s="29" t="s">
        <v>2</v>
      </c>
      <c r="B9" s="27">
        <v>0.45</v>
      </c>
      <c r="C9" s="19" t="s">
        <v>33</v>
      </c>
      <c r="D9" s="35">
        <f t="shared" si="0"/>
        <v>0</v>
      </c>
      <c r="F9" s="524" t="s">
        <v>43</v>
      </c>
      <c r="G9" s="50">
        <v>2</v>
      </c>
      <c r="H9" s="51" t="s">
        <v>34</v>
      </c>
      <c r="I9" s="525">
        <f>G9*$I$5</f>
        <v>0</v>
      </c>
      <c r="J9" s="500" t="s">
        <v>423</v>
      </c>
      <c r="K9" s="573">
        <f>SUM(K6:K8)</f>
        <v>150</v>
      </c>
      <c r="L9" s="574">
        <f>L8</f>
        <v>150</v>
      </c>
      <c r="M9" s="502" t="s">
        <v>254</v>
      </c>
      <c r="N9" s="610">
        <f>SUM(N6:N8)</f>
        <v>100</v>
      </c>
      <c r="P9" s="500" t="s">
        <v>423</v>
      </c>
      <c r="Q9" s="573">
        <f>SUM(Q6:Q8)</f>
        <v>150</v>
      </c>
      <c r="R9" s="574">
        <f>R8</f>
        <v>150</v>
      </c>
      <c r="S9" s="502" t="s">
        <v>254</v>
      </c>
      <c r="T9" s="575">
        <f>SUM(T6:T8)</f>
        <v>100</v>
      </c>
      <c r="V9" s="500" t="s">
        <v>423</v>
      </c>
      <c r="W9" s="573">
        <f>SUM(W6:W8)</f>
        <v>150</v>
      </c>
      <c r="X9" s="574">
        <f>X8</f>
        <v>150</v>
      </c>
      <c r="Y9" s="502" t="s">
        <v>254</v>
      </c>
      <c r="Z9" s="575">
        <f>SUM(Z6:Z8)</f>
        <v>100</v>
      </c>
      <c r="AB9" s="500" t="s">
        <v>423</v>
      </c>
      <c r="AC9" s="573">
        <f>SUM(AC6:AC8)</f>
        <v>150</v>
      </c>
      <c r="AD9" s="574">
        <f>AD8</f>
        <v>150</v>
      </c>
      <c r="AE9" s="502" t="s">
        <v>254</v>
      </c>
      <c r="AF9" s="575">
        <f>SUM(AF6:AF8)</f>
        <v>100</v>
      </c>
      <c r="AH9" s="576" t="s">
        <v>423</v>
      </c>
      <c r="AI9" s="558">
        <f>SUM(AI6:AI8)</f>
        <v>150</v>
      </c>
      <c r="AJ9" s="611">
        <f>AJ8</f>
        <v>150</v>
      </c>
      <c r="AK9" s="502" t="s">
        <v>254</v>
      </c>
      <c r="AL9" s="577">
        <f>SUM(AL6:AL8)</f>
        <v>100</v>
      </c>
      <c r="AN9" s="576" t="s">
        <v>423</v>
      </c>
      <c r="AO9" s="558">
        <f>SUM(AO6:AO8)</f>
        <v>150</v>
      </c>
      <c r="AP9" s="611">
        <f>AP8</f>
        <v>150</v>
      </c>
      <c r="AQ9" s="502" t="s">
        <v>254</v>
      </c>
      <c r="AR9" s="575">
        <f>SUM(AR6:AR8)</f>
        <v>100</v>
      </c>
    </row>
    <row r="10" spans="1:44" s="674" customFormat="1" ht="18.75" customHeight="1" x14ac:dyDescent="0.3">
      <c r="A10" s="772" t="s">
        <v>91</v>
      </c>
      <c r="B10" s="773">
        <v>0.3</v>
      </c>
      <c r="C10" s="774" t="s">
        <v>33</v>
      </c>
      <c r="D10" s="775">
        <f t="shared" si="0"/>
        <v>0</v>
      </c>
      <c r="F10" s="1118" t="s">
        <v>50</v>
      </c>
      <c r="G10" s="1006"/>
      <c r="H10" s="1006"/>
      <c r="I10" s="1006"/>
      <c r="J10" s="584" t="s">
        <v>426</v>
      </c>
      <c r="P10" s="584" t="s">
        <v>426</v>
      </c>
      <c r="V10" s="584" t="s">
        <v>426</v>
      </c>
      <c r="AB10" s="584" t="s">
        <v>426</v>
      </c>
      <c r="AH10" s="584" t="s">
        <v>426</v>
      </c>
      <c r="AN10" s="584" t="s">
        <v>426</v>
      </c>
    </row>
    <row r="11" spans="1:44" ht="18.75" customHeight="1" thickBot="1" x14ac:dyDescent="0.75">
      <c r="A11" s="29" t="s">
        <v>3</v>
      </c>
      <c r="B11" s="27">
        <v>3</v>
      </c>
      <c r="C11" s="19" t="s">
        <v>33</v>
      </c>
      <c r="D11" s="35">
        <f t="shared" si="0"/>
        <v>0</v>
      </c>
      <c r="F11" s="1118"/>
      <c r="G11" s="1006"/>
      <c r="H11" s="1006"/>
      <c r="I11" s="1006"/>
      <c r="J11" s="23"/>
      <c r="L11" s="1"/>
      <c r="M11" s="1"/>
      <c r="P11" s="23"/>
      <c r="V11" s="23"/>
      <c r="AB11" s="23"/>
    </row>
    <row r="12" spans="1:44" ht="45.75" customHeight="1" thickBot="1" x14ac:dyDescent="0.75">
      <c r="A12" s="30" t="s">
        <v>4</v>
      </c>
      <c r="B12" s="12">
        <v>0.3</v>
      </c>
      <c r="C12" s="18" t="s">
        <v>33</v>
      </c>
      <c r="D12" s="35">
        <f t="shared" si="0"/>
        <v>0</v>
      </c>
      <c r="F12" s="1119" t="s">
        <v>44</v>
      </c>
      <c r="G12" s="999"/>
      <c r="H12" s="999"/>
      <c r="I12" s="999"/>
      <c r="J12" s="500" t="s">
        <v>0</v>
      </c>
      <c r="K12" s="563" t="s">
        <v>319</v>
      </c>
      <c r="L12" s="563" t="s">
        <v>321</v>
      </c>
      <c r="M12" s="501" t="s">
        <v>420</v>
      </c>
      <c r="N12" s="564" t="s">
        <v>415</v>
      </c>
      <c r="P12" s="500" t="s">
        <v>0</v>
      </c>
      <c r="Q12" s="563" t="s">
        <v>319</v>
      </c>
      <c r="R12" s="563" t="s">
        <v>321</v>
      </c>
      <c r="S12" s="501" t="s">
        <v>420</v>
      </c>
      <c r="T12" s="564" t="s">
        <v>415</v>
      </c>
      <c r="V12" s="500" t="s">
        <v>0</v>
      </c>
      <c r="W12" s="563" t="s">
        <v>319</v>
      </c>
      <c r="X12" s="563" t="s">
        <v>321</v>
      </c>
      <c r="Y12" s="501" t="s">
        <v>420</v>
      </c>
      <c r="Z12" s="564" t="s">
        <v>415</v>
      </c>
      <c r="AB12" s="500" t="s">
        <v>0</v>
      </c>
      <c r="AC12" s="563" t="s">
        <v>319</v>
      </c>
      <c r="AD12" s="563" t="s">
        <v>321</v>
      </c>
      <c r="AE12" s="501" t="s">
        <v>420</v>
      </c>
      <c r="AF12" s="564" t="s">
        <v>415</v>
      </c>
      <c r="AH12" s="500" t="s">
        <v>0</v>
      </c>
      <c r="AI12" s="501" t="s">
        <v>319</v>
      </c>
      <c r="AJ12" s="501" t="s">
        <v>321</v>
      </c>
      <c r="AK12" s="502" t="s">
        <v>420</v>
      </c>
      <c r="AL12" s="503" t="s">
        <v>415</v>
      </c>
      <c r="AN12" s="500" t="s">
        <v>0</v>
      </c>
      <c r="AO12" s="501" t="s">
        <v>319</v>
      </c>
      <c r="AP12" s="501" t="s">
        <v>321</v>
      </c>
      <c r="AQ12" s="502" t="s">
        <v>420</v>
      </c>
      <c r="AR12" s="503" t="s">
        <v>415</v>
      </c>
    </row>
    <row r="13" spans="1:44" ht="18.75" customHeight="1" x14ac:dyDescent="0.7">
      <c r="A13" s="29" t="s">
        <v>5</v>
      </c>
      <c r="B13" s="27">
        <v>0.08</v>
      </c>
      <c r="C13" s="19" t="s">
        <v>33</v>
      </c>
      <c r="D13" s="35">
        <f t="shared" si="0"/>
        <v>0</v>
      </c>
      <c r="F13" s="1119"/>
      <c r="G13" s="999"/>
      <c r="H13" s="999"/>
      <c r="I13" s="999"/>
      <c r="J13" s="565" t="s">
        <v>20</v>
      </c>
      <c r="K13" s="586">
        <f>'Halal G.P - 200 et BN '!J6</f>
        <v>3.75</v>
      </c>
      <c r="L13" s="586">
        <f>K13</f>
        <v>3.75</v>
      </c>
      <c r="M13" s="506" t="s">
        <v>254</v>
      </c>
      <c r="N13" s="566">
        <f>K13*100/($K$9+SUM($K$13:$K$26))</f>
        <v>2.329192546583851</v>
      </c>
      <c r="P13" s="565" t="s">
        <v>20</v>
      </c>
      <c r="Q13" s="586">
        <f>'Halrizo 200 + GP '!W6</f>
        <v>3.75</v>
      </c>
      <c r="R13" s="586">
        <f>Q13</f>
        <v>3.75</v>
      </c>
      <c r="S13" s="506" t="s">
        <v>254</v>
      </c>
      <c r="T13" s="566">
        <f>Q13*100/($Q$9+SUM($Q$13:$Q$27))</f>
        <v>2.2485384500074952</v>
      </c>
      <c r="V13" s="565" t="s">
        <v>20</v>
      </c>
      <c r="W13" s="586">
        <f>'Halal G.P - 200 et BN '!R6</f>
        <v>3.75</v>
      </c>
      <c r="X13" s="586">
        <f>W13</f>
        <v>3.75</v>
      </c>
      <c r="Y13" s="506" t="s">
        <v>254</v>
      </c>
      <c r="Z13" s="566">
        <f>W13*100/($W$9+SUM($W$13:$W$26))</f>
        <v>2.329192546583851</v>
      </c>
      <c r="AB13" s="565" t="s">
        <v>20</v>
      </c>
      <c r="AC13" s="586">
        <f>'Halal 350 BN Pimenté'!B5</f>
        <v>3.75</v>
      </c>
      <c r="AD13" s="586">
        <f>AC13</f>
        <v>3.75</v>
      </c>
      <c r="AE13" s="506" t="s">
        <v>254</v>
      </c>
      <c r="AF13" s="566">
        <f>AC13*100/($AC$9+SUM($AC$13:$AC$25))</f>
        <v>2.3212627669452179</v>
      </c>
      <c r="AH13" s="505" t="s">
        <v>20</v>
      </c>
      <c r="AI13" s="586">
        <f>'Halrizo 200 + GP '!L6</f>
        <v>3.75</v>
      </c>
      <c r="AJ13" s="627">
        <f>AI13</f>
        <v>3.75</v>
      </c>
      <c r="AK13" s="506" t="s">
        <v>254</v>
      </c>
      <c r="AL13" s="507">
        <f>AI13*100/($AI$9+SUM($AI$13:$AI$27))</f>
        <v>2.2475277195085406</v>
      </c>
      <c r="AN13" s="505" t="s">
        <v>20</v>
      </c>
      <c r="AO13" s="586">
        <f>'Halal G.P - 200 et BN '!B6</f>
        <v>3.75</v>
      </c>
      <c r="AP13" s="627">
        <f>AO13</f>
        <v>3.75</v>
      </c>
      <c r="AQ13" s="506" t="s">
        <v>254</v>
      </c>
      <c r="AR13" s="507">
        <f t="shared" ref="AR13:AR26" si="2">AO13*100/($AO$9+SUM($AO$13:$AO$26))</f>
        <v>2.329192546583851</v>
      </c>
    </row>
    <row r="14" spans="1:44" ht="18.75" customHeight="1" x14ac:dyDescent="0.7">
      <c r="A14" s="30" t="s">
        <v>15</v>
      </c>
      <c r="B14" s="12">
        <v>0.75</v>
      </c>
      <c r="C14" s="18" t="s">
        <v>33</v>
      </c>
      <c r="D14" s="35">
        <f t="shared" si="0"/>
        <v>0</v>
      </c>
      <c r="F14" s="1119"/>
      <c r="G14" s="999"/>
      <c r="H14" s="999"/>
      <c r="I14" s="999"/>
      <c r="J14" s="510" t="s">
        <v>1</v>
      </c>
      <c r="K14" s="587">
        <f>'Halal G.P - 200 et BN '!J7</f>
        <v>0.75</v>
      </c>
      <c r="L14" s="587">
        <f>L13+K14</f>
        <v>4.5</v>
      </c>
      <c r="M14" s="513" t="s">
        <v>254</v>
      </c>
      <c r="N14" s="568">
        <f t="shared" ref="N14:N26" si="3">K14*100/($K$9+SUM($K$13:$K$26))</f>
        <v>0.46583850931677018</v>
      </c>
      <c r="P14" s="510" t="s">
        <v>1</v>
      </c>
      <c r="Q14" s="587">
        <f>'Halrizo 200 + GP '!W7</f>
        <v>0.75</v>
      </c>
      <c r="R14" s="587">
        <f>R13+Q14</f>
        <v>4.5</v>
      </c>
      <c r="S14" s="513" t="s">
        <v>254</v>
      </c>
      <c r="T14" s="568">
        <f>Q14*100/($Q$9+SUM($Q$13:$Q$27))</f>
        <v>0.44970769000149902</v>
      </c>
      <c r="V14" s="510" t="s">
        <v>434</v>
      </c>
      <c r="W14" s="587">
        <f>'Halal G.P - 200 et BN '!R7</f>
        <v>0.75</v>
      </c>
      <c r="X14" s="587">
        <f>X13+W14</f>
        <v>4.5</v>
      </c>
      <c r="Y14" s="513" t="s">
        <v>254</v>
      </c>
      <c r="Z14" s="568">
        <f>W14*100/($W$9+SUM($W$13:$W$26))</f>
        <v>0.46583850931677018</v>
      </c>
      <c r="AB14" s="510" t="s">
        <v>434</v>
      </c>
      <c r="AC14" s="587">
        <f>'Halal 350 BN Pimenté'!B6</f>
        <v>0.75</v>
      </c>
      <c r="AD14" s="587">
        <f>AD13+AC14</f>
        <v>4.5</v>
      </c>
      <c r="AE14" s="513" t="s">
        <v>254</v>
      </c>
      <c r="AF14" s="568">
        <f t="shared" ref="AF14:AF25" si="4">AC14*100/($AC$9+SUM($AC$13:$AC$25))</f>
        <v>0.46425255338904359</v>
      </c>
      <c r="AH14" s="567" t="s">
        <v>1</v>
      </c>
      <c r="AI14" s="587">
        <f>'Halrizo 200 + GP '!L7</f>
        <v>0.75</v>
      </c>
      <c r="AJ14" s="628">
        <f>AJ13+AI14</f>
        <v>4.5</v>
      </c>
      <c r="AK14" s="513" t="s">
        <v>254</v>
      </c>
      <c r="AL14" s="521">
        <f t="shared" ref="AL14:AL27" si="5">AI14*100/($AI$9+SUM($AI$13:$AI$27))</f>
        <v>0.44950554390170816</v>
      </c>
      <c r="AN14" s="567" t="s">
        <v>1</v>
      </c>
      <c r="AO14" s="587">
        <f>'Halal G.P - 200 et BN '!B7</f>
        <v>0.75</v>
      </c>
      <c r="AP14" s="628">
        <f>AP13+AO14</f>
        <v>4.5</v>
      </c>
      <c r="AQ14" s="513" t="s">
        <v>254</v>
      </c>
      <c r="AR14" s="521">
        <f t="shared" si="2"/>
        <v>0.46583850931677018</v>
      </c>
    </row>
    <row r="15" spans="1:44" ht="19.5" customHeight="1" thickBot="1" x14ac:dyDescent="0.75">
      <c r="A15" s="29" t="s">
        <v>6</v>
      </c>
      <c r="B15" s="27">
        <v>0.75</v>
      </c>
      <c r="C15" s="19" t="s">
        <v>33</v>
      </c>
      <c r="D15" s="35">
        <f t="shared" si="0"/>
        <v>0</v>
      </c>
      <c r="F15" s="531"/>
      <c r="G15" s="104"/>
      <c r="H15" s="104"/>
      <c r="I15" s="104"/>
      <c r="J15" s="517" t="s">
        <v>21</v>
      </c>
      <c r="K15" s="588">
        <f>'Halal G.P - 200 et BN '!J8</f>
        <v>0.02</v>
      </c>
      <c r="L15" s="634">
        <f>L14+K15</f>
        <v>4.5199999999999996</v>
      </c>
      <c r="M15" s="515" t="s">
        <v>254</v>
      </c>
      <c r="N15" s="582">
        <f t="shared" si="3"/>
        <v>1.2422360248447204E-2</v>
      </c>
      <c r="P15" s="517" t="s">
        <v>21</v>
      </c>
      <c r="Q15" s="588">
        <f>'Halrizo 200 + GP '!W8</f>
        <v>0.02</v>
      </c>
      <c r="R15" s="634">
        <f>R14+Q15</f>
        <v>4.5199999999999996</v>
      </c>
      <c r="S15" s="515" t="s">
        <v>254</v>
      </c>
      <c r="T15" s="582">
        <f t="shared" ref="T15:T27" si="6">Q15*100/($Q$9+SUM($Q$13:$Q$27))</f>
        <v>1.1992205066706641E-2</v>
      </c>
      <c r="V15" s="517" t="s">
        <v>21</v>
      </c>
      <c r="W15" s="588">
        <f>'Halal G.P - 200 et BN '!R8</f>
        <v>0.02</v>
      </c>
      <c r="X15" s="634">
        <f>X14+W15</f>
        <v>4.5199999999999996</v>
      </c>
      <c r="Y15" s="515" t="s">
        <v>254</v>
      </c>
      <c r="Z15" s="582">
        <f t="shared" ref="Z15" si="7">W15*100/($W$9+SUM($W$13:$W$26))</f>
        <v>1.2422360248447204E-2</v>
      </c>
      <c r="AB15" s="517" t="s">
        <v>21</v>
      </c>
      <c r="AC15" s="588">
        <f>'Halal 350 BN Pimenté'!B7</f>
        <v>0.02</v>
      </c>
      <c r="AD15" s="634">
        <f>AD14+AC15</f>
        <v>4.5199999999999996</v>
      </c>
      <c r="AE15" s="515" t="s">
        <v>254</v>
      </c>
      <c r="AF15" s="582">
        <f t="shared" si="4"/>
        <v>1.2380068090374495E-2</v>
      </c>
      <c r="AH15" s="517" t="s">
        <v>21</v>
      </c>
      <c r="AI15" s="612">
        <f>'Halrizo 200 + GP '!L8</f>
        <v>0.02</v>
      </c>
      <c r="AJ15" s="638">
        <f>AJ14+AI15</f>
        <v>4.5199999999999996</v>
      </c>
      <c r="AK15" s="537" t="s">
        <v>254</v>
      </c>
      <c r="AL15" s="516">
        <f t="shared" si="5"/>
        <v>1.198681450404555E-2</v>
      </c>
      <c r="AN15" s="517" t="s">
        <v>21</v>
      </c>
      <c r="AO15" s="612">
        <f>'Halal G.P - 200 et BN '!B8</f>
        <v>0.02</v>
      </c>
      <c r="AP15" s="629">
        <f t="shared" ref="AP15:AP18" si="8">AP14+AO15</f>
        <v>4.5199999999999996</v>
      </c>
      <c r="AQ15" s="537" t="s">
        <v>254</v>
      </c>
      <c r="AR15" s="516">
        <f t="shared" si="2"/>
        <v>1.2422360248447204E-2</v>
      </c>
    </row>
    <row r="16" spans="1:44" ht="24" customHeight="1" thickTop="1" thickBot="1" x14ac:dyDescent="0.75">
      <c r="A16" s="30" t="s">
        <v>7</v>
      </c>
      <c r="B16" s="12">
        <v>6</v>
      </c>
      <c r="C16" s="18" t="s">
        <v>33</v>
      </c>
      <c r="D16" s="35">
        <f t="shared" si="0"/>
        <v>0</v>
      </c>
      <c r="F16" s="1120" t="s">
        <v>86</v>
      </c>
      <c r="G16" s="997"/>
      <c r="H16" s="997"/>
      <c r="I16" s="997"/>
      <c r="J16" s="520" t="s">
        <v>2</v>
      </c>
      <c r="K16" s="589">
        <f>'Halal G.P - 200 et BN '!J9</f>
        <v>0.45</v>
      </c>
      <c r="L16" s="589">
        <f>K16</f>
        <v>0.45</v>
      </c>
      <c r="M16" s="523" t="s">
        <v>254</v>
      </c>
      <c r="N16" s="568">
        <f t="shared" si="3"/>
        <v>0.27950310559006208</v>
      </c>
      <c r="P16" s="520" t="s">
        <v>2</v>
      </c>
      <c r="Q16" s="589">
        <f>'Halrizo 200 + GP '!W9</f>
        <v>0.45</v>
      </c>
      <c r="R16" s="589">
        <f>Q16</f>
        <v>0.45</v>
      </c>
      <c r="S16" s="523" t="s">
        <v>254</v>
      </c>
      <c r="T16" s="568">
        <f t="shared" si="6"/>
        <v>0.26982461400089941</v>
      </c>
      <c r="V16" s="520" t="s">
        <v>2</v>
      </c>
      <c r="W16" s="589">
        <f>'Halal G.P - 200 et BN '!R9</f>
        <v>0.45</v>
      </c>
      <c r="X16" s="589">
        <f>W16</f>
        <v>0.45</v>
      </c>
      <c r="Y16" s="523" t="s">
        <v>254</v>
      </c>
      <c r="Z16" s="568">
        <f>W16*100/($W$9+SUM($W$13:$W$26))</f>
        <v>0.27950310559006208</v>
      </c>
      <c r="AB16" s="520" t="s">
        <v>2</v>
      </c>
      <c r="AC16" s="589">
        <f>'Halal 350 BN Pimenté'!B8</f>
        <v>0.45</v>
      </c>
      <c r="AD16" s="589">
        <f>AC16</f>
        <v>0.45</v>
      </c>
      <c r="AE16" s="523" t="s">
        <v>254</v>
      </c>
      <c r="AF16" s="568">
        <f t="shared" si="4"/>
        <v>0.27855153203342614</v>
      </c>
      <c r="AH16" s="520" t="s">
        <v>2</v>
      </c>
      <c r="AI16" s="613">
        <f>'Halrizo 200 + GP '!L9</f>
        <v>0.45</v>
      </c>
      <c r="AJ16" s="630">
        <f>AI16</f>
        <v>0.45</v>
      </c>
      <c r="AK16" s="540" t="s">
        <v>254</v>
      </c>
      <c r="AL16" s="521">
        <f t="shared" si="5"/>
        <v>0.2697033263410249</v>
      </c>
      <c r="AN16" s="520" t="s">
        <v>2</v>
      </c>
      <c r="AO16" s="613">
        <f>'Halal G.P - 200 et BN '!B9</f>
        <v>0.45</v>
      </c>
      <c r="AP16" s="630">
        <f>AO16</f>
        <v>0.45</v>
      </c>
      <c r="AQ16" s="540" t="s">
        <v>254</v>
      </c>
      <c r="AR16" s="521">
        <f t="shared" si="2"/>
        <v>0.27950310559006208</v>
      </c>
    </row>
    <row r="17" spans="1:44" ht="20.25" customHeight="1" thickTop="1" thickBot="1" x14ac:dyDescent="0.75">
      <c r="A17" s="29" t="s">
        <v>8</v>
      </c>
      <c r="B17" s="27">
        <v>0.2</v>
      </c>
      <c r="C17" s="19" t="s">
        <v>33</v>
      </c>
      <c r="D17" s="35">
        <f t="shared" si="0"/>
        <v>0</v>
      </c>
      <c r="F17" s="532"/>
      <c r="J17" s="526" t="s">
        <v>91</v>
      </c>
      <c r="K17" s="590">
        <f>'Halal G.P - 200 et BN '!J10</f>
        <v>0.3</v>
      </c>
      <c r="L17" s="590">
        <f>L16+K17</f>
        <v>0.75</v>
      </c>
      <c r="M17" s="529" t="s">
        <v>254</v>
      </c>
      <c r="N17" s="566">
        <f t="shared" si="3"/>
        <v>0.18633540372670807</v>
      </c>
      <c r="P17" s="526" t="s">
        <v>91</v>
      </c>
      <c r="Q17" s="590">
        <f>'Halrizo 200 + GP '!W10</f>
        <v>0.3</v>
      </c>
      <c r="R17" s="590">
        <f>R16+Q17</f>
        <v>0.75</v>
      </c>
      <c r="S17" s="529" t="s">
        <v>254</v>
      </c>
      <c r="T17" s="566">
        <f t="shared" si="6"/>
        <v>0.17988307600059961</v>
      </c>
      <c r="V17" s="526" t="s">
        <v>91</v>
      </c>
      <c r="W17" s="590">
        <f>'Halal G.P - 200 et BN '!R10</f>
        <v>0.3</v>
      </c>
      <c r="X17" s="590">
        <f>X16+W17</f>
        <v>0.75</v>
      </c>
      <c r="Y17" s="529" t="s">
        <v>254</v>
      </c>
      <c r="Z17" s="566">
        <f t="shared" ref="Z17:Z26" si="9">W17*100/($W$9+SUM($W$13:$W$26))</f>
        <v>0.18633540372670807</v>
      </c>
      <c r="AB17" s="526" t="s">
        <v>91</v>
      </c>
      <c r="AC17" s="590">
        <f>'Halal 350 BN Pimenté'!B9</f>
        <v>0.3</v>
      </c>
      <c r="AD17" s="590">
        <f>AD16+AC17</f>
        <v>0.75</v>
      </c>
      <c r="AE17" s="529" t="s">
        <v>254</v>
      </c>
      <c r="AF17" s="566">
        <f t="shared" si="4"/>
        <v>0.18570102135561745</v>
      </c>
      <c r="AH17" s="526" t="s">
        <v>91</v>
      </c>
      <c r="AI17" s="614">
        <f>'Halrizo 200 + GP '!L10</f>
        <v>0.3</v>
      </c>
      <c r="AJ17" s="631">
        <f t="shared" ref="AJ17:AJ27" si="10">AJ16+AI17</f>
        <v>0.75</v>
      </c>
      <c r="AK17" s="527" t="s">
        <v>254</v>
      </c>
      <c r="AL17" s="507">
        <f t="shared" si="5"/>
        <v>0.17980221756068326</v>
      </c>
      <c r="AN17" s="526" t="s">
        <v>91</v>
      </c>
      <c r="AO17" s="614">
        <f>'Halal G.P - 200 et BN '!B10</f>
        <v>0.3</v>
      </c>
      <c r="AP17" s="631">
        <f>AP16+AO17</f>
        <v>0.75</v>
      </c>
      <c r="AQ17" s="527" t="s">
        <v>254</v>
      </c>
      <c r="AR17" s="507">
        <f t="shared" si="2"/>
        <v>0.18633540372670807</v>
      </c>
    </row>
    <row r="18" spans="1:44" ht="19.5" customHeight="1" thickBot="1" x14ac:dyDescent="0.75">
      <c r="A18" s="31" t="s">
        <v>9</v>
      </c>
      <c r="B18" s="12">
        <v>0.2</v>
      </c>
      <c r="C18" s="18" t="s">
        <v>33</v>
      </c>
      <c r="D18" s="35">
        <f t="shared" si="0"/>
        <v>0</v>
      </c>
      <c r="F18" s="990" t="s">
        <v>0</v>
      </c>
      <c r="G18" s="992" t="s">
        <v>12</v>
      </c>
      <c r="H18" s="994" t="s">
        <v>35</v>
      </c>
      <c r="I18" s="533" t="s">
        <v>47</v>
      </c>
      <c r="J18" s="510" t="s">
        <v>3</v>
      </c>
      <c r="K18" s="587">
        <f>'Halal G.P - 200 et BN '!J11</f>
        <v>3.51</v>
      </c>
      <c r="L18" s="587">
        <f t="shared" ref="L18" si="11">L17+K18</f>
        <v>4.26</v>
      </c>
      <c r="M18" s="513" t="s">
        <v>254</v>
      </c>
      <c r="N18" s="568">
        <f t="shared" si="3"/>
        <v>2.1801242236024843</v>
      </c>
      <c r="P18" s="510" t="s">
        <v>3</v>
      </c>
      <c r="Q18" s="587">
        <f>'Halrizo 200 + GP '!W11</f>
        <v>3</v>
      </c>
      <c r="R18" s="587">
        <f>R17+Q18</f>
        <v>3.75</v>
      </c>
      <c r="S18" s="513" t="s">
        <v>254</v>
      </c>
      <c r="T18" s="568">
        <f t="shared" si="6"/>
        <v>1.7988307600059961</v>
      </c>
      <c r="V18" s="510" t="s">
        <v>3</v>
      </c>
      <c r="W18" s="587">
        <f>'Halal G.P - 200 et BN '!R11</f>
        <v>3.51</v>
      </c>
      <c r="X18" s="587">
        <f t="shared" ref="X18:X23" si="12">X17+W18</f>
        <v>4.26</v>
      </c>
      <c r="Y18" s="513" t="s">
        <v>254</v>
      </c>
      <c r="Z18" s="568">
        <f t="shared" si="9"/>
        <v>2.1801242236024843</v>
      </c>
      <c r="AB18" s="510" t="s">
        <v>3</v>
      </c>
      <c r="AC18" s="587">
        <f>'Halal 350 BN Pimenté'!B10</f>
        <v>3</v>
      </c>
      <c r="AD18" s="587">
        <f>AD17+AC18</f>
        <v>3.75</v>
      </c>
      <c r="AE18" s="513" t="s">
        <v>254</v>
      </c>
      <c r="AF18" s="568">
        <f t="shared" si="4"/>
        <v>1.8570102135561743</v>
      </c>
      <c r="AH18" s="510" t="s">
        <v>3</v>
      </c>
      <c r="AI18" s="615">
        <f>'Halrizo 200 + GP '!L11</f>
        <v>3</v>
      </c>
      <c r="AJ18" s="628">
        <f t="shared" si="10"/>
        <v>3.75</v>
      </c>
      <c r="AK18" s="530" t="s">
        <v>254</v>
      </c>
      <c r="AL18" s="521">
        <f t="shared" si="5"/>
        <v>1.7980221756068326</v>
      </c>
      <c r="AN18" s="510" t="s">
        <v>3</v>
      </c>
      <c r="AO18" s="615">
        <f>'Halal G.P - 200 et BN '!B11</f>
        <v>3.51</v>
      </c>
      <c r="AP18" s="628">
        <f t="shared" si="8"/>
        <v>4.26</v>
      </c>
      <c r="AQ18" s="530" t="s">
        <v>254</v>
      </c>
      <c r="AR18" s="521">
        <f t="shared" si="2"/>
        <v>2.1801242236024843</v>
      </c>
    </row>
    <row r="19" spans="1:44" ht="20.25" customHeight="1" thickTop="1" thickBot="1" x14ac:dyDescent="0.75">
      <c r="A19" s="36" t="s">
        <v>10</v>
      </c>
      <c r="B19" s="39">
        <v>0.15</v>
      </c>
      <c r="C19" s="40" t="s">
        <v>33</v>
      </c>
      <c r="D19" s="41">
        <f t="shared" si="0"/>
        <v>0</v>
      </c>
      <c r="F19" s="991"/>
      <c r="G19" s="993"/>
      <c r="H19" s="995"/>
      <c r="I19" s="535"/>
      <c r="J19" s="526" t="s">
        <v>17</v>
      </c>
      <c r="K19" s="590">
        <f>'Halal G.P - 200 et BN '!J12</f>
        <v>0.45</v>
      </c>
      <c r="L19" s="590">
        <f t="shared" ref="L19:L26" si="13">L18+K19</f>
        <v>4.71</v>
      </c>
      <c r="M19" s="529" t="s">
        <v>254</v>
      </c>
      <c r="N19" s="566">
        <f t="shared" si="3"/>
        <v>0.27950310559006208</v>
      </c>
      <c r="P19" s="526" t="s">
        <v>17</v>
      </c>
      <c r="Q19" s="590">
        <f>'Halrizo 200 + GP '!W12</f>
        <v>0.3</v>
      </c>
      <c r="R19" s="590">
        <f t="shared" ref="R19:R25" si="14">R18+Q19</f>
        <v>4.05</v>
      </c>
      <c r="S19" s="529" t="s">
        <v>254</v>
      </c>
      <c r="T19" s="566">
        <f t="shared" si="6"/>
        <v>0.17988307600059961</v>
      </c>
      <c r="V19" s="526" t="s">
        <v>17</v>
      </c>
      <c r="W19" s="590">
        <f>'Halal G.P - 200 et BN '!R12</f>
        <v>0.45</v>
      </c>
      <c r="X19" s="590">
        <f t="shared" si="12"/>
        <v>4.71</v>
      </c>
      <c r="Y19" s="529" t="s">
        <v>254</v>
      </c>
      <c r="Z19" s="566">
        <f t="shared" si="9"/>
        <v>0.27950310559006208</v>
      </c>
      <c r="AB19" s="526" t="s">
        <v>17</v>
      </c>
      <c r="AC19" s="590">
        <f>'Halal 350 BN Pimenté'!B11</f>
        <v>0.45</v>
      </c>
      <c r="AD19" s="590">
        <f t="shared" ref="AD19:AD24" si="15">AD18+AC19</f>
        <v>4.2</v>
      </c>
      <c r="AE19" s="529" t="s">
        <v>254</v>
      </c>
      <c r="AF19" s="566">
        <f t="shared" si="4"/>
        <v>0.27855153203342614</v>
      </c>
      <c r="AH19" s="526" t="s">
        <v>17</v>
      </c>
      <c r="AI19" s="614">
        <f>'Halrizo 200 + GP '!L12</f>
        <v>0.3</v>
      </c>
      <c r="AJ19" s="631">
        <f t="shared" si="10"/>
        <v>4.05</v>
      </c>
      <c r="AK19" s="527" t="s">
        <v>254</v>
      </c>
      <c r="AL19" s="507">
        <f t="shared" si="5"/>
        <v>0.17980221756068326</v>
      </c>
      <c r="AN19" s="526" t="s">
        <v>17</v>
      </c>
      <c r="AO19" s="614">
        <f>'Halal G.P - 200 et BN '!B12</f>
        <v>0.45</v>
      </c>
      <c r="AP19" s="631">
        <f>AP18+AO19</f>
        <v>4.71</v>
      </c>
      <c r="AQ19" s="527" t="s">
        <v>254</v>
      </c>
      <c r="AR19" s="507">
        <f t="shared" si="2"/>
        <v>0.27950310559006208</v>
      </c>
    </row>
    <row r="20" spans="1:44" ht="19.5" customHeight="1" thickBot="1" x14ac:dyDescent="0.75">
      <c r="A20" s="37" t="s">
        <v>11</v>
      </c>
      <c r="B20" s="42">
        <v>1</v>
      </c>
      <c r="C20" s="43" t="s">
        <v>34</v>
      </c>
      <c r="D20" s="44">
        <f t="shared" si="0"/>
        <v>0</v>
      </c>
      <c r="F20" s="129" t="s">
        <v>42</v>
      </c>
      <c r="G20" s="47">
        <v>12</v>
      </c>
      <c r="H20" s="48" t="s">
        <v>33</v>
      </c>
      <c r="I20" s="538">
        <f>G20*$I$19</f>
        <v>0</v>
      </c>
      <c r="J20" s="510" t="s">
        <v>18</v>
      </c>
      <c r="K20" s="587">
        <f>'Halal G.P - 200 et BN '!J13</f>
        <v>0.15</v>
      </c>
      <c r="L20" s="587">
        <f t="shared" si="13"/>
        <v>4.8600000000000003</v>
      </c>
      <c r="M20" s="513" t="s">
        <v>254</v>
      </c>
      <c r="N20" s="568">
        <f t="shared" si="3"/>
        <v>9.3167701863354033E-2</v>
      </c>
      <c r="P20" s="510" t="s">
        <v>5</v>
      </c>
      <c r="Q20" s="587">
        <f>'Halrizo 200 + GP '!W13</f>
        <v>0.08</v>
      </c>
      <c r="R20" s="587">
        <f t="shared" si="14"/>
        <v>4.13</v>
      </c>
      <c r="S20" s="513" t="s">
        <v>254</v>
      </c>
      <c r="T20" s="568">
        <f t="shared" si="6"/>
        <v>4.7968820266826563E-2</v>
      </c>
      <c r="V20" s="510" t="s">
        <v>18</v>
      </c>
      <c r="W20" s="587">
        <f>'Halal G.P - 200 et BN '!R13</f>
        <v>0.15</v>
      </c>
      <c r="X20" s="587">
        <f t="shared" si="12"/>
        <v>4.8600000000000003</v>
      </c>
      <c r="Y20" s="513" t="s">
        <v>254</v>
      </c>
      <c r="Z20" s="568">
        <f t="shared" si="9"/>
        <v>9.3167701863354033E-2</v>
      </c>
      <c r="AB20" s="510" t="s">
        <v>18</v>
      </c>
      <c r="AC20" s="587">
        <f>'Halal 350 BN Pimenté'!B12</f>
        <v>0.15</v>
      </c>
      <c r="AD20" s="587">
        <f>AD19+AC20</f>
        <v>4.3500000000000005</v>
      </c>
      <c r="AE20" s="513" t="s">
        <v>254</v>
      </c>
      <c r="AF20" s="568">
        <f t="shared" si="4"/>
        <v>9.2850510677808723E-2</v>
      </c>
      <c r="AH20" s="510" t="s">
        <v>5</v>
      </c>
      <c r="AI20" s="615">
        <f>'Halrizo 200 + GP '!L13</f>
        <v>0.08</v>
      </c>
      <c r="AJ20" s="628">
        <f t="shared" si="10"/>
        <v>4.13</v>
      </c>
      <c r="AK20" s="530" t="s">
        <v>254</v>
      </c>
      <c r="AL20" s="521">
        <f t="shared" si="5"/>
        <v>4.7947258016182201E-2</v>
      </c>
      <c r="AN20" s="510" t="s">
        <v>18</v>
      </c>
      <c r="AO20" s="615">
        <f>+'Halal G.P - 200 et BN '!B13</f>
        <v>0.15</v>
      </c>
      <c r="AP20" s="628">
        <f>AP19+AO20</f>
        <v>4.8600000000000003</v>
      </c>
      <c r="AQ20" s="530" t="s">
        <v>254</v>
      </c>
      <c r="AR20" s="521">
        <f t="shared" si="2"/>
        <v>9.3167701863354033E-2</v>
      </c>
    </row>
    <row r="21" spans="1:44" ht="23.4" thickBot="1" x14ac:dyDescent="0.75">
      <c r="A21" s="4"/>
      <c r="F21" s="131" t="s">
        <v>134</v>
      </c>
      <c r="G21" s="108">
        <v>1</v>
      </c>
      <c r="H21" s="109" t="s">
        <v>34</v>
      </c>
      <c r="I21" s="541">
        <f>G21*$I$19</f>
        <v>0</v>
      </c>
      <c r="J21" s="526" t="s">
        <v>5</v>
      </c>
      <c r="K21" s="590">
        <f>'Halal G.P - 200 et BN '!J14</f>
        <v>0.12</v>
      </c>
      <c r="L21" s="590">
        <f t="shared" si="13"/>
        <v>4.9800000000000004</v>
      </c>
      <c r="M21" s="529" t="s">
        <v>254</v>
      </c>
      <c r="N21" s="566">
        <f t="shared" si="3"/>
        <v>7.4534161490683232E-2</v>
      </c>
      <c r="P21" s="526" t="s">
        <v>384</v>
      </c>
      <c r="Q21" s="590">
        <f>'Halrizo 200 + GP '!W14</f>
        <v>0.75</v>
      </c>
      <c r="R21" s="590">
        <f>R20+Q21</f>
        <v>4.88</v>
      </c>
      <c r="S21" s="529" t="s">
        <v>254</v>
      </c>
      <c r="T21" s="566">
        <f t="shared" si="6"/>
        <v>0.44970769000149902</v>
      </c>
      <c r="V21" s="526" t="s">
        <v>5</v>
      </c>
      <c r="W21" s="590">
        <f>'Halal G.P - 200 et BN '!R14</f>
        <v>0.12</v>
      </c>
      <c r="X21" s="590">
        <f>X20+W21</f>
        <v>4.9800000000000004</v>
      </c>
      <c r="Y21" s="529" t="s">
        <v>254</v>
      </c>
      <c r="Z21" s="566">
        <f>W21*100/($W$9+SUM($W$13:$W$26))</f>
        <v>7.4534161490683232E-2</v>
      </c>
      <c r="AB21" s="526" t="s">
        <v>5</v>
      </c>
      <c r="AC21" s="590">
        <f>'Halal 350 BN Pimenté'!B13</f>
        <v>0.08</v>
      </c>
      <c r="AD21" s="590">
        <f>AD20+AC21</f>
        <v>4.4300000000000006</v>
      </c>
      <c r="AE21" s="529" t="s">
        <v>254</v>
      </c>
      <c r="AF21" s="566">
        <f t="shared" si="4"/>
        <v>4.9520272361497981E-2</v>
      </c>
      <c r="AH21" s="526" t="s">
        <v>384</v>
      </c>
      <c r="AI21" s="614">
        <f>'Halrizo 200 + GP '!L14</f>
        <v>0.75</v>
      </c>
      <c r="AJ21" s="631">
        <f t="shared" si="10"/>
        <v>4.88</v>
      </c>
      <c r="AK21" s="527" t="s">
        <v>254</v>
      </c>
      <c r="AL21" s="507">
        <f t="shared" si="5"/>
        <v>0.44950554390170816</v>
      </c>
      <c r="AN21" s="616" t="s">
        <v>5</v>
      </c>
      <c r="AO21" s="617">
        <f>'Halal G.P - 200 et BN '!B14</f>
        <v>0.12</v>
      </c>
      <c r="AP21" s="631">
        <f>AP20+AO21</f>
        <v>4.9800000000000004</v>
      </c>
      <c r="AQ21" s="618" t="s">
        <v>254</v>
      </c>
      <c r="AR21" s="619">
        <f t="shared" si="2"/>
        <v>7.4534161490683232E-2</v>
      </c>
    </row>
    <row r="22" spans="1:44" ht="18.75" customHeight="1" x14ac:dyDescent="0.7">
      <c r="A22" s="543"/>
      <c r="F22" s="544"/>
      <c r="G22" s="545"/>
      <c r="H22" s="546"/>
      <c r="I22" s="547"/>
      <c r="J22" s="510" t="s">
        <v>384</v>
      </c>
      <c r="K22" s="587">
        <f>'Halal G.P - 200 et BN '!J15</f>
        <v>0.75</v>
      </c>
      <c r="L22" s="587">
        <f t="shared" si="13"/>
        <v>5.73</v>
      </c>
      <c r="M22" s="513" t="s">
        <v>254</v>
      </c>
      <c r="N22" s="568">
        <f t="shared" si="3"/>
        <v>0.46583850931677018</v>
      </c>
      <c r="P22" s="510" t="s">
        <v>6</v>
      </c>
      <c r="Q22" s="587">
        <f>'Halrizo 200 + GP '!W15</f>
        <v>0.75</v>
      </c>
      <c r="R22" s="587">
        <f t="shared" si="14"/>
        <v>5.63</v>
      </c>
      <c r="S22" s="513" t="s">
        <v>254</v>
      </c>
      <c r="T22" s="568">
        <f>Q22*100/($Q$9+SUM($Q$13:$Q$27))</f>
        <v>0.44970769000149902</v>
      </c>
      <c r="V22" s="510" t="s">
        <v>384</v>
      </c>
      <c r="W22" s="587">
        <f>'Halal G.P - 200 et BN '!R15</f>
        <v>0.75</v>
      </c>
      <c r="X22" s="587">
        <f>X21+W22</f>
        <v>5.73</v>
      </c>
      <c r="Y22" s="513" t="s">
        <v>254</v>
      </c>
      <c r="Z22" s="568">
        <f t="shared" si="9"/>
        <v>0.46583850931677018</v>
      </c>
      <c r="AB22" s="510" t="s">
        <v>384</v>
      </c>
      <c r="AC22" s="587">
        <f>'Halal 350 BN Pimenté'!B14</f>
        <v>0.75</v>
      </c>
      <c r="AD22" s="587">
        <f t="shared" si="15"/>
        <v>5.1800000000000006</v>
      </c>
      <c r="AE22" s="513" t="s">
        <v>254</v>
      </c>
      <c r="AF22" s="568">
        <f t="shared" si="4"/>
        <v>0.46425255338904359</v>
      </c>
      <c r="AH22" s="510" t="s">
        <v>6</v>
      </c>
      <c r="AI22" s="615">
        <f>'Halrizo 200 + GP '!L15</f>
        <v>0.75</v>
      </c>
      <c r="AJ22" s="628">
        <f t="shared" si="10"/>
        <v>5.63</v>
      </c>
      <c r="AK22" s="530" t="s">
        <v>254</v>
      </c>
      <c r="AL22" s="521">
        <f t="shared" si="5"/>
        <v>0.44950554390170816</v>
      </c>
      <c r="AN22" s="510" t="s">
        <v>384</v>
      </c>
      <c r="AO22" s="615">
        <f>'Halal G.P - 200 et BN '!B15</f>
        <v>0.75</v>
      </c>
      <c r="AP22" s="628">
        <f>AP21+AO22</f>
        <v>5.73</v>
      </c>
      <c r="AQ22" s="530" t="s">
        <v>254</v>
      </c>
      <c r="AR22" s="521">
        <f t="shared" si="2"/>
        <v>0.46583850931677018</v>
      </c>
    </row>
    <row r="23" spans="1:44" ht="18.75" customHeight="1" x14ac:dyDescent="0.7">
      <c r="A23" s="5"/>
      <c r="F23" s="532"/>
      <c r="J23" s="526" t="s">
        <v>10</v>
      </c>
      <c r="K23" s="590">
        <f>'Halal G.P - 200 et BN '!J16</f>
        <v>7.4999999999999997E-2</v>
      </c>
      <c r="L23" s="590">
        <f t="shared" si="13"/>
        <v>5.8050000000000006</v>
      </c>
      <c r="M23" s="529" t="s">
        <v>254</v>
      </c>
      <c r="N23" s="566">
        <f t="shared" si="3"/>
        <v>4.6583850931677016E-2</v>
      </c>
      <c r="P23" s="526" t="s">
        <v>7</v>
      </c>
      <c r="Q23" s="590">
        <f>'Halrizo 200 + GP '!W16</f>
        <v>6</v>
      </c>
      <c r="R23" s="590">
        <f t="shared" si="14"/>
        <v>11.629999999999999</v>
      </c>
      <c r="S23" s="529" t="s">
        <v>254</v>
      </c>
      <c r="T23" s="566">
        <f t="shared" si="6"/>
        <v>3.5976615200119921</v>
      </c>
      <c r="V23" s="526" t="s">
        <v>10</v>
      </c>
      <c r="W23" s="590">
        <f>'Halal G.P - 200 et BN '!R16</f>
        <v>7.4999999999999997E-2</v>
      </c>
      <c r="X23" s="590">
        <f t="shared" si="12"/>
        <v>5.8050000000000006</v>
      </c>
      <c r="Y23" s="529" t="s">
        <v>254</v>
      </c>
      <c r="Z23" s="566">
        <f t="shared" si="9"/>
        <v>4.6583850931677016E-2</v>
      </c>
      <c r="AB23" s="526" t="s">
        <v>6</v>
      </c>
      <c r="AC23" s="590">
        <v>1.3</v>
      </c>
      <c r="AD23" s="590">
        <f t="shared" si="15"/>
        <v>6.48</v>
      </c>
      <c r="AE23" s="529" t="s">
        <v>254</v>
      </c>
      <c r="AF23" s="566">
        <f t="shared" si="4"/>
        <v>0.80470442587434221</v>
      </c>
      <c r="AH23" s="526" t="s">
        <v>7</v>
      </c>
      <c r="AI23" s="614">
        <f>'Halrizo 200 + GP '!L16</f>
        <v>6</v>
      </c>
      <c r="AJ23" s="631">
        <f t="shared" si="10"/>
        <v>11.629999999999999</v>
      </c>
      <c r="AK23" s="527" t="s">
        <v>254</v>
      </c>
      <c r="AL23" s="507">
        <f t="shared" si="5"/>
        <v>3.5960443512136653</v>
      </c>
      <c r="AN23" s="616" t="s">
        <v>10</v>
      </c>
      <c r="AO23" s="617">
        <f>'Halal G.P - 200 et BN '!B16</f>
        <v>7.4999999999999997E-2</v>
      </c>
      <c r="AP23" s="631">
        <f t="shared" ref="AP23:AP24" si="16">AP22+AO23</f>
        <v>5.8050000000000006</v>
      </c>
      <c r="AQ23" s="618" t="s">
        <v>254</v>
      </c>
      <c r="AR23" s="619">
        <f t="shared" si="2"/>
        <v>4.6583850931677016E-2</v>
      </c>
    </row>
    <row r="24" spans="1:44" ht="19.5" customHeight="1" x14ac:dyDescent="0.7">
      <c r="F24" s="532"/>
      <c r="J24" s="510" t="s">
        <v>9</v>
      </c>
      <c r="K24" s="587">
        <f>'Halal G.P - 200 et BN '!J17</f>
        <v>0.22500000000000001</v>
      </c>
      <c r="L24" s="587">
        <f t="shared" si="13"/>
        <v>6.03</v>
      </c>
      <c r="M24" s="513" t="s">
        <v>254</v>
      </c>
      <c r="N24" s="568">
        <f t="shared" si="3"/>
        <v>0.13975155279503104</v>
      </c>
      <c r="P24" s="510" t="s">
        <v>8</v>
      </c>
      <c r="Q24" s="587">
        <f>'Halrizo 200 + GP '!W17</f>
        <v>0.2</v>
      </c>
      <c r="R24" s="587">
        <f t="shared" si="14"/>
        <v>11.829999999999998</v>
      </c>
      <c r="S24" s="513" t="s">
        <v>254</v>
      </c>
      <c r="T24" s="568">
        <f t="shared" si="6"/>
        <v>0.1199220506670664</v>
      </c>
      <c r="V24" s="510" t="s">
        <v>9</v>
      </c>
      <c r="W24" s="587">
        <f>'Halal G.P - 200 et BN '!R17</f>
        <v>0.22500000000000001</v>
      </c>
      <c r="X24" s="587">
        <f>X23+W24</f>
        <v>6.03</v>
      </c>
      <c r="Y24" s="513" t="s">
        <v>254</v>
      </c>
      <c r="Z24" s="568">
        <f t="shared" si="9"/>
        <v>0.13975155279503104</v>
      </c>
      <c r="AB24" s="510" t="s">
        <v>436</v>
      </c>
      <c r="AC24" s="587">
        <f>'Halal 350 BN Pimenté'!B16</f>
        <v>0.15</v>
      </c>
      <c r="AD24" s="587">
        <f t="shared" si="15"/>
        <v>6.6300000000000008</v>
      </c>
      <c r="AE24" s="513" t="s">
        <v>254</v>
      </c>
      <c r="AF24" s="568">
        <f t="shared" si="4"/>
        <v>9.2850510677808723E-2</v>
      </c>
      <c r="AH24" s="534" t="s">
        <v>8</v>
      </c>
      <c r="AI24" s="615">
        <f>'Halrizo 200 + GP '!L17</f>
        <v>0.2</v>
      </c>
      <c r="AJ24" s="628">
        <f t="shared" si="10"/>
        <v>11.829999999999998</v>
      </c>
      <c r="AK24" s="530" t="s">
        <v>254</v>
      </c>
      <c r="AL24" s="521">
        <f t="shared" si="5"/>
        <v>0.11986814504045551</v>
      </c>
      <c r="AN24" s="510" t="s">
        <v>9</v>
      </c>
      <c r="AO24" s="615">
        <f>'Halal G.P - 200 et BN '!B17</f>
        <v>0.22500000000000001</v>
      </c>
      <c r="AP24" s="628">
        <f t="shared" si="16"/>
        <v>6.03</v>
      </c>
      <c r="AQ24" s="530" t="s">
        <v>254</v>
      </c>
      <c r="AR24" s="521">
        <f t="shared" si="2"/>
        <v>0.13975155279503104</v>
      </c>
    </row>
    <row r="25" spans="1:44" ht="19.5" customHeight="1" thickBot="1" x14ac:dyDescent="0.75">
      <c r="F25" s="532"/>
      <c r="J25" s="526" t="s">
        <v>6</v>
      </c>
      <c r="K25" s="590">
        <f>'Halal G.P - 200 et BN '!J18</f>
        <v>0.15</v>
      </c>
      <c r="L25" s="590">
        <f t="shared" si="13"/>
        <v>6.1800000000000006</v>
      </c>
      <c r="M25" s="529" t="s">
        <v>254</v>
      </c>
      <c r="N25" s="566">
        <f t="shared" si="3"/>
        <v>9.3167701863354033E-2</v>
      </c>
      <c r="P25" s="592" t="s">
        <v>9</v>
      </c>
      <c r="Q25" s="593">
        <f>'Halrizo 200 + GP '!W18</f>
        <v>0.2</v>
      </c>
      <c r="R25" s="590">
        <f t="shared" si="14"/>
        <v>12.029999999999998</v>
      </c>
      <c r="S25" s="594" t="s">
        <v>254</v>
      </c>
      <c r="T25" s="566">
        <f t="shared" si="6"/>
        <v>0.1199220506670664</v>
      </c>
      <c r="V25" s="592" t="s">
        <v>6</v>
      </c>
      <c r="W25" s="593">
        <f>'Halal G.P - 200 et BN '!R18</f>
        <v>0.15</v>
      </c>
      <c r="X25" s="590">
        <f>X24+W25</f>
        <v>6.1800000000000006</v>
      </c>
      <c r="Y25" s="594" t="s">
        <v>254</v>
      </c>
      <c r="Z25" s="566">
        <f t="shared" si="9"/>
        <v>9.3167701863354033E-2</v>
      </c>
      <c r="AB25" s="517" t="s">
        <v>9</v>
      </c>
      <c r="AC25" s="588">
        <f>'Halal 350 BN Pimenté'!B17</f>
        <v>0.4</v>
      </c>
      <c r="AD25" s="634">
        <f>AD24+AC25</f>
        <v>7.0300000000000011</v>
      </c>
      <c r="AE25" s="515" t="s">
        <v>254</v>
      </c>
      <c r="AF25" s="582">
        <f t="shared" si="4"/>
        <v>0.24760136180748993</v>
      </c>
      <c r="AH25" s="601" t="s">
        <v>9</v>
      </c>
      <c r="AI25" s="614">
        <f>'Halrizo 200 + GP '!L18</f>
        <v>0.2</v>
      </c>
      <c r="AJ25" s="631">
        <f t="shared" si="10"/>
        <v>12.029999999999998</v>
      </c>
      <c r="AK25" s="527" t="s">
        <v>254</v>
      </c>
      <c r="AL25" s="507">
        <f t="shared" si="5"/>
        <v>0.11986814504045551</v>
      </c>
      <c r="AN25" s="620" t="s">
        <v>6</v>
      </c>
      <c r="AO25" s="617">
        <f>'Halal G.P - 200 et BN '!B18</f>
        <v>0.15</v>
      </c>
      <c r="AP25" s="631">
        <f>AP24+AO25</f>
        <v>6.1800000000000006</v>
      </c>
      <c r="AQ25" s="618" t="s">
        <v>254</v>
      </c>
      <c r="AR25" s="619">
        <f t="shared" si="2"/>
        <v>9.3167701863354033E-2</v>
      </c>
    </row>
    <row r="26" spans="1:44" ht="24" thickTop="1" thickBot="1" x14ac:dyDescent="0.75">
      <c r="F26" s="559"/>
      <c r="G26" s="560"/>
      <c r="H26" s="561"/>
      <c r="I26" s="560"/>
      <c r="J26" s="580" t="s">
        <v>261</v>
      </c>
      <c r="K26" s="591">
        <f>'Halal G.P - 200 et BN '!J20</f>
        <v>0.3</v>
      </c>
      <c r="L26" s="635">
        <f t="shared" si="13"/>
        <v>6.48</v>
      </c>
      <c r="M26" s="581" t="s">
        <v>254</v>
      </c>
      <c r="N26" s="583">
        <f t="shared" si="3"/>
        <v>0.18633540372670807</v>
      </c>
      <c r="P26" s="595" t="s">
        <v>10</v>
      </c>
      <c r="Q26" s="596">
        <f>'Halrizo 200 + GP '!W19</f>
        <v>0.15</v>
      </c>
      <c r="R26" s="587">
        <f t="shared" ref="R26" si="17">R25+Q26</f>
        <v>12.179999999999998</v>
      </c>
      <c r="S26" s="597" t="s">
        <v>254</v>
      </c>
      <c r="T26" s="568">
        <f t="shared" si="6"/>
        <v>8.9941538000299803E-2</v>
      </c>
      <c r="V26" s="580" t="s">
        <v>261</v>
      </c>
      <c r="W26" s="591">
        <f>'Halal G.P - 200 et BN '!R20</f>
        <v>0.3</v>
      </c>
      <c r="X26" s="635">
        <f>X25+W26</f>
        <v>6.48</v>
      </c>
      <c r="Y26" s="599" t="s">
        <v>254</v>
      </c>
      <c r="Z26" s="583">
        <f t="shared" si="9"/>
        <v>0.18633540372670807</v>
      </c>
      <c r="AB26" s="539" t="s">
        <v>431</v>
      </c>
      <c r="AC26" s="598">
        <f>'Halal 350 BN Pimenté'!B18</f>
        <v>2</v>
      </c>
      <c r="AD26" s="637">
        <f>AC26</f>
        <v>2</v>
      </c>
      <c r="AE26" s="523" t="s">
        <v>254</v>
      </c>
      <c r="AF26" s="568"/>
      <c r="AH26" s="534" t="s">
        <v>10</v>
      </c>
      <c r="AI26" s="615">
        <f>'Halrizo 200 + GP '!L19</f>
        <v>0.15</v>
      </c>
      <c r="AJ26" s="628">
        <f t="shared" si="10"/>
        <v>12.179999999999998</v>
      </c>
      <c r="AK26" s="530" t="s">
        <v>254</v>
      </c>
      <c r="AL26" s="521">
        <f t="shared" si="5"/>
        <v>8.9901108780341632E-2</v>
      </c>
      <c r="AN26" s="624" t="s">
        <v>261</v>
      </c>
      <c r="AO26" s="625">
        <f>'Halal G.P - 200 et BN '!B20</f>
        <v>0.3</v>
      </c>
      <c r="AP26" s="641">
        <f>AP25+AO26</f>
        <v>6.48</v>
      </c>
      <c r="AQ26" s="581" t="s">
        <v>254</v>
      </c>
      <c r="AR26" s="626">
        <f t="shared" si="2"/>
        <v>0.18633540372670807</v>
      </c>
    </row>
    <row r="27" spans="1:44" ht="23.4" thickBot="1" x14ac:dyDescent="0.75">
      <c r="J27" s="578" t="s">
        <v>431</v>
      </c>
      <c r="K27" s="506">
        <f>'Halal G.P - 200 et BN '!J19</f>
        <v>2</v>
      </c>
      <c r="L27" s="636">
        <f>K27</f>
        <v>2</v>
      </c>
      <c r="M27" s="579" t="s">
        <v>421</v>
      </c>
      <c r="N27" s="566"/>
      <c r="P27" s="517" t="s">
        <v>322</v>
      </c>
      <c r="Q27" s="588">
        <f>'Halrizo 200 + GP '!W20</f>
        <v>7.4999999999999997E-2</v>
      </c>
      <c r="R27" s="634">
        <f>R26+Q27</f>
        <v>12.254999999999997</v>
      </c>
      <c r="S27" s="537" t="s">
        <v>254</v>
      </c>
      <c r="T27" s="582">
        <f t="shared" si="6"/>
        <v>4.4970769000149902E-2</v>
      </c>
      <c r="V27" s="578" t="s">
        <v>431</v>
      </c>
      <c r="W27" s="600">
        <f>'Halal G.P - 200 et BN '!R19</f>
        <v>2</v>
      </c>
      <c r="X27" s="636">
        <f>W27</f>
        <v>2</v>
      </c>
      <c r="Y27" s="579" t="s">
        <v>421</v>
      </c>
      <c r="Z27" s="566"/>
      <c r="AB27" s="584" t="s">
        <v>427</v>
      </c>
      <c r="AH27" s="536" t="s">
        <v>322</v>
      </c>
      <c r="AI27" s="612">
        <f>'Halrizo 200 + GP '!L20</f>
        <v>0.15</v>
      </c>
      <c r="AJ27" s="638">
        <f t="shared" si="10"/>
        <v>12.329999999999998</v>
      </c>
      <c r="AK27" s="537" t="s">
        <v>254</v>
      </c>
      <c r="AL27" s="516">
        <f t="shared" si="5"/>
        <v>8.9901108780341632E-2</v>
      </c>
      <c r="AN27" s="621" t="s">
        <v>386</v>
      </c>
      <c r="AO27" s="633">
        <f>'Halal G.P - 200 et BN '!B19</f>
        <v>2</v>
      </c>
      <c r="AP27" s="640">
        <v>2</v>
      </c>
      <c r="AQ27" s="622" t="s">
        <v>421</v>
      </c>
      <c r="AR27" s="623"/>
    </row>
    <row r="28" spans="1:44" ht="75.599999999999994" thickTop="1" thickBot="1" x14ac:dyDescent="0.75">
      <c r="J28" s="853" t="s">
        <v>534</v>
      </c>
      <c r="L28" s="1"/>
      <c r="M28" s="1"/>
      <c r="O28" s="562"/>
      <c r="P28" s="539" t="s">
        <v>431</v>
      </c>
      <c r="Q28" s="598">
        <f>'Halrizo 200 + GP '!W21</f>
        <v>2</v>
      </c>
      <c r="R28" s="637">
        <f>Q28</f>
        <v>2</v>
      </c>
      <c r="S28" s="540" t="s">
        <v>421</v>
      </c>
      <c r="T28" s="568"/>
      <c r="V28" s="584" t="s">
        <v>427</v>
      </c>
      <c r="AH28" s="602" t="s">
        <v>386</v>
      </c>
      <c r="AI28" s="632">
        <f>'Halrizo 200 + GP '!L21</f>
        <v>2</v>
      </c>
      <c r="AJ28" s="639">
        <v>2</v>
      </c>
      <c r="AK28" s="605" t="s">
        <v>421</v>
      </c>
      <c r="AL28" s="604"/>
      <c r="AN28" s="23" t="s">
        <v>427</v>
      </c>
      <c r="AP28" s="498"/>
      <c r="AQ28" s="23"/>
      <c r="AR28" s="603"/>
    </row>
    <row r="29" spans="1:44" x14ac:dyDescent="0.7">
      <c r="O29" s="562"/>
      <c r="P29" s="584" t="s">
        <v>427</v>
      </c>
      <c r="AH29" s="23" t="s">
        <v>427</v>
      </c>
      <c r="AJ29" s="498"/>
      <c r="AK29" s="23"/>
      <c r="AL29" s="603"/>
    </row>
    <row r="31" spans="1:44" ht="23.4" thickBot="1" x14ac:dyDescent="0.75"/>
    <row r="32" spans="1:44" ht="30.6" thickBot="1" x14ac:dyDescent="0.95">
      <c r="J32" s="642" t="s">
        <v>442</v>
      </c>
    </row>
    <row r="34" spans="1:38" ht="23.4" thickBot="1" x14ac:dyDescent="0.75">
      <c r="J34" s="585" t="s">
        <v>446</v>
      </c>
      <c r="P34" s="585" t="s">
        <v>447</v>
      </c>
      <c r="R34" s="498"/>
      <c r="S34" s="23"/>
      <c r="V34" s="585" t="s">
        <v>448</v>
      </c>
      <c r="X34" s="498"/>
      <c r="Y34" s="23"/>
      <c r="AB34" s="585" t="s">
        <v>527</v>
      </c>
      <c r="AD34" s="498"/>
      <c r="AE34" s="23"/>
      <c r="AH34" s="585" t="s">
        <v>451</v>
      </c>
      <c r="AJ34" s="498"/>
      <c r="AK34" s="23"/>
    </row>
    <row r="35" spans="1:38" ht="23.4" thickBot="1" x14ac:dyDescent="0.75">
      <c r="J35" s="1107" t="s">
        <v>443</v>
      </c>
      <c r="K35" s="1108"/>
      <c r="L35" s="1108"/>
      <c r="M35" s="1108"/>
      <c r="N35" s="1109"/>
      <c r="P35" s="1107" t="s">
        <v>445</v>
      </c>
      <c r="Q35" s="1108"/>
      <c r="R35" s="1108"/>
      <c r="S35" s="1108"/>
      <c r="T35" s="1109"/>
      <c r="V35" s="1107" t="s">
        <v>449</v>
      </c>
      <c r="W35" s="1108"/>
      <c r="X35" s="1108"/>
      <c r="Y35" s="1108"/>
      <c r="Z35" s="1109"/>
      <c r="AB35" s="1107" t="s">
        <v>450</v>
      </c>
      <c r="AC35" s="1108"/>
      <c r="AD35" s="1108"/>
      <c r="AE35" s="1108"/>
      <c r="AF35" s="1109"/>
      <c r="AH35" s="1107" t="s">
        <v>452</v>
      </c>
      <c r="AI35" s="1108"/>
      <c r="AJ35" s="1108"/>
      <c r="AK35" s="1108"/>
      <c r="AL35" s="1109"/>
    </row>
    <row r="36" spans="1:38" ht="46.2" thickBot="1" x14ac:dyDescent="0.75">
      <c r="J36" s="500" t="s">
        <v>422</v>
      </c>
      <c r="K36" s="501" t="s">
        <v>320</v>
      </c>
      <c r="L36" s="501" t="s">
        <v>321</v>
      </c>
      <c r="M36" s="502" t="s">
        <v>420</v>
      </c>
      <c r="N36" s="542" t="s">
        <v>415</v>
      </c>
      <c r="P36" s="500" t="s">
        <v>422</v>
      </c>
      <c r="Q36" s="501" t="s">
        <v>320</v>
      </c>
      <c r="R36" s="501" t="s">
        <v>321</v>
      </c>
      <c r="S36" s="502" t="s">
        <v>420</v>
      </c>
      <c r="T36" s="542" t="s">
        <v>415</v>
      </c>
      <c r="V36" s="500" t="s">
        <v>422</v>
      </c>
      <c r="W36" s="501" t="s">
        <v>320</v>
      </c>
      <c r="X36" s="501" t="s">
        <v>321</v>
      </c>
      <c r="Y36" s="502" t="s">
        <v>420</v>
      </c>
      <c r="Z36" s="542" t="s">
        <v>415</v>
      </c>
      <c r="AB36" s="500" t="s">
        <v>422</v>
      </c>
      <c r="AC36" s="501" t="s">
        <v>320</v>
      </c>
      <c r="AD36" s="501" t="s">
        <v>321</v>
      </c>
      <c r="AE36" s="502" t="s">
        <v>420</v>
      </c>
      <c r="AF36" s="542" t="s">
        <v>415</v>
      </c>
      <c r="AH36" s="500" t="s">
        <v>422</v>
      </c>
      <c r="AI36" s="501" t="s">
        <v>320</v>
      </c>
      <c r="AJ36" s="501" t="s">
        <v>321</v>
      </c>
      <c r="AK36" s="502" t="s">
        <v>420</v>
      </c>
      <c r="AL36" s="542" t="s">
        <v>415</v>
      </c>
    </row>
    <row r="37" spans="1:38" x14ac:dyDescent="0.7">
      <c r="J37" s="649" t="s">
        <v>444</v>
      </c>
      <c r="K37" s="650">
        <f>'Recette viandes'!B21</f>
        <v>135</v>
      </c>
      <c r="L37" s="651">
        <f>K37</f>
        <v>135</v>
      </c>
      <c r="M37" s="652" t="s">
        <v>254</v>
      </c>
      <c r="N37" s="507">
        <f>K37*100/$K$39</f>
        <v>90</v>
      </c>
      <c r="P37" s="649" t="s">
        <v>444</v>
      </c>
      <c r="Q37" s="650">
        <f>'Recette viandes'!B21</f>
        <v>135</v>
      </c>
      <c r="R37" s="651">
        <f>Q37</f>
        <v>135</v>
      </c>
      <c r="S37" s="652" t="s">
        <v>254</v>
      </c>
      <c r="T37" s="507">
        <f>Q37*100/Q39</f>
        <v>90</v>
      </c>
      <c r="V37" s="649" t="s">
        <v>444</v>
      </c>
      <c r="W37" s="650">
        <f>'Recette viandes'!B21</f>
        <v>135</v>
      </c>
      <c r="X37" s="651">
        <f>W37</f>
        <v>135</v>
      </c>
      <c r="Y37" s="652" t="s">
        <v>254</v>
      </c>
      <c r="Z37" s="507">
        <f>W37*100/W39</f>
        <v>90</v>
      </c>
      <c r="AB37" s="649" t="s">
        <v>444</v>
      </c>
      <c r="AC37" s="650">
        <f>'Recette viandes'!B21</f>
        <v>135</v>
      </c>
      <c r="AD37" s="651">
        <f>AC37</f>
        <v>135</v>
      </c>
      <c r="AE37" s="652" t="s">
        <v>254</v>
      </c>
      <c r="AF37" s="507">
        <f>AC37*100/AC39</f>
        <v>90</v>
      </c>
      <c r="AH37" s="649" t="s">
        <v>444</v>
      </c>
      <c r="AI37" s="650">
        <f>'Recette viandes'!B21</f>
        <v>135</v>
      </c>
      <c r="AJ37" s="651">
        <f>AI37</f>
        <v>135</v>
      </c>
      <c r="AK37" s="652" t="s">
        <v>254</v>
      </c>
      <c r="AL37" s="507">
        <f>AI37*100/AI39</f>
        <v>90</v>
      </c>
    </row>
    <row r="38" spans="1:38" ht="23.4" thickBot="1" x14ac:dyDescent="0.75">
      <c r="J38" s="554" t="s">
        <v>454</v>
      </c>
      <c r="K38" s="653">
        <f>'Recette viandes'!B23</f>
        <v>15</v>
      </c>
      <c r="L38" s="556">
        <f>L37+K38</f>
        <v>150</v>
      </c>
      <c r="M38" s="597" t="s">
        <v>254</v>
      </c>
      <c r="N38" s="654">
        <f>K38*100/$K$39</f>
        <v>10</v>
      </c>
      <c r="P38" s="554" t="s">
        <v>454</v>
      </c>
      <c r="Q38" s="653">
        <f>'Recette viandes'!B23</f>
        <v>15</v>
      </c>
      <c r="R38" s="556">
        <f>R37+Q38</f>
        <v>150</v>
      </c>
      <c r="S38" s="597" t="s">
        <v>254</v>
      </c>
      <c r="T38" s="654">
        <f>Q38*100/Q39</f>
        <v>10</v>
      </c>
      <c r="V38" s="554" t="s">
        <v>454</v>
      </c>
      <c r="W38" s="653">
        <f>'Recette viandes'!B23</f>
        <v>15</v>
      </c>
      <c r="X38" s="556">
        <f>X37+W38</f>
        <v>150</v>
      </c>
      <c r="Y38" s="597" t="s">
        <v>254</v>
      </c>
      <c r="Z38" s="654">
        <f>W38*100/W39</f>
        <v>10</v>
      </c>
      <c r="AB38" s="554" t="s">
        <v>454</v>
      </c>
      <c r="AC38" s="653">
        <f>'Recette viandes'!B23</f>
        <v>15</v>
      </c>
      <c r="AD38" s="556">
        <f>AD37+AC38</f>
        <v>150</v>
      </c>
      <c r="AE38" s="597" t="s">
        <v>254</v>
      </c>
      <c r="AF38" s="654">
        <f>AC38*100/AC39</f>
        <v>10</v>
      </c>
      <c r="AH38" s="554" t="s">
        <v>454</v>
      </c>
      <c r="AI38" s="653">
        <f>'Recette viandes'!B23</f>
        <v>15</v>
      </c>
      <c r="AJ38" s="556">
        <f>AJ37+AI38</f>
        <v>150</v>
      </c>
      <c r="AK38" s="597" t="s">
        <v>254</v>
      </c>
      <c r="AL38" s="654">
        <f>AI38*100/AI39</f>
        <v>10</v>
      </c>
    </row>
    <row r="39" spans="1:38" ht="23.4" thickBot="1" x14ac:dyDescent="0.75">
      <c r="J39" s="500" t="s">
        <v>423</v>
      </c>
      <c r="K39" s="573">
        <f>SUM(K37:K38)</f>
        <v>150</v>
      </c>
      <c r="L39" s="574">
        <f>L38</f>
        <v>150</v>
      </c>
      <c r="M39" s="502" t="s">
        <v>254</v>
      </c>
      <c r="N39" s="575">
        <f>SUM(N37:N38)</f>
        <v>100</v>
      </c>
      <c r="P39" s="500" t="s">
        <v>423</v>
      </c>
      <c r="Q39" s="573">
        <f>SUM(Q37:Q38)</f>
        <v>150</v>
      </c>
      <c r="R39" s="574">
        <f>R38</f>
        <v>150</v>
      </c>
      <c r="S39" s="502" t="s">
        <v>254</v>
      </c>
      <c r="T39" s="575">
        <f>SUM(T37:T38)</f>
        <v>100</v>
      </c>
      <c r="V39" s="500" t="s">
        <v>423</v>
      </c>
      <c r="W39" s="573">
        <f>SUM(W37:W38)</f>
        <v>150</v>
      </c>
      <c r="X39" s="574">
        <f>X38</f>
        <v>150</v>
      </c>
      <c r="Y39" s="502" t="s">
        <v>254</v>
      </c>
      <c r="Z39" s="575">
        <f>SUM(Z37:Z38)</f>
        <v>100</v>
      </c>
      <c r="AB39" s="500" t="s">
        <v>423</v>
      </c>
      <c r="AC39" s="573">
        <f>SUM(AC37:AC38)</f>
        <v>150</v>
      </c>
      <c r="AD39" s="574">
        <f>AD38</f>
        <v>150</v>
      </c>
      <c r="AE39" s="502" t="s">
        <v>254</v>
      </c>
      <c r="AF39" s="575">
        <f>SUM(AF37:AF38)</f>
        <v>100</v>
      </c>
      <c r="AH39" s="500" t="s">
        <v>423</v>
      </c>
      <c r="AI39" s="573">
        <f>SUM(AI37:AI38)</f>
        <v>150</v>
      </c>
      <c r="AJ39" s="574">
        <f>AJ38</f>
        <v>150</v>
      </c>
      <c r="AK39" s="502" t="s">
        <v>254</v>
      </c>
      <c r="AL39" s="575">
        <f>SUM(AL37:AL38)</f>
        <v>100</v>
      </c>
    </row>
    <row r="40" spans="1:38" s="674" customFormat="1" x14ac:dyDescent="0.3">
      <c r="B40" s="769"/>
      <c r="C40" s="770"/>
      <c r="D40" s="771"/>
      <c r="H40" s="584"/>
      <c r="J40" s="584" t="s">
        <v>426</v>
      </c>
      <c r="P40" s="584" t="s">
        <v>426</v>
      </c>
      <c r="V40" s="584" t="s">
        <v>426</v>
      </c>
      <c r="AB40" s="584" t="s">
        <v>426</v>
      </c>
    </row>
    <row r="41" spans="1:38" ht="23.4" thickBot="1" x14ac:dyDescent="0.75">
      <c r="J41" s="10"/>
      <c r="K41" s="9"/>
      <c r="L41" s="9"/>
      <c r="M41" s="63"/>
    </row>
    <row r="42" spans="1:38" ht="46.2" thickBot="1" x14ac:dyDescent="0.75">
      <c r="A42" s="643"/>
      <c r="B42" s="644"/>
      <c r="C42" s="645"/>
      <c r="D42" s="646"/>
      <c r="E42" s="647"/>
      <c r="F42" s="647"/>
      <c r="G42" s="647"/>
      <c r="H42" s="648"/>
      <c r="I42" s="647"/>
      <c r="J42" s="500" t="s">
        <v>0</v>
      </c>
      <c r="K42" s="655" t="s">
        <v>23</v>
      </c>
      <c r="L42" s="655" t="s">
        <v>321</v>
      </c>
      <c r="M42" s="502" t="s">
        <v>420</v>
      </c>
      <c r="N42" s="564" t="s">
        <v>415</v>
      </c>
      <c r="P42" s="500" t="s">
        <v>0</v>
      </c>
      <c r="Q42" s="655" t="s">
        <v>23</v>
      </c>
      <c r="R42" s="655" t="s">
        <v>321</v>
      </c>
      <c r="S42" s="502" t="s">
        <v>420</v>
      </c>
      <c r="T42" s="564" t="s">
        <v>415</v>
      </c>
      <c r="V42" s="500" t="s">
        <v>0</v>
      </c>
      <c r="W42" s="655" t="s">
        <v>23</v>
      </c>
      <c r="X42" s="655" t="s">
        <v>321</v>
      </c>
      <c r="Y42" s="502" t="s">
        <v>420</v>
      </c>
      <c r="Z42" s="564" t="s">
        <v>415</v>
      </c>
      <c r="AB42" s="673" t="s">
        <v>0</v>
      </c>
      <c r="AC42" s="655" t="s">
        <v>23</v>
      </c>
      <c r="AD42" s="655" t="s">
        <v>321</v>
      </c>
      <c r="AE42" s="502" t="s">
        <v>420</v>
      </c>
      <c r="AF42" s="564" t="s">
        <v>415</v>
      </c>
      <c r="AH42" s="500" t="s">
        <v>0</v>
      </c>
      <c r="AI42" s="655" t="s">
        <v>23</v>
      </c>
      <c r="AJ42" s="655" t="s">
        <v>321</v>
      </c>
      <c r="AK42" s="502" t="s">
        <v>420</v>
      </c>
      <c r="AL42" s="503" t="s">
        <v>415</v>
      </c>
    </row>
    <row r="43" spans="1:38" x14ac:dyDescent="0.7">
      <c r="J43" s="671" t="s">
        <v>1</v>
      </c>
      <c r="K43" s="662">
        <f>'Viande francaise'!N7</f>
        <v>3.9</v>
      </c>
      <c r="L43" s="662">
        <f>K43</f>
        <v>3.9</v>
      </c>
      <c r="M43" s="663" t="s">
        <v>254</v>
      </c>
      <c r="N43" s="666">
        <f>K43*100/($K$39+SUM($K$43:$K$48))</f>
        <v>2.4975344851876993</v>
      </c>
      <c r="P43" s="672" t="s">
        <v>1</v>
      </c>
      <c r="Q43" s="630">
        <f>'Viande francaise'!B7</f>
        <v>3.9</v>
      </c>
      <c r="R43" s="630">
        <f>Q43</f>
        <v>3.9</v>
      </c>
      <c r="S43" s="656" t="s">
        <v>254</v>
      </c>
      <c r="T43" s="668">
        <f>Q43*100/($K$39+SUM($K$43:$K$48))</f>
        <v>2.4975344851876993</v>
      </c>
      <c r="V43" s="672" t="s">
        <v>1</v>
      </c>
      <c r="W43" s="630">
        <f>'Viande francaise'!B22</f>
        <v>3.9</v>
      </c>
      <c r="X43" s="630">
        <f>W43</f>
        <v>3.9</v>
      </c>
      <c r="Y43" s="656" t="s">
        <v>254</v>
      </c>
      <c r="Z43" s="668">
        <f>W43*100/($W$39+SUM($W$43:$W$48))</f>
        <v>2.4967350387954212</v>
      </c>
      <c r="AB43" s="672" t="s">
        <v>1</v>
      </c>
      <c r="AC43" s="630">
        <f>'Viande francaise'!H7</f>
        <v>3.9</v>
      </c>
      <c r="AD43" s="630">
        <f>AC43</f>
        <v>3.9</v>
      </c>
      <c r="AE43" s="656" t="s">
        <v>254</v>
      </c>
      <c r="AF43" s="668">
        <f>AC43*100/($W$39+SUM($W$43:$W$48))</f>
        <v>2.4967350387954212</v>
      </c>
      <c r="AH43" s="677" t="s">
        <v>1</v>
      </c>
      <c r="AI43" s="630">
        <f>'Viande francaise'!H22</f>
        <v>3.9</v>
      </c>
      <c r="AJ43" s="630">
        <f>AI43</f>
        <v>3.9</v>
      </c>
      <c r="AK43" s="656" t="s">
        <v>254</v>
      </c>
      <c r="AL43" s="685">
        <f>AI43*100/($AI$39+SUM($AI$43:$AI$48,$AI$50))</f>
        <v>2.4892451842679701</v>
      </c>
    </row>
    <row r="44" spans="1:38" x14ac:dyDescent="0.7">
      <c r="J44" s="601" t="s">
        <v>21</v>
      </c>
      <c r="K44" s="631">
        <f>'Viande francaise'!N8</f>
        <v>2.4E-2</v>
      </c>
      <c r="L44" s="631">
        <f>L43+K44</f>
        <v>3.9239999999999999</v>
      </c>
      <c r="M44" s="657" t="s">
        <v>254</v>
      </c>
      <c r="N44" s="667">
        <f t="shared" ref="N44:N48" si="18">K44*100/($K$39+SUM($K$43:$K$48))</f>
        <v>1.5369442985770457E-2</v>
      </c>
      <c r="P44" s="601" t="s">
        <v>21</v>
      </c>
      <c r="Q44" s="631">
        <f>'Viande francaise'!B8</f>
        <v>2.4E-2</v>
      </c>
      <c r="R44" s="631">
        <f>R43+Q44</f>
        <v>3.9239999999999999</v>
      </c>
      <c r="S44" s="657" t="s">
        <v>254</v>
      </c>
      <c r="T44" s="667">
        <f t="shared" ref="T44:T48" si="19">Q44*100/($K$39+SUM($K$43:$K$48))</f>
        <v>1.5369442985770457E-2</v>
      </c>
      <c r="V44" s="601" t="s">
        <v>21</v>
      </c>
      <c r="W44" s="631">
        <f>'Viande francaise'!B23</f>
        <v>2.4E-2</v>
      </c>
      <c r="X44" s="631">
        <f>X43+W44</f>
        <v>3.9239999999999999</v>
      </c>
      <c r="Y44" s="657" t="s">
        <v>254</v>
      </c>
      <c r="Z44" s="667">
        <f t="shared" ref="Z44:Z46" si="20">W44*100/($W$39+SUM($W$43:$W$48))</f>
        <v>1.536452331566413E-2</v>
      </c>
      <c r="AB44" s="601" t="s">
        <v>21</v>
      </c>
      <c r="AC44" s="631">
        <f>'Viande francaise'!H8</f>
        <v>2.4E-2</v>
      </c>
      <c r="AD44" s="631">
        <f>AD43+AC44</f>
        <v>3.9239999999999999</v>
      </c>
      <c r="AE44" s="657" t="s">
        <v>254</v>
      </c>
      <c r="AF44" s="667">
        <f t="shared" ref="AF44:AF46" si="21">AC44*100/($W$39+SUM($W$43:$W$48))</f>
        <v>1.536452331566413E-2</v>
      </c>
      <c r="AH44" s="601" t="s">
        <v>21</v>
      </c>
      <c r="AI44" s="631">
        <f>'Viande francaise'!H23</f>
        <v>2.4E-2</v>
      </c>
      <c r="AJ44" s="631">
        <f>AJ43+AI44</f>
        <v>3.9239999999999999</v>
      </c>
      <c r="AK44" s="657" t="s">
        <v>254</v>
      </c>
      <c r="AL44" s="686">
        <f t="shared" ref="AL44:AL50" si="22">AI44*100/($AI$39+SUM($AI$43:$AI$48,$AI$50))</f>
        <v>1.531843190318751E-2</v>
      </c>
    </row>
    <row r="45" spans="1:38" x14ac:dyDescent="0.7">
      <c r="J45" s="534" t="s">
        <v>3</v>
      </c>
      <c r="K45" s="628">
        <f>'Viande francaise'!N9</f>
        <v>1.5</v>
      </c>
      <c r="L45" s="628">
        <f>L44+K45</f>
        <v>5.4239999999999995</v>
      </c>
      <c r="M45" s="658" t="s">
        <v>254</v>
      </c>
      <c r="N45" s="668">
        <f t="shared" si="18"/>
        <v>0.96059018661065365</v>
      </c>
      <c r="P45" s="534" t="s">
        <v>3</v>
      </c>
      <c r="Q45" s="628">
        <f>'Viande francaise'!B9</f>
        <v>1.5</v>
      </c>
      <c r="R45" s="628">
        <f>R44+Q45</f>
        <v>5.4239999999999995</v>
      </c>
      <c r="S45" s="658" t="s">
        <v>254</v>
      </c>
      <c r="T45" s="668">
        <f t="shared" si="19"/>
        <v>0.96059018661065365</v>
      </c>
      <c r="V45" s="534" t="s">
        <v>3</v>
      </c>
      <c r="W45" s="628">
        <f>'Viande francaise'!B24</f>
        <v>1.5</v>
      </c>
      <c r="X45" s="628">
        <f>X44+W45</f>
        <v>5.4239999999999995</v>
      </c>
      <c r="Y45" s="658" t="s">
        <v>254</v>
      </c>
      <c r="Z45" s="668">
        <f t="shared" si="20"/>
        <v>0.96028270722900821</v>
      </c>
      <c r="AB45" s="534" t="s">
        <v>3</v>
      </c>
      <c r="AC45" s="628">
        <f>'Viande francaise'!H9</f>
        <v>1.5</v>
      </c>
      <c r="AD45" s="628">
        <f>AD44+AC45</f>
        <v>5.4239999999999995</v>
      </c>
      <c r="AE45" s="658" t="s">
        <v>254</v>
      </c>
      <c r="AF45" s="668">
        <f t="shared" si="21"/>
        <v>0.96028270722900821</v>
      </c>
      <c r="AH45" s="534" t="s">
        <v>3</v>
      </c>
      <c r="AI45" s="628">
        <f>'Viande francaise'!H24</f>
        <v>1.5</v>
      </c>
      <c r="AJ45" s="628">
        <f>AJ44+AI45</f>
        <v>5.4239999999999995</v>
      </c>
      <c r="AK45" s="658" t="s">
        <v>254</v>
      </c>
      <c r="AL45" s="685">
        <f t="shared" si="22"/>
        <v>0.95740199394921932</v>
      </c>
    </row>
    <row r="46" spans="1:38" x14ac:dyDescent="0.7">
      <c r="J46" s="601" t="s">
        <v>2</v>
      </c>
      <c r="K46" s="631">
        <f>'Viande francaise'!N10</f>
        <v>0.45</v>
      </c>
      <c r="L46" s="631">
        <f>L45+K46</f>
        <v>5.8739999999999997</v>
      </c>
      <c r="M46" s="657" t="s">
        <v>254</v>
      </c>
      <c r="N46" s="667">
        <f t="shared" si="18"/>
        <v>0.2881770559831961</v>
      </c>
      <c r="P46" s="601" t="s">
        <v>2</v>
      </c>
      <c r="Q46" s="631">
        <f>'Viande francaise'!B10</f>
        <v>0.45</v>
      </c>
      <c r="R46" s="631">
        <f>R45+Q46</f>
        <v>5.8739999999999997</v>
      </c>
      <c r="S46" s="657" t="s">
        <v>254</v>
      </c>
      <c r="T46" s="667">
        <f t="shared" si="19"/>
        <v>0.2881770559831961</v>
      </c>
      <c r="V46" s="601" t="s">
        <v>2</v>
      </c>
      <c r="W46" s="631">
        <f>'Viande francaise'!B25</f>
        <v>0.45</v>
      </c>
      <c r="X46" s="631">
        <f>X45+W46</f>
        <v>5.8739999999999997</v>
      </c>
      <c r="Y46" s="657" t="s">
        <v>254</v>
      </c>
      <c r="Z46" s="667">
        <f t="shared" si="20"/>
        <v>0.28808481216870246</v>
      </c>
      <c r="AB46" s="601" t="s">
        <v>2</v>
      </c>
      <c r="AC46" s="631">
        <f>'Viande francaise'!H10</f>
        <v>0.45</v>
      </c>
      <c r="AD46" s="631">
        <f>AD45+AC46</f>
        <v>5.8739999999999997</v>
      </c>
      <c r="AE46" s="657" t="s">
        <v>254</v>
      </c>
      <c r="AF46" s="667">
        <f t="shared" si="21"/>
        <v>0.28808481216870246</v>
      </c>
      <c r="AH46" s="601" t="s">
        <v>2</v>
      </c>
      <c r="AI46" s="631">
        <f>'Viande francaise'!H25</f>
        <v>0.45</v>
      </c>
      <c r="AJ46" s="631">
        <f>AJ45+AI46</f>
        <v>5.8739999999999997</v>
      </c>
      <c r="AK46" s="657" t="s">
        <v>254</v>
      </c>
      <c r="AL46" s="686">
        <f t="shared" si="22"/>
        <v>0.28722059818476581</v>
      </c>
    </row>
    <row r="47" spans="1:38" x14ac:dyDescent="0.7">
      <c r="J47" s="534" t="s">
        <v>17</v>
      </c>
      <c r="K47" s="628">
        <f>'Viande francaise'!N11</f>
        <v>0.2</v>
      </c>
      <c r="L47" s="628">
        <f>L46+K47</f>
        <v>6.0739999999999998</v>
      </c>
      <c r="M47" s="658" t="s">
        <v>254</v>
      </c>
      <c r="N47" s="668">
        <f t="shared" si="18"/>
        <v>0.12807869154808715</v>
      </c>
      <c r="P47" s="534" t="s">
        <v>17</v>
      </c>
      <c r="Q47" s="628">
        <f>'Viande francaise'!B11</f>
        <v>0.2</v>
      </c>
      <c r="R47" s="628">
        <f>R46+Q47</f>
        <v>6.0739999999999998</v>
      </c>
      <c r="S47" s="658" t="s">
        <v>254</v>
      </c>
      <c r="T47" s="668">
        <f t="shared" si="19"/>
        <v>0.12807869154808715</v>
      </c>
      <c r="V47" s="534" t="s">
        <v>17</v>
      </c>
      <c r="W47" s="628">
        <f>'Viande francaise'!B26</f>
        <v>0.25</v>
      </c>
      <c r="X47" s="628">
        <f>X46+W47</f>
        <v>6.1239999999999997</v>
      </c>
      <c r="Y47" s="658" t="s">
        <v>254</v>
      </c>
      <c r="Z47" s="668">
        <f>W47*100/($W$39+SUM($W$43:$W$48))</f>
        <v>0.16004711787150136</v>
      </c>
      <c r="AB47" s="534" t="s">
        <v>17</v>
      </c>
      <c r="AC47" s="628">
        <f>'Viande francaise'!H11</f>
        <v>0.2</v>
      </c>
      <c r="AD47" s="628">
        <f>AD46+AC47</f>
        <v>6.0739999999999998</v>
      </c>
      <c r="AE47" s="658" t="s">
        <v>254</v>
      </c>
      <c r="AF47" s="668">
        <f>AC47*100/($W$39+SUM($W$43:$W$48))</f>
        <v>0.12803769429720108</v>
      </c>
      <c r="AH47" s="534" t="s">
        <v>17</v>
      </c>
      <c r="AI47" s="628">
        <f>'Viande francaise'!H26</f>
        <v>0.2</v>
      </c>
      <c r="AJ47" s="628">
        <f>AJ46+AI47</f>
        <v>6.0739999999999998</v>
      </c>
      <c r="AK47" s="658" t="s">
        <v>254</v>
      </c>
      <c r="AL47" s="685">
        <f t="shared" si="22"/>
        <v>0.12765359919322924</v>
      </c>
    </row>
    <row r="48" spans="1:38" ht="23.4" thickBot="1" x14ac:dyDescent="0.75">
      <c r="J48" s="536" t="s">
        <v>5</v>
      </c>
      <c r="K48" s="629">
        <f>'Viande francaise'!N12</f>
        <v>0.08</v>
      </c>
      <c r="L48" s="638">
        <f>L47+K48</f>
        <v>6.1539999999999999</v>
      </c>
      <c r="M48" s="659" t="s">
        <v>254</v>
      </c>
      <c r="N48" s="669">
        <f t="shared" si="18"/>
        <v>5.1231476619234856E-2</v>
      </c>
      <c r="P48" s="536" t="s">
        <v>5</v>
      </c>
      <c r="Q48" s="629">
        <f>'Viande francaise'!B12</f>
        <v>0.08</v>
      </c>
      <c r="R48" s="638">
        <f>R47+Q48</f>
        <v>6.1539999999999999</v>
      </c>
      <c r="S48" s="659" t="s">
        <v>254</v>
      </c>
      <c r="T48" s="669">
        <f t="shared" si="19"/>
        <v>5.1231476619234856E-2</v>
      </c>
      <c r="V48" s="536" t="s">
        <v>5</v>
      </c>
      <c r="W48" s="629">
        <f>'Viande francaise'!B27</f>
        <v>0.08</v>
      </c>
      <c r="X48" s="638">
        <f>X47+W48</f>
        <v>6.2039999999999997</v>
      </c>
      <c r="Y48" s="659" t="s">
        <v>254</v>
      </c>
      <c r="Z48" s="669">
        <f>W48*100/($W$39+SUM($W$43:$W$48))</f>
        <v>5.1215077718880439E-2</v>
      </c>
      <c r="AB48" s="536" t="s">
        <v>5</v>
      </c>
      <c r="AC48" s="629">
        <f>'Viande francaise'!H12</f>
        <v>0.08</v>
      </c>
      <c r="AD48" s="638">
        <f>AD47+AC48</f>
        <v>6.1539999999999999</v>
      </c>
      <c r="AE48" s="659" t="s">
        <v>254</v>
      </c>
      <c r="AF48" s="669">
        <f>AC48*100/($W$39+SUM($W$43:$W$48))</f>
        <v>5.1215077718880439E-2</v>
      </c>
      <c r="AH48" s="536" t="s">
        <v>5</v>
      </c>
      <c r="AI48" s="629">
        <f>'Viande francaise'!H27</f>
        <v>0.08</v>
      </c>
      <c r="AJ48" s="638">
        <f>AJ47+AI48</f>
        <v>6.1539999999999999</v>
      </c>
      <c r="AK48" s="659" t="s">
        <v>254</v>
      </c>
      <c r="AL48" s="582">
        <f t="shared" si="22"/>
        <v>5.1061439677291702E-2</v>
      </c>
    </row>
    <row r="49" spans="2:50" ht="24" thickTop="1" thickBot="1" x14ac:dyDescent="0.75">
      <c r="J49" s="602" t="s">
        <v>25</v>
      </c>
      <c r="K49" s="660">
        <f>'Viande francaise'!N13</f>
        <v>1</v>
      </c>
      <c r="L49" s="661">
        <f>K49</f>
        <v>1</v>
      </c>
      <c r="M49" s="608" t="s">
        <v>421</v>
      </c>
      <c r="N49" s="670"/>
      <c r="P49" s="602" t="s">
        <v>25</v>
      </c>
      <c r="Q49" s="660">
        <f>'Viande francaise'!B13</f>
        <v>1</v>
      </c>
      <c r="R49" s="661">
        <f>Q49</f>
        <v>1</v>
      </c>
      <c r="S49" s="608" t="s">
        <v>421</v>
      </c>
      <c r="T49" s="670"/>
      <c r="V49" s="602" t="s">
        <v>25</v>
      </c>
      <c r="W49" s="660">
        <f>'Viande francaise'!B28</f>
        <v>1</v>
      </c>
      <c r="X49" s="661">
        <f>W49</f>
        <v>1</v>
      </c>
      <c r="Y49" s="608" t="s">
        <v>421</v>
      </c>
      <c r="Z49" s="670"/>
      <c r="AB49" s="602" t="s">
        <v>25</v>
      </c>
      <c r="AC49" s="675">
        <f>'Viande francaise'!H13</f>
        <v>1</v>
      </c>
      <c r="AD49" s="661">
        <f>AC49</f>
        <v>1</v>
      </c>
      <c r="AE49" s="608" t="s">
        <v>421</v>
      </c>
      <c r="AF49" s="670"/>
      <c r="AH49" s="680" t="s">
        <v>25</v>
      </c>
      <c r="AI49" s="681">
        <f>'Viande francaise'!H28</f>
        <v>1</v>
      </c>
      <c r="AJ49" s="683">
        <f>AI49</f>
        <v>1</v>
      </c>
      <c r="AK49" s="682" t="s">
        <v>421</v>
      </c>
      <c r="AL49" s="583">
        <f t="shared" si="22"/>
        <v>0.63826799596614625</v>
      </c>
    </row>
    <row r="50" spans="2:50" ht="23.4" thickBot="1" x14ac:dyDescent="0.75">
      <c r="J50" s="584" t="s">
        <v>427</v>
      </c>
      <c r="P50" s="584" t="s">
        <v>427</v>
      </c>
      <c r="V50" s="584" t="s">
        <v>427</v>
      </c>
      <c r="AB50" s="584" t="s">
        <v>427</v>
      </c>
      <c r="AH50" s="678" t="s">
        <v>27</v>
      </c>
      <c r="AI50" s="679">
        <f>'Viande francaise'!H29</f>
        <v>0.52</v>
      </c>
      <c r="AJ50" s="684">
        <f>AI50</f>
        <v>0.52</v>
      </c>
      <c r="AK50" s="679" t="s">
        <v>254</v>
      </c>
      <c r="AL50" s="687">
        <f t="shared" si="22"/>
        <v>0.33189935790239605</v>
      </c>
    </row>
    <row r="51" spans="2:50" x14ac:dyDescent="0.7">
      <c r="AH51" s="584" t="s">
        <v>427</v>
      </c>
    </row>
    <row r="53" spans="2:50" ht="23.4" thickBot="1" x14ac:dyDescent="0.75"/>
    <row r="54" spans="2:50" ht="30.6" thickBot="1" x14ac:dyDescent="0.95">
      <c r="J54" s="688" t="s">
        <v>453</v>
      </c>
      <c r="V54" s="569"/>
    </row>
    <row r="55" spans="2:50" x14ac:dyDescent="0.7">
      <c r="V55" s="569"/>
      <c r="W55" s="569"/>
    </row>
    <row r="56" spans="2:50" ht="23.4" thickBot="1" x14ac:dyDescent="0.75">
      <c r="J56" s="585" t="s">
        <v>455</v>
      </c>
      <c r="P56" s="585" t="s">
        <v>457</v>
      </c>
      <c r="R56" s="498"/>
      <c r="S56" s="23"/>
      <c r="V56" s="585" t="s">
        <v>459</v>
      </c>
      <c r="X56" s="498"/>
      <c r="Y56" s="23"/>
      <c r="AB56" s="585" t="s">
        <v>460</v>
      </c>
      <c r="AD56" s="498"/>
      <c r="AE56" s="23"/>
      <c r="AH56" s="585" t="s">
        <v>462</v>
      </c>
      <c r="AJ56" s="498"/>
      <c r="AK56" s="23"/>
      <c r="AN56" s="585" t="s">
        <v>465</v>
      </c>
      <c r="AP56" s="498"/>
      <c r="AQ56" s="23"/>
      <c r="AT56" s="585" t="s">
        <v>466</v>
      </c>
      <c r="AV56" s="498"/>
      <c r="AW56" s="23"/>
    </row>
    <row r="57" spans="2:50" s="674" customFormat="1" ht="19.5" customHeight="1" thickBot="1" x14ac:dyDescent="0.35">
      <c r="B57" s="769"/>
      <c r="C57" s="770"/>
      <c r="D57" s="771"/>
      <c r="H57" s="584"/>
      <c r="J57" s="1098" t="s">
        <v>87</v>
      </c>
      <c r="K57" s="1099"/>
      <c r="L57" s="1099"/>
      <c r="M57" s="1099"/>
      <c r="N57" s="1100"/>
      <c r="P57" s="1101" t="s">
        <v>458</v>
      </c>
      <c r="Q57" s="1102"/>
      <c r="R57" s="1102"/>
      <c r="S57" s="1102"/>
      <c r="T57" s="1103"/>
      <c r="V57" s="1101" t="s">
        <v>398</v>
      </c>
      <c r="W57" s="1102"/>
      <c r="X57" s="1102"/>
      <c r="Y57" s="1102"/>
      <c r="Z57" s="1103"/>
      <c r="AB57" s="1101" t="s">
        <v>461</v>
      </c>
      <c r="AC57" s="1102"/>
      <c r="AD57" s="1102"/>
      <c r="AE57" s="1102"/>
      <c r="AF57" s="1103"/>
      <c r="AH57" s="1101" t="s">
        <v>463</v>
      </c>
      <c r="AI57" s="1102"/>
      <c r="AJ57" s="1102"/>
      <c r="AK57" s="1102"/>
      <c r="AL57" s="1103"/>
      <c r="AN57" s="1123" t="s">
        <v>464</v>
      </c>
      <c r="AO57" s="1124"/>
      <c r="AP57" s="1124"/>
      <c r="AQ57" s="1124"/>
      <c r="AR57" s="1124"/>
      <c r="AT57" s="1123" t="s">
        <v>528</v>
      </c>
      <c r="AU57" s="1124"/>
      <c r="AV57" s="1124"/>
      <c r="AW57" s="1124"/>
      <c r="AX57" s="1124"/>
    </row>
    <row r="58" spans="2:50" ht="46.2" thickBot="1" x14ac:dyDescent="0.75">
      <c r="J58" s="500" t="s">
        <v>422</v>
      </c>
      <c r="K58" s="501" t="s">
        <v>320</v>
      </c>
      <c r="L58" s="501" t="s">
        <v>321</v>
      </c>
      <c r="M58" s="502" t="s">
        <v>420</v>
      </c>
      <c r="N58" s="542" t="s">
        <v>415</v>
      </c>
      <c r="P58" s="500" t="s">
        <v>422</v>
      </c>
      <c r="Q58" s="501" t="s">
        <v>320</v>
      </c>
      <c r="R58" s="501" t="s">
        <v>321</v>
      </c>
      <c r="S58" s="502" t="s">
        <v>420</v>
      </c>
      <c r="T58" s="542" t="s">
        <v>415</v>
      </c>
      <c r="V58" s="500" t="s">
        <v>422</v>
      </c>
      <c r="W58" s="501" t="s">
        <v>320</v>
      </c>
      <c r="X58" s="501" t="s">
        <v>321</v>
      </c>
      <c r="Y58" s="502" t="s">
        <v>420</v>
      </c>
      <c r="Z58" s="542" t="s">
        <v>415</v>
      </c>
      <c r="AB58" s="500" t="s">
        <v>422</v>
      </c>
      <c r="AC58" s="501" t="s">
        <v>320</v>
      </c>
      <c r="AD58" s="501" t="s">
        <v>321</v>
      </c>
      <c r="AE58" s="502" t="s">
        <v>420</v>
      </c>
      <c r="AF58" s="542" t="s">
        <v>415</v>
      </c>
      <c r="AH58" s="500" t="s">
        <v>422</v>
      </c>
      <c r="AI58" s="501" t="s">
        <v>320</v>
      </c>
      <c r="AJ58" s="501" t="s">
        <v>321</v>
      </c>
      <c r="AK58" s="502" t="s">
        <v>420</v>
      </c>
      <c r="AL58" s="542" t="s">
        <v>415</v>
      </c>
      <c r="AN58" s="500" t="s">
        <v>422</v>
      </c>
      <c r="AO58" s="501" t="s">
        <v>320</v>
      </c>
      <c r="AP58" s="501" t="s">
        <v>321</v>
      </c>
      <c r="AQ58" s="502" t="s">
        <v>420</v>
      </c>
      <c r="AR58" s="542" t="s">
        <v>415</v>
      </c>
      <c r="AT58" s="500" t="s">
        <v>422</v>
      </c>
      <c r="AU58" s="501" t="s">
        <v>320</v>
      </c>
      <c r="AV58" s="501" t="s">
        <v>321</v>
      </c>
      <c r="AW58" s="502" t="s">
        <v>420</v>
      </c>
      <c r="AX58" s="542" t="s">
        <v>415</v>
      </c>
    </row>
    <row r="59" spans="2:50" x14ac:dyDescent="0.7">
      <c r="J59" s="548" t="s">
        <v>456</v>
      </c>
      <c r="K59" s="522">
        <f>'Recette viandes'!R22</f>
        <v>69</v>
      </c>
      <c r="L59" s="549">
        <f>K59</f>
        <v>69</v>
      </c>
      <c r="M59" s="523" t="s">
        <v>254</v>
      </c>
      <c r="N59" s="521">
        <f>K59*100/K62</f>
        <v>46</v>
      </c>
      <c r="P59" s="548" t="s">
        <v>456</v>
      </c>
      <c r="Q59" s="522">
        <f>'Recette viandes'!P22</f>
        <v>82</v>
      </c>
      <c r="R59" s="549">
        <f>Q59</f>
        <v>82</v>
      </c>
      <c r="S59" s="523" t="s">
        <v>254</v>
      </c>
      <c r="T59" s="521">
        <f>Q59*100/Q62</f>
        <v>54.666666666666664</v>
      </c>
      <c r="V59" s="548" t="s">
        <v>456</v>
      </c>
      <c r="W59" s="522">
        <f>'Recette viandes'!P22</f>
        <v>82</v>
      </c>
      <c r="X59" s="549">
        <f>W59</f>
        <v>82</v>
      </c>
      <c r="Y59" s="523" t="s">
        <v>254</v>
      </c>
      <c r="Z59" s="521">
        <f>W59*100/W62</f>
        <v>54.666666666666664</v>
      </c>
      <c r="AB59" s="548" t="s">
        <v>456</v>
      </c>
      <c r="AC59" s="522">
        <f>'Recette viandes'!P22</f>
        <v>82</v>
      </c>
      <c r="AD59" s="549">
        <f>AC59</f>
        <v>82</v>
      </c>
      <c r="AE59" s="523" t="s">
        <v>254</v>
      </c>
      <c r="AF59" s="521">
        <f>AC59*100/AC62</f>
        <v>54.666666666666664</v>
      </c>
      <c r="AH59" s="548" t="s">
        <v>456</v>
      </c>
      <c r="AI59" s="522">
        <f>'Recette viandes'!P22</f>
        <v>82</v>
      </c>
      <c r="AJ59" s="549">
        <f>AI59</f>
        <v>82</v>
      </c>
      <c r="AK59" s="523" t="s">
        <v>254</v>
      </c>
      <c r="AL59" s="521">
        <f>AI59*100/AI62</f>
        <v>54.666666666666664</v>
      </c>
      <c r="AN59" s="548" t="s">
        <v>456</v>
      </c>
      <c r="AO59" s="522">
        <f>'Recette viandes'!Z22</f>
        <v>82</v>
      </c>
      <c r="AP59" s="549">
        <f>AO59</f>
        <v>82</v>
      </c>
      <c r="AQ59" s="523" t="s">
        <v>254</v>
      </c>
      <c r="AR59" s="521">
        <f>AO59*100/AO62</f>
        <v>54.666666666666664</v>
      </c>
      <c r="AT59" s="548" t="s">
        <v>456</v>
      </c>
      <c r="AU59" s="522">
        <f>'Recette viandes'!X22</f>
        <v>82</v>
      </c>
      <c r="AV59" s="549">
        <f>AU59</f>
        <v>82</v>
      </c>
      <c r="AW59" s="523" t="s">
        <v>254</v>
      </c>
      <c r="AX59" s="521">
        <f>AU59*100/AU62</f>
        <v>54.666666666666664</v>
      </c>
    </row>
    <row r="60" spans="2:50" x14ac:dyDescent="0.7">
      <c r="J60" s="552" t="s">
        <v>454</v>
      </c>
      <c r="K60" s="528">
        <f>'Recette viandes'!R23</f>
        <v>34</v>
      </c>
      <c r="L60" s="553">
        <f>L59+K60</f>
        <v>103</v>
      </c>
      <c r="M60" s="529" t="s">
        <v>254</v>
      </c>
      <c r="N60" s="689">
        <f>K60*100/K62</f>
        <v>22.666666666666668</v>
      </c>
      <c r="P60" s="552" t="s">
        <v>454</v>
      </c>
      <c r="Q60" s="528">
        <f>'Recette viandes'!P23</f>
        <v>28</v>
      </c>
      <c r="R60" s="553">
        <f>R59+Q60</f>
        <v>110</v>
      </c>
      <c r="S60" s="529" t="s">
        <v>254</v>
      </c>
      <c r="T60" s="689">
        <f>Q60*100/Q62</f>
        <v>18.666666666666668</v>
      </c>
      <c r="V60" s="552" t="s">
        <v>454</v>
      </c>
      <c r="W60" s="528">
        <f>'Recette viandes'!P23</f>
        <v>28</v>
      </c>
      <c r="X60" s="553">
        <f>X59+W60</f>
        <v>110</v>
      </c>
      <c r="Y60" s="529" t="s">
        <v>254</v>
      </c>
      <c r="Z60" s="689">
        <f>W60*100/W62</f>
        <v>18.666666666666668</v>
      </c>
      <c r="AB60" s="552" t="s">
        <v>454</v>
      </c>
      <c r="AC60" s="528">
        <f>'Recette viandes'!P23</f>
        <v>28</v>
      </c>
      <c r="AD60" s="553">
        <f>AD59+AC60</f>
        <v>110</v>
      </c>
      <c r="AE60" s="529" t="s">
        <v>254</v>
      </c>
      <c r="AF60" s="689">
        <f>AC60*100/AC62</f>
        <v>18.666666666666668</v>
      </c>
      <c r="AH60" s="552" t="s">
        <v>454</v>
      </c>
      <c r="AI60" s="528">
        <f>'Recette viandes'!P23</f>
        <v>28</v>
      </c>
      <c r="AJ60" s="553">
        <f>AJ59+AI60</f>
        <v>110</v>
      </c>
      <c r="AK60" s="529" t="s">
        <v>254</v>
      </c>
      <c r="AL60" s="689">
        <f>AI60*100/AI62</f>
        <v>18.666666666666668</v>
      </c>
      <c r="AN60" s="552" t="s">
        <v>454</v>
      </c>
      <c r="AO60" s="528">
        <f>'Recette viandes'!Z23</f>
        <v>28</v>
      </c>
      <c r="AP60" s="553">
        <f>AP59+AO60</f>
        <v>110</v>
      </c>
      <c r="AQ60" s="529" t="s">
        <v>254</v>
      </c>
      <c r="AR60" s="689">
        <f>AO60*100/AO62</f>
        <v>18.666666666666668</v>
      </c>
      <c r="AT60" s="552" t="s">
        <v>454</v>
      </c>
      <c r="AU60" s="528">
        <f>'Recette viandes'!X23</f>
        <v>28</v>
      </c>
      <c r="AV60" s="553">
        <f>AV59+AU60</f>
        <v>110</v>
      </c>
      <c r="AW60" s="529" t="s">
        <v>254</v>
      </c>
      <c r="AX60" s="689">
        <f>AU60*100/AU62</f>
        <v>18.666666666666668</v>
      </c>
    </row>
    <row r="61" spans="2:50" ht="23.4" thickBot="1" x14ac:dyDescent="0.75">
      <c r="J61" s="554" t="s">
        <v>118</v>
      </c>
      <c r="K61" s="653">
        <f>'Recette viandes'!R24</f>
        <v>47</v>
      </c>
      <c r="L61" s="556">
        <f>L60+K61</f>
        <v>150</v>
      </c>
      <c r="M61" s="597" t="s">
        <v>254</v>
      </c>
      <c r="N61" s="690">
        <f>K61*100/K62</f>
        <v>31.333333333333332</v>
      </c>
      <c r="P61" s="554" t="s">
        <v>118</v>
      </c>
      <c r="Q61" s="653">
        <f>'Recette viandes'!P24</f>
        <v>40</v>
      </c>
      <c r="R61" s="556">
        <f>R60+Q61</f>
        <v>150</v>
      </c>
      <c r="S61" s="597" t="s">
        <v>254</v>
      </c>
      <c r="T61" s="690">
        <f>Q61*100/Q62</f>
        <v>26.666666666666668</v>
      </c>
      <c r="V61" s="554" t="s">
        <v>118</v>
      </c>
      <c r="W61" s="653">
        <f>'Recette viandes'!P24</f>
        <v>40</v>
      </c>
      <c r="X61" s="556">
        <f>X60+W61</f>
        <v>150</v>
      </c>
      <c r="Y61" s="597" t="s">
        <v>254</v>
      </c>
      <c r="Z61" s="690">
        <f>W61*100/W62</f>
        <v>26.666666666666668</v>
      </c>
      <c r="AB61" s="554" t="s">
        <v>118</v>
      </c>
      <c r="AC61" s="653">
        <f>'Recette viandes'!P24</f>
        <v>40</v>
      </c>
      <c r="AD61" s="556">
        <f>AD60+AC61</f>
        <v>150</v>
      </c>
      <c r="AE61" s="597" t="s">
        <v>254</v>
      </c>
      <c r="AF61" s="690">
        <f>AC61*100/AC62</f>
        <v>26.666666666666668</v>
      </c>
      <c r="AH61" s="554" t="s">
        <v>118</v>
      </c>
      <c r="AI61" s="653">
        <f>'Recette viandes'!P24</f>
        <v>40</v>
      </c>
      <c r="AJ61" s="556">
        <f>AJ60+AI61</f>
        <v>150</v>
      </c>
      <c r="AK61" s="597" t="s">
        <v>254</v>
      </c>
      <c r="AL61" s="690">
        <f>AI61*100/AI62</f>
        <v>26.666666666666668</v>
      </c>
      <c r="AN61" s="554" t="s">
        <v>118</v>
      </c>
      <c r="AO61" s="653">
        <f>'Recette viandes'!Z24</f>
        <v>40</v>
      </c>
      <c r="AP61" s="556">
        <f>AP60+AO61</f>
        <v>150</v>
      </c>
      <c r="AQ61" s="597" t="s">
        <v>254</v>
      </c>
      <c r="AR61" s="690">
        <f>AO61*100/AO62</f>
        <v>26.666666666666668</v>
      </c>
      <c r="AT61" s="554" t="s">
        <v>118</v>
      </c>
      <c r="AU61" s="653">
        <f>'Recette viandes'!X24</f>
        <v>40</v>
      </c>
      <c r="AV61" s="556">
        <f>AV60+AU61</f>
        <v>150</v>
      </c>
      <c r="AW61" s="597" t="s">
        <v>254</v>
      </c>
      <c r="AX61" s="690">
        <f>AU61*100/AU62</f>
        <v>26.666666666666668</v>
      </c>
    </row>
    <row r="62" spans="2:50" ht="23.4" thickBot="1" x14ac:dyDescent="0.75">
      <c r="J62" s="500" t="s">
        <v>423</v>
      </c>
      <c r="K62" s="573">
        <f>SUM(K59:K61)</f>
        <v>150</v>
      </c>
      <c r="L62" s="574">
        <f>L61</f>
        <v>150</v>
      </c>
      <c r="M62" s="502" t="s">
        <v>254</v>
      </c>
      <c r="N62" s="575">
        <f>SUM(N59:N61)</f>
        <v>100</v>
      </c>
      <c r="P62" s="500" t="s">
        <v>423</v>
      </c>
      <c r="Q62" s="573">
        <f>SUM(Q59:Q61)</f>
        <v>150</v>
      </c>
      <c r="R62" s="574">
        <f>R61</f>
        <v>150</v>
      </c>
      <c r="S62" s="502" t="s">
        <v>254</v>
      </c>
      <c r="T62" s="575">
        <f>SUM(T59:T61)</f>
        <v>100</v>
      </c>
      <c r="V62" s="500" t="s">
        <v>423</v>
      </c>
      <c r="W62" s="573">
        <f>SUM(W59:W61)</f>
        <v>150</v>
      </c>
      <c r="X62" s="574">
        <f>X61</f>
        <v>150</v>
      </c>
      <c r="Y62" s="502" t="s">
        <v>254</v>
      </c>
      <c r="Z62" s="575">
        <f>SUM(Z59:Z61)</f>
        <v>100</v>
      </c>
      <c r="AB62" s="500" t="s">
        <v>423</v>
      </c>
      <c r="AC62" s="573">
        <f>SUM(AC59:AC61)</f>
        <v>150</v>
      </c>
      <c r="AD62" s="574">
        <f>AD61</f>
        <v>150</v>
      </c>
      <c r="AE62" s="502" t="s">
        <v>254</v>
      </c>
      <c r="AF62" s="575">
        <f>SUM(AF59:AF61)</f>
        <v>100</v>
      </c>
      <c r="AH62" s="500" t="s">
        <v>423</v>
      </c>
      <c r="AI62" s="573">
        <f>SUM(AI59:AI61)</f>
        <v>150</v>
      </c>
      <c r="AJ62" s="574">
        <f>AJ61</f>
        <v>150</v>
      </c>
      <c r="AK62" s="502" t="s">
        <v>254</v>
      </c>
      <c r="AL62" s="575">
        <f>SUM(AL59:AL61)</f>
        <v>100</v>
      </c>
      <c r="AN62" s="500" t="s">
        <v>423</v>
      </c>
      <c r="AO62" s="573">
        <f>SUM(AO59:AO61)</f>
        <v>150</v>
      </c>
      <c r="AP62" s="574">
        <f>AP61</f>
        <v>150</v>
      </c>
      <c r="AQ62" s="502" t="s">
        <v>254</v>
      </c>
      <c r="AR62" s="575">
        <f>SUM(AR59:AR61)</f>
        <v>100</v>
      </c>
      <c r="AT62" s="500" t="s">
        <v>423</v>
      </c>
      <c r="AU62" s="573">
        <f>SUM(AU59:AU61)</f>
        <v>150</v>
      </c>
      <c r="AV62" s="574">
        <f>AV61</f>
        <v>150</v>
      </c>
      <c r="AW62" s="502" t="s">
        <v>254</v>
      </c>
      <c r="AX62" s="575">
        <f>SUM(AX59:AX61)</f>
        <v>100</v>
      </c>
    </row>
    <row r="63" spans="2:50" s="674" customFormat="1" x14ac:dyDescent="0.3">
      <c r="B63" s="769"/>
      <c r="C63" s="770"/>
      <c r="D63" s="771"/>
      <c r="H63" s="584"/>
      <c r="J63" s="584" t="s">
        <v>426</v>
      </c>
      <c r="P63" s="584" t="s">
        <v>426</v>
      </c>
      <c r="V63" s="584" t="s">
        <v>426</v>
      </c>
      <c r="AB63" s="584" t="s">
        <v>426</v>
      </c>
      <c r="AH63" s="584" t="s">
        <v>426</v>
      </c>
      <c r="AN63" s="584" t="s">
        <v>426</v>
      </c>
      <c r="AT63" s="584" t="s">
        <v>426</v>
      </c>
    </row>
    <row r="64" spans="2:50" ht="23.4" thickBot="1" x14ac:dyDescent="0.75"/>
    <row r="65" spans="2:170" ht="46.2" thickBot="1" x14ac:dyDescent="0.75">
      <c r="J65" s="500" t="s">
        <v>0</v>
      </c>
      <c r="K65" s="655" t="s">
        <v>23</v>
      </c>
      <c r="L65" s="655" t="s">
        <v>321</v>
      </c>
      <c r="M65" s="502" t="s">
        <v>420</v>
      </c>
      <c r="N65" s="503" t="s">
        <v>415</v>
      </c>
      <c r="P65" s="500" t="s">
        <v>0</v>
      </c>
      <c r="Q65" s="655" t="s">
        <v>23</v>
      </c>
      <c r="R65" s="655" t="s">
        <v>321</v>
      </c>
      <c r="S65" s="502" t="s">
        <v>420</v>
      </c>
      <c r="T65" s="542" t="s">
        <v>415</v>
      </c>
      <c r="V65" s="606" t="s">
        <v>0</v>
      </c>
      <c r="W65" s="693" t="s">
        <v>23</v>
      </c>
      <c r="X65" s="693" t="s">
        <v>321</v>
      </c>
      <c r="Y65" s="502" t="s">
        <v>420</v>
      </c>
      <c r="Z65" s="542" t="s">
        <v>415</v>
      </c>
      <c r="AB65" s="500" t="s">
        <v>0</v>
      </c>
      <c r="AC65" s="655" t="s">
        <v>23</v>
      </c>
      <c r="AD65" s="655" t="s">
        <v>321</v>
      </c>
      <c r="AE65" s="502" t="s">
        <v>420</v>
      </c>
      <c r="AF65" s="542" t="s">
        <v>415</v>
      </c>
      <c r="AH65" s="500" t="s">
        <v>0</v>
      </c>
      <c r="AI65" s="655" t="s">
        <v>23</v>
      </c>
      <c r="AJ65" s="655" t="s">
        <v>321</v>
      </c>
      <c r="AK65" s="502" t="s">
        <v>420</v>
      </c>
      <c r="AL65" s="542" t="s">
        <v>415</v>
      </c>
      <c r="AN65" s="500" t="s">
        <v>0</v>
      </c>
      <c r="AO65" s="655" t="s">
        <v>23</v>
      </c>
      <c r="AP65" s="655" t="s">
        <v>321</v>
      </c>
      <c r="AQ65" s="502" t="s">
        <v>420</v>
      </c>
      <c r="AR65" s="542" t="s">
        <v>415</v>
      </c>
      <c r="AT65" s="500" t="s">
        <v>0</v>
      </c>
      <c r="AU65" s="655" t="s">
        <v>23</v>
      </c>
      <c r="AV65" s="655" t="s">
        <v>321</v>
      </c>
      <c r="AW65" s="502" t="s">
        <v>420</v>
      </c>
      <c r="AX65" s="542" t="s">
        <v>415</v>
      </c>
    </row>
    <row r="66" spans="2:170" x14ac:dyDescent="0.7">
      <c r="J66" s="671" t="s">
        <v>20</v>
      </c>
      <c r="K66" s="662">
        <f>'Haché Moyen'!$P$6</f>
        <v>1.5</v>
      </c>
      <c r="L66" s="662">
        <f>K66</f>
        <v>1.5</v>
      </c>
      <c r="M66" s="663" t="s">
        <v>254</v>
      </c>
      <c r="N66" s="699">
        <f>K66*100/($K$62+SUM($K$66:$K$72))</f>
        <v>0.96031959436100334</v>
      </c>
      <c r="P66" s="671" t="s">
        <v>1</v>
      </c>
      <c r="Q66" s="662">
        <f>'Haché Moyen'!B6</f>
        <v>4.6500000000000004</v>
      </c>
      <c r="R66" s="662">
        <f>Q66</f>
        <v>4.6500000000000004</v>
      </c>
      <c r="S66" s="663" t="s">
        <v>254</v>
      </c>
      <c r="T66" s="699">
        <f>Q66*100/($Q$62+SUM($Q$66:$Q$71))</f>
        <v>2.9805781680661503</v>
      </c>
      <c r="V66" s="664" t="s">
        <v>1</v>
      </c>
      <c r="W66" s="662">
        <f>'Haché Moyen'!J6</f>
        <v>4.5</v>
      </c>
      <c r="X66" s="662">
        <f>W66</f>
        <v>4.5</v>
      </c>
      <c r="Y66" s="663" t="s">
        <v>254</v>
      </c>
      <c r="Z66" s="699">
        <f>W66*100/($W$62+SUM($W$66:$W$72))</f>
        <v>2.8669724770642202</v>
      </c>
      <c r="AB66" s="707" t="s">
        <v>1</v>
      </c>
      <c r="AC66" s="662">
        <f>'Haché Moyen'!J21</f>
        <v>4.5</v>
      </c>
      <c r="AD66" s="662">
        <f>AC66</f>
        <v>4.5</v>
      </c>
      <c r="AE66" s="663" t="s">
        <v>254</v>
      </c>
      <c r="AF66" s="699">
        <f>AC66*100/($AC$62+SUM($AC$66:$AC$71))</f>
        <v>2.8425241614553722</v>
      </c>
      <c r="AH66" s="664" t="s">
        <v>1</v>
      </c>
      <c r="AI66" s="662">
        <f>'Haché Moyen'!B21</f>
        <v>4.5</v>
      </c>
      <c r="AJ66" s="662">
        <f>AI66</f>
        <v>4.5</v>
      </c>
      <c r="AK66" s="663" t="s">
        <v>254</v>
      </c>
      <c r="AL66" s="699">
        <f>AI66*100/($AI$62+SUM($AI$66:$AI$71))</f>
        <v>2.8425241614553722</v>
      </c>
      <c r="AN66" s="664" t="s">
        <v>1</v>
      </c>
      <c r="AO66" s="662">
        <f>'Haché Moyen'!P34</f>
        <v>3.9</v>
      </c>
      <c r="AP66" s="662">
        <f>AO66</f>
        <v>3.9</v>
      </c>
      <c r="AQ66" s="663" t="s">
        <v>254</v>
      </c>
      <c r="AR66" s="699">
        <f>AO66*100/($AO$62+SUM($AO$66:$AO$71))</f>
        <v>2.4966391396197425</v>
      </c>
      <c r="AT66" s="677" t="s">
        <v>1</v>
      </c>
      <c r="AU66" s="630">
        <f>'Haché Moyen'!P21</f>
        <v>3.9</v>
      </c>
      <c r="AV66" s="630">
        <f>AU66</f>
        <v>3.9</v>
      </c>
      <c r="AW66" s="656" t="s">
        <v>254</v>
      </c>
      <c r="AX66" s="685">
        <f>AU66*100/($AU$62+SUM($AU$66:$AU$71))</f>
        <v>2.497438524590164</v>
      </c>
    </row>
    <row r="67" spans="2:170" ht="25.5" customHeight="1" x14ac:dyDescent="0.7">
      <c r="J67" s="601" t="s">
        <v>1</v>
      </c>
      <c r="K67" s="631">
        <f>'Haché Moyen'!$P$7</f>
        <v>2.4</v>
      </c>
      <c r="L67" s="631">
        <f>L66+K67</f>
        <v>3.9</v>
      </c>
      <c r="M67" s="657" t="s">
        <v>254</v>
      </c>
      <c r="N67" s="700">
        <f t="shared" ref="N67:N72" si="23">K67*100/($K$62+SUM($K$66:$K$72))</f>
        <v>1.5365113509776054</v>
      </c>
      <c r="P67" s="601" t="s">
        <v>21</v>
      </c>
      <c r="Q67" s="631">
        <f>'Haché Moyen'!B7</f>
        <v>0.03</v>
      </c>
      <c r="R67" s="631">
        <f>R66+Q67</f>
        <v>4.6800000000000006</v>
      </c>
      <c r="S67" s="657" t="s">
        <v>254</v>
      </c>
      <c r="T67" s="700">
        <f t="shared" ref="T67:T71" si="24">Q67*100/($Q$62+SUM($Q$66:$Q$71))</f>
        <v>1.9229536568168708E-2</v>
      </c>
      <c r="V67" s="526" t="s">
        <v>21</v>
      </c>
      <c r="W67" s="631">
        <f>'Haché Moyen'!J7</f>
        <v>0.03</v>
      </c>
      <c r="X67" s="631">
        <f t="shared" ref="X67:X72" si="25">X66+W67</f>
        <v>4.53</v>
      </c>
      <c r="Y67" s="657" t="s">
        <v>254</v>
      </c>
      <c r="Z67" s="700">
        <f t="shared" ref="Z67:Z72" si="26">W67*100/($W$62+SUM($W$66:$W$72))</f>
        <v>1.91131498470948E-2</v>
      </c>
      <c r="AB67" s="601" t="s">
        <v>21</v>
      </c>
      <c r="AC67" s="631">
        <f>'Haché Moyen'!J22</f>
        <v>0.03</v>
      </c>
      <c r="AD67" s="631">
        <f>AD66+AC67</f>
        <v>4.53</v>
      </c>
      <c r="AE67" s="657" t="s">
        <v>254</v>
      </c>
      <c r="AF67" s="700">
        <f t="shared" ref="AF67:AF71" si="27">AC67*100/($AC$62+SUM($AC$66:$AC$71))</f>
        <v>1.8950161076369147E-2</v>
      </c>
      <c r="AH67" s="526" t="s">
        <v>21</v>
      </c>
      <c r="AI67" s="631">
        <f>'Haché Moyen'!B22</f>
        <v>0.03</v>
      </c>
      <c r="AJ67" s="631">
        <f>AJ66+AI67</f>
        <v>4.53</v>
      </c>
      <c r="AK67" s="657" t="s">
        <v>254</v>
      </c>
      <c r="AL67" s="700">
        <f t="shared" ref="AL67:AL71" si="28">AI67*100/($AI$62+SUM($AI$66:$AI$71))</f>
        <v>1.8950161076369147E-2</v>
      </c>
      <c r="AN67" s="526" t="s">
        <v>21</v>
      </c>
      <c r="AO67" s="631">
        <f>'Haché Moyen'!P35</f>
        <v>0.03</v>
      </c>
      <c r="AP67" s="631">
        <f>AP66+AO67</f>
        <v>3.9299999999999997</v>
      </c>
      <c r="AQ67" s="657" t="s">
        <v>254</v>
      </c>
      <c r="AR67" s="700">
        <f t="shared" ref="AR67:AR71" si="29">AO67*100/($AO$62+SUM($AO$66:$AO$71))</f>
        <v>1.9204916458613403E-2</v>
      </c>
      <c r="AT67" s="708" t="s">
        <v>21</v>
      </c>
      <c r="AU67" s="631">
        <f>'Haché Moyen'!P22</f>
        <v>0.03</v>
      </c>
      <c r="AV67" s="631">
        <f>AV66+AU67</f>
        <v>3.9299999999999997</v>
      </c>
      <c r="AW67" s="657" t="s">
        <v>254</v>
      </c>
      <c r="AX67" s="700">
        <f t="shared" ref="AX67:AX71" si="30">AU67*100/($AU$62+SUM($AU$66:$AU$71))</f>
        <v>1.9211065573770492E-2</v>
      </c>
    </row>
    <row r="68" spans="2:170" x14ac:dyDescent="0.7">
      <c r="J68" s="534" t="s">
        <v>21</v>
      </c>
      <c r="K68" s="628">
        <f>'Haché Moyen'!$P$8</f>
        <v>1.7999999999999999E-2</v>
      </c>
      <c r="L68" s="628">
        <f>L67+K68</f>
        <v>3.9179999999999997</v>
      </c>
      <c r="M68" s="658" t="s">
        <v>254</v>
      </c>
      <c r="N68" s="701">
        <f t="shared" si="23"/>
        <v>1.1523835132332039E-2</v>
      </c>
      <c r="P68" s="534" t="s">
        <v>3</v>
      </c>
      <c r="Q68" s="628">
        <f>'Haché Moyen'!B8</f>
        <v>0.5</v>
      </c>
      <c r="R68" s="628">
        <f>R67+Q68</f>
        <v>5.1800000000000006</v>
      </c>
      <c r="S68" s="658" t="s">
        <v>254</v>
      </c>
      <c r="T68" s="701">
        <f t="shared" si="24"/>
        <v>0.32049227613614512</v>
      </c>
      <c r="V68" s="510" t="s">
        <v>3</v>
      </c>
      <c r="W68" s="628">
        <f>'Haché Moyen'!J8</f>
        <v>1.5</v>
      </c>
      <c r="X68" s="628">
        <f t="shared" si="25"/>
        <v>6.03</v>
      </c>
      <c r="Y68" s="658" t="s">
        <v>254</v>
      </c>
      <c r="Z68" s="701">
        <f t="shared" si="26"/>
        <v>0.95565749235474007</v>
      </c>
      <c r="AB68" s="534" t="s">
        <v>3</v>
      </c>
      <c r="AC68" s="628">
        <f>'Haché Moyen'!J23</f>
        <v>3</v>
      </c>
      <c r="AD68" s="628">
        <f>AD67+AC68</f>
        <v>7.53</v>
      </c>
      <c r="AE68" s="658" t="s">
        <v>254</v>
      </c>
      <c r="AF68" s="701">
        <f t="shared" si="27"/>
        <v>1.895016107636915</v>
      </c>
      <c r="AH68" s="510" t="s">
        <v>3</v>
      </c>
      <c r="AI68" s="628">
        <f>'Haché Moyen'!B23</f>
        <v>3</v>
      </c>
      <c r="AJ68" s="628">
        <f>AJ67+AI68</f>
        <v>7.53</v>
      </c>
      <c r="AK68" s="658" t="s">
        <v>254</v>
      </c>
      <c r="AL68" s="701">
        <f t="shared" si="28"/>
        <v>1.895016107636915</v>
      </c>
      <c r="AN68" s="510" t="s">
        <v>3</v>
      </c>
      <c r="AO68" s="628">
        <f>'Haché Moyen'!P36</f>
        <v>1.5</v>
      </c>
      <c r="AP68" s="628">
        <f>AP67+AO68</f>
        <v>5.43</v>
      </c>
      <c r="AQ68" s="658" t="s">
        <v>254</v>
      </c>
      <c r="AR68" s="701">
        <f t="shared" si="29"/>
        <v>0.96024582293067018</v>
      </c>
      <c r="AT68" s="676" t="s">
        <v>3</v>
      </c>
      <c r="AU68" s="628">
        <f>'Haché Moyen'!P23</f>
        <v>1.5</v>
      </c>
      <c r="AV68" s="628">
        <f>AV67+AU68</f>
        <v>5.43</v>
      </c>
      <c r="AW68" s="658" t="s">
        <v>254</v>
      </c>
      <c r="AX68" s="701">
        <f t="shared" si="30"/>
        <v>0.96055327868852458</v>
      </c>
    </row>
    <row r="69" spans="2:170" x14ac:dyDescent="0.7">
      <c r="J69" s="601" t="s">
        <v>3</v>
      </c>
      <c r="K69" s="631">
        <f>'Haché Moyen'!$P$9</f>
        <v>1.5</v>
      </c>
      <c r="L69" s="631">
        <f>L68+K69</f>
        <v>5.4179999999999993</v>
      </c>
      <c r="M69" s="657" t="s">
        <v>254</v>
      </c>
      <c r="N69" s="700">
        <f t="shared" si="23"/>
        <v>0.96031959436100334</v>
      </c>
      <c r="P69" s="601" t="s">
        <v>2</v>
      </c>
      <c r="Q69" s="631">
        <f>'Haché Moyen'!B9</f>
        <v>0.5</v>
      </c>
      <c r="R69" s="631">
        <f>R68+Q69</f>
        <v>5.6800000000000006</v>
      </c>
      <c r="S69" s="657" t="s">
        <v>254</v>
      </c>
      <c r="T69" s="700">
        <f t="shared" si="24"/>
        <v>0.32049227613614512</v>
      </c>
      <c r="V69" s="526" t="s">
        <v>2</v>
      </c>
      <c r="W69" s="631">
        <f>'Haché Moyen'!J9</f>
        <v>0.3</v>
      </c>
      <c r="X69" s="631">
        <f t="shared" si="25"/>
        <v>6.33</v>
      </c>
      <c r="Y69" s="657" t="s">
        <v>254</v>
      </c>
      <c r="Z69" s="700">
        <f t="shared" si="26"/>
        <v>0.19113149847094801</v>
      </c>
      <c r="AB69" s="601" t="s">
        <v>2</v>
      </c>
      <c r="AC69" s="631">
        <f>'Haché Moyen'!J24</f>
        <v>0.45</v>
      </c>
      <c r="AD69" s="631">
        <f t="shared" ref="AD69" si="31">AD68+AC69</f>
        <v>7.98</v>
      </c>
      <c r="AE69" s="657" t="s">
        <v>254</v>
      </c>
      <c r="AF69" s="700">
        <f t="shared" si="27"/>
        <v>0.28425241614553726</v>
      </c>
      <c r="AH69" s="526" t="s">
        <v>2</v>
      </c>
      <c r="AI69" s="631">
        <f>'Haché Moyen'!B24</f>
        <v>0.45</v>
      </c>
      <c r="AJ69" s="631">
        <f>AJ68+AI69</f>
        <v>7.98</v>
      </c>
      <c r="AK69" s="657" t="s">
        <v>254</v>
      </c>
      <c r="AL69" s="700">
        <f t="shared" si="28"/>
        <v>0.28425241614553726</v>
      </c>
      <c r="AN69" s="526" t="s">
        <v>2</v>
      </c>
      <c r="AO69" s="631">
        <f>'Haché Moyen'!P37</f>
        <v>0.45</v>
      </c>
      <c r="AP69" s="631">
        <f>AP68+AO69</f>
        <v>5.88</v>
      </c>
      <c r="AQ69" s="657" t="s">
        <v>254</v>
      </c>
      <c r="AR69" s="700">
        <f t="shared" si="29"/>
        <v>0.28807374687920106</v>
      </c>
      <c r="AT69" s="708" t="s">
        <v>390</v>
      </c>
      <c r="AU69" s="631">
        <f>'Haché Moyen'!P24</f>
        <v>0.45</v>
      </c>
      <c r="AV69" s="631">
        <f>AV68+AU69</f>
        <v>5.88</v>
      </c>
      <c r="AW69" s="657" t="s">
        <v>254</v>
      </c>
      <c r="AX69" s="700">
        <f t="shared" si="30"/>
        <v>0.28816598360655737</v>
      </c>
    </row>
    <row r="70" spans="2:170" x14ac:dyDescent="0.7">
      <c r="J70" s="534" t="s">
        <v>2</v>
      </c>
      <c r="K70" s="628">
        <f>'Haché Moyen'!$P$10</f>
        <v>0.45</v>
      </c>
      <c r="L70" s="628">
        <f t="shared" ref="L70" si="32">L69+K70</f>
        <v>5.8679999999999994</v>
      </c>
      <c r="M70" s="658" t="s">
        <v>254</v>
      </c>
      <c r="N70" s="701">
        <f t="shared" si="23"/>
        <v>0.28809587830830097</v>
      </c>
      <c r="P70" s="534" t="s">
        <v>17</v>
      </c>
      <c r="Q70" s="628">
        <f>'Haché Moyen'!B10</f>
        <v>0.25</v>
      </c>
      <c r="R70" s="628">
        <f>R69+Q70</f>
        <v>5.9300000000000006</v>
      </c>
      <c r="S70" s="658" t="s">
        <v>254</v>
      </c>
      <c r="T70" s="701">
        <f t="shared" si="24"/>
        <v>0.16024613806807256</v>
      </c>
      <c r="V70" s="510" t="s">
        <v>17</v>
      </c>
      <c r="W70" s="628">
        <f>'Haché Moyen'!J10</f>
        <v>0.25</v>
      </c>
      <c r="X70" s="628">
        <f t="shared" si="25"/>
        <v>6.58</v>
      </c>
      <c r="Y70" s="658" t="s">
        <v>254</v>
      </c>
      <c r="Z70" s="701">
        <f t="shared" si="26"/>
        <v>0.15927624872578999</v>
      </c>
      <c r="AB70" s="534" t="s">
        <v>17</v>
      </c>
      <c r="AC70" s="628">
        <f>'Haché Moyen'!J25</f>
        <v>0.25</v>
      </c>
      <c r="AD70" s="628">
        <f>AD69+AC70</f>
        <v>8.23</v>
      </c>
      <c r="AE70" s="658" t="s">
        <v>254</v>
      </c>
      <c r="AF70" s="701">
        <f t="shared" si="27"/>
        <v>0.1579180089697429</v>
      </c>
      <c r="AH70" s="510" t="s">
        <v>17</v>
      </c>
      <c r="AI70" s="628">
        <f>'Haché Moyen'!B25</f>
        <v>0.25</v>
      </c>
      <c r="AJ70" s="628">
        <f>AJ69+AI70</f>
        <v>8.23</v>
      </c>
      <c r="AK70" s="658" t="s">
        <v>254</v>
      </c>
      <c r="AL70" s="701">
        <f t="shared" si="28"/>
        <v>0.1579180089697429</v>
      </c>
      <c r="AN70" s="510" t="s">
        <v>17</v>
      </c>
      <c r="AO70" s="628">
        <f>'Haché Moyen'!P38</f>
        <v>0.25</v>
      </c>
      <c r="AP70" s="628">
        <f>AP69+AO70</f>
        <v>6.13</v>
      </c>
      <c r="AQ70" s="658" t="s">
        <v>254</v>
      </c>
      <c r="AR70" s="701">
        <f t="shared" si="29"/>
        <v>0.16004097048844504</v>
      </c>
      <c r="AT70" s="676" t="s">
        <v>17</v>
      </c>
      <c r="AU70" s="628">
        <f>'Haché Moyen'!P25</f>
        <v>0.2</v>
      </c>
      <c r="AV70" s="628">
        <f>AV69+AU70</f>
        <v>6.08</v>
      </c>
      <c r="AW70" s="658" t="s">
        <v>254</v>
      </c>
      <c r="AX70" s="701">
        <f t="shared" si="30"/>
        <v>0.12807377049180327</v>
      </c>
    </row>
    <row r="71" spans="2:170" ht="23.4" thickBot="1" x14ac:dyDescent="0.75">
      <c r="J71" s="601" t="s">
        <v>17</v>
      </c>
      <c r="K71" s="631">
        <f>'Haché Moyen'!$P$11</f>
        <v>0.25</v>
      </c>
      <c r="L71" s="631">
        <f>L70+K71</f>
        <v>6.1179999999999994</v>
      </c>
      <c r="M71" s="657" t="s">
        <v>254</v>
      </c>
      <c r="N71" s="700">
        <f t="shared" si="23"/>
        <v>0.16005326572683387</v>
      </c>
      <c r="P71" s="536" t="s">
        <v>5</v>
      </c>
      <c r="Q71" s="629">
        <f>'Haché Moyen'!B11</f>
        <v>0.08</v>
      </c>
      <c r="R71" s="638">
        <f>R70+Q71</f>
        <v>6.0100000000000007</v>
      </c>
      <c r="S71" s="659" t="s">
        <v>254</v>
      </c>
      <c r="T71" s="582">
        <f t="shared" si="24"/>
        <v>5.1278764181783225E-2</v>
      </c>
      <c r="V71" s="526" t="s">
        <v>91</v>
      </c>
      <c r="W71" s="631">
        <f>'Haché Moyen'!J11</f>
        <v>0.3</v>
      </c>
      <c r="X71" s="631">
        <f t="shared" si="25"/>
        <v>6.88</v>
      </c>
      <c r="Y71" s="657" t="s">
        <v>254</v>
      </c>
      <c r="Z71" s="700">
        <f t="shared" si="26"/>
        <v>0.19113149847094801</v>
      </c>
      <c r="AB71" s="536" t="s">
        <v>5</v>
      </c>
      <c r="AC71" s="629">
        <f>'Haché Moyen'!J26</f>
        <v>0.08</v>
      </c>
      <c r="AD71" s="638">
        <f>AD70+AC71</f>
        <v>8.31</v>
      </c>
      <c r="AE71" s="659" t="s">
        <v>254</v>
      </c>
      <c r="AF71" s="582">
        <f t="shared" si="27"/>
        <v>5.0533762870317731E-2</v>
      </c>
      <c r="AH71" s="517" t="s">
        <v>5</v>
      </c>
      <c r="AI71" s="629">
        <f>'Haché Moyen'!B26</f>
        <v>0.08</v>
      </c>
      <c r="AJ71" s="629">
        <f>AJ70+AI71</f>
        <v>8.31</v>
      </c>
      <c r="AK71" s="659" t="s">
        <v>254</v>
      </c>
      <c r="AL71" s="582">
        <f t="shared" si="28"/>
        <v>5.0533762870317731E-2</v>
      </c>
      <c r="AN71" s="517" t="s">
        <v>5</v>
      </c>
      <c r="AO71" s="629">
        <f>'Haché Moyen'!P39</f>
        <v>0.08</v>
      </c>
      <c r="AP71" s="638">
        <f>AP70+AO71</f>
        <v>6.21</v>
      </c>
      <c r="AQ71" s="659" t="s">
        <v>254</v>
      </c>
      <c r="AR71" s="582">
        <f t="shared" si="29"/>
        <v>5.1213110556302413E-2</v>
      </c>
      <c r="AT71" s="710" t="s">
        <v>5</v>
      </c>
      <c r="AU71" s="629">
        <f>'Haché Moyen'!P26</f>
        <v>0.08</v>
      </c>
      <c r="AV71" s="638">
        <f>AV70+AU71</f>
        <v>6.16</v>
      </c>
      <c r="AW71" s="659" t="s">
        <v>254</v>
      </c>
      <c r="AX71" s="582">
        <f t="shared" si="30"/>
        <v>5.1229508196721313E-2</v>
      </c>
    </row>
    <row r="72" spans="2:170" ht="24" thickTop="1" thickBot="1" x14ac:dyDescent="0.75">
      <c r="J72" s="624" t="s">
        <v>5</v>
      </c>
      <c r="K72" s="697">
        <f>'Haché Moyen'!$P$12</f>
        <v>0.08</v>
      </c>
      <c r="L72" s="641">
        <f>L71+K72</f>
        <v>6.1979999999999995</v>
      </c>
      <c r="M72" s="698" t="s">
        <v>254</v>
      </c>
      <c r="N72" s="583">
        <f t="shared" si="23"/>
        <v>5.1217045032586846E-2</v>
      </c>
      <c r="P72" s="602" t="s">
        <v>28</v>
      </c>
      <c r="Q72" s="660">
        <f>'Haché Moyen'!B12</f>
        <v>1</v>
      </c>
      <c r="R72" s="661">
        <f>Q72</f>
        <v>1</v>
      </c>
      <c r="S72" s="608" t="s">
        <v>421</v>
      </c>
      <c r="T72" s="703"/>
      <c r="V72" s="580" t="s">
        <v>5</v>
      </c>
      <c r="W72" s="697">
        <f>'Haché Moyen'!J12</f>
        <v>0.08</v>
      </c>
      <c r="X72" s="641">
        <f t="shared" si="25"/>
        <v>6.96</v>
      </c>
      <c r="Y72" s="698" t="s">
        <v>254</v>
      </c>
      <c r="Z72" s="583">
        <f t="shared" si="26"/>
        <v>5.09683995922528E-2</v>
      </c>
      <c r="AB72" s="602" t="s">
        <v>28</v>
      </c>
      <c r="AC72" s="660">
        <f>'Haché Moyen'!J27</f>
        <v>1</v>
      </c>
      <c r="AD72" s="661">
        <f>AC72</f>
        <v>1</v>
      </c>
      <c r="AE72" s="702" t="s">
        <v>421</v>
      </c>
      <c r="AF72" s="703"/>
      <c r="AH72" s="665" t="s">
        <v>28</v>
      </c>
      <c r="AI72" s="660">
        <f>'Haché Moyen'!B27</f>
        <v>1</v>
      </c>
      <c r="AJ72" s="660">
        <f>AI72</f>
        <v>1</v>
      </c>
      <c r="AK72" s="702" t="s">
        <v>421</v>
      </c>
      <c r="AL72" s="703"/>
      <c r="AN72" s="665" t="s">
        <v>25</v>
      </c>
      <c r="AO72" s="660">
        <f>'Haché Moyen'!P40</f>
        <v>1</v>
      </c>
      <c r="AP72" s="661">
        <f>AO72</f>
        <v>1</v>
      </c>
      <c r="AQ72" s="608" t="s">
        <v>421</v>
      </c>
      <c r="AR72" s="703"/>
      <c r="AT72" s="709" t="s">
        <v>25</v>
      </c>
      <c r="AU72" s="660">
        <f>'Haché Moyen'!P27</f>
        <v>1</v>
      </c>
      <c r="AV72" s="661">
        <f>AU72</f>
        <v>1</v>
      </c>
      <c r="AW72" s="608" t="s">
        <v>421</v>
      </c>
      <c r="AX72" s="703"/>
    </row>
    <row r="73" spans="2:170" ht="24" thickTop="1" thickBot="1" x14ac:dyDescent="0.75">
      <c r="J73" s="694" t="s">
        <v>25</v>
      </c>
      <c r="K73" s="691">
        <f>'Haché Moyen'!$P$13</f>
        <v>1</v>
      </c>
      <c r="L73" s="696">
        <f>K73</f>
        <v>1</v>
      </c>
      <c r="M73" s="692" t="s">
        <v>421</v>
      </c>
      <c r="N73" s="695"/>
      <c r="P73" s="584" t="s">
        <v>427</v>
      </c>
      <c r="V73" s="705" t="s">
        <v>28</v>
      </c>
      <c r="W73" s="691">
        <f>'Haché Moyen'!J13</f>
        <v>1</v>
      </c>
      <c r="X73" s="696">
        <f>W73</f>
        <v>1</v>
      </c>
      <c r="Y73" s="704" t="s">
        <v>421</v>
      </c>
      <c r="Z73" s="706"/>
      <c r="AB73" s="584" t="s">
        <v>427</v>
      </c>
      <c r="AH73" s="584" t="s">
        <v>427</v>
      </c>
      <c r="AN73" s="584" t="s">
        <v>427</v>
      </c>
      <c r="AT73" s="584" t="s">
        <v>427</v>
      </c>
    </row>
    <row r="74" spans="2:170" x14ac:dyDescent="0.7">
      <c r="J74" s="584" t="s">
        <v>427</v>
      </c>
      <c r="V74" s="584" t="s">
        <v>427</v>
      </c>
    </row>
    <row r="76" spans="2:170" ht="23.4" thickBot="1" x14ac:dyDescent="0.75"/>
    <row r="77" spans="2:170" ht="30.6" thickBot="1" x14ac:dyDescent="0.95">
      <c r="J77" s="1121" t="s">
        <v>467</v>
      </c>
      <c r="K77" s="1122"/>
    </row>
    <row r="79" spans="2:170" ht="23.4" thickBot="1" x14ac:dyDescent="0.75">
      <c r="J79" s="585" t="s">
        <v>469</v>
      </c>
      <c r="P79" s="585" t="s">
        <v>471</v>
      </c>
      <c r="R79" s="498"/>
      <c r="S79" s="23"/>
      <c r="V79" s="747" t="s">
        <v>473</v>
      </c>
      <c r="X79" s="498"/>
      <c r="Y79" s="23"/>
      <c r="AB79" s="585" t="s">
        <v>474</v>
      </c>
      <c r="AD79" s="498"/>
      <c r="AE79" s="23"/>
      <c r="AH79" s="585" t="s">
        <v>475</v>
      </c>
      <c r="AJ79" s="498"/>
      <c r="AK79" s="23"/>
      <c r="AN79" s="585" t="s">
        <v>477</v>
      </c>
      <c r="AP79" s="498"/>
      <c r="AQ79" s="23"/>
      <c r="AT79" s="585" t="s">
        <v>478</v>
      </c>
      <c r="AV79" s="498"/>
      <c r="AW79" s="23"/>
      <c r="AZ79" s="585" t="s">
        <v>479</v>
      </c>
      <c r="BB79" s="498"/>
      <c r="BC79" s="23"/>
      <c r="BF79" s="585" t="s">
        <v>480</v>
      </c>
      <c r="BH79" s="498"/>
      <c r="BI79" s="23"/>
      <c r="BL79" s="585" t="s">
        <v>484</v>
      </c>
      <c r="BN79" s="498"/>
      <c r="BO79" s="23"/>
      <c r="BR79" s="585" t="s">
        <v>485</v>
      </c>
      <c r="BT79" s="498"/>
      <c r="BU79" s="23"/>
      <c r="BX79" s="585" t="s">
        <v>487</v>
      </c>
      <c r="BZ79" s="498"/>
      <c r="CA79" s="23"/>
      <c r="CD79" s="585" t="s">
        <v>489</v>
      </c>
      <c r="CF79" s="498"/>
      <c r="CG79" s="23"/>
      <c r="CJ79" s="585" t="s">
        <v>490</v>
      </c>
      <c r="CL79" s="498"/>
      <c r="CM79" s="23"/>
      <c r="CP79" s="585" t="s">
        <v>492</v>
      </c>
      <c r="CR79" s="498"/>
      <c r="CS79" s="23"/>
      <c r="CV79" s="585" t="s">
        <v>494</v>
      </c>
      <c r="CX79" s="498"/>
      <c r="CY79" s="23"/>
      <c r="DB79" s="585" t="s">
        <v>496</v>
      </c>
      <c r="DD79" s="498"/>
      <c r="DE79" s="23"/>
      <c r="DH79" s="585" t="s">
        <v>497</v>
      </c>
      <c r="DJ79" s="498"/>
      <c r="DK79" s="23"/>
      <c r="DN79" s="585" t="s">
        <v>498</v>
      </c>
      <c r="DP79" s="498"/>
      <c r="DQ79" s="23"/>
      <c r="DT79" s="585" t="s">
        <v>499</v>
      </c>
      <c r="DV79" s="498"/>
      <c r="DW79" s="23"/>
      <c r="DZ79" s="585" t="s">
        <v>500</v>
      </c>
      <c r="EB79" s="498"/>
      <c r="EC79" s="23"/>
      <c r="EF79" s="585" t="s">
        <v>501</v>
      </c>
      <c r="EH79" s="498"/>
      <c r="EI79" s="23"/>
      <c r="EL79" s="585" t="s">
        <v>502</v>
      </c>
      <c r="EN79" s="498"/>
      <c r="EO79" s="23"/>
      <c r="ER79" s="585" t="s">
        <v>505</v>
      </c>
      <c r="ET79" s="498"/>
      <c r="EU79" s="23"/>
      <c r="EX79" s="585" t="s">
        <v>506</v>
      </c>
      <c r="EZ79" s="498"/>
      <c r="FA79" s="23"/>
      <c r="FD79" s="585" t="s">
        <v>510</v>
      </c>
      <c r="FF79" s="498"/>
      <c r="FG79" s="23"/>
      <c r="FJ79" s="585" t="s">
        <v>513</v>
      </c>
      <c r="FL79" s="498"/>
      <c r="FM79" s="23"/>
    </row>
    <row r="80" spans="2:170" s="674" customFormat="1" ht="23.4" thickBot="1" x14ac:dyDescent="0.35">
      <c r="B80" s="769"/>
      <c r="C80" s="770"/>
      <c r="D80" s="771"/>
      <c r="H80" s="584"/>
      <c r="J80" s="1098" t="s">
        <v>468</v>
      </c>
      <c r="K80" s="1099"/>
      <c r="L80" s="1099"/>
      <c r="M80" s="1099"/>
      <c r="N80" s="1100"/>
      <c r="P80" s="1098" t="s">
        <v>472</v>
      </c>
      <c r="Q80" s="1099"/>
      <c r="R80" s="1099"/>
      <c r="S80" s="1099"/>
      <c r="T80" s="1100"/>
      <c r="V80" s="1098" t="s">
        <v>483</v>
      </c>
      <c r="W80" s="1099"/>
      <c r="X80" s="1099"/>
      <c r="Y80" s="1099"/>
      <c r="Z80" s="1100"/>
      <c r="AB80" s="1098" t="s">
        <v>482</v>
      </c>
      <c r="AC80" s="1099"/>
      <c r="AD80" s="1099"/>
      <c r="AE80" s="1099"/>
      <c r="AF80" s="1100"/>
      <c r="AH80" s="1098" t="s">
        <v>476</v>
      </c>
      <c r="AI80" s="1099"/>
      <c r="AJ80" s="1099"/>
      <c r="AK80" s="1099"/>
      <c r="AL80" s="1100"/>
      <c r="AN80" s="1098" t="s">
        <v>138</v>
      </c>
      <c r="AO80" s="1099"/>
      <c r="AP80" s="1099"/>
      <c r="AQ80" s="1099"/>
      <c r="AR80" s="1100"/>
      <c r="AT80" s="1098" t="s">
        <v>97</v>
      </c>
      <c r="AU80" s="1099"/>
      <c r="AV80" s="1099"/>
      <c r="AW80" s="1099"/>
      <c r="AX80" s="1100"/>
      <c r="AZ80" s="1098" t="s">
        <v>95</v>
      </c>
      <c r="BA80" s="1099"/>
      <c r="BB80" s="1099"/>
      <c r="BC80" s="1099"/>
      <c r="BD80" s="1100"/>
      <c r="BF80" s="1098" t="s">
        <v>96</v>
      </c>
      <c r="BG80" s="1099"/>
      <c r="BH80" s="1099"/>
      <c r="BI80" s="1099"/>
      <c r="BJ80" s="1100"/>
      <c r="BL80" s="1098" t="s">
        <v>481</v>
      </c>
      <c r="BM80" s="1099"/>
      <c r="BN80" s="1099"/>
      <c r="BO80" s="1099"/>
      <c r="BP80" s="1100"/>
      <c r="BR80" s="1098" t="s">
        <v>486</v>
      </c>
      <c r="BS80" s="1099"/>
      <c r="BT80" s="1099"/>
      <c r="BU80" s="1099"/>
      <c r="BV80" s="1100"/>
      <c r="BX80" s="1098" t="s">
        <v>488</v>
      </c>
      <c r="BY80" s="1099"/>
      <c r="BZ80" s="1099"/>
      <c r="CA80" s="1099"/>
      <c r="CB80" s="1100"/>
      <c r="CD80" s="1098" t="s">
        <v>103</v>
      </c>
      <c r="CE80" s="1099"/>
      <c r="CF80" s="1099"/>
      <c r="CG80" s="1099"/>
      <c r="CH80" s="1100"/>
      <c r="CJ80" s="1098" t="s">
        <v>491</v>
      </c>
      <c r="CK80" s="1099"/>
      <c r="CL80" s="1099"/>
      <c r="CM80" s="1099"/>
      <c r="CN80" s="1100"/>
      <c r="CP80" s="1098" t="s">
        <v>493</v>
      </c>
      <c r="CQ80" s="1099"/>
      <c r="CR80" s="1099"/>
      <c r="CS80" s="1099"/>
      <c r="CT80" s="1100"/>
      <c r="CV80" s="1098" t="s">
        <v>495</v>
      </c>
      <c r="CW80" s="1099"/>
      <c r="CX80" s="1099"/>
      <c r="CY80" s="1099"/>
      <c r="CZ80" s="1100"/>
      <c r="DB80" s="1098" t="s">
        <v>346</v>
      </c>
      <c r="DC80" s="1099"/>
      <c r="DD80" s="1099"/>
      <c r="DE80" s="1099"/>
      <c r="DF80" s="1100"/>
      <c r="DH80" s="1098" t="s">
        <v>136</v>
      </c>
      <c r="DI80" s="1099"/>
      <c r="DJ80" s="1099"/>
      <c r="DK80" s="1099"/>
      <c r="DL80" s="1100"/>
      <c r="DN80" s="1098" t="s">
        <v>529</v>
      </c>
      <c r="DO80" s="1099"/>
      <c r="DP80" s="1099"/>
      <c r="DQ80" s="1099"/>
      <c r="DR80" s="1100"/>
      <c r="DT80" s="1125" t="s">
        <v>304</v>
      </c>
      <c r="DU80" s="1126"/>
      <c r="DV80" s="1126"/>
      <c r="DW80" s="1126"/>
      <c r="DX80" s="1127"/>
      <c r="DZ80" s="1098" t="s">
        <v>98</v>
      </c>
      <c r="EA80" s="1099"/>
      <c r="EB80" s="1099"/>
      <c r="EC80" s="1099"/>
      <c r="ED80" s="1100"/>
      <c r="EF80" s="1125" t="s">
        <v>125</v>
      </c>
      <c r="EG80" s="1126"/>
      <c r="EH80" s="1126"/>
      <c r="EI80" s="1126"/>
      <c r="EJ80" s="1127"/>
      <c r="EL80" s="1098" t="s">
        <v>503</v>
      </c>
      <c r="EM80" s="1099"/>
      <c r="EN80" s="1099"/>
      <c r="EO80" s="1099"/>
      <c r="EP80" s="1100"/>
      <c r="ER80" s="1125" t="s">
        <v>123</v>
      </c>
      <c r="ES80" s="1126"/>
      <c r="ET80" s="1126"/>
      <c r="EU80" s="1126"/>
      <c r="EV80" s="1127"/>
      <c r="EX80" s="1098" t="s">
        <v>507</v>
      </c>
      <c r="EY80" s="1099"/>
      <c r="EZ80" s="1099"/>
      <c r="FA80" s="1099"/>
      <c r="FB80" s="1100"/>
      <c r="FD80" s="1098" t="s">
        <v>511</v>
      </c>
      <c r="FE80" s="1099"/>
      <c r="FF80" s="1099"/>
      <c r="FG80" s="1099"/>
      <c r="FH80" s="1100"/>
      <c r="FJ80" s="1125" t="s">
        <v>124</v>
      </c>
      <c r="FK80" s="1126"/>
      <c r="FL80" s="1126"/>
      <c r="FM80" s="1126"/>
      <c r="FN80" s="1127"/>
    </row>
    <row r="81" spans="2:170" ht="46.2" thickBot="1" x14ac:dyDescent="0.75">
      <c r="J81" s="500" t="s">
        <v>422</v>
      </c>
      <c r="K81" s="501" t="s">
        <v>320</v>
      </c>
      <c r="L81" s="501" t="s">
        <v>321</v>
      </c>
      <c r="M81" s="502" t="s">
        <v>420</v>
      </c>
      <c r="N81" s="542" t="s">
        <v>415</v>
      </c>
      <c r="P81" s="500" t="s">
        <v>422</v>
      </c>
      <c r="Q81" s="501" t="s">
        <v>320</v>
      </c>
      <c r="R81" s="501" t="s">
        <v>321</v>
      </c>
      <c r="S81" s="502" t="s">
        <v>420</v>
      </c>
      <c r="T81" s="542" t="s">
        <v>415</v>
      </c>
      <c r="V81" s="500" t="s">
        <v>422</v>
      </c>
      <c r="W81" s="501" t="s">
        <v>320</v>
      </c>
      <c r="X81" s="501" t="s">
        <v>321</v>
      </c>
      <c r="Y81" s="502" t="s">
        <v>420</v>
      </c>
      <c r="Z81" s="542" t="s">
        <v>415</v>
      </c>
      <c r="AB81" s="500" t="s">
        <v>422</v>
      </c>
      <c r="AC81" s="501" t="s">
        <v>320</v>
      </c>
      <c r="AD81" s="501" t="s">
        <v>321</v>
      </c>
      <c r="AE81" s="502" t="s">
        <v>420</v>
      </c>
      <c r="AF81" s="542" t="s">
        <v>415</v>
      </c>
      <c r="AH81" s="500" t="s">
        <v>422</v>
      </c>
      <c r="AI81" s="501" t="s">
        <v>320</v>
      </c>
      <c r="AJ81" s="501" t="s">
        <v>321</v>
      </c>
      <c r="AK81" s="502" t="s">
        <v>420</v>
      </c>
      <c r="AL81" s="542" t="s">
        <v>415</v>
      </c>
      <c r="AN81" s="500" t="s">
        <v>422</v>
      </c>
      <c r="AO81" s="501" t="s">
        <v>320</v>
      </c>
      <c r="AP81" s="501" t="s">
        <v>321</v>
      </c>
      <c r="AQ81" s="502" t="s">
        <v>420</v>
      </c>
      <c r="AR81" s="542" t="s">
        <v>415</v>
      </c>
      <c r="AT81" s="500" t="s">
        <v>422</v>
      </c>
      <c r="AU81" s="501" t="s">
        <v>320</v>
      </c>
      <c r="AV81" s="501" t="s">
        <v>321</v>
      </c>
      <c r="AW81" s="502" t="s">
        <v>420</v>
      </c>
      <c r="AX81" s="542" t="s">
        <v>415</v>
      </c>
      <c r="AZ81" s="500" t="s">
        <v>422</v>
      </c>
      <c r="BA81" s="501" t="s">
        <v>320</v>
      </c>
      <c r="BB81" s="501" t="s">
        <v>321</v>
      </c>
      <c r="BC81" s="502" t="s">
        <v>420</v>
      </c>
      <c r="BD81" s="542" t="s">
        <v>415</v>
      </c>
      <c r="BF81" s="500" t="s">
        <v>422</v>
      </c>
      <c r="BG81" s="501" t="s">
        <v>320</v>
      </c>
      <c r="BH81" s="501" t="s">
        <v>321</v>
      </c>
      <c r="BI81" s="502" t="s">
        <v>420</v>
      </c>
      <c r="BJ81" s="542" t="s">
        <v>415</v>
      </c>
      <c r="BL81" s="500" t="s">
        <v>422</v>
      </c>
      <c r="BM81" s="501" t="s">
        <v>320</v>
      </c>
      <c r="BN81" s="501" t="s">
        <v>321</v>
      </c>
      <c r="BO81" s="502" t="s">
        <v>420</v>
      </c>
      <c r="BP81" s="542" t="s">
        <v>415</v>
      </c>
      <c r="BR81" s="500" t="s">
        <v>422</v>
      </c>
      <c r="BS81" s="501" t="s">
        <v>320</v>
      </c>
      <c r="BT81" s="501" t="s">
        <v>321</v>
      </c>
      <c r="BU81" s="502" t="s">
        <v>420</v>
      </c>
      <c r="BV81" s="542" t="s">
        <v>415</v>
      </c>
      <c r="BX81" s="500" t="s">
        <v>422</v>
      </c>
      <c r="BY81" s="501" t="s">
        <v>320</v>
      </c>
      <c r="BZ81" s="501" t="s">
        <v>321</v>
      </c>
      <c r="CA81" s="502" t="s">
        <v>420</v>
      </c>
      <c r="CB81" s="542" t="s">
        <v>415</v>
      </c>
      <c r="CD81" s="500" t="s">
        <v>422</v>
      </c>
      <c r="CE81" s="501" t="s">
        <v>320</v>
      </c>
      <c r="CF81" s="501" t="s">
        <v>321</v>
      </c>
      <c r="CG81" s="502" t="s">
        <v>420</v>
      </c>
      <c r="CH81" s="542" t="s">
        <v>415</v>
      </c>
      <c r="CJ81" s="500" t="s">
        <v>422</v>
      </c>
      <c r="CK81" s="501" t="s">
        <v>320</v>
      </c>
      <c r="CL81" s="501" t="s">
        <v>321</v>
      </c>
      <c r="CM81" s="502" t="s">
        <v>420</v>
      </c>
      <c r="CN81" s="542" t="s">
        <v>415</v>
      </c>
      <c r="CP81" s="500" t="s">
        <v>422</v>
      </c>
      <c r="CQ81" s="501" t="s">
        <v>320</v>
      </c>
      <c r="CR81" s="501" t="s">
        <v>321</v>
      </c>
      <c r="CS81" s="502" t="s">
        <v>420</v>
      </c>
      <c r="CT81" s="542" t="s">
        <v>415</v>
      </c>
      <c r="CV81" s="500" t="s">
        <v>422</v>
      </c>
      <c r="CW81" s="501" t="s">
        <v>320</v>
      </c>
      <c r="CX81" s="501" t="s">
        <v>321</v>
      </c>
      <c r="CY81" s="502" t="s">
        <v>420</v>
      </c>
      <c r="CZ81" s="542" t="s">
        <v>415</v>
      </c>
      <c r="DB81" s="500" t="s">
        <v>422</v>
      </c>
      <c r="DC81" s="501" t="s">
        <v>320</v>
      </c>
      <c r="DD81" s="501" t="s">
        <v>321</v>
      </c>
      <c r="DE81" s="502" t="s">
        <v>420</v>
      </c>
      <c r="DF81" s="542" t="s">
        <v>415</v>
      </c>
      <c r="DH81" s="500" t="s">
        <v>422</v>
      </c>
      <c r="DI81" s="501" t="s">
        <v>320</v>
      </c>
      <c r="DJ81" s="501" t="s">
        <v>321</v>
      </c>
      <c r="DK81" s="502" t="s">
        <v>420</v>
      </c>
      <c r="DL81" s="542" t="s">
        <v>415</v>
      </c>
      <c r="DN81" s="500" t="s">
        <v>422</v>
      </c>
      <c r="DO81" s="501" t="s">
        <v>320</v>
      </c>
      <c r="DP81" s="501" t="s">
        <v>321</v>
      </c>
      <c r="DQ81" s="502" t="s">
        <v>420</v>
      </c>
      <c r="DR81" s="542" t="s">
        <v>415</v>
      </c>
      <c r="DT81" s="500" t="s">
        <v>422</v>
      </c>
      <c r="DU81" s="501" t="s">
        <v>320</v>
      </c>
      <c r="DV81" s="501" t="s">
        <v>321</v>
      </c>
      <c r="DW81" s="502" t="s">
        <v>420</v>
      </c>
      <c r="DX81" s="542" t="s">
        <v>415</v>
      </c>
      <c r="DZ81" s="500" t="s">
        <v>422</v>
      </c>
      <c r="EA81" s="501" t="s">
        <v>320</v>
      </c>
      <c r="EB81" s="501" t="s">
        <v>321</v>
      </c>
      <c r="EC81" s="502" t="s">
        <v>420</v>
      </c>
      <c r="ED81" s="542" t="s">
        <v>415</v>
      </c>
      <c r="EF81" s="500" t="s">
        <v>422</v>
      </c>
      <c r="EG81" s="501" t="s">
        <v>320</v>
      </c>
      <c r="EH81" s="501" t="s">
        <v>321</v>
      </c>
      <c r="EI81" s="502" t="s">
        <v>420</v>
      </c>
      <c r="EJ81" s="542" t="s">
        <v>415</v>
      </c>
      <c r="EL81" s="500" t="s">
        <v>422</v>
      </c>
      <c r="EM81" s="501" t="s">
        <v>320</v>
      </c>
      <c r="EN81" s="501" t="s">
        <v>321</v>
      </c>
      <c r="EO81" s="502" t="s">
        <v>420</v>
      </c>
      <c r="EP81" s="542" t="s">
        <v>415</v>
      </c>
      <c r="ER81" s="500" t="s">
        <v>422</v>
      </c>
      <c r="ES81" s="501" t="s">
        <v>320</v>
      </c>
      <c r="ET81" s="501" t="s">
        <v>321</v>
      </c>
      <c r="EU81" s="502" t="s">
        <v>420</v>
      </c>
      <c r="EV81" s="542" t="s">
        <v>415</v>
      </c>
      <c r="EX81" s="500" t="s">
        <v>422</v>
      </c>
      <c r="EY81" s="501" t="s">
        <v>320</v>
      </c>
      <c r="EZ81" s="501" t="s">
        <v>321</v>
      </c>
      <c r="FA81" s="502" t="s">
        <v>420</v>
      </c>
      <c r="FB81" s="542" t="s">
        <v>415</v>
      </c>
      <c r="FD81" s="500" t="s">
        <v>422</v>
      </c>
      <c r="FE81" s="501" t="s">
        <v>320</v>
      </c>
      <c r="FF81" s="501" t="s">
        <v>321</v>
      </c>
      <c r="FG81" s="502" t="s">
        <v>420</v>
      </c>
      <c r="FH81" s="542" t="s">
        <v>415</v>
      </c>
      <c r="FJ81" s="500" t="s">
        <v>422</v>
      </c>
      <c r="FK81" s="501" t="s">
        <v>320</v>
      </c>
      <c r="FL81" s="501" t="s">
        <v>321</v>
      </c>
      <c r="FM81" s="502" t="s">
        <v>420</v>
      </c>
      <c r="FN81" s="542" t="s">
        <v>415</v>
      </c>
    </row>
    <row r="82" spans="2:170" x14ac:dyDescent="0.7">
      <c r="J82" s="548" t="s">
        <v>456</v>
      </c>
      <c r="K82" s="522">
        <f>'Recette viandes'!$S$6</f>
        <v>69</v>
      </c>
      <c r="L82" s="549">
        <f>K82</f>
        <v>69</v>
      </c>
      <c r="M82" s="523" t="s">
        <v>254</v>
      </c>
      <c r="N82" s="521">
        <f>K82*100/K85</f>
        <v>46</v>
      </c>
      <c r="P82" s="548" t="s">
        <v>456</v>
      </c>
      <c r="Q82" s="522">
        <f>'Recette viandes'!R22</f>
        <v>69</v>
      </c>
      <c r="R82" s="549">
        <f>Q82</f>
        <v>69</v>
      </c>
      <c r="S82" s="523" t="s">
        <v>254</v>
      </c>
      <c r="T82" s="521">
        <f>Q82*100/Q85</f>
        <v>46</v>
      </c>
      <c r="V82" s="548" t="s">
        <v>456</v>
      </c>
      <c r="W82" s="522">
        <f>'Recette viandes'!R22</f>
        <v>69</v>
      </c>
      <c r="X82" s="549">
        <f>W82</f>
        <v>69</v>
      </c>
      <c r="Y82" s="523" t="s">
        <v>254</v>
      </c>
      <c r="Z82" s="521">
        <f>W82*100/W85</f>
        <v>46</v>
      </c>
      <c r="AB82" s="548" t="s">
        <v>456</v>
      </c>
      <c r="AC82" s="522">
        <f>'Recette viandes'!R22</f>
        <v>69</v>
      </c>
      <c r="AD82" s="549">
        <f>AC82</f>
        <v>69</v>
      </c>
      <c r="AE82" s="523" t="s">
        <v>254</v>
      </c>
      <c r="AF82" s="521">
        <f>AC82*100/AC85</f>
        <v>46</v>
      </c>
      <c r="AH82" s="548" t="s">
        <v>456</v>
      </c>
      <c r="AI82" s="522">
        <f>'Recette viandes'!R22</f>
        <v>69</v>
      </c>
      <c r="AJ82" s="549">
        <f>AI82</f>
        <v>69</v>
      </c>
      <c r="AK82" s="523" t="s">
        <v>254</v>
      </c>
      <c r="AL82" s="521">
        <f>AI82*100/AI85</f>
        <v>46</v>
      </c>
      <c r="AN82" s="548" t="s">
        <v>456</v>
      </c>
      <c r="AO82" s="522">
        <f>'Recette viandes'!S6</f>
        <v>69</v>
      </c>
      <c r="AP82" s="549">
        <f>AO82</f>
        <v>69</v>
      </c>
      <c r="AQ82" s="523" t="s">
        <v>254</v>
      </c>
      <c r="AR82" s="521">
        <f>AO82*100/AO85</f>
        <v>46</v>
      </c>
      <c r="AT82" s="548" t="s">
        <v>456</v>
      </c>
      <c r="AU82" s="522">
        <f>'Recette viandes'!$S$6</f>
        <v>69</v>
      </c>
      <c r="AV82" s="549">
        <f>AU82</f>
        <v>69</v>
      </c>
      <c r="AW82" s="523" t="s">
        <v>254</v>
      </c>
      <c r="AX82" s="521">
        <f>AU82*100/AU85</f>
        <v>46</v>
      </c>
      <c r="AZ82" s="548" t="s">
        <v>456</v>
      </c>
      <c r="BA82" s="522">
        <f>'Recette viandes'!$S$6</f>
        <v>69</v>
      </c>
      <c r="BB82" s="549">
        <f>BA82</f>
        <v>69</v>
      </c>
      <c r="BC82" s="523" t="s">
        <v>254</v>
      </c>
      <c r="BD82" s="521">
        <f>BA82*100/BA85</f>
        <v>46</v>
      </c>
      <c r="BF82" s="548" t="s">
        <v>456</v>
      </c>
      <c r="BG82" s="522">
        <f>'Recette viandes'!$S$6</f>
        <v>69</v>
      </c>
      <c r="BH82" s="549">
        <f>BG82</f>
        <v>69</v>
      </c>
      <c r="BI82" s="523" t="s">
        <v>254</v>
      </c>
      <c r="BJ82" s="521">
        <f>BG82*100/BG85</f>
        <v>46</v>
      </c>
      <c r="BL82" s="548" t="s">
        <v>456</v>
      </c>
      <c r="BM82" s="522">
        <f>'Recette viandes'!$R$22</f>
        <v>69</v>
      </c>
      <c r="BN82" s="549">
        <f>BM82</f>
        <v>69</v>
      </c>
      <c r="BO82" s="523" t="s">
        <v>254</v>
      </c>
      <c r="BP82" s="521">
        <f>BM82*100/BM85</f>
        <v>46</v>
      </c>
      <c r="BR82" s="548" t="s">
        <v>456</v>
      </c>
      <c r="BS82" s="522">
        <f>'Recette viandes'!$S$6</f>
        <v>69</v>
      </c>
      <c r="BT82" s="549">
        <f>BS82</f>
        <v>69</v>
      </c>
      <c r="BU82" s="523" t="s">
        <v>254</v>
      </c>
      <c r="BV82" s="521">
        <f>BS82*100/BS85</f>
        <v>46</v>
      </c>
      <c r="BX82" s="548" t="s">
        <v>456</v>
      </c>
      <c r="BY82" s="522">
        <f>'Recette viandes'!$S$6</f>
        <v>69</v>
      </c>
      <c r="BZ82" s="549">
        <f>BY82</f>
        <v>69</v>
      </c>
      <c r="CA82" s="523" t="s">
        <v>254</v>
      </c>
      <c r="CB82" s="521">
        <f>BY82*100/BY85</f>
        <v>46</v>
      </c>
      <c r="CD82" s="548" t="s">
        <v>456</v>
      </c>
      <c r="CE82" s="522">
        <f>'Recette viandes'!$S$6</f>
        <v>69</v>
      </c>
      <c r="CF82" s="549">
        <f>CE82</f>
        <v>69</v>
      </c>
      <c r="CG82" s="523" t="s">
        <v>254</v>
      </c>
      <c r="CH82" s="521">
        <f>CE82*100/CE85</f>
        <v>46</v>
      </c>
      <c r="CJ82" s="548" t="s">
        <v>456</v>
      </c>
      <c r="CK82" s="522">
        <f>'Recette viandes'!$S$6</f>
        <v>69</v>
      </c>
      <c r="CL82" s="549">
        <f>CK82</f>
        <v>69</v>
      </c>
      <c r="CM82" s="523" t="s">
        <v>254</v>
      </c>
      <c r="CN82" s="521">
        <f>CK82*100/CK85</f>
        <v>46</v>
      </c>
      <c r="CP82" s="548" t="s">
        <v>456</v>
      </c>
      <c r="CQ82" s="522">
        <f>'Recette viandes'!$S$6</f>
        <v>69</v>
      </c>
      <c r="CR82" s="549">
        <f>CQ82</f>
        <v>69</v>
      </c>
      <c r="CS82" s="523" t="s">
        <v>254</v>
      </c>
      <c r="CT82" s="521">
        <f>CQ82*100/CQ85</f>
        <v>46</v>
      </c>
      <c r="CV82" s="548" t="s">
        <v>456</v>
      </c>
      <c r="CW82" s="522">
        <f>'Recette viandes'!$S$6</f>
        <v>69</v>
      </c>
      <c r="CX82" s="549">
        <f>CW82</f>
        <v>69</v>
      </c>
      <c r="CY82" s="523" t="s">
        <v>254</v>
      </c>
      <c r="CZ82" s="521">
        <f>CW82*100/CW85</f>
        <v>46</v>
      </c>
      <c r="DB82" s="548" t="s">
        <v>456</v>
      </c>
      <c r="DC82" s="522">
        <f>'Recette viandes'!$S$6</f>
        <v>69</v>
      </c>
      <c r="DD82" s="549">
        <f>DC82</f>
        <v>69</v>
      </c>
      <c r="DE82" s="523" t="s">
        <v>254</v>
      </c>
      <c r="DF82" s="521">
        <f>DC82*100/DC85</f>
        <v>46</v>
      </c>
      <c r="DH82" s="548" t="s">
        <v>456</v>
      </c>
      <c r="DI82" s="522">
        <f>'Recette viandes'!$S$6</f>
        <v>69</v>
      </c>
      <c r="DJ82" s="549">
        <f>DI82</f>
        <v>69</v>
      </c>
      <c r="DK82" s="523" t="s">
        <v>254</v>
      </c>
      <c r="DL82" s="521">
        <f>DI82*100/DI85</f>
        <v>46</v>
      </c>
      <c r="DN82" s="548" t="s">
        <v>456</v>
      </c>
      <c r="DO82" s="522">
        <f>'Recette viandes'!$R$22</f>
        <v>69</v>
      </c>
      <c r="DP82" s="549">
        <f>DO82</f>
        <v>69</v>
      </c>
      <c r="DQ82" s="523" t="s">
        <v>254</v>
      </c>
      <c r="DR82" s="521">
        <f>DO82*100/DO85</f>
        <v>46</v>
      </c>
      <c r="DT82" s="548" t="s">
        <v>456</v>
      </c>
      <c r="DU82" s="522">
        <f>+'Recette viandes'!U6</f>
        <v>45</v>
      </c>
      <c r="DV82" s="549">
        <f>DU82</f>
        <v>45</v>
      </c>
      <c r="DW82" s="523" t="s">
        <v>254</v>
      </c>
      <c r="DX82" s="521">
        <f>DU82*100/DU86</f>
        <v>30</v>
      </c>
      <c r="DZ82" s="548" t="s">
        <v>456</v>
      </c>
      <c r="EA82" s="522">
        <f>'Recette viandes'!$S$6</f>
        <v>69</v>
      </c>
      <c r="EB82" s="549">
        <f>EA82</f>
        <v>69</v>
      </c>
      <c r="EC82" s="523" t="s">
        <v>254</v>
      </c>
      <c r="ED82" s="521">
        <f>EA82*100/EA85</f>
        <v>46</v>
      </c>
      <c r="EF82" s="548" t="s">
        <v>456</v>
      </c>
      <c r="EG82" s="522">
        <f>'Recette viandes'!AA6</f>
        <v>45</v>
      </c>
      <c r="EH82" s="549">
        <f>EG82</f>
        <v>45</v>
      </c>
      <c r="EI82" s="523" t="s">
        <v>254</v>
      </c>
      <c r="EJ82" s="521">
        <f>EG82*100/EG86</f>
        <v>30</v>
      </c>
      <c r="EL82" s="548" t="s">
        <v>456</v>
      </c>
      <c r="EM82" s="522">
        <f>'Recette viandes'!$S$6</f>
        <v>69</v>
      </c>
      <c r="EN82" s="549">
        <f>EM82</f>
        <v>69</v>
      </c>
      <c r="EO82" s="523" t="s">
        <v>254</v>
      </c>
      <c r="EP82" s="521">
        <f>EM82*100/EM85</f>
        <v>46</v>
      </c>
      <c r="ER82" s="548" t="s">
        <v>456</v>
      </c>
      <c r="ES82" s="522">
        <f>'Recette viandes'!W6</f>
        <v>45</v>
      </c>
      <c r="ET82" s="549">
        <f>ES82</f>
        <v>45</v>
      </c>
      <c r="EU82" s="523" t="s">
        <v>254</v>
      </c>
      <c r="EV82" s="521">
        <f>ES82*10/ES86</f>
        <v>3</v>
      </c>
      <c r="EX82" s="548" t="s">
        <v>456</v>
      </c>
      <c r="EY82" s="522">
        <f>'Recette viandes'!$S$6</f>
        <v>69</v>
      </c>
      <c r="EZ82" s="549">
        <f>EY82</f>
        <v>69</v>
      </c>
      <c r="FA82" s="523" t="s">
        <v>254</v>
      </c>
      <c r="FB82" s="521">
        <f>EY82*100/EY85</f>
        <v>46</v>
      </c>
      <c r="FD82" s="548" t="s">
        <v>456</v>
      </c>
      <c r="FE82" s="522">
        <f>'Recette viandes'!$S$6</f>
        <v>69</v>
      </c>
      <c r="FF82" s="549">
        <f>FE82</f>
        <v>69</v>
      </c>
      <c r="FG82" s="523" t="s">
        <v>254</v>
      </c>
      <c r="FH82" s="521">
        <f>FE82*100/FE85</f>
        <v>46</v>
      </c>
      <c r="FJ82" s="548" t="s">
        <v>456</v>
      </c>
      <c r="FK82" s="522">
        <f>'Recette viandes'!Y6</f>
        <v>45</v>
      </c>
      <c r="FL82" s="549">
        <f>FK82</f>
        <v>45</v>
      </c>
      <c r="FM82" s="523" t="s">
        <v>254</v>
      </c>
      <c r="FN82" s="521">
        <f>FK82*100/FK86</f>
        <v>30</v>
      </c>
    </row>
    <row r="83" spans="2:170" x14ac:dyDescent="0.7">
      <c r="J83" s="552" t="s">
        <v>454</v>
      </c>
      <c r="K83" s="528">
        <f>'Recette viandes'!$S$9</f>
        <v>34</v>
      </c>
      <c r="L83" s="553">
        <f>L82+K83</f>
        <v>103</v>
      </c>
      <c r="M83" s="529" t="s">
        <v>254</v>
      </c>
      <c r="N83" s="689">
        <f>K83*100/K85</f>
        <v>22.666666666666668</v>
      </c>
      <c r="P83" s="552" t="s">
        <v>454</v>
      </c>
      <c r="Q83" s="528">
        <f>'Recette viandes'!R23</f>
        <v>34</v>
      </c>
      <c r="R83" s="553">
        <f>R82+Q83</f>
        <v>103</v>
      </c>
      <c r="S83" s="529" t="s">
        <v>254</v>
      </c>
      <c r="T83" s="689">
        <f>Q83*100/Q85</f>
        <v>22.666666666666668</v>
      </c>
      <c r="V83" s="552" t="s">
        <v>454</v>
      </c>
      <c r="W83" s="528">
        <f>'Recette viandes'!R23</f>
        <v>34</v>
      </c>
      <c r="X83" s="553">
        <f>X82+W83</f>
        <v>103</v>
      </c>
      <c r="Y83" s="529" t="s">
        <v>254</v>
      </c>
      <c r="Z83" s="689">
        <f>W83*100/W85</f>
        <v>22.666666666666668</v>
      </c>
      <c r="AB83" s="552" t="s">
        <v>454</v>
      </c>
      <c r="AC83" s="528">
        <f>'Recette viandes'!R23</f>
        <v>34</v>
      </c>
      <c r="AD83" s="553">
        <f>AD82+AC83</f>
        <v>103</v>
      </c>
      <c r="AE83" s="529" t="s">
        <v>254</v>
      </c>
      <c r="AF83" s="689">
        <f>AC83*100/AC85</f>
        <v>22.666666666666668</v>
      </c>
      <c r="AH83" s="552" t="s">
        <v>454</v>
      </c>
      <c r="AI83" s="528">
        <f>'Recette viandes'!R23</f>
        <v>34</v>
      </c>
      <c r="AJ83" s="553">
        <f>AJ82+AI83</f>
        <v>103</v>
      </c>
      <c r="AK83" s="529" t="s">
        <v>254</v>
      </c>
      <c r="AL83" s="689">
        <f>AI83*100/AI85</f>
        <v>22.666666666666668</v>
      </c>
      <c r="AN83" s="552" t="s">
        <v>454</v>
      </c>
      <c r="AO83" s="528">
        <f>'Recette viandes'!S9</f>
        <v>34</v>
      </c>
      <c r="AP83" s="553">
        <f>AP82+AO83</f>
        <v>103</v>
      </c>
      <c r="AQ83" s="529" t="s">
        <v>254</v>
      </c>
      <c r="AR83" s="689">
        <f>AO83*100/AO85</f>
        <v>22.666666666666668</v>
      </c>
      <c r="AT83" s="552" t="s">
        <v>454</v>
      </c>
      <c r="AU83" s="528">
        <f>'Recette viandes'!$S$9</f>
        <v>34</v>
      </c>
      <c r="AV83" s="553">
        <f>AV82+AU83</f>
        <v>103</v>
      </c>
      <c r="AW83" s="529" t="s">
        <v>254</v>
      </c>
      <c r="AX83" s="689">
        <f>AU83*100/AU85</f>
        <v>22.666666666666668</v>
      </c>
      <c r="AZ83" s="552" t="s">
        <v>454</v>
      </c>
      <c r="BA83" s="528">
        <f>'Recette viandes'!$S$9</f>
        <v>34</v>
      </c>
      <c r="BB83" s="553">
        <f>BB82+BA83</f>
        <v>103</v>
      </c>
      <c r="BC83" s="529" t="s">
        <v>254</v>
      </c>
      <c r="BD83" s="689">
        <f>BA83*100/BA85</f>
        <v>22.666666666666668</v>
      </c>
      <c r="BF83" s="552" t="s">
        <v>454</v>
      </c>
      <c r="BG83" s="528">
        <f>'Recette viandes'!$S$9</f>
        <v>34</v>
      </c>
      <c r="BH83" s="553">
        <f>BH82+BG83</f>
        <v>103</v>
      </c>
      <c r="BI83" s="529" t="s">
        <v>254</v>
      </c>
      <c r="BJ83" s="689">
        <f>BG83*100/BG85</f>
        <v>22.666666666666668</v>
      </c>
      <c r="BL83" s="552" t="s">
        <v>454</v>
      </c>
      <c r="BM83" s="528">
        <f>'Recette viandes'!$R$23</f>
        <v>34</v>
      </c>
      <c r="BN83" s="553">
        <f>BN82+BM83</f>
        <v>103</v>
      </c>
      <c r="BO83" s="529" t="s">
        <v>254</v>
      </c>
      <c r="BP83" s="689">
        <f>BM83*100/BM85</f>
        <v>22.666666666666668</v>
      </c>
      <c r="BR83" s="552" t="s">
        <v>454</v>
      </c>
      <c r="BS83" s="528">
        <f>'Recette viandes'!$S$9</f>
        <v>34</v>
      </c>
      <c r="BT83" s="553">
        <f>BT82+BS83</f>
        <v>103</v>
      </c>
      <c r="BU83" s="529" t="s">
        <v>254</v>
      </c>
      <c r="BV83" s="689">
        <f>BS83*100/BS85</f>
        <v>22.666666666666668</v>
      </c>
      <c r="BX83" s="552" t="s">
        <v>454</v>
      </c>
      <c r="BY83" s="528">
        <f>'Recette viandes'!$S$9</f>
        <v>34</v>
      </c>
      <c r="BZ83" s="553">
        <f>BZ82+BY83</f>
        <v>103</v>
      </c>
      <c r="CA83" s="529" t="s">
        <v>254</v>
      </c>
      <c r="CB83" s="689">
        <f>BY83*100/BY85</f>
        <v>22.666666666666668</v>
      </c>
      <c r="CD83" s="552" t="s">
        <v>454</v>
      </c>
      <c r="CE83" s="528">
        <f>'Recette viandes'!$S$9</f>
        <v>34</v>
      </c>
      <c r="CF83" s="553">
        <f>CF82+CE83</f>
        <v>103</v>
      </c>
      <c r="CG83" s="529" t="s">
        <v>254</v>
      </c>
      <c r="CH83" s="689">
        <f>CE83*100/CE85</f>
        <v>22.666666666666668</v>
      </c>
      <c r="CJ83" s="552" t="s">
        <v>454</v>
      </c>
      <c r="CK83" s="528">
        <f>'Recette viandes'!$S$9</f>
        <v>34</v>
      </c>
      <c r="CL83" s="553">
        <f>CL82+CK83</f>
        <v>103</v>
      </c>
      <c r="CM83" s="529" t="s">
        <v>254</v>
      </c>
      <c r="CN83" s="689">
        <f>CK83*100/CK85</f>
        <v>22.666666666666668</v>
      </c>
      <c r="CP83" s="552" t="s">
        <v>454</v>
      </c>
      <c r="CQ83" s="528">
        <f>'Recette viandes'!$S$9</f>
        <v>34</v>
      </c>
      <c r="CR83" s="553">
        <f>CR82+CQ83</f>
        <v>103</v>
      </c>
      <c r="CS83" s="529" t="s">
        <v>254</v>
      </c>
      <c r="CT83" s="689">
        <f>CQ83*100/CQ85</f>
        <v>22.666666666666668</v>
      </c>
      <c r="CV83" s="552" t="s">
        <v>454</v>
      </c>
      <c r="CW83" s="528">
        <f>'Recette viandes'!$S$9</f>
        <v>34</v>
      </c>
      <c r="CX83" s="553">
        <f>CX82+CW83</f>
        <v>103</v>
      </c>
      <c r="CY83" s="529" t="s">
        <v>254</v>
      </c>
      <c r="CZ83" s="689">
        <f>CW83*100/CW85</f>
        <v>22.666666666666668</v>
      </c>
      <c r="DB83" s="552" t="s">
        <v>454</v>
      </c>
      <c r="DC83" s="528">
        <f>'Recette viandes'!$S$9</f>
        <v>34</v>
      </c>
      <c r="DD83" s="553">
        <f>DD82+DC83</f>
        <v>103</v>
      </c>
      <c r="DE83" s="529" t="s">
        <v>254</v>
      </c>
      <c r="DF83" s="689">
        <f>DC83*100/DC85</f>
        <v>22.666666666666668</v>
      </c>
      <c r="DH83" s="552" t="s">
        <v>454</v>
      </c>
      <c r="DI83" s="528">
        <f>'Recette viandes'!$S$9</f>
        <v>34</v>
      </c>
      <c r="DJ83" s="553">
        <f>DJ82+DI83</f>
        <v>103</v>
      </c>
      <c r="DK83" s="529" t="s">
        <v>254</v>
      </c>
      <c r="DL83" s="689">
        <f>DI83*100/DI85</f>
        <v>22.666666666666668</v>
      </c>
      <c r="DN83" s="552" t="s">
        <v>454</v>
      </c>
      <c r="DO83" s="528">
        <f>'Recette viandes'!$R$23</f>
        <v>34</v>
      </c>
      <c r="DP83" s="553">
        <f>DP82+DO83</f>
        <v>103</v>
      </c>
      <c r="DQ83" s="529" t="s">
        <v>254</v>
      </c>
      <c r="DR83" s="689">
        <f>DO83*100/DO85</f>
        <v>22.666666666666668</v>
      </c>
      <c r="DT83" s="552" t="s">
        <v>454</v>
      </c>
      <c r="DU83" s="528">
        <f>'Recette viandes'!U9</f>
        <v>35</v>
      </c>
      <c r="DV83" s="553">
        <f>DV82+DU83</f>
        <v>80</v>
      </c>
      <c r="DW83" s="529" t="s">
        <v>254</v>
      </c>
      <c r="DX83" s="689">
        <f>DU83*100/DU86</f>
        <v>23.333333333333332</v>
      </c>
      <c r="DZ83" s="552" t="s">
        <v>454</v>
      </c>
      <c r="EA83" s="528">
        <f>'Recette viandes'!$S$9</f>
        <v>34</v>
      </c>
      <c r="EB83" s="553">
        <f>EB82+EA83</f>
        <v>103</v>
      </c>
      <c r="EC83" s="529" t="s">
        <v>254</v>
      </c>
      <c r="ED83" s="689">
        <f>EA83*100/EA85</f>
        <v>22.666666666666668</v>
      </c>
      <c r="EF83" s="552" t="s">
        <v>454</v>
      </c>
      <c r="EG83" s="528">
        <f>'Recette viandes'!AA9</f>
        <v>35</v>
      </c>
      <c r="EH83" s="553">
        <f>EH82+EG83</f>
        <v>80</v>
      </c>
      <c r="EI83" s="529" t="s">
        <v>254</v>
      </c>
      <c r="EJ83" s="689">
        <f>EG83*100/EG86</f>
        <v>23.333333333333332</v>
      </c>
      <c r="EL83" s="552" t="s">
        <v>454</v>
      </c>
      <c r="EM83" s="528">
        <f>'Recette viandes'!$S$9</f>
        <v>34</v>
      </c>
      <c r="EN83" s="553">
        <f>EN82+EM83</f>
        <v>103</v>
      </c>
      <c r="EO83" s="529" t="s">
        <v>254</v>
      </c>
      <c r="EP83" s="689">
        <f>EM83*100/EM85</f>
        <v>22.666666666666668</v>
      </c>
      <c r="ER83" s="552" t="s">
        <v>454</v>
      </c>
      <c r="ES83" s="528">
        <f>'Recette viandes'!W9</f>
        <v>35</v>
      </c>
      <c r="ET83" s="553">
        <f>ET82+ES83</f>
        <v>80</v>
      </c>
      <c r="EU83" s="529" t="s">
        <v>254</v>
      </c>
      <c r="EV83" s="689">
        <f>ES83*100/ES86</f>
        <v>23.333333333333332</v>
      </c>
      <c r="EX83" s="552" t="s">
        <v>454</v>
      </c>
      <c r="EY83" s="528">
        <f>'Recette viandes'!$S$9</f>
        <v>34</v>
      </c>
      <c r="EZ83" s="553">
        <f>EZ82+EY83</f>
        <v>103</v>
      </c>
      <c r="FA83" s="529" t="s">
        <v>254</v>
      </c>
      <c r="FB83" s="689">
        <f>EY83*100/EY85</f>
        <v>22.666666666666668</v>
      </c>
      <c r="FD83" s="552" t="s">
        <v>454</v>
      </c>
      <c r="FE83" s="528">
        <f>'Recette viandes'!$S$9</f>
        <v>34</v>
      </c>
      <c r="FF83" s="553">
        <f>FF82+FE83</f>
        <v>103</v>
      </c>
      <c r="FG83" s="529" t="s">
        <v>254</v>
      </c>
      <c r="FH83" s="689">
        <f>FE83*100/FE85</f>
        <v>22.666666666666668</v>
      </c>
      <c r="FJ83" s="552" t="s">
        <v>454</v>
      </c>
      <c r="FK83" s="528">
        <f>'Recette viandes'!Y9</f>
        <v>35</v>
      </c>
      <c r="FL83" s="553">
        <f>FL82+FK83</f>
        <v>80</v>
      </c>
      <c r="FM83" s="529" t="s">
        <v>254</v>
      </c>
      <c r="FN83" s="689">
        <f>FK83*100/FK86</f>
        <v>23.333333333333332</v>
      </c>
    </row>
    <row r="84" spans="2:170" ht="23.4" thickBot="1" x14ac:dyDescent="0.75">
      <c r="J84" s="554" t="s">
        <v>118</v>
      </c>
      <c r="K84" s="653">
        <f>'Recette viandes'!$S$7</f>
        <v>47</v>
      </c>
      <c r="L84" s="556">
        <f>L83+K84</f>
        <v>150</v>
      </c>
      <c r="M84" s="597" t="s">
        <v>254</v>
      </c>
      <c r="N84" s="690">
        <f>K84*100/K85</f>
        <v>31.333333333333332</v>
      </c>
      <c r="P84" s="554" t="s">
        <v>118</v>
      </c>
      <c r="Q84" s="653">
        <f>'Recette viandes'!R24</f>
        <v>47</v>
      </c>
      <c r="R84" s="556">
        <f>R83+Q84</f>
        <v>150</v>
      </c>
      <c r="S84" s="597" t="s">
        <v>254</v>
      </c>
      <c r="T84" s="690">
        <f>Q84*100/Q85</f>
        <v>31.333333333333332</v>
      </c>
      <c r="V84" s="554" t="s">
        <v>118</v>
      </c>
      <c r="W84" s="653">
        <f>'Recette viandes'!R24</f>
        <v>47</v>
      </c>
      <c r="X84" s="556">
        <f>X83+W84</f>
        <v>150</v>
      </c>
      <c r="Y84" s="597" t="s">
        <v>254</v>
      </c>
      <c r="Z84" s="690">
        <f>W84*100/W85</f>
        <v>31.333333333333332</v>
      </c>
      <c r="AB84" s="554" t="s">
        <v>118</v>
      </c>
      <c r="AC84" s="653">
        <f>'Recette viandes'!R24</f>
        <v>47</v>
      </c>
      <c r="AD84" s="556">
        <f>AD83+AC84</f>
        <v>150</v>
      </c>
      <c r="AE84" s="597" t="s">
        <v>254</v>
      </c>
      <c r="AF84" s="690">
        <f>AC84*100/AC85</f>
        <v>31.333333333333332</v>
      </c>
      <c r="AH84" s="554" t="s">
        <v>118</v>
      </c>
      <c r="AI84" s="653">
        <f>'Recette viandes'!R24</f>
        <v>47</v>
      </c>
      <c r="AJ84" s="556">
        <f>AJ83+AI84</f>
        <v>150</v>
      </c>
      <c r="AK84" s="597" t="s">
        <v>254</v>
      </c>
      <c r="AL84" s="690">
        <f>AI84*100/AI85</f>
        <v>31.333333333333332</v>
      </c>
      <c r="AN84" s="554" t="s">
        <v>118</v>
      </c>
      <c r="AO84" s="653">
        <f>'Recette viandes'!S7</f>
        <v>47</v>
      </c>
      <c r="AP84" s="556">
        <f>AP83+AO84</f>
        <v>150</v>
      </c>
      <c r="AQ84" s="597" t="s">
        <v>254</v>
      </c>
      <c r="AR84" s="690">
        <f>AO84*100/AO85</f>
        <v>31.333333333333332</v>
      </c>
      <c r="AT84" s="554" t="s">
        <v>118</v>
      </c>
      <c r="AU84" s="653">
        <f>'Recette viandes'!$S$7</f>
        <v>47</v>
      </c>
      <c r="AV84" s="556">
        <f>AV83+AU84</f>
        <v>150</v>
      </c>
      <c r="AW84" s="597" t="s">
        <v>254</v>
      </c>
      <c r="AX84" s="690">
        <f>AU84*100/AU85</f>
        <v>31.333333333333332</v>
      </c>
      <c r="AZ84" s="554" t="s">
        <v>118</v>
      </c>
      <c r="BA84" s="653">
        <f>'Recette viandes'!$S$7</f>
        <v>47</v>
      </c>
      <c r="BB84" s="556">
        <f>BB83+BA84</f>
        <v>150</v>
      </c>
      <c r="BC84" s="597" t="s">
        <v>254</v>
      </c>
      <c r="BD84" s="690">
        <f>BA84*100/BA85</f>
        <v>31.333333333333332</v>
      </c>
      <c r="BF84" s="554" t="s">
        <v>118</v>
      </c>
      <c r="BG84" s="653">
        <f>'Recette viandes'!$S$7</f>
        <v>47</v>
      </c>
      <c r="BH84" s="556">
        <f>BH83+BG84</f>
        <v>150</v>
      </c>
      <c r="BI84" s="597" t="s">
        <v>254</v>
      </c>
      <c r="BJ84" s="690">
        <f>BG84*100/BG85</f>
        <v>31.333333333333332</v>
      </c>
      <c r="BL84" s="554" t="s">
        <v>118</v>
      </c>
      <c r="BM84" s="653">
        <f>'Recette viandes'!$R$24</f>
        <v>47</v>
      </c>
      <c r="BN84" s="556">
        <f>BN83+BM84</f>
        <v>150</v>
      </c>
      <c r="BO84" s="597" t="s">
        <v>254</v>
      </c>
      <c r="BP84" s="690">
        <f>BM84*100/BM85</f>
        <v>31.333333333333332</v>
      </c>
      <c r="BR84" s="554" t="s">
        <v>118</v>
      </c>
      <c r="BS84" s="653">
        <f>'Recette viandes'!$S$7</f>
        <v>47</v>
      </c>
      <c r="BT84" s="556">
        <f>BT83+BS84</f>
        <v>150</v>
      </c>
      <c r="BU84" s="597" t="s">
        <v>254</v>
      </c>
      <c r="BV84" s="690">
        <f>BS84*100/BS85</f>
        <v>31.333333333333332</v>
      </c>
      <c r="BX84" s="554" t="s">
        <v>118</v>
      </c>
      <c r="BY84" s="653">
        <f>'Recette viandes'!$S$7</f>
        <v>47</v>
      </c>
      <c r="BZ84" s="556">
        <f>BZ83+BY84</f>
        <v>150</v>
      </c>
      <c r="CA84" s="597" t="s">
        <v>254</v>
      </c>
      <c r="CB84" s="690">
        <f>BY84*100/BY85</f>
        <v>31.333333333333332</v>
      </c>
      <c r="CD84" s="554" t="s">
        <v>118</v>
      </c>
      <c r="CE84" s="653">
        <f>'Recette viandes'!$S$7</f>
        <v>47</v>
      </c>
      <c r="CF84" s="556">
        <f>CF83+CE84</f>
        <v>150</v>
      </c>
      <c r="CG84" s="597" t="s">
        <v>254</v>
      </c>
      <c r="CH84" s="690">
        <f>CE84*100/CE85</f>
        <v>31.333333333333332</v>
      </c>
      <c r="CJ84" s="554" t="s">
        <v>118</v>
      </c>
      <c r="CK84" s="653">
        <f>'Recette viandes'!$S$7</f>
        <v>47</v>
      </c>
      <c r="CL84" s="556">
        <f>CL83+CK84</f>
        <v>150</v>
      </c>
      <c r="CM84" s="597" t="s">
        <v>254</v>
      </c>
      <c r="CN84" s="690">
        <f>CK84*100/CK85</f>
        <v>31.333333333333332</v>
      </c>
      <c r="CP84" s="554" t="s">
        <v>118</v>
      </c>
      <c r="CQ84" s="653">
        <f>'Recette viandes'!$S$7</f>
        <v>47</v>
      </c>
      <c r="CR84" s="556">
        <f>CR83+CQ84</f>
        <v>150</v>
      </c>
      <c r="CS84" s="597" t="s">
        <v>254</v>
      </c>
      <c r="CT84" s="690">
        <f>CQ84*100/CQ85</f>
        <v>31.333333333333332</v>
      </c>
      <c r="CV84" s="554" t="s">
        <v>118</v>
      </c>
      <c r="CW84" s="653">
        <f>'Recette viandes'!$S$7</f>
        <v>47</v>
      </c>
      <c r="CX84" s="556">
        <f>CX83+CW84</f>
        <v>150</v>
      </c>
      <c r="CY84" s="597" t="s">
        <v>254</v>
      </c>
      <c r="CZ84" s="690">
        <f>CW84*100/CW85</f>
        <v>31.333333333333332</v>
      </c>
      <c r="DB84" s="554" t="s">
        <v>118</v>
      </c>
      <c r="DC84" s="653">
        <f>'Recette viandes'!$S$7</f>
        <v>47</v>
      </c>
      <c r="DD84" s="556">
        <f>DD83+DC84</f>
        <v>150</v>
      </c>
      <c r="DE84" s="597" t="s">
        <v>254</v>
      </c>
      <c r="DF84" s="690">
        <f>DC84*100/DC85</f>
        <v>31.333333333333332</v>
      </c>
      <c r="DH84" s="554" t="s">
        <v>118</v>
      </c>
      <c r="DI84" s="653">
        <f>'Recette viandes'!$S$7</f>
        <v>47</v>
      </c>
      <c r="DJ84" s="556">
        <f>DJ83+DI84</f>
        <v>150</v>
      </c>
      <c r="DK84" s="597" t="s">
        <v>254</v>
      </c>
      <c r="DL84" s="690">
        <f>DI84*100/DI85</f>
        <v>31.333333333333332</v>
      </c>
      <c r="DN84" s="554" t="s">
        <v>118</v>
      </c>
      <c r="DO84" s="653">
        <f>'Recette viandes'!$R$24</f>
        <v>47</v>
      </c>
      <c r="DP84" s="556">
        <f>DP83+DO84</f>
        <v>150</v>
      </c>
      <c r="DQ84" s="597" t="s">
        <v>254</v>
      </c>
      <c r="DR84" s="690">
        <f>DO84*100/DO85</f>
        <v>31.333333333333332</v>
      </c>
      <c r="DT84" s="554" t="s">
        <v>118</v>
      </c>
      <c r="DU84" s="653">
        <f>'Recette viandes'!U7</f>
        <v>47</v>
      </c>
      <c r="DV84" s="556">
        <f>DV83+DU84</f>
        <v>127</v>
      </c>
      <c r="DW84" s="597" t="s">
        <v>254</v>
      </c>
      <c r="DX84" s="690">
        <f>DU84*100/DU86</f>
        <v>31.333333333333332</v>
      </c>
      <c r="DZ84" s="554" t="s">
        <v>118</v>
      </c>
      <c r="EA84" s="653">
        <f>'Recette viandes'!$S$7</f>
        <v>47</v>
      </c>
      <c r="EB84" s="556">
        <f>EB83+EA84</f>
        <v>150</v>
      </c>
      <c r="EC84" s="597" t="s">
        <v>254</v>
      </c>
      <c r="ED84" s="690">
        <f>EA84*100/EA85</f>
        <v>31.333333333333332</v>
      </c>
      <c r="EF84" s="554" t="s">
        <v>118</v>
      </c>
      <c r="EG84" s="653">
        <f>'Recette viandes'!AA7</f>
        <v>47</v>
      </c>
      <c r="EH84" s="556">
        <f>EH83+EG84</f>
        <v>127</v>
      </c>
      <c r="EI84" s="597" t="s">
        <v>254</v>
      </c>
      <c r="EJ84" s="690">
        <f>EG84*100/EG86</f>
        <v>31.333333333333332</v>
      </c>
      <c r="EL84" s="554" t="s">
        <v>118</v>
      </c>
      <c r="EM84" s="653">
        <f>'Recette viandes'!$S$7</f>
        <v>47</v>
      </c>
      <c r="EN84" s="556">
        <f>EN83+EM84</f>
        <v>150</v>
      </c>
      <c r="EO84" s="597" t="s">
        <v>254</v>
      </c>
      <c r="EP84" s="690">
        <f>EM84*100/EM85</f>
        <v>31.333333333333332</v>
      </c>
      <c r="ER84" s="554" t="s">
        <v>118</v>
      </c>
      <c r="ES84" s="653">
        <f>'Recette viandes'!W7</f>
        <v>47</v>
      </c>
      <c r="ET84" s="556">
        <f>ET83+ES84</f>
        <v>127</v>
      </c>
      <c r="EU84" s="597" t="s">
        <v>254</v>
      </c>
      <c r="EV84" s="690">
        <f>ES84*100/ES86</f>
        <v>31.333333333333332</v>
      </c>
      <c r="EX84" s="554" t="s">
        <v>118</v>
      </c>
      <c r="EY84" s="653">
        <f>'Recette viandes'!$S$7</f>
        <v>47</v>
      </c>
      <c r="EZ84" s="556">
        <f>EZ83+EY84</f>
        <v>150</v>
      </c>
      <c r="FA84" s="597" t="s">
        <v>254</v>
      </c>
      <c r="FB84" s="690">
        <f>EY84*100/EY85</f>
        <v>31.333333333333332</v>
      </c>
      <c r="FD84" s="554" t="s">
        <v>118</v>
      </c>
      <c r="FE84" s="653">
        <f>'Recette viandes'!$S$7</f>
        <v>47</v>
      </c>
      <c r="FF84" s="556">
        <f>FF83+FE84</f>
        <v>150</v>
      </c>
      <c r="FG84" s="597" t="s">
        <v>254</v>
      </c>
      <c r="FH84" s="690">
        <f>FE84*100/FE85</f>
        <v>31.333333333333332</v>
      </c>
      <c r="FJ84" s="554" t="s">
        <v>118</v>
      </c>
      <c r="FK84" s="653">
        <f>'Recette viandes'!Y7</f>
        <v>47</v>
      </c>
      <c r="FL84" s="556">
        <f>FL83+FK84</f>
        <v>127</v>
      </c>
      <c r="FM84" s="597" t="s">
        <v>254</v>
      </c>
      <c r="FN84" s="690">
        <f>FK84*100/FK86</f>
        <v>31.333333333333332</v>
      </c>
    </row>
    <row r="85" spans="2:170" ht="23.4" thickBot="1" x14ac:dyDescent="0.75">
      <c r="J85" s="500" t="s">
        <v>423</v>
      </c>
      <c r="K85" s="573">
        <f>SUM(K82:K84)</f>
        <v>150</v>
      </c>
      <c r="L85" s="574">
        <f>L84</f>
        <v>150</v>
      </c>
      <c r="M85" s="502" t="s">
        <v>254</v>
      </c>
      <c r="N85" s="575">
        <f>SUM(N82:N84)</f>
        <v>100</v>
      </c>
      <c r="P85" s="500" t="s">
        <v>423</v>
      </c>
      <c r="Q85" s="573">
        <f>SUM(Q82:Q84)</f>
        <v>150</v>
      </c>
      <c r="R85" s="574">
        <f>R84</f>
        <v>150</v>
      </c>
      <c r="S85" s="502" t="s">
        <v>254</v>
      </c>
      <c r="T85" s="575">
        <f>SUM(T82:T84)</f>
        <v>100</v>
      </c>
      <c r="V85" s="500" t="s">
        <v>423</v>
      </c>
      <c r="W85" s="573">
        <f>SUM(W82:W84)</f>
        <v>150</v>
      </c>
      <c r="X85" s="574">
        <f>X84</f>
        <v>150</v>
      </c>
      <c r="Y85" s="502" t="s">
        <v>254</v>
      </c>
      <c r="Z85" s="575">
        <f>SUM(Z82:Z84)</f>
        <v>100</v>
      </c>
      <c r="AB85" s="500" t="s">
        <v>423</v>
      </c>
      <c r="AC85" s="573">
        <f>SUM(AC82:AC84)</f>
        <v>150</v>
      </c>
      <c r="AD85" s="574">
        <f>AD84</f>
        <v>150</v>
      </c>
      <c r="AE85" s="502" t="s">
        <v>254</v>
      </c>
      <c r="AF85" s="575">
        <f>SUM(AF82:AF84)</f>
        <v>100</v>
      </c>
      <c r="AH85" s="500" t="s">
        <v>423</v>
      </c>
      <c r="AI85" s="573">
        <f>SUM(AI82:AI84)</f>
        <v>150</v>
      </c>
      <c r="AJ85" s="574">
        <f>AJ84</f>
        <v>150</v>
      </c>
      <c r="AK85" s="502" t="s">
        <v>254</v>
      </c>
      <c r="AL85" s="575">
        <f>SUM(AL82:AL84)</f>
        <v>100</v>
      </c>
      <c r="AN85" s="500" t="s">
        <v>423</v>
      </c>
      <c r="AO85" s="573">
        <f>SUM(AO82:AO84)</f>
        <v>150</v>
      </c>
      <c r="AP85" s="574">
        <f>AP84</f>
        <v>150</v>
      </c>
      <c r="AQ85" s="502" t="s">
        <v>254</v>
      </c>
      <c r="AR85" s="575">
        <f>SUM(AR82:AR84)</f>
        <v>100</v>
      </c>
      <c r="AT85" s="500" t="s">
        <v>423</v>
      </c>
      <c r="AU85" s="573">
        <f>SUM(AU82:AU84)</f>
        <v>150</v>
      </c>
      <c r="AV85" s="574">
        <f>AV84</f>
        <v>150</v>
      </c>
      <c r="AW85" s="502" t="s">
        <v>254</v>
      </c>
      <c r="AX85" s="575">
        <f>SUM(AX82:AX84)</f>
        <v>100</v>
      </c>
      <c r="AZ85" s="500" t="s">
        <v>423</v>
      </c>
      <c r="BA85" s="573">
        <f>SUM(BA82:BA84)</f>
        <v>150</v>
      </c>
      <c r="BB85" s="574">
        <f>BB84</f>
        <v>150</v>
      </c>
      <c r="BC85" s="502" t="s">
        <v>254</v>
      </c>
      <c r="BD85" s="575">
        <f>SUM(BD82:BD84)</f>
        <v>100</v>
      </c>
      <c r="BF85" s="500" t="s">
        <v>423</v>
      </c>
      <c r="BG85" s="573">
        <f>SUM(BG82:BG84)</f>
        <v>150</v>
      </c>
      <c r="BH85" s="574">
        <f>BH84</f>
        <v>150</v>
      </c>
      <c r="BI85" s="502" t="s">
        <v>254</v>
      </c>
      <c r="BJ85" s="575">
        <f>SUM(BJ82:BJ84)</f>
        <v>100</v>
      </c>
      <c r="BL85" s="500" t="s">
        <v>423</v>
      </c>
      <c r="BM85" s="573">
        <f>SUM(BM82:BM84)</f>
        <v>150</v>
      </c>
      <c r="BN85" s="574">
        <f>BN84</f>
        <v>150</v>
      </c>
      <c r="BO85" s="502" t="s">
        <v>254</v>
      </c>
      <c r="BP85" s="575">
        <f>SUM(BP82:BP84)</f>
        <v>100</v>
      </c>
      <c r="BR85" s="500" t="s">
        <v>423</v>
      </c>
      <c r="BS85" s="573">
        <f>SUM(BS82:BS84)</f>
        <v>150</v>
      </c>
      <c r="BT85" s="574">
        <f>BT84</f>
        <v>150</v>
      </c>
      <c r="BU85" s="502" t="s">
        <v>254</v>
      </c>
      <c r="BV85" s="575">
        <f>SUM(BV82:BV84)</f>
        <v>100</v>
      </c>
      <c r="BX85" s="500" t="s">
        <v>423</v>
      </c>
      <c r="BY85" s="573">
        <f>SUM(BY82:BY84)</f>
        <v>150</v>
      </c>
      <c r="BZ85" s="574">
        <f>BZ84</f>
        <v>150</v>
      </c>
      <c r="CA85" s="502" t="s">
        <v>254</v>
      </c>
      <c r="CB85" s="575">
        <f>SUM(CB82:CB84)</f>
        <v>100</v>
      </c>
      <c r="CD85" s="500" t="s">
        <v>423</v>
      </c>
      <c r="CE85" s="573">
        <f>SUM(CE82:CE84)</f>
        <v>150</v>
      </c>
      <c r="CF85" s="574">
        <f>CF84</f>
        <v>150</v>
      </c>
      <c r="CG85" s="502" t="s">
        <v>254</v>
      </c>
      <c r="CH85" s="575">
        <f>SUM(CH82:CH84)</f>
        <v>100</v>
      </c>
      <c r="CJ85" s="500" t="s">
        <v>423</v>
      </c>
      <c r="CK85" s="573">
        <f>SUM(CK82:CK84)</f>
        <v>150</v>
      </c>
      <c r="CL85" s="574">
        <f>CL84</f>
        <v>150</v>
      </c>
      <c r="CM85" s="502" t="s">
        <v>254</v>
      </c>
      <c r="CN85" s="575">
        <f>SUM(CN82:CN84)</f>
        <v>100</v>
      </c>
      <c r="CP85" s="500" t="s">
        <v>423</v>
      </c>
      <c r="CQ85" s="573">
        <f>SUM(CQ82:CQ84)</f>
        <v>150</v>
      </c>
      <c r="CR85" s="574">
        <f>CR84</f>
        <v>150</v>
      </c>
      <c r="CS85" s="502" t="s">
        <v>254</v>
      </c>
      <c r="CT85" s="575">
        <f>SUM(CT82:CT84)</f>
        <v>100</v>
      </c>
      <c r="CV85" s="500" t="s">
        <v>423</v>
      </c>
      <c r="CW85" s="573">
        <f>SUM(CW82:CW84)</f>
        <v>150</v>
      </c>
      <c r="CX85" s="574">
        <f>CX84</f>
        <v>150</v>
      </c>
      <c r="CY85" s="502" t="s">
        <v>254</v>
      </c>
      <c r="CZ85" s="575">
        <f>SUM(CZ82:CZ84)</f>
        <v>100</v>
      </c>
      <c r="DB85" s="500" t="s">
        <v>423</v>
      </c>
      <c r="DC85" s="573">
        <f>SUM(DC82:DC84)</f>
        <v>150</v>
      </c>
      <c r="DD85" s="574">
        <f>DD84</f>
        <v>150</v>
      </c>
      <c r="DE85" s="502" t="s">
        <v>254</v>
      </c>
      <c r="DF85" s="575">
        <f>SUM(DF82:DF84)</f>
        <v>100</v>
      </c>
      <c r="DH85" s="500" t="s">
        <v>423</v>
      </c>
      <c r="DI85" s="573">
        <f>SUM(DI82:DI84)</f>
        <v>150</v>
      </c>
      <c r="DJ85" s="574">
        <f>DJ84</f>
        <v>150</v>
      </c>
      <c r="DK85" s="502" t="s">
        <v>254</v>
      </c>
      <c r="DL85" s="575">
        <f>SUM(DL82:DL84)</f>
        <v>100</v>
      </c>
      <c r="DN85" s="500" t="s">
        <v>423</v>
      </c>
      <c r="DO85" s="573">
        <f>SUM(DO82:DO84)</f>
        <v>150</v>
      </c>
      <c r="DP85" s="574">
        <f>DP84</f>
        <v>150</v>
      </c>
      <c r="DQ85" s="502" t="s">
        <v>254</v>
      </c>
      <c r="DR85" s="575">
        <f>SUM(DR82:DR84)</f>
        <v>100</v>
      </c>
      <c r="DT85" s="792" t="s">
        <v>304</v>
      </c>
      <c r="DU85" s="793">
        <f>'Recette viandes'!U10</f>
        <v>23</v>
      </c>
      <c r="DV85" s="794">
        <f>DV84+DU85</f>
        <v>150</v>
      </c>
      <c r="DW85" s="795" t="s">
        <v>254</v>
      </c>
      <c r="DX85" s="796">
        <f>DU85*100/DU86</f>
        <v>15.333333333333334</v>
      </c>
      <c r="DZ85" s="500" t="s">
        <v>423</v>
      </c>
      <c r="EA85" s="573">
        <f>SUM(EA82:EA84)</f>
        <v>150</v>
      </c>
      <c r="EB85" s="574">
        <f>EB84</f>
        <v>150</v>
      </c>
      <c r="EC85" s="502" t="s">
        <v>254</v>
      </c>
      <c r="ED85" s="575">
        <f>SUM(ED82:ED84)</f>
        <v>100</v>
      </c>
      <c r="EF85" s="792" t="s">
        <v>125</v>
      </c>
      <c r="EG85" s="793">
        <f>'Recette viandes'!AA13</f>
        <v>23</v>
      </c>
      <c r="EH85" s="794">
        <f>EH84+EG85</f>
        <v>150</v>
      </c>
      <c r="EI85" s="795" t="s">
        <v>254</v>
      </c>
      <c r="EJ85" s="796">
        <f>EG85*100/EG86</f>
        <v>15.333333333333334</v>
      </c>
      <c r="EL85" s="500" t="s">
        <v>423</v>
      </c>
      <c r="EM85" s="573">
        <f>SUM(EM82:EM84)</f>
        <v>150</v>
      </c>
      <c r="EN85" s="574">
        <f>EN84</f>
        <v>150</v>
      </c>
      <c r="EO85" s="502" t="s">
        <v>254</v>
      </c>
      <c r="EP85" s="575">
        <f>SUM(EP82:EP84)</f>
        <v>100</v>
      </c>
      <c r="ER85" s="792" t="s">
        <v>123</v>
      </c>
      <c r="ES85" s="793">
        <f>'Recette viandes'!W11</f>
        <v>23</v>
      </c>
      <c r="ET85" s="794">
        <f>ET84+ES85</f>
        <v>150</v>
      </c>
      <c r="EU85" s="795" t="s">
        <v>254</v>
      </c>
      <c r="EV85" s="796">
        <f>ES85*100/ES86</f>
        <v>15.333333333333334</v>
      </c>
      <c r="EX85" s="500" t="s">
        <v>423</v>
      </c>
      <c r="EY85" s="573">
        <f>SUM(EY82:EY84)</f>
        <v>150</v>
      </c>
      <c r="EZ85" s="574">
        <f>EZ84</f>
        <v>150</v>
      </c>
      <c r="FA85" s="502" t="s">
        <v>254</v>
      </c>
      <c r="FB85" s="575">
        <f>SUM(FB82:FB84)</f>
        <v>100</v>
      </c>
      <c r="FD85" s="500" t="s">
        <v>423</v>
      </c>
      <c r="FE85" s="573">
        <f>SUM(FE82:FE84)</f>
        <v>150</v>
      </c>
      <c r="FF85" s="574">
        <f>FF84</f>
        <v>150</v>
      </c>
      <c r="FG85" s="502" t="s">
        <v>254</v>
      </c>
      <c r="FH85" s="575">
        <f>SUM(FH82:FH84)</f>
        <v>100</v>
      </c>
      <c r="FJ85" s="792" t="s">
        <v>124</v>
      </c>
      <c r="FK85" s="793">
        <f>'Recette viandes'!Y12</f>
        <v>23</v>
      </c>
      <c r="FL85" s="794">
        <f>FL84+FK85</f>
        <v>150</v>
      </c>
      <c r="FM85" s="795" t="s">
        <v>254</v>
      </c>
      <c r="FN85" s="796">
        <f>FK85*100/FK86</f>
        <v>15.333333333333334</v>
      </c>
    </row>
    <row r="86" spans="2:170" s="674" customFormat="1" ht="23.4" thickBot="1" x14ac:dyDescent="0.35">
      <c r="B86" s="769"/>
      <c r="C86" s="770"/>
      <c r="D86" s="771"/>
      <c r="H86" s="584"/>
      <c r="J86" s="584" t="s">
        <v>426</v>
      </c>
      <c r="P86" s="584" t="s">
        <v>426</v>
      </c>
      <c r="V86" s="584" t="s">
        <v>426</v>
      </c>
      <c r="AB86" s="584" t="s">
        <v>426</v>
      </c>
      <c r="AH86" s="584" t="s">
        <v>426</v>
      </c>
      <c r="AN86" s="584" t="s">
        <v>426</v>
      </c>
      <c r="AT86" s="584" t="s">
        <v>426</v>
      </c>
      <c r="AZ86" s="584" t="s">
        <v>426</v>
      </c>
      <c r="BF86" s="584" t="s">
        <v>426</v>
      </c>
      <c r="BL86" s="584" t="s">
        <v>426</v>
      </c>
      <c r="BR86" s="584" t="s">
        <v>426</v>
      </c>
      <c r="BX86" s="584" t="s">
        <v>426</v>
      </c>
      <c r="CD86" s="584" t="s">
        <v>426</v>
      </c>
      <c r="CJ86" s="584" t="s">
        <v>426</v>
      </c>
      <c r="CP86" s="584" t="s">
        <v>426</v>
      </c>
      <c r="CV86" s="584" t="s">
        <v>426</v>
      </c>
      <c r="DB86" s="584" t="s">
        <v>426</v>
      </c>
      <c r="DH86" s="584" t="s">
        <v>426</v>
      </c>
      <c r="DN86" s="584" t="s">
        <v>426</v>
      </c>
      <c r="DT86" s="500" t="s">
        <v>423</v>
      </c>
      <c r="DU86" s="573">
        <f>SUM(DU82:DU85)</f>
        <v>150</v>
      </c>
      <c r="DV86" s="574">
        <f>DV85</f>
        <v>150</v>
      </c>
      <c r="DW86" s="502" t="s">
        <v>254</v>
      </c>
      <c r="DX86" s="575">
        <f>SUM(DX82:DX85)</f>
        <v>99.999999999999986</v>
      </c>
      <c r="DZ86" s="584" t="s">
        <v>426</v>
      </c>
      <c r="EF86" s="500" t="s">
        <v>423</v>
      </c>
      <c r="EG86" s="573">
        <f>SUM(EG82:EG85)</f>
        <v>150</v>
      </c>
      <c r="EH86" s="574">
        <f>EH85</f>
        <v>150</v>
      </c>
      <c r="EI86" s="502" t="s">
        <v>254</v>
      </c>
      <c r="EJ86" s="575">
        <f>SUM(EJ82:EJ85)</f>
        <v>99.999999999999986</v>
      </c>
      <c r="EL86" s="584" t="s">
        <v>426</v>
      </c>
      <c r="ER86" s="500" t="s">
        <v>423</v>
      </c>
      <c r="ES86" s="573">
        <f>SUM(ES82:ES85)</f>
        <v>150</v>
      </c>
      <c r="ET86" s="574">
        <f>ET85</f>
        <v>150</v>
      </c>
      <c r="EU86" s="502" t="s">
        <v>254</v>
      </c>
      <c r="EV86" s="575">
        <f>SUM(EV82:EV85)</f>
        <v>73</v>
      </c>
      <c r="EX86" s="584" t="s">
        <v>426</v>
      </c>
      <c r="FD86" s="584" t="s">
        <v>426</v>
      </c>
      <c r="FJ86" s="500" t="s">
        <v>423</v>
      </c>
      <c r="FK86" s="573">
        <f>SUM(FK82:FK85)</f>
        <v>150</v>
      </c>
      <c r="FL86" s="574">
        <f>FL85</f>
        <v>150</v>
      </c>
      <c r="FM86" s="502" t="s">
        <v>254</v>
      </c>
      <c r="FN86" s="575">
        <f>SUM(FN82:FN85)</f>
        <v>99.999999999999986</v>
      </c>
    </row>
    <row r="87" spans="2:170" s="674" customFormat="1" x14ac:dyDescent="0.3">
      <c r="B87" s="769"/>
      <c r="C87" s="770"/>
      <c r="D87" s="771"/>
      <c r="H87" s="584"/>
      <c r="J87" s="584"/>
      <c r="P87" s="584"/>
      <c r="V87" s="584"/>
      <c r="AB87" s="584"/>
      <c r="AH87" s="584"/>
      <c r="AN87" s="584"/>
      <c r="AT87" s="584"/>
      <c r="AZ87" s="584"/>
      <c r="BF87" s="584"/>
      <c r="BL87" s="584"/>
      <c r="BR87" s="584"/>
      <c r="BX87" s="584"/>
      <c r="CD87" s="584"/>
      <c r="CJ87" s="584"/>
      <c r="CP87" s="584"/>
      <c r="CV87" s="584"/>
      <c r="DB87" s="584"/>
      <c r="DH87" s="584"/>
      <c r="DN87" s="584"/>
      <c r="DT87" s="584" t="s">
        <v>426</v>
      </c>
      <c r="DU87" s="797"/>
      <c r="DV87" s="798"/>
      <c r="DW87" s="799"/>
      <c r="DX87" s="797"/>
      <c r="DZ87" s="584"/>
      <c r="EF87" s="584" t="s">
        <v>426</v>
      </c>
      <c r="EG87" s="797"/>
      <c r="EH87" s="798"/>
      <c r="EI87" s="799"/>
      <c r="EJ87" s="797"/>
      <c r="EL87" s="584"/>
      <c r="ER87" s="584" t="s">
        <v>426</v>
      </c>
      <c r="ES87" s="797"/>
      <c r="ET87" s="798"/>
      <c r="EU87" s="799"/>
      <c r="EV87" s="797"/>
      <c r="EX87" s="584"/>
      <c r="FD87" s="584"/>
      <c r="FJ87" s="584" t="s">
        <v>426</v>
      </c>
      <c r="FK87" s="797"/>
      <c r="FL87" s="798"/>
      <c r="FM87" s="799"/>
      <c r="FN87" s="797"/>
    </row>
    <row r="88" spans="2:170" ht="26.25" customHeight="1" thickBot="1" x14ac:dyDescent="0.75">
      <c r="R88" s="498"/>
      <c r="S88" s="23"/>
      <c r="X88" s="498"/>
      <c r="Y88" s="23"/>
      <c r="AD88" s="498"/>
      <c r="AE88" s="23"/>
      <c r="AJ88" s="498"/>
      <c r="AK88" s="23"/>
      <c r="DU88" s="674"/>
      <c r="DV88" s="674"/>
      <c r="DW88" s="674"/>
      <c r="DX88" s="674"/>
      <c r="EG88" s="674"/>
      <c r="EH88" s="674"/>
      <c r="EI88" s="674"/>
      <c r="EJ88" s="674"/>
      <c r="ES88" s="674"/>
      <c r="ET88" s="674"/>
      <c r="EU88" s="674"/>
      <c r="EV88" s="674"/>
      <c r="FK88" s="674"/>
      <c r="FL88" s="674"/>
      <c r="FM88" s="674"/>
      <c r="FN88" s="674"/>
    </row>
    <row r="89" spans="2:170" ht="46.2" thickBot="1" x14ac:dyDescent="0.75">
      <c r="J89" s="500" t="s">
        <v>0</v>
      </c>
      <c r="K89" s="655" t="s">
        <v>23</v>
      </c>
      <c r="L89" s="655" t="s">
        <v>321</v>
      </c>
      <c r="M89" s="502" t="s">
        <v>420</v>
      </c>
      <c r="N89" s="503" t="s">
        <v>415</v>
      </c>
      <c r="P89" s="500" t="s">
        <v>0</v>
      </c>
      <c r="Q89" s="655" t="s">
        <v>23</v>
      </c>
      <c r="R89" s="655" t="s">
        <v>321</v>
      </c>
      <c r="S89" s="502" t="s">
        <v>420</v>
      </c>
      <c r="T89" s="503" t="s">
        <v>415</v>
      </c>
      <c r="V89" s="500" t="s">
        <v>0</v>
      </c>
      <c r="W89" s="655" t="s">
        <v>23</v>
      </c>
      <c r="X89" s="655" t="s">
        <v>321</v>
      </c>
      <c r="Y89" s="502" t="s">
        <v>420</v>
      </c>
      <c r="Z89" s="503" t="s">
        <v>415</v>
      </c>
      <c r="AB89" s="500" t="s">
        <v>0</v>
      </c>
      <c r="AC89" s="655" t="s">
        <v>23</v>
      </c>
      <c r="AD89" s="655" t="s">
        <v>321</v>
      </c>
      <c r="AE89" s="502" t="s">
        <v>420</v>
      </c>
      <c r="AF89" s="503" t="s">
        <v>415</v>
      </c>
      <c r="AH89" s="500" t="s">
        <v>0</v>
      </c>
      <c r="AI89" s="655" t="s">
        <v>23</v>
      </c>
      <c r="AJ89" s="655" t="s">
        <v>321</v>
      </c>
      <c r="AK89" s="502" t="s">
        <v>420</v>
      </c>
      <c r="AL89" s="503" t="s">
        <v>415</v>
      </c>
      <c r="AN89" s="500" t="s">
        <v>0</v>
      </c>
      <c r="AO89" s="655" t="s">
        <v>23</v>
      </c>
      <c r="AP89" s="655" t="s">
        <v>321</v>
      </c>
      <c r="AQ89" s="502" t="s">
        <v>420</v>
      </c>
      <c r="AR89" s="542" t="s">
        <v>415</v>
      </c>
      <c r="AT89" s="500" t="s">
        <v>0</v>
      </c>
      <c r="AU89" s="655" t="s">
        <v>23</v>
      </c>
      <c r="AV89" s="655" t="s">
        <v>321</v>
      </c>
      <c r="AW89" s="502" t="s">
        <v>420</v>
      </c>
      <c r="AX89" s="542" t="s">
        <v>415</v>
      </c>
      <c r="AZ89" s="500" t="s">
        <v>0</v>
      </c>
      <c r="BA89" s="655" t="s">
        <v>23</v>
      </c>
      <c r="BB89" s="655" t="s">
        <v>321</v>
      </c>
      <c r="BC89" s="502" t="s">
        <v>420</v>
      </c>
      <c r="BD89" s="542" t="s">
        <v>415</v>
      </c>
      <c r="BF89" s="500" t="s">
        <v>0</v>
      </c>
      <c r="BG89" s="655" t="s">
        <v>320</v>
      </c>
      <c r="BH89" s="655" t="s">
        <v>321</v>
      </c>
      <c r="BI89" s="502" t="s">
        <v>420</v>
      </c>
      <c r="BJ89" s="542" t="s">
        <v>415</v>
      </c>
      <c r="BL89" s="500" t="s">
        <v>0</v>
      </c>
      <c r="BM89" s="655" t="s">
        <v>23</v>
      </c>
      <c r="BN89" s="655" t="s">
        <v>321</v>
      </c>
      <c r="BO89" s="502" t="s">
        <v>420</v>
      </c>
      <c r="BP89" s="503" t="s">
        <v>415</v>
      </c>
      <c r="BR89" s="500" t="s">
        <v>0</v>
      </c>
      <c r="BS89" s="655" t="s">
        <v>23</v>
      </c>
      <c r="BT89" s="655" t="s">
        <v>321</v>
      </c>
      <c r="BU89" s="502" t="s">
        <v>420</v>
      </c>
      <c r="BV89" s="542" t="s">
        <v>415</v>
      </c>
      <c r="BX89" s="500" t="s">
        <v>0</v>
      </c>
      <c r="BY89" s="655" t="s">
        <v>23</v>
      </c>
      <c r="BZ89" s="655" t="s">
        <v>321</v>
      </c>
      <c r="CA89" s="502" t="s">
        <v>420</v>
      </c>
      <c r="CB89" s="542" t="s">
        <v>415</v>
      </c>
      <c r="CD89" s="500" t="s">
        <v>0</v>
      </c>
      <c r="CE89" s="655" t="s">
        <v>23</v>
      </c>
      <c r="CF89" s="655" t="s">
        <v>321</v>
      </c>
      <c r="CG89" s="502" t="s">
        <v>420</v>
      </c>
      <c r="CH89" s="542" t="s">
        <v>415</v>
      </c>
      <c r="CJ89" s="500" t="s">
        <v>0</v>
      </c>
      <c r="CK89" s="655" t="s">
        <v>23</v>
      </c>
      <c r="CL89" s="655" t="s">
        <v>321</v>
      </c>
      <c r="CM89" s="502" t="s">
        <v>420</v>
      </c>
      <c r="CN89" s="542" t="s">
        <v>415</v>
      </c>
      <c r="CP89" s="500" t="s">
        <v>0</v>
      </c>
      <c r="CQ89" s="655" t="s">
        <v>23</v>
      </c>
      <c r="CR89" s="655" t="s">
        <v>321</v>
      </c>
      <c r="CS89" s="502" t="s">
        <v>420</v>
      </c>
      <c r="CT89" s="542" t="s">
        <v>415</v>
      </c>
      <c r="CV89" s="500" t="s">
        <v>0</v>
      </c>
      <c r="CW89" s="655" t="s">
        <v>23</v>
      </c>
      <c r="CX89" s="655" t="s">
        <v>321</v>
      </c>
      <c r="CY89" s="502" t="s">
        <v>420</v>
      </c>
      <c r="CZ89" s="542" t="s">
        <v>415</v>
      </c>
      <c r="DB89" s="500" t="s">
        <v>0</v>
      </c>
      <c r="DC89" s="655" t="s">
        <v>23</v>
      </c>
      <c r="DD89" s="655" t="s">
        <v>321</v>
      </c>
      <c r="DE89" s="502" t="s">
        <v>420</v>
      </c>
      <c r="DF89" s="542" t="s">
        <v>415</v>
      </c>
      <c r="DH89" s="500" t="s">
        <v>0</v>
      </c>
      <c r="DI89" s="655" t="s">
        <v>23</v>
      </c>
      <c r="DJ89" s="655" t="s">
        <v>321</v>
      </c>
      <c r="DK89" s="502" t="s">
        <v>420</v>
      </c>
      <c r="DL89" s="542" t="s">
        <v>415</v>
      </c>
      <c r="DN89" s="500" t="s">
        <v>0</v>
      </c>
      <c r="DO89" s="655" t="s">
        <v>23</v>
      </c>
      <c r="DP89" s="655" t="s">
        <v>321</v>
      </c>
      <c r="DQ89" s="502" t="s">
        <v>420</v>
      </c>
      <c r="DR89" s="503" t="s">
        <v>415</v>
      </c>
      <c r="DT89" s="500" t="s">
        <v>0</v>
      </c>
      <c r="DU89" s="655" t="s">
        <v>23</v>
      </c>
      <c r="DV89" s="655" t="s">
        <v>321</v>
      </c>
      <c r="DW89" s="502" t="s">
        <v>420</v>
      </c>
      <c r="DX89" s="503" t="s">
        <v>415</v>
      </c>
      <c r="DZ89" s="500" t="s">
        <v>0</v>
      </c>
      <c r="EA89" s="655" t="s">
        <v>23</v>
      </c>
      <c r="EB89" s="655" t="s">
        <v>321</v>
      </c>
      <c r="EC89" s="502" t="s">
        <v>420</v>
      </c>
      <c r="ED89" s="503" t="s">
        <v>415</v>
      </c>
      <c r="EF89" s="500" t="s">
        <v>0</v>
      </c>
      <c r="EG89" s="655" t="s">
        <v>23</v>
      </c>
      <c r="EH89" s="655" t="s">
        <v>321</v>
      </c>
      <c r="EI89" s="502" t="s">
        <v>420</v>
      </c>
      <c r="EJ89" s="503" t="s">
        <v>415</v>
      </c>
      <c r="EL89" s="500" t="s">
        <v>0</v>
      </c>
      <c r="EM89" s="655" t="s">
        <v>23</v>
      </c>
      <c r="EN89" s="655" t="s">
        <v>321</v>
      </c>
      <c r="EO89" s="502" t="s">
        <v>420</v>
      </c>
      <c r="EP89" s="503" t="s">
        <v>415</v>
      </c>
      <c r="ER89" s="500" t="s">
        <v>0</v>
      </c>
      <c r="ES89" s="655" t="s">
        <v>23</v>
      </c>
      <c r="ET89" s="655" t="s">
        <v>321</v>
      </c>
      <c r="EU89" s="502" t="s">
        <v>420</v>
      </c>
      <c r="EV89" s="503" t="s">
        <v>415</v>
      </c>
      <c r="EX89" s="500" t="s">
        <v>0</v>
      </c>
      <c r="EY89" s="655" t="s">
        <v>23</v>
      </c>
      <c r="EZ89" s="655" t="s">
        <v>321</v>
      </c>
      <c r="FA89" s="502" t="s">
        <v>420</v>
      </c>
      <c r="FB89" s="503" t="s">
        <v>415</v>
      </c>
      <c r="FD89" s="500" t="s">
        <v>0</v>
      </c>
      <c r="FE89" s="655" t="s">
        <v>23</v>
      </c>
      <c r="FF89" s="655" t="s">
        <v>321</v>
      </c>
      <c r="FG89" s="502" t="s">
        <v>420</v>
      </c>
      <c r="FH89" s="503" t="s">
        <v>415</v>
      </c>
      <c r="FJ89" s="500" t="s">
        <v>0</v>
      </c>
      <c r="FK89" s="655" t="s">
        <v>23</v>
      </c>
      <c r="FL89" s="655" t="s">
        <v>321</v>
      </c>
      <c r="FM89" s="502" t="s">
        <v>420</v>
      </c>
      <c r="FN89" s="503" t="s">
        <v>415</v>
      </c>
    </row>
    <row r="90" spans="2:170" x14ac:dyDescent="0.7">
      <c r="J90" s="672" t="s">
        <v>20</v>
      </c>
      <c r="K90" s="656">
        <f>'Spécialité Autres'!B54</f>
        <v>1.5</v>
      </c>
      <c r="L90" s="656">
        <f>K90</f>
        <v>1.5</v>
      </c>
      <c r="M90" s="656" t="s">
        <v>254</v>
      </c>
      <c r="N90" s="685">
        <f t="shared" ref="N90:N100" si="33">K90*100/($K$85+SUM($K$90:$K$96,$K$98:$K$100))</f>
        <v>0.95451421589838881</v>
      </c>
      <c r="P90" s="739" t="s">
        <v>20</v>
      </c>
      <c r="Q90" s="630">
        <f>'Haché Moyen'!P6</f>
        <v>1.5</v>
      </c>
      <c r="R90" s="740">
        <f>Q90</f>
        <v>1.5</v>
      </c>
      <c r="S90" s="656" t="s">
        <v>254</v>
      </c>
      <c r="T90" s="685">
        <f t="shared" ref="T90:T96" si="34">Q90*100/($Q$85+SUM($Q$90:$Q$96))</f>
        <v>0.96031959436100334</v>
      </c>
      <c r="V90" s="727" t="s">
        <v>20</v>
      </c>
      <c r="W90" s="662">
        <f>'Haché Moyen'!P6</f>
        <v>1.5</v>
      </c>
      <c r="X90" s="731">
        <f>W90</f>
        <v>1.5</v>
      </c>
      <c r="Y90" s="663" t="s">
        <v>254</v>
      </c>
      <c r="Z90" s="699">
        <f t="shared" ref="Z90:Z96" si="35">W90*100/($W$85+SUM($W$90:$W$96))</f>
        <v>0.96031959436100334</v>
      </c>
      <c r="AB90" s="727" t="s">
        <v>20</v>
      </c>
      <c r="AC90" s="662">
        <f>'Haché Moyen'!P6</f>
        <v>1.5</v>
      </c>
      <c r="AD90" s="731">
        <f>AC90</f>
        <v>1.5</v>
      </c>
      <c r="AE90" s="663" t="s">
        <v>254</v>
      </c>
      <c r="AF90" s="699">
        <f t="shared" ref="AF90:AF96" si="36">AC90*100/($AC$85+SUM($AC$90:$AC$96))</f>
        <v>0.96031959436100334</v>
      </c>
      <c r="AH90" s="739" t="s">
        <v>20</v>
      </c>
      <c r="AI90" s="630">
        <f>'Haché Moyen'!P6</f>
        <v>1.5</v>
      </c>
      <c r="AJ90" s="740">
        <f>AI90</f>
        <v>1.5</v>
      </c>
      <c r="AK90" s="656" t="s">
        <v>254</v>
      </c>
      <c r="AL90" s="685">
        <f t="shared" ref="AL90:AL96" si="37">AI90*100/($AI$85+SUM($AI$90:$AI$96))</f>
        <v>0.96031959436100334</v>
      </c>
      <c r="AN90" s="751" t="s">
        <v>20</v>
      </c>
      <c r="AO90" s="630">
        <f>'Spécialité Autres'!N54</f>
        <v>1.5</v>
      </c>
      <c r="AP90" s="630">
        <f>AO90</f>
        <v>1.5</v>
      </c>
      <c r="AQ90" s="656" t="s">
        <v>254</v>
      </c>
      <c r="AR90" s="685">
        <f t="shared" ref="AR90:AR96" si="38">AO90*100/($AO$85+SUM($AO$90:$AO$96,$AO$98))</f>
        <v>0.95847870260322821</v>
      </c>
      <c r="AT90" s="672" t="s">
        <v>20</v>
      </c>
      <c r="AU90" s="630">
        <f>'Spécialité Fromagère'!B6</f>
        <v>1.5</v>
      </c>
      <c r="AV90" s="630">
        <f>AU90</f>
        <v>1.5</v>
      </c>
      <c r="AW90" s="656" t="s">
        <v>254</v>
      </c>
      <c r="AX90" s="685">
        <f t="shared" ref="AX90:AX96" si="39">AU90*100/($AU$85+SUM($AU$90:$AU$96,$AU$98))</f>
        <v>0.93053263688135079</v>
      </c>
      <c r="AZ90" s="672" t="s">
        <v>20</v>
      </c>
      <c r="BA90" s="630">
        <f>'Spécialité Autres'!B6</f>
        <v>1.5</v>
      </c>
      <c r="BB90" s="630">
        <f>BA90</f>
        <v>1.5</v>
      </c>
      <c r="BC90" s="656" t="s">
        <v>254</v>
      </c>
      <c r="BD90" s="685">
        <f t="shared" ref="BD90:BD96" si="40">BA90*100/($BA$85+SUM($BA$90:$BA$96,$BA$98))</f>
        <v>0.93053263688135079</v>
      </c>
      <c r="BF90" s="672" t="s">
        <v>20</v>
      </c>
      <c r="BG90" s="630">
        <f>'Spécialité Autres'!H6</f>
        <v>1.5</v>
      </c>
      <c r="BH90" s="630">
        <v>1.5</v>
      </c>
      <c r="BI90" s="656" t="s">
        <v>254</v>
      </c>
      <c r="BJ90" s="685">
        <f t="shared" ref="BJ90:BJ96" si="41">BG90*100/($BG$85+SUM($BG$90:$BG$96,$BG$98))</f>
        <v>0.93053263688135079</v>
      </c>
      <c r="BL90" s="672" t="s">
        <v>20</v>
      </c>
      <c r="BM90" s="630">
        <f>'Haché Moyen'!$P$6</f>
        <v>1.5</v>
      </c>
      <c r="BN90" s="630">
        <f>BM90</f>
        <v>1.5</v>
      </c>
      <c r="BO90" s="656" t="s">
        <v>254</v>
      </c>
      <c r="BP90" s="685">
        <f t="shared" ref="BP90:BP96" si="42">BM90*100/($BM$85+SUM($BM$90:$BM$96))</f>
        <v>0.96031959436100334</v>
      </c>
      <c r="BR90" s="677" t="s">
        <v>20</v>
      </c>
      <c r="BS90" s="630">
        <f>'Spécialité Autres'!B36</f>
        <v>1.5</v>
      </c>
      <c r="BT90" s="630">
        <f>BS90</f>
        <v>1.5</v>
      </c>
      <c r="BU90" s="656" t="s">
        <v>254</v>
      </c>
      <c r="BV90" s="685">
        <f t="shared" ref="BV90:BV96" si="43">BS90*100/($BS$85+SUM($BS$90:$BS$96,$BS$98))</f>
        <v>0.94817886446099187</v>
      </c>
      <c r="BX90" s="677" t="s">
        <v>20</v>
      </c>
      <c r="BY90" s="630">
        <f>'Spécialité Autres'!N6</f>
        <v>1.5</v>
      </c>
      <c r="BZ90" s="630">
        <f>BY90</f>
        <v>1.5</v>
      </c>
      <c r="CA90" s="656" t="s">
        <v>254</v>
      </c>
      <c r="CB90" s="685">
        <f t="shared" ref="CB90:CB96" si="44">BY90*100/($BY$85+SUM($BY$90:$BY$96,$BY$98))</f>
        <v>0.94222289224738998</v>
      </c>
      <c r="CD90" s="677" t="s">
        <v>20</v>
      </c>
      <c r="CE90" s="630">
        <f>'Spécialité Autres'!B20</f>
        <v>1.5</v>
      </c>
      <c r="CF90" s="630">
        <f>CE90</f>
        <v>1.5</v>
      </c>
      <c r="CG90" s="656" t="s">
        <v>254</v>
      </c>
      <c r="CH90" s="685">
        <f t="shared" ref="CH90:CH96" si="45">CE90*100/($CE$85+SUM($CE$90:$CE$96,$CE$98))</f>
        <v>0.94817886446099187</v>
      </c>
      <c r="CJ90" s="677" t="s">
        <v>20</v>
      </c>
      <c r="CK90" s="630">
        <f>'Spécialité Autres'!H36</f>
        <v>1.5</v>
      </c>
      <c r="CL90" s="630">
        <f>CK90</f>
        <v>1.5</v>
      </c>
      <c r="CM90" s="656" t="s">
        <v>254</v>
      </c>
      <c r="CN90" s="685">
        <f t="shared" ref="CN90:CN96" si="46">CK90*100/($CK$85+SUM($CK$90:$CK$96,$CK$98:$CK$100))</f>
        <v>0.89660366531578384</v>
      </c>
      <c r="CP90" s="677" t="s">
        <v>20</v>
      </c>
      <c r="CQ90" s="630">
        <f>'Spécialité Autres'!H20</f>
        <v>1.5</v>
      </c>
      <c r="CR90" s="630">
        <f>CQ90</f>
        <v>1.5</v>
      </c>
      <c r="CS90" s="656" t="s">
        <v>254</v>
      </c>
      <c r="CT90" s="685">
        <f t="shared" ref="CT90:CT96" si="47">CQ90*100/($CQ$85+SUM($CQ$90:$CQ$96,$CQ$98))</f>
        <v>0.95817257326826277</v>
      </c>
      <c r="CV90" s="677" t="s">
        <v>20</v>
      </c>
      <c r="CW90" s="630">
        <f>'Spécialité Autres'!H54</f>
        <v>1.5</v>
      </c>
      <c r="CX90" s="630">
        <f>CW90</f>
        <v>1.5</v>
      </c>
      <c r="CY90" s="656" t="s">
        <v>254</v>
      </c>
      <c r="CZ90" s="685">
        <f t="shared" ref="CZ90:CZ96" si="48">CW90*100/($CW$85+SUM($CW$90:$CW$96,$CW$98))</f>
        <v>0.90417003218845315</v>
      </c>
      <c r="DB90" s="677" t="s">
        <v>20</v>
      </c>
      <c r="DC90" s="630">
        <f>'Spécialité Autres'!N70</f>
        <v>1.5</v>
      </c>
      <c r="DD90" s="630">
        <f>DC90</f>
        <v>1.5</v>
      </c>
      <c r="DE90" s="656" t="s">
        <v>254</v>
      </c>
      <c r="DF90" s="685">
        <f t="shared" ref="DF90:DF96" si="49">DC90*100/($DC$85+SUM($DC$90:$DC$96,$DC$98))</f>
        <v>0.95058239014436174</v>
      </c>
      <c r="DH90" s="677" t="s">
        <v>20</v>
      </c>
      <c r="DI90" s="630">
        <f>'Spécialité Autres'!N20</f>
        <v>1.5</v>
      </c>
      <c r="DJ90" s="630">
        <f>DI90</f>
        <v>1.5</v>
      </c>
      <c r="DK90" s="656" t="s">
        <v>254</v>
      </c>
      <c r="DL90" s="685">
        <f t="shared" ref="DL90:DL96" si="50">DI90*100/($DI$85+SUM($DI$90:$DI$96,$DI$98))</f>
        <v>0.95801958192025438</v>
      </c>
      <c r="DN90" s="672" t="s">
        <v>20</v>
      </c>
      <c r="DO90" s="630">
        <f>'Haché Moyen'!$P$6</f>
        <v>1.5</v>
      </c>
      <c r="DP90" s="630">
        <f>DO90</f>
        <v>1.5</v>
      </c>
      <c r="DQ90" s="656" t="s">
        <v>254</v>
      </c>
      <c r="DR90" s="685">
        <f t="shared" ref="DR90:DR96" si="51">DO90*100/($DO$85+SUM($DO$90:$DO$96))</f>
        <v>0.96031959436100334</v>
      </c>
      <c r="DT90" s="677" t="s">
        <v>20</v>
      </c>
      <c r="DU90" s="630">
        <f>'Spécialité carnée'!B21</f>
        <v>1.5</v>
      </c>
      <c r="DV90" s="630">
        <f>DU90</f>
        <v>1.5</v>
      </c>
      <c r="DW90" s="656" t="s">
        <v>254</v>
      </c>
      <c r="DX90" s="685">
        <f t="shared" ref="DX90:DX96" si="52">DU90*100/($DU$86+SUM($DU$90:$DU$96))</f>
        <v>0.95939826540793605</v>
      </c>
      <c r="DZ90" s="677" t="s">
        <v>20</v>
      </c>
      <c r="EA90" s="630">
        <f>'Spécialité Fromagère'!B21</f>
        <v>1.5</v>
      </c>
      <c r="EB90" s="630">
        <f>EA90</f>
        <v>1.5</v>
      </c>
      <c r="EC90" s="656" t="s">
        <v>254</v>
      </c>
      <c r="ED90" s="685">
        <f t="shared" ref="ED90:ED96" si="53">EA90*100/($EA$85+SUM($EA$90:$EA$96,$EA$98))</f>
        <v>0.92765525856844233</v>
      </c>
      <c r="EF90" s="677" t="s">
        <v>20</v>
      </c>
      <c r="EG90" s="630">
        <f>'Spécialité carnée'!H21</f>
        <v>1.5</v>
      </c>
      <c r="EH90" s="630">
        <f>EG90</f>
        <v>1.5</v>
      </c>
      <c r="EI90" s="656" t="s">
        <v>254</v>
      </c>
      <c r="EJ90" s="685">
        <f t="shared" ref="EJ90:EJ96" si="54">EG90*100/($EG$86+SUM($EG$90:$EG$96))</f>
        <v>0.95939826540793605</v>
      </c>
      <c r="EL90" s="677" t="s">
        <v>20</v>
      </c>
      <c r="EM90" s="630">
        <f>'Spécialité Autres'!N36</f>
        <v>1.5</v>
      </c>
      <c r="EN90" s="630">
        <f>EM90</f>
        <v>1.5</v>
      </c>
      <c r="EO90" s="656" t="s">
        <v>254</v>
      </c>
      <c r="EP90" s="685">
        <f t="shared" ref="EP90:EP96" si="55">EM90*100/($EM$85+SUM($EM$90:$EM$96,$EM$98))</f>
        <v>0.95713319465536828</v>
      </c>
      <c r="ER90" s="677" t="s">
        <v>20</v>
      </c>
      <c r="ES90" s="630">
        <f>'Spécialité carnée'!B6</f>
        <v>1.5</v>
      </c>
      <c r="ET90" s="630">
        <f>ES90</f>
        <v>1.5</v>
      </c>
      <c r="EU90" s="656" t="s">
        <v>254</v>
      </c>
      <c r="EV90" s="685">
        <f>ES90*100/($ES$86+SUM($ES$90:$ES$96))</f>
        <v>0.95939826540793605</v>
      </c>
      <c r="EX90" s="677" t="s">
        <v>20</v>
      </c>
      <c r="EY90" s="630">
        <f>'Spécialité Fromagère'!H21</f>
        <v>1.5</v>
      </c>
      <c r="EZ90" s="630">
        <f>EY90</f>
        <v>1.5</v>
      </c>
      <c r="FA90" s="656" t="s">
        <v>254</v>
      </c>
      <c r="FB90" s="685">
        <f>EY90*100/($EY$85+SUM($EY$90:$EY$96,$EY$98:$EY$99))</f>
        <v>0.91912891089351578</v>
      </c>
      <c r="FD90" s="677" t="s">
        <v>20</v>
      </c>
      <c r="FE90" s="630">
        <f>'Spécialité Fromagère'!H6</f>
        <v>1.5</v>
      </c>
      <c r="FF90" s="630">
        <f>FE90</f>
        <v>1.5</v>
      </c>
      <c r="FG90" s="656" t="s">
        <v>254</v>
      </c>
      <c r="FH90" s="685">
        <f>FE90*100/($FE$85+SUM($FE$90:$FE$96,$FE$98))</f>
        <v>0.93053263688135079</v>
      </c>
      <c r="FJ90" s="677" t="s">
        <v>20</v>
      </c>
      <c r="FK90" s="630">
        <f>'Spécialité carnée'!H6</f>
        <v>1.5</v>
      </c>
      <c r="FL90" s="630">
        <f>FK90</f>
        <v>1.5</v>
      </c>
      <c r="FM90" s="656" t="s">
        <v>254</v>
      </c>
      <c r="FN90" s="685">
        <f>FK90*100/($FK$86+SUM($FK$90:$FK$96))</f>
        <v>0.95939826540793605</v>
      </c>
    </row>
    <row r="91" spans="2:170" x14ac:dyDescent="0.7">
      <c r="J91" s="601" t="s">
        <v>1</v>
      </c>
      <c r="K91" s="657">
        <f>'Spécialité Autres'!B55</f>
        <v>2.4</v>
      </c>
      <c r="L91" s="657">
        <f>L90+K91</f>
        <v>3.9</v>
      </c>
      <c r="M91" s="657" t="s">
        <v>254</v>
      </c>
      <c r="N91" s="700">
        <f t="shared" si="33"/>
        <v>1.5272227454374221</v>
      </c>
      <c r="P91" s="728" t="s">
        <v>1</v>
      </c>
      <c r="Q91" s="631">
        <f>'Haché Moyen'!P7</f>
        <v>2.4</v>
      </c>
      <c r="R91" s="732">
        <f>R90+Q91</f>
        <v>3.9</v>
      </c>
      <c r="S91" s="657" t="s">
        <v>254</v>
      </c>
      <c r="T91" s="686">
        <f t="shared" si="34"/>
        <v>1.5365113509776054</v>
      </c>
      <c r="V91" s="728" t="s">
        <v>1</v>
      </c>
      <c r="W91" s="627">
        <f>'Haché Moyen'!P7</f>
        <v>2.4</v>
      </c>
      <c r="X91" s="732">
        <f>X90+W91</f>
        <v>3.9</v>
      </c>
      <c r="Y91" s="657" t="s">
        <v>254</v>
      </c>
      <c r="Z91" s="686">
        <f t="shared" si="35"/>
        <v>1.5365113509776054</v>
      </c>
      <c r="AB91" s="728" t="s">
        <v>1</v>
      </c>
      <c r="AC91" s="631">
        <f>'Haché Moyen'!P7</f>
        <v>2.4</v>
      </c>
      <c r="AD91" s="732">
        <f>AD90+AC91</f>
        <v>3.9</v>
      </c>
      <c r="AE91" s="657" t="s">
        <v>254</v>
      </c>
      <c r="AF91" s="700">
        <f t="shared" si="36"/>
        <v>1.5365113509776054</v>
      </c>
      <c r="AH91" s="728" t="s">
        <v>1</v>
      </c>
      <c r="AI91" s="631">
        <f>'Haché Moyen'!P7</f>
        <v>2.4</v>
      </c>
      <c r="AJ91" s="732">
        <f>AJ90+AI91</f>
        <v>3.9</v>
      </c>
      <c r="AK91" s="657" t="s">
        <v>254</v>
      </c>
      <c r="AL91" s="700">
        <f t="shared" si="37"/>
        <v>1.5365113509776054</v>
      </c>
      <c r="AN91" s="750" t="s">
        <v>1</v>
      </c>
      <c r="AO91" s="631">
        <f>'Spécialité Autres'!N55</f>
        <v>2.4</v>
      </c>
      <c r="AP91" s="631">
        <f>AP90+AO91</f>
        <v>3.9</v>
      </c>
      <c r="AQ91" s="657" t="s">
        <v>254</v>
      </c>
      <c r="AR91" s="700">
        <f t="shared" si="38"/>
        <v>1.5335659241651651</v>
      </c>
      <c r="AT91" s="601" t="s">
        <v>1</v>
      </c>
      <c r="AU91" s="631">
        <f>'Spécialité Fromagère'!B7</f>
        <v>2.4</v>
      </c>
      <c r="AV91" s="631">
        <f t="shared" ref="AV91:AV96" si="56">AV90+AU91</f>
        <v>3.9</v>
      </c>
      <c r="AW91" s="657" t="s">
        <v>254</v>
      </c>
      <c r="AX91" s="700">
        <f t="shared" si="39"/>
        <v>1.4888522190101614</v>
      </c>
      <c r="AZ91" s="601" t="s">
        <v>1</v>
      </c>
      <c r="BA91" s="631">
        <f>'Spécialité Autres'!B7</f>
        <v>2.4</v>
      </c>
      <c r="BB91" s="631">
        <f>BB90+BA91</f>
        <v>3.9</v>
      </c>
      <c r="BC91" s="657" t="s">
        <v>254</v>
      </c>
      <c r="BD91" s="700">
        <f t="shared" si="40"/>
        <v>1.4888522190101614</v>
      </c>
      <c r="BF91" s="601" t="s">
        <v>1</v>
      </c>
      <c r="BG91" s="631">
        <f>'Spécialité Autres'!H7</f>
        <v>2.4</v>
      </c>
      <c r="BH91" s="631">
        <v>3.9</v>
      </c>
      <c r="BI91" s="657" t="s">
        <v>254</v>
      </c>
      <c r="BJ91" s="686">
        <f t="shared" si="41"/>
        <v>1.4888522190101614</v>
      </c>
      <c r="BL91" s="601" t="s">
        <v>1</v>
      </c>
      <c r="BM91" s="631">
        <f>'Haché Moyen'!$P$7</f>
        <v>2.4</v>
      </c>
      <c r="BN91" s="631">
        <f>BN90+BM91</f>
        <v>3.9</v>
      </c>
      <c r="BO91" s="657" t="s">
        <v>254</v>
      </c>
      <c r="BP91" s="700">
        <f t="shared" si="42"/>
        <v>1.5365113509776054</v>
      </c>
      <c r="BR91" s="708" t="s">
        <v>1</v>
      </c>
      <c r="BS91" s="631">
        <f>'Spécialité Autres'!B37</f>
        <v>2.4</v>
      </c>
      <c r="BT91" s="631">
        <f t="shared" ref="BT91:BT95" si="57">BT90+BS91</f>
        <v>3.9</v>
      </c>
      <c r="BU91" s="657" t="s">
        <v>254</v>
      </c>
      <c r="BV91" s="686">
        <f t="shared" si="43"/>
        <v>1.517086183137587</v>
      </c>
      <c r="BX91" s="708" t="s">
        <v>1</v>
      </c>
      <c r="BY91" s="631">
        <f>'Spécialité Autres'!N7</f>
        <v>2.4</v>
      </c>
      <c r="BZ91" s="631">
        <f t="shared" ref="BZ91:BZ96" si="58">BZ90+BY91</f>
        <v>3.9</v>
      </c>
      <c r="CA91" s="657" t="s">
        <v>254</v>
      </c>
      <c r="CB91" s="686">
        <f t="shared" si="44"/>
        <v>1.5075566275958241</v>
      </c>
      <c r="CD91" s="708" t="s">
        <v>1</v>
      </c>
      <c r="CE91" s="631">
        <f>'Spécialité Autres'!B21</f>
        <v>2.4</v>
      </c>
      <c r="CF91" s="631">
        <f t="shared" ref="CF91:CF96" si="59">CF90+CE91</f>
        <v>3.9</v>
      </c>
      <c r="CG91" s="657" t="s">
        <v>254</v>
      </c>
      <c r="CH91" s="686">
        <f t="shared" si="45"/>
        <v>1.517086183137587</v>
      </c>
      <c r="CJ91" s="708" t="s">
        <v>1</v>
      </c>
      <c r="CK91" s="631">
        <f>'Spécialité Autres'!H37</f>
        <v>2.4</v>
      </c>
      <c r="CL91" s="631">
        <f>CL90+CK91</f>
        <v>3.9</v>
      </c>
      <c r="CM91" s="657" t="s">
        <v>254</v>
      </c>
      <c r="CN91" s="686">
        <f t="shared" si="46"/>
        <v>1.4345658645052541</v>
      </c>
      <c r="CP91" s="708" t="s">
        <v>1</v>
      </c>
      <c r="CQ91" s="631">
        <f>'Spécialité Autres'!H21</f>
        <v>2.4</v>
      </c>
      <c r="CR91" s="631">
        <f t="shared" ref="CR91:CR96" si="60">CR90+CQ91</f>
        <v>3.9</v>
      </c>
      <c r="CS91" s="657" t="s">
        <v>254</v>
      </c>
      <c r="CT91" s="686">
        <f t="shared" si="47"/>
        <v>1.5330761172292204</v>
      </c>
      <c r="CV91" s="708" t="s">
        <v>1</v>
      </c>
      <c r="CW91" s="631">
        <f>'Spécialité Autres'!H55</f>
        <v>2.4</v>
      </c>
      <c r="CX91" s="631">
        <f t="shared" ref="CX91:CX96" si="61">CX90+CW91</f>
        <v>3.9</v>
      </c>
      <c r="CY91" s="657" t="s">
        <v>254</v>
      </c>
      <c r="CZ91" s="686">
        <f t="shared" si="48"/>
        <v>1.446672051501525</v>
      </c>
      <c r="DB91" s="708" t="s">
        <v>1</v>
      </c>
      <c r="DC91" s="631">
        <f>'Spécialité Autres'!N71</f>
        <v>2.4</v>
      </c>
      <c r="DD91" s="631">
        <f t="shared" ref="DD91:DD96" si="62">DD90+DC91</f>
        <v>3.9</v>
      </c>
      <c r="DE91" s="657" t="s">
        <v>254</v>
      </c>
      <c r="DF91" s="686">
        <f t="shared" si="49"/>
        <v>1.5209318242309788</v>
      </c>
      <c r="DH91" s="708" t="s">
        <v>1</v>
      </c>
      <c r="DI91" s="631">
        <f>'Spécialité Autres'!N21</f>
        <v>2.4</v>
      </c>
      <c r="DJ91" s="631">
        <f t="shared" ref="DJ91:DJ96" si="63">DJ90+DI91</f>
        <v>3.9</v>
      </c>
      <c r="DK91" s="657" t="s">
        <v>254</v>
      </c>
      <c r="DL91" s="686">
        <f t="shared" si="50"/>
        <v>1.5328313310724071</v>
      </c>
      <c r="DN91" s="601" t="s">
        <v>1</v>
      </c>
      <c r="DO91" s="631">
        <f>'Haché Moyen'!$P$7</f>
        <v>2.4</v>
      </c>
      <c r="DP91" s="631">
        <f>DP90+DO91</f>
        <v>3.9</v>
      </c>
      <c r="DQ91" s="657" t="s">
        <v>254</v>
      </c>
      <c r="DR91" s="686">
        <f t="shared" si="51"/>
        <v>1.5365113509776054</v>
      </c>
      <c r="DT91" s="708" t="s">
        <v>1</v>
      </c>
      <c r="DU91" s="631">
        <f>'Spécialité carnée'!B22</f>
        <v>2.5499999999999998</v>
      </c>
      <c r="DV91" s="631">
        <f t="shared" ref="DV91:DV96" si="64">DV90+DU91</f>
        <v>4.05</v>
      </c>
      <c r="DW91" s="657" t="s">
        <v>254</v>
      </c>
      <c r="DX91" s="686">
        <f t="shared" si="52"/>
        <v>1.6309770511934911</v>
      </c>
      <c r="DZ91" s="708" t="s">
        <v>1</v>
      </c>
      <c r="EA91" s="631">
        <f>'Spécialité Fromagère'!B22</f>
        <v>2.4</v>
      </c>
      <c r="EB91" s="631">
        <f t="shared" ref="EB91:EB96" si="65">EB90+EA91</f>
        <v>3.9</v>
      </c>
      <c r="EC91" s="657" t="s">
        <v>254</v>
      </c>
      <c r="ED91" s="686">
        <f t="shared" si="53"/>
        <v>1.4842484137095078</v>
      </c>
      <c r="EF91" s="708" t="s">
        <v>1</v>
      </c>
      <c r="EG91" s="631">
        <f>'Spécialité carnée'!H22</f>
        <v>2.5499999999999998</v>
      </c>
      <c r="EH91" s="631">
        <f t="shared" ref="EH91:EH96" si="66">EH90+EG91</f>
        <v>4.05</v>
      </c>
      <c r="EI91" s="657" t="s">
        <v>254</v>
      </c>
      <c r="EJ91" s="686">
        <f t="shared" si="54"/>
        <v>1.6309770511934911</v>
      </c>
      <c r="EL91" s="708" t="s">
        <v>1</v>
      </c>
      <c r="EM91" s="631">
        <f>'Spécialité Autres'!N37</f>
        <v>2.4</v>
      </c>
      <c r="EN91" s="631">
        <f t="shared" ref="EN91:EN96" si="67">EN90+EM91</f>
        <v>3.9</v>
      </c>
      <c r="EO91" s="657" t="s">
        <v>254</v>
      </c>
      <c r="EP91" s="686">
        <f t="shared" si="55"/>
        <v>1.5314131114485894</v>
      </c>
      <c r="ER91" s="708" t="s">
        <v>1</v>
      </c>
      <c r="ES91" s="631">
        <f>'Spécialité carnée'!B7</f>
        <v>2.5499999999999998</v>
      </c>
      <c r="ET91" s="631">
        <f t="shared" ref="ET91:ET96" si="68">ET90+ES91</f>
        <v>4.05</v>
      </c>
      <c r="EU91" s="657" t="s">
        <v>254</v>
      </c>
      <c r="EV91" s="686">
        <f t="shared" ref="EV91:EV96" si="69">ES91*100/($ES$86+SUM($ES$90:$ES$96))</f>
        <v>1.6309770511934911</v>
      </c>
      <c r="EX91" s="708" t="s">
        <v>1</v>
      </c>
      <c r="EY91" s="631">
        <f>'Spécialité Fromagère'!H22</f>
        <v>2.4</v>
      </c>
      <c r="EZ91" s="631">
        <f t="shared" ref="EZ91:EZ96" si="70">EZ90+EY91</f>
        <v>3.9</v>
      </c>
      <c r="FA91" s="657" t="s">
        <v>254</v>
      </c>
      <c r="FB91" s="686">
        <f t="shared" ref="FB91:FB96" si="71">EY91*100/($EY$85+SUM($EY$90:$EY$96,$EY$98:$EY$99))</f>
        <v>1.4706062574296253</v>
      </c>
      <c r="FD91" s="708" t="s">
        <v>1</v>
      </c>
      <c r="FE91" s="631">
        <f>'Spécialité Fromagère'!H7</f>
        <v>2.4</v>
      </c>
      <c r="FF91" s="631">
        <f t="shared" ref="FF91:FF96" si="72">FF90+FE91</f>
        <v>3.9</v>
      </c>
      <c r="FG91" s="657" t="s">
        <v>254</v>
      </c>
      <c r="FH91" s="686">
        <f t="shared" ref="FH91:FH96" si="73">FE91*100/($FE$85+SUM($FE$90:$FE$96,$FE$98))</f>
        <v>1.4888522190101614</v>
      </c>
      <c r="FJ91" s="708" t="s">
        <v>1</v>
      </c>
      <c r="FK91" s="631">
        <f>'Spécialité carnée'!H7</f>
        <v>2.5499999999999998</v>
      </c>
      <c r="FL91" s="631">
        <f t="shared" ref="FL91:FL96" si="74">FL90+FK91</f>
        <v>4.05</v>
      </c>
      <c r="FM91" s="657" t="s">
        <v>254</v>
      </c>
      <c r="FN91" s="686">
        <f t="shared" ref="FN91:FN96" si="75">FK91*100/($FK$86+SUM($FK$90:$FK$96))</f>
        <v>1.6309770511934911</v>
      </c>
    </row>
    <row r="92" spans="2:170" x14ac:dyDescent="0.7">
      <c r="J92" s="534" t="s">
        <v>21</v>
      </c>
      <c r="K92" s="658">
        <f>'Spécialité Autres'!B56</f>
        <v>1.7999999999999999E-2</v>
      </c>
      <c r="L92" s="658">
        <f>L91+K92</f>
        <v>3.9179999999999997</v>
      </c>
      <c r="M92" s="658" t="s">
        <v>254</v>
      </c>
      <c r="N92" s="701">
        <f t="shared" si="33"/>
        <v>1.1454170590780665E-2</v>
      </c>
      <c r="P92" s="729" t="s">
        <v>21</v>
      </c>
      <c r="Q92" s="628">
        <f>'Haché Moyen'!P8</f>
        <v>1.7999999999999999E-2</v>
      </c>
      <c r="R92" s="733">
        <f>R91+Q92</f>
        <v>3.9179999999999997</v>
      </c>
      <c r="S92" s="658" t="s">
        <v>254</v>
      </c>
      <c r="T92" s="685">
        <f t="shared" si="34"/>
        <v>1.1523835132332039E-2</v>
      </c>
      <c r="V92" s="729" t="s">
        <v>21</v>
      </c>
      <c r="W92" s="630">
        <f>'Haché Moyen'!P8</f>
        <v>1.7999999999999999E-2</v>
      </c>
      <c r="X92" s="733">
        <f>X91+W92</f>
        <v>3.9179999999999997</v>
      </c>
      <c r="Y92" s="658" t="s">
        <v>254</v>
      </c>
      <c r="Z92" s="685">
        <f t="shared" si="35"/>
        <v>1.1523835132332039E-2</v>
      </c>
      <c r="AB92" s="729" t="s">
        <v>21</v>
      </c>
      <c r="AC92" s="628">
        <f>'Haché Moyen'!P8</f>
        <v>1.7999999999999999E-2</v>
      </c>
      <c r="AD92" s="733">
        <f>AD91+AC92</f>
        <v>3.9179999999999997</v>
      </c>
      <c r="AE92" s="658" t="s">
        <v>254</v>
      </c>
      <c r="AF92" s="701">
        <f t="shared" si="36"/>
        <v>1.1523835132332039E-2</v>
      </c>
      <c r="AH92" s="729" t="s">
        <v>21</v>
      </c>
      <c r="AI92" s="628">
        <f>'Haché Moyen'!P8</f>
        <v>1.7999999999999999E-2</v>
      </c>
      <c r="AJ92" s="733">
        <f>AJ91+AI92</f>
        <v>3.9179999999999997</v>
      </c>
      <c r="AK92" s="658" t="s">
        <v>254</v>
      </c>
      <c r="AL92" s="701">
        <f t="shared" si="37"/>
        <v>1.1523835132332039E-2</v>
      </c>
      <c r="AN92" s="749" t="s">
        <v>21</v>
      </c>
      <c r="AO92" s="628">
        <f>'Spécialité Autres'!N56</f>
        <v>1.7999999999999999E-2</v>
      </c>
      <c r="AP92" s="628">
        <f>AP91+AO92</f>
        <v>3.9179999999999997</v>
      </c>
      <c r="AQ92" s="658" t="s">
        <v>254</v>
      </c>
      <c r="AR92" s="701">
        <f t="shared" si="38"/>
        <v>1.1501744431238737E-2</v>
      </c>
      <c r="AT92" s="534" t="s">
        <v>21</v>
      </c>
      <c r="AU92" s="628">
        <f>'Spécialité Fromagère'!B8</f>
        <v>1.7999999999999999E-2</v>
      </c>
      <c r="AV92" s="628">
        <f t="shared" si="56"/>
        <v>3.9179999999999997</v>
      </c>
      <c r="AW92" s="658" t="s">
        <v>254</v>
      </c>
      <c r="AX92" s="701">
        <f t="shared" si="39"/>
        <v>1.1166391642576209E-2</v>
      </c>
      <c r="AZ92" s="534" t="s">
        <v>21</v>
      </c>
      <c r="BA92" s="628">
        <f>'Spécialité Autres'!B8</f>
        <v>1.7999999999999999E-2</v>
      </c>
      <c r="BB92" s="628">
        <f t="shared" ref="BB92:BB96" si="76">BB91+BA92</f>
        <v>3.9179999999999997</v>
      </c>
      <c r="BC92" s="658" t="s">
        <v>254</v>
      </c>
      <c r="BD92" s="701">
        <f t="shared" si="40"/>
        <v>1.1166391642576209E-2</v>
      </c>
      <c r="BF92" s="534" t="s">
        <v>21</v>
      </c>
      <c r="BG92" s="628">
        <f>'Spécialité Autres'!H8</f>
        <v>1.7999999999999999E-2</v>
      </c>
      <c r="BH92" s="628">
        <v>3.9179999999999997</v>
      </c>
      <c r="BI92" s="658" t="s">
        <v>254</v>
      </c>
      <c r="BJ92" s="685">
        <f t="shared" si="41"/>
        <v>1.1166391642576209E-2</v>
      </c>
      <c r="BL92" s="534" t="s">
        <v>21</v>
      </c>
      <c r="BM92" s="628">
        <f>'Haché Moyen'!$P$8</f>
        <v>1.7999999999999999E-2</v>
      </c>
      <c r="BN92" s="628">
        <f>BN91+BM92</f>
        <v>3.9179999999999997</v>
      </c>
      <c r="BO92" s="658" t="s">
        <v>254</v>
      </c>
      <c r="BP92" s="701">
        <f t="shared" si="42"/>
        <v>1.1523835132332039E-2</v>
      </c>
      <c r="BR92" s="676" t="s">
        <v>21</v>
      </c>
      <c r="BS92" s="628">
        <f>'Spécialité Autres'!B38</f>
        <v>1.7999999999999999E-2</v>
      </c>
      <c r="BT92" s="628">
        <f t="shared" si="57"/>
        <v>3.9179999999999997</v>
      </c>
      <c r="BU92" s="658" t="s">
        <v>254</v>
      </c>
      <c r="BV92" s="685">
        <f t="shared" si="43"/>
        <v>1.1378146373531902E-2</v>
      </c>
      <c r="BX92" s="676" t="s">
        <v>21</v>
      </c>
      <c r="BY92" s="628">
        <f>'Spécialité Autres'!N8</f>
        <v>1.7999999999999999E-2</v>
      </c>
      <c r="BZ92" s="628">
        <f t="shared" si="58"/>
        <v>3.9179999999999997</v>
      </c>
      <c r="CA92" s="658" t="s">
        <v>254</v>
      </c>
      <c r="CB92" s="685">
        <f t="shared" si="44"/>
        <v>1.1306674706968679E-2</v>
      </c>
      <c r="CD92" s="676" t="s">
        <v>21</v>
      </c>
      <c r="CE92" s="628">
        <f>'Spécialité Autres'!B22</f>
        <v>1.7999999999999999E-2</v>
      </c>
      <c r="CF92" s="628">
        <f t="shared" si="59"/>
        <v>3.9179999999999997</v>
      </c>
      <c r="CG92" s="658" t="s">
        <v>254</v>
      </c>
      <c r="CH92" s="685">
        <f t="shared" si="45"/>
        <v>1.1378146373531902E-2</v>
      </c>
      <c r="CJ92" s="676" t="s">
        <v>21</v>
      </c>
      <c r="CK92" s="628">
        <f>'Spécialité Autres'!H38</f>
        <v>1.7999999999999999E-2</v>
      </c>
      <c r="CL92" s="628">
        <f t="shared" ref="CL92:CL96" si="77">CL91+CK92</f>
        <v>3.9179999999999997</v>
      </c>
      <c r="CM92" s="658" t="s">
        <v>254</v>
      </c>
      <c r="CN92" s="685">
        <f t="shared" si="46"/>
        <v>1.0759243983789404E-2</v>
      </c>
      <c r="CP92" s="676" t="s">
        <v>21</v>
      </c>
      <c r="CQ92" s="628">
        <f>'Spécialité Autres'!H22</f>
        <v>1.7999999999999999E-2</v>
      </c>
      <c r="CR92" s="628">
        <f t="shared" si="60"/>
        <v>3.9179999999999997</v>
      </c>
      <c r="CS92" s="658" t="s">
        <v>254</v>
      </c>
      <c r="CT92" s="685">
        <f t="shared" si="47"/>
        <v>1.1498070879219151E-2</v>
      </c>
      <c r="CV92" s="676" t="s">
        <v>21</v>
      </c>
      <c r="CW92" s="628">
        <f>'Spécialité Autres'!H56</f>
        <v>1.7999999999999999E-2</v>
      </c>
      <c r="CX92" s="628">
        <f t="shared" si="61"/>
        <v>3.9179999999999997</v>
      </c>
      <c r="CY92" s="658" t="s">
        <v>254</v>
      </c>
      <c r="CZ92" s="685">
        <f t="shared" si="48"/>
        <v>1.0850040386261438E-2</v>
      </c>
      <c r="DB92" s="676" t="s">
        <v>21</v>
      </c>
      <c r="DC92" s="628">
        <f>'Spécialité Autres'!N72</f>
        <v>1.7999999999999999E-2</v>
      </c>
      <c r="DD92" s="628">
        <f t="shared" si="62"/>
        <v>3.9179999999999997</v>
      </c>
      <c r="DE92" s="658" t="s">
        <v>254</v>
      </c>
      <c r="DF92" s="685">
        <f t="shared" si="49"/>
        <v>1.1406988681732341E-2</v>
      </c>
      <c r="DH92" s="676" t="s">
        <v>21</v>
      </c>
      <c r="DI92" s="628">
        <f>'Spécialité Autres'!N22</f>
        <v>1.7999999999999999E-2</v>
      </c>
      <c r="DJ92" s="628">
        <f t="shared" si="63"/>
        <v>3.9179999999999997</v>
      </c>
      <c r="DK92" s="658" t="s">
        <v>254</v>
      </c>
      <c r="DL92" s="685">
        <f t="shared" si="50"/>
        <v>1.1496234983043052E-2</v>
      </c>
      <c r="DN92" s="534" t="s">
        <v>21</v>
      </c>
      <c r="DO92" s="628">
        <f>'Haché Moyen'!$P$8</f>
        <v>1.7999999999999999E-2</v>
      </c>
      <c r="DP92" s="628">
        <f>DP91+DO92</f>
        <v>3.9179999999999997</v>
      </c>
      <c r="DQ92" s="658" t="s">
        <v>254</v>
      </c>
      <c r="DR92" s="685">
        <f t="shared" si="51"/>
        <v>1.1523835132332039E-2</v>
      </c>
      <c r="DT92" s="676" t="s">
        <v>21</v>
      </c>
      <c r="DU92" s="628">
        <f>'Spécialité carnée'!B23</f>
        <v>1.7999999999999999E-2</v>
      </c>
      <c r="DV92" s="628">
        <f t="shared" si="64"/>
        <v>4.0679999999999996</v>
      </c>
      <c r="DW92" s="658" t="s">
        <v>254</v>
      </c>
      <c r="DX92" s="685">
        <f t="shared" si="52"/>
        <v>1.1512779184895232E-2</v>
      </c>
      <c r="DZ92" s="676" t="s">
        <v>21</v>
      </c>
      <c r="EA92" s="628">
        <f>'Spécialité Fromagère'!B23</f>
        <v>1.7999999999999999E-2</v>
      </c>
      <c r="EB92" s="628">
        <f t="shared" si="65"/>
        <v>3.9179999999999997</v>
      </c>
      <c r="EC92" s="658" t="s">
        <v>254</v>
      </c>
      <c r="ED92" s="685">
        <f t="shared" si="53"/>
        <v>1.1131863102821308E-2</v>
      </c>
      <c r="EF92" s="676" t="s">
        <v>21</v>
      </c>
      <c r="EG92" s="628">
        <f>'Spécialité carnée'!H23</f>
        <v>1.7999999999999999E-2</v>
      </c>
      <c r="EH92" s="628">
        <f t="shared" si="66"/>
        <v>4.0679999999999996</v>
      </c>
      <c r="EI92" s="658" t="s">
        <v>254</v>
      </c>
      <c r="EJ92" s="685">
        <f t="shared" si="54"/>
        <v>1.1512779184895232E-2</v>
      </c>
      <c r="EL92" s="676" t="s">
        <v>21</v>
      </c>
      <c r="EM92" s="628">
        <f>'Spécialité Autres'!N38</f>
        <v>1.7999999999999999E-2</v>
      </c>
      <c r="EN92" s="628">
        <f t="shared" si="67"/>
        <v>3.9179999999999997</v>
      </c>
      <c r="EO92" s="658" t="s">
        <v>254</v>
      </c>
      <c r="EP92" s="685">
        <f t="shared" si="55"/>
        <v>1.1485598335864419E-2</v>
      </c>
      <c r="ER92" s="676" t="s">
        <v>21</v>
      </c>
      <c r="ES92" s="628">
        <f>'Spécialité carnée'!B8</f>
        <v>1.7999999999999999E-2</v>
      </c>
      <c r="ET92" s="628">
        <f t="shared" si="68"/>
        <v>4.0679999999999996</v>
      </c>
      <c r="EU92" s="658" t="s">
        <v>254</v>
      </c>
      <c r="EV92" s="685">
        <f t="shared" si="69"/>
        <v>1.1512779184895232E-2</v>
      </c>
      <c r="EX92" s="676" t="s">
        <v>21</v>
      </c>
      <c r="EY92" s="628">
        <f>'Spécialité Fromagère'!H23</f>
        <v>1.7999999999999999E-2</v>
      </c>
      <c r="EZ92" s="628">
        <f t="shared" si="70"/>
        <v>3.9179999999999997</v>
      </c>
      <c r="FA92" s="658" t="s">
        <v>254</v>
      </c>
      <c r="FB92" s="685">
        <f t="shared" si="71"/>
        <v>1.1029546930722188E-2</v>
      </c>
      <c r="FD92" s="676" t="s">
        <v>21</v>
      </c>
      <c r="FE92" s="628">
        <f>'Spécialité Fromagère'!H8</f>
        <v>1.7999999999999999E-2</v>
      </c>
      <c r="FF92" s="628">
        <f t="shared" si="72"/>
        <v>3.9179999999999997</v>
      </c>
      <c r="FG92" s="658" t="s">
        <v>254</v>
      </c>
      <c r="FH92" s="685">
        <f t="shared" si="73"/>
        <v>1.1166391642576209E-2</v>
      </c>
      <c r="FJ92" s="676" t="s">
        <v>21</v>
      </c>
      <c r="FK92" s="628">
        <f>'Spécialité carnée'!H8</f>
        <v>1.7999999999999999E-2</v>
      </c>
      <c r="FL92" s="628">
        <f t="shared" si="74"/>
        <v>4.0679999999999996</v>
      </c>
      <c r="FM92" s="658" t="s">
        <v>254</v>
      </c>
      <c r="FN92" s="685">
        <f t="shared" si="75"/>
        <v>1.1512779184895232E-2</v>
      </c>
    </row>
    <row r="93" spans="2:170" x14ac:dyDescent="0.7">
      <c r="J93" s="601" t="s">
        <v>3</v>
      </c>
      <c r="K93" s="657">
        <f>'Spécialité Autres'!B57</f>
        <v>1.5</v>
      </c>
      <c r="L93" s="657">
        <f>L92+K93</f>
        <v>5.4179999999999993</v>
      </c>
      <c r="M93" s="657" t="s">
        <v>254</v>
      </c>
      <c r="N93" s="700">
        <f t="shared" si="33"/>
        <v>0.95451421589838881</v>
      </c>
      <c r="P93" s="728" t="s">
        <v>3</v>
      </c>
      <c r="Q93" s="631">
        <f>'Haché Moyen'!P9</f>
        <v>1.5</v>
      </c>
      <c r="R93" s="732">
        <f>R92+Q93</f>
        <v>5.4179999999999993</v>
      </c>
      <c r="S93" s="657" t="s">
        <v>254</v>
      </c>
      <c r="T93" s="686">
        <f t="shared" si="34"/>
        <v>0.96031959436100334</v>
      </c>
      <c r="V93" s="728" t="s">
        <v>3</v>
      </c>
      <c r="W93" s="627">
        <f>'Haché Moyen'!P9</f>
        <v>1.5</v>
      </c>
      <c r="X93" s="732">
        <f>X92+W93</f>
        <v>5.4179999999999993</v>
      </c>
      <c r="Y93" s="657" t="s">
        <v>254</v>
      </c>
      <c r="Z93" s="686">
        <f t="shared" si="35"/>
        <v>0.96031959436100334</v>
      </c>
      <c r="AB93" s="728" t="s">
        <v>3</v>
      </c>
      <c r="AC93" s="631">
        <f>'Haché Moyen'!P9</f>
        <v>1.5</v>
      </c>
      <c r="AD93" s="732">
        <f>AD92+AC93</f>
        <v>5.4179999999999993</v>
      </c>
      <c r="AE93" s="657" t="s">
        <v>254</v>
      </c>
      <c r="AF93" s="700">
        <f t="shared" si="36"/>
        <v>0.96031959436100334</v>
      </c>
      <c r="AH93" s="728" t="s">
        <v>3</v>
      </c>
      <c r="AI93" s="631">
        <f>'Haché Moyen'!P9</f>
        <v>1.5</v>
      </c>
      <c r="AJ93" s="732">
        <f>AJ92+AI93</f>
        <v>5.4179999999999993</v>
      </c>
      <c r="AK93" s="657" t="s">
        <v>254</v>
      </c>
      <c r="AL93" s="700">
        <f t="shared" si="37"/>
        <v>0.96031959436100334</v>
      </c>
      <c r="AN93" s="750" t="s">
        <v>3</v>
      </c>
      <c r="AO93" s="631">
        <f>'Spécialité Autres'!N57</f>
        <v>1.5</v>
      </c>
      <c r="AP93" s="631">
        <f t="shared" ref="AP93:AP94" si="78">AP92+AO93</f>
        <v>5.4179999999999993</v>
      </c>
      <c r="AQ93" s="657" t="s">
        <v>254</v>
      </c>
      <c r="AR93" s="700">
        <f t="shared" si="38"/>
        <v>0.95847870260322821</v>
      </c>
      <c r="AT93" s="601" t="s">
        <v>3</v>
      </c>
      <c r="AU93" s="631">
        <f>'Spécialité Fromagère'!B9</f>
        <v>1.5</v>
      </c>
      <c r="AV93" s="631">
        <f t="shared" si="56"/>
        <v>5.4179999999999993</v>
      </c>
      <c r="AW93" s="657" t="s">
        <v>254</v>
      </c>
      <c r="AX93" s="700">
        <f t="shared" si="39"/>
        <v>0.93053263688135079</v>
      </c>
      <c r="AZ93" s="601" t="s">
        <v>3</v>
      </c>
      <c r="BA93" s="631">
        <f>'Spécialité Autres'!B9</f>
        <v>1.5</v>
      </c>
      <c r="BB93" s="631">
        <f>BB92+BA93</f>
        <v>5.4179999999999993</v>
      </c>
      <c r="BC93" s="657" t="s">
        <v>254</v>
      </c>
      <c r="BD93" s="700">
        <f t="shared" si="40"/>
        <v>0.93053263688135079</v>
      </c>
      <c r="BF93" s="601" t="s">
        <v>3</v>
      </c>
      <c r="BG93" s="631">
        <f>'Spécialité Autres'!H9</f>
        <v>1.5</v>
      </c>
      <c r="BH93" s="631">
        <v>5.4179999999999993</v>
      </c>
      <c r="BI93" s="657" t="s">
        <v>254</v>
      </c>
      <c r="BJ93" s="686">
        <f t="shared" si="41"/>
        <v>0.93053263688135079</v>
      </c>
      <c r="BL93" s="601" t="s">
        <v>3</v>
      </c>
      <c r="BM93" s="631">
        <f>'Haché Moyen'!$P$9</f>
        <v>1.5</v>
      </c>
      <c r="BN93" s="631">
        <f>BN92+BM93</f>
        <v>5.4179999999999993</v>
      </c>
      <c r="BO93" s="657" t="s">
        <v>254</v>
      </c>
      <c r="BP93" s="700">
        <f t="shared" si="42"/>
        <v>0.96031959436100334</v>
      </c>
      <c r="BR93" s="708" t="s">
        <v>3</v>
      </c>
      <c r="BS93" s="631">
        <f>'Spécialité Autres'!B39</f>
        <v>1.5</v>
      </c>
      <c r="BT93" s="631">
        <f t="shared" si="57"/>
        <v>5.4179999999999993</v>
      </c>
      <c r="BU93" s="657" t="s">
        <v>254</v>
      </c>
      <c r="BV93" s="686">
        <f t="shared" si="43"/>
        <v>0.94817886446099187</v>
      </c>
      <c r="BX93" s="708" t="s">
        <v>3</v>
      </c>
      <c r="BY93" s="631">
        <f>'Spécialité Autres'!N9</f>
        <v>1.5</v>
      </c>
      <c r="BZ93" s="631">
        <f t="shared" si="58"/>
        <v>5.4179999999999993</v>
      </c>
      <c r="CA93" s="657" t="s">
        <v>254</v>
      </c>
      <c r="CB93" s="686">
        <f t="shared" si="44"/>
        <v>0.94222289224738998</v>
      </c>
      <c r="CD93" s="708" t="s">
        <v>3</v>
      </c>
      <c r="CE93" s="631">
        <f>'Spécialité Autres'!B23</f>
        <v>1.5</v>
      </c>
      <c r="CF93" s="631">
        <f t="shared" si="59"/>
        <v>5.4179999999999993</v>
      </c>
      <c r="CG93" s="657" t="s">
        <v>254</v>
      </c>
      <c r="CH93" s="686">
        <f t="shared" si="45"/>
        <v>0.94817886446099187</v>
      </c>
      <c r="CJ93" s="708" t="s">
        <v>3</v>
      </c>
      <c r="CK93" s="631">
        <f>'Spécialité Autres'!H39</f>
        <v>1.5</v>
      </c>
      <c r="CL93" s="631">
        <f t="shared" si="77"/>
        <v>5.4179999999999993</v>
      </c>
      <c r="CM93" s="657" t="s">
        <v>254</v>
      </c>
      <c r="CN93" s="686">
        <f t="shared" si="46"/>
        <v>0.89660366531578384</v>
      </c>
      <c r="CP93" s="708" t="s">
        <v>3</v>
      </c>
      <c r="CQ93" s="631">
        <f>'Spécialité Autres'!H23</f>
        <v>1.5</v>
      </c>
      <c r="CR93" s="631">
        <f t="shared" si="60"/>
        <v>5.4179999999999993</v>
      </c>
      <c r="CS93" s="657" t="s">
        <v>254</v>
      </c>
      <c r="CT93" s="686">
        <f t="shared" si="47"/>
        <v>0.95817257326826277</v>
      </c>
      <c r="CV93" s="708" t="s">
        <v>3</v>
      </c>
      <c r="CW93" s="631">
        <f>'Spécialité Autres'!H57</f>
        <v>1.3</v>
      </c>
      <c r="CX93" s="631">
        <f t="shared" si="61"/>
        <v>5.218</v>
      </c>
      <c r="CY93" s="657" t="s">
        <v>254</v>
      </c>
      <c r="CZ93" s="686">
        <f t="shared" si="48"/>
        <v>0.78361402789665946</v>
      </c>
      <c r="DB93" s="708" t="s">
        <v>3</v>
      </c>
      <c r="DC93" s="631">
        <f>'Spécialité Autres'!N73</f>
        <v>1.5</v>
      </c>
      <c r="DD93" s="631">
        <f t="shared" si="62"/>
        <v>5.4179999999999993</v>
      </c>
      <c r="DE93" s="657" t="s">
        <v>254</v>
      </c>
      <c r="DF93" s="686">
        <f t="shared" si="49"/>
        <v>0.95058239014436174</v>
      </c>
      <c r="DH93" s="708" t="s">
        <v>3</v>
      </c>
      <c r="DI93" s="631">
        <f>'Spécialité Autres'!N23</f>
        <v>1.5</v>
      </c>
      <c r="DJ93" s="631">
        <f t="shared" si="63"/>
        <v>5.4179999999999993</v>
      </c>
      <c r="DK93" s="657" t="s">
        <v>254</v>
      </c>
      <c r="DL93" s="686">
        <f t="shared" si="50"/>
        <v>0.95801958192025438</v>
      </c>
      <c r="DN93" s="601" t="s">
        <v>3</v>
      </c>
      <c r="DO93" s="631">
        <f>'Haché Moyen'!$P$9</f>
        <v>1.5</v>
      </c>
      <c r="DP93" s="631">
        <f>DP92+DO93</f>
        <v>5.4179999999999993</v>
      </c>
      <c r="DQ93" s="657" t="s">
        <v>254</v>
      </c>
      <c r="DR93" s="686">
        <f t="shared" si="51"/>
        <v>0.96031959436100334</v>
      </c>
      <c r="DT93" s="708" t="s">
        <v>3</v>
      </c>
      <c r="DU93" s="631">
        <f>'Spécialité carnée'!B24</f>
        <v>1.5</v>
      </c>
      <c r="DV93" s="631">
        <f t="shared" si="64"/>
        <v>5.5679999999999996</v>
      </c>
      <c r="DW93" s="657" t="s">
        <v>254</v>
      </c>
      <c r="DX93" s="686">
        <f t="shared" si="52"/>
        <v>0.95939826540793605</v>
      </c>
      <c r="DZ93" s="708" t="s">
        <v>3</v>
      </c>
      <c r="EA93" s="631">
        <f>'Spécialité Fromagère'!B24</f>
        <v>3</v>
      </c>
      <c r="EB93" s="631">
        <f t="shared" si="65"/>
        <v>6.9179999999999993</v>
      </c>
      <c r="EC93" s="657" t="s">
        <v>254</v>
      </c>
      <c r="ED93" s="686">
        <f t="shared" si="53"/>
        <v>1.8553105171368847</v>
      </c>
      <c r="EF93" s="708" t="s">
        <v>3</v>
      </c>
      <c r="EG93" s="631">
        <f>'Spécialité carnée'!H24</f>
        <v>1.5</v>
      </c>
      <c r="EH93" s="631">
        <f t="shared" si="66"/>
        <v>5.5679999999999996</v>
      </c>
      <c r="EI93" s="657" t="s">
        <v>254</v>
      </c>
      <c r="EJ93" s="686">
        <f t="shared" si="54"/>
        <v>0.95939826540793605</v>
      </c>
      <c r="EL93" s="708" t="s">
        <v>3</v>
      </c>
      <c r="EM93" s="631">
        <f>'Spécialité Autres'!N39</f>
        <v>1.5</v>
      </c>
      <c r="EN93" s="631">
        <f t="shared" si="67"/>
        <v>5.4179999999999993</v>
      </c>
      <c r="EO93" s="657" t="s">
        <v>254</v>
      </c>
      <c r="EP93" s="686">
        <f t="shared" si="55"/>
        <v>0.95713319465536828</v>
      </c>
      <c r="ER93" s="708" t="s">
        <v>3</v>
      </c>
      <c r="ES93" s="631">
        <f>'Spécialité carnée'!B9</f>
        <v>1.5</v>
      </c>
      <c r="ET93" s="631">
        <f t="shared" si="68"/>
        <v>5.5679999999999996</v>
      </c>
      <c r="EU93" s="657" t="s">
        <v>254</v>
      </c>
      <c r="EV93" s="686">
        <f t="shared" si="69"/>
        <v>0.95939826540793605</v>
      </c>
      <c r="EX93" s="708" t="s">
        <v>3</v>
      </c>
      <c r="EY93" s="631">
        <f>'Spécialité Fromagère'!H24</f>
        <v>1.5</v>
      </c>
      <c r="EZ93" s="631">
        <f t="shared" si="70"/>
        <v>5.4179999999999993</v>
      </c>
      <c r="FA93" s="657" t="s">
        <v>254</v>
      </c>
      <c r="FB93" s="686">
        <f t="shared" si="71"/>
        <v>0.91912891089351578</v>
      </c>
      <c r="FD93" s="708" t="s">
        <v>3</v>
      </c>
      <c r="FE93" s="631">
        <f>'Spécialité Fromagère'!H9</f>
        <v>1.5</v>
      </c>
      <c r="FF93" s="631">
        <f t="shared" si="72"/>
        <v>5.4179999999999993</v>
      </c>
      <c r="FG93" s="657" t="s">
        <v>254</v>
      </c>
      <c r="FH93" s="686">
        <f t="shared" si="73"/>
        <v>0.93053263688135079</v>
      </c>
      <c r="FJ93" s="708" t="s">
        <v>3</v>
      </c>
      <c r="FK93" s="631">
        <f>'Spécialité carnée'!H9</f>
        <v>1.5</v>
      </c>
      <c r="FL93" s="631">
        <f t="shared" si="74"/>
        <v>5.5679999999999996</v>
      </c>
      <c r="FM93" s="657" t="s">
        <v>254</v>
      </c>
      <c r="FN93" s="686">
        <f t="shared" si="75"/>
        <v>0.95939826540793605</v>
      </c>
    </row>
    <row r="94" spans="2:170" x14ac:dyDescent="0.7">
      <c r="J94" s="534" t="s">
        <v>2</v>
      </c>
      <c r="K94" s="658">
        <f>'Spécialité Autres'!B58</f>
        <v>0.45</v>
      </c>
      <c r="L94" s="658">
        <f t="shared" ref="L94" si="79">L93+K94</f>
        <v>5.8679999999999994</v>
      </c>
      <c r="M94" s="658" t="s">
        <v>254</v>
      </c>
      <c r="N94" s="701">
        <f t="shared" si="33"/>
        <v>0.28635426476951664</v>
      </c>
      <c r="P94" s="729" t="s">
        <v>2</v>
      </c>
      <c r="Q94" s="628">
        <f>'Haché Moyen'!P10</f>
        <v>0.45</v>
      </c>
      <c r="R94" s="733">
        <f t="shared" ref="R94" si="80">R93+Q94</f>
        <v>5.8679999999999994</v>
      </c>
      <c r="S94" s="658" t="s">
        <v>254</v>
      </c>
      <c r="T94" s="685">
        <f t="shared" si="34"/>
        <v>0.28809587830830097</v>
      </c>
      <c r="V94" s="729" t="s">
        <v>2</v>
      </c>
      <c r="W94" s="630">
        <f>'Haché Moyen'!P10</f>
        <v>0.45</v>
      </c>
      <c r="X94" s="733">
        <f t="shared" ref="X94" si="81">X93+W94</f>
        <v>5.8679999999999994</v>
      </c>
      <c r="Y94" s="658" t="s">
        <v>254</v>
      </c>
      <c r="Z94" s="685">
        <f t="shared" si="35"/>
        <v>0.28809587830830097</v>
      </c>
      <c r="AB94" s="729" t="s">
        <v>2</v>
      </c>
      <c r="AC94" s="628">
        <f>'Haché Moyen'!P10</f>
        <v>0.45</v>
      </c>
      <c r="AD94" s="733">
        <f t="shared" ref="AD94" si="82">AD93+AC94</f>
        <v>5.8679999999999994</v>
      </c>
      <c r="AE94" s="658" t="s">
        <v>254</v>
      </c>
      <c r="AF94" s="701">
        <f t="shared" si="36"/>
        <v>0.28809587830830097</v>
      </c>
      <c r="AH94" s="729" t="s">
        <v>2</v>
      </c>
      <c r="AI94" s="628">
        <f>'Haché Moyen'!P10</f>
        <v>0.45</v>
      </c>
      <c r="AJ94" s="733">
        <f t="shared" ref="AJ94" si="83">AJ93+AI94</f>
        <v>5.8679999999999994</v>
      </c>
      <c r="AK94" s="658" t="s">
        <v>254</v>
      </c>
      <c r="AL94" s="701">
        <f t="shared" si="37"/>
        <v>0.28809587830830097</v>
      </c>
      <c r="AN94" s="749" t="s">
        <v>2</v>
      </c>
      <c r="AO94" s="628">
        <f>'Spécialité Autres'!N58</f>
        <v>0.45</v>
      </c>
      <c r="AP94" s="628">
        <f t="shared" si="78"/>
        <v>5.8679999999999994</v>
      </c>
      <c r="AQ94" s="658" t="s">
        <v>254</v>
      </c>
      <c r="AR94" s="701">
        <f t="shared" si="38"/>
        <v>0.28754361078096846</v>
      </c>
      <c r="AT94" s="534" t="s">
        <v>2</v>
      </c>
      <c r="AU94" s="628">
        <f>'Spécialité Fromagère'!B10</f>
        <v>0.45</v>
      </c>
      <c r="AV94" s="628">
        <f t="shared" si="56"/>
        <v>5.8679999999999994</v>
      </c>
      <c r="AW94" s="658" t="s">
        <v>254</v>
      </c>
      <c r="AX94" s="701">
        <f t="shared" si="39"/>
        <v>0.27915979106440525</v>
      </c>
      <c r="AZ94" s="534" t="s">
        <v>2</v>
      </c>
      <c r="BA94" s="628">
        <f>'Spécialité Autres'!B10</f>
        <v>0.45</v>
      </c>
      <c r="BB94" s="628">
        <f t="shared" si="76"/>
        <v>5.8679999999999994</v>
      </c>
      <c r="BC94" s="658" t="s">
        <v>254</v>
      </c>
      <c r="BD94" s="701">
        <f t="shared" si="40"/>
        <v>0.27915979106440525</v>
      </c>
      <c r="BF94" s="534" t="s">
        <v>2</v>
      </c>
      <c r="BG94" s="628">
        <f>'Spécialité Autres'!H10</f>
        <v>0.45</v>
      </c>
      <c r="BH94" s="628">
        <v>5.8679999999999994</v>
      </c>
      <c r="BI94" s="658" t="s">
        <v>254</v>
      </c>
      <c r="BJ94" s="685">
        <f t="shared" si="41"/>
        <v>0.27915979106440525</v>
      </c>
      <c r="BL94" s="534" t="s">
        <v>2</v>
      </c>
      <c r="BM94" s="628">
        <f>'Haché Moyen'!$P$10</f>
        <v>0.45</v>
      </c>
      <c r="BN94" s="628">
        <f t="shared" ref="BN94" si="84">BN93+BM94</f>
        <v>5.8679999999999994</v>
      </c>
      <c r="BO94" s="658" t="s">
        <v>254</v>
      </c>
      <c r="BP94" s="701">
        <f t="shared" si="42"/>
        <v>0.28809587830830097</v>
      </c>
      <c r="BR94" s="676" t="s">
        <v>2</v>
      </c>
      <c r="BS94" s="628">
        <f>'Spécialité Autres'!B40</f>
        <v>0.45</v>
      </c>
      <c r="BT94" s="628">
        <f t="shared" si="57"/>
        <v>5.8679999999999994</v>
      </c>
      <c r="BU94" s="658" t="s">
        <v>254</v>
      </c>
      <c r="BV94" s="685">
        <f t="shared" si="43"/>
        <v>0.28445365933829758</v>
      </c>
      <c r="BX94" s="676" t="s">
        <v>2</v>
      </c>
      <c r="BY94" s="628">
        <f>'Spécialité Autres'!N10</f>
        <v>0.45</v>
      </c>
      <c r="BZ94" s="628">
        <f t="shared" si="58"/>
        <v>5.8679999999999994</v>
      </c>
      <c r="CA94" s="658" t="s">
        <v>254</v>
      </c>
      <c r="CB94" s="685">
        <f t="shared" si="44"/>
        <v>0.282666867674217</v>
      </c>
      <c r="CD94" s="676" t="s">
        <v>2</v>
      </c>
      <c r="CE94" s="628">
        <f>'Spécialité Autres'!B24</f>
        <v>0.45</v>
      </c>
      <c r="CF94" s="628">
        <f t="shared" si="59"/>
        <v>5.8679999999999994</v>
      </c>
      <c r="CG94" s="658" t="s">
        <v>254</v>
      </c>
      <c r="CH94" s="685">
        <f t="shared" si="45"/>
        <v>0.28445365933829758</v>
      </c>
      <c r="CJ94" s="676" t="s">
        <v>2</v>
      </c>
      <c r="CK94" s="628">
        <f>'Spécialité Autres'!H40</f>
        <v>0.45</v>
      </c>
      <c r="CL94" s="628">
        <f>CL93+CK94</f>
        <v>5.8679999999999994</v>
      </c>
      <c r="CM94" s="658" t="s">
        <v>254</v>
      </c>
      <c r="CN94" s="685">
        <f t="shared" si="46"/>
        <v>0.26898109959473515</v>
      </c>
      <c r="CP94" s="676" t="s">
        <v>2</v>
      </c>
      <c r="CQ94" s="628">
        <f>'Spécialité Autres'!H24</f>
        <v>0.45</v>
      </c>
      <c r="CR94" s="628">
        <f t="shared" si="60"/>
        <v>5.8679999999999994</v>
      </c>
      <c r="CS94" s="658" t="s">
        <v>254</v>
      </c>
      <c r="CT94" s="685">
        <f t="shared" si="47"/>
        <v>0.28745177198047883</v>
      </c>
      <c r="CV94" s="676" t="s">
        <v>2</v>
      </c>
      <c r="CW94" s="628">
        <f>'Spécialité Autres'!H58</f>
        <v>0.35</v>
      </c>
      <c r="CX94" s="628">
        <f t="shared" si="61"/>
        <v>5.5679999999999996</v>
      </c>
      <c r="CY94" s="658" t="s">
        <v>254</v>
      </c>
      <c r="CZ94" s="685">
        <f t="shared" si="48"/>
        <v>0.21097300751063908</v>
      </c>
      <c r="DB94" s="676" t="s">
        <v>2</v>
      </c>
      <c r="DC94" s="628">
        <f>'Spécialité Autres'!N74</f>
        <v>0.45</v>
      </c>
      <c r="DD94" s="628">
        <f t="shared" si="62"/>
        <v>5.8679999999999994</v>
      </c>
      <c r="DE94" s="658" t="s">
        <v>254</v>
      </c>
      <c r="DF94" s="685">
        <f t="shared" si="49"/>
        <v>0.28517471704330855</v>
      </c>
      <c r="DH94" s="676" t="s">
        <v>2</v>
      </c>
      <c r="DI94" s="628">
        <f>'Spécialité Autres'!N24</f>
        <v>0.45</v>
      </c>
      <c r="DJ94" s="628">
        <f t="shared" si="63"/>
        <v>5.8679999999999994</v>
      </c>
      <c r="DK94" s="658" t="s">
        <v>254</v>
      </c>
      <c r="DL94" s="685">
        <f t="shared" si="50"/>
        <v>0.2874058745760763</v>
      </c>
      <c r="DN94" s="534" t="s">
        <v>2</v>
      </c>
      <c r="DO94" s="628">
        <f>'Haché Moyen'!$P$10</f>
        <v>0.45</v>
      </c>
      <c r="DP94" s="628">
        <f t="shared" ref="DP94" si="85">DP93+DO94</f>
        <v>5.8679999999999994</v>
      </c>
      <c r="DQ94" s="658" t="s">
        <v>254</v>
      </c>
      <c r="DR94" s="685">
        <f t="shared" si="51"/>
        <v>0.28809587830830097</v>
      </c>
      <c r="DT94" s="676" t="s">
        <v>2</v>
      </c>
      <c r="DU94" s="628">
        <f>'Spécialité carnée'!B25</f>
        <v>0.45</v>
      </c>
      <c r="DV94" s="628">
        <f t="shared" si="64"/>
        <v>6.0179999999999998</v>
      </c>
      <c r="DW94" s="658" t="s">
        <v>254</v>
      </c>
      <c r="DX94" s="685">
        <f t="shared" si="52"/>
        <v>0.2878194796223808</v>
      </c>
      <c r="DZ94" s="676" t="s">
        <v>2</v>
      </c>
      <c r="EA94" s="628">
        <f>'Spécialité Fromagère'!B25</f>
        <v>0.45</v>
      </c>
      <c r="EB94" s="628">
        <f t="shared" si="65"/>
        <v>7.3679999999999994</v>
      </c>
      <c r="EC94" s="658" t="s">
        <v>254</v>
      </c>
      <c r="ED94" s="685">
        <f t="shared" si="53"/>
        <v>0.27829657757053272</v>
      </c>
      <c r="EF94" s="676" t="s">
        <v>2</v>
      </c>
      <c r="EG94" s="628">
        <f>'Spécialité carnée'!H25</f>
        <v>0.45</v>
      </c>
      <c r="EH94" s="628">
        <f t="shared" si="66"/>
        <v>6.0179999999999998</v>
      </c>
      <c r="EI94" s="658" t="s">
        <v>254</v>
      </c>
      <c r="EJ94" s="685">
        <f t="shared" si="54"/>
        <v>0.2878194796223808</v>
      </c>
      <c r="EL94" s="676" t="s">
        <v>2</v>
      </c>
      <c r="EM94" s="628">
        <f>'Spécialité Autres'!N40</f>
        <v>0.45</v>
      </c>
      <c r="EN94" s="628">
        <f t="shared" si="67"/>
        <v>5.8679999999999994</v>
      </c>
      <c r="EO94" s="658" t="s">
        <v>254</v>
      </c>
      <c r="EP94" s="685">
        <f t="shared" si="55"/>
        <v>0.2871399583966105</v>
      </c>
      <c r="ER94" s="676" t="s">
        <v>2</v>
      </c>
      <c r="ES94" s="628">
        <f>'Spécialité carnée'!B10</f>
        <v>0.45</v>
      </c>
      <c r="ET94" s="628">
        <f t="shared" si="68"/>
        <v>6.0179999999999998</v>
      </c>
      <c r="EU94" s="658" t="s">
        <v>254</v>
      </c>
      <c r="EV94" s="685">
        <f t="shared" si="69"/>
        <v>0.2878194796223808</v>
      </c>
      <c r="EX94" s="676" t="s">
        <v>2</v>
      </c>
      <c r="EY94" s="628">
        <f>'Spécialité Fromagère'!H25</f>
        <v>0.45</v>
      </c>
      <c r="EZ94" s="628">
        <f t="shared" si="70"/>
        <v>5.8679999999999994</v>
      </c>
      <c r="FA94" s="658" t="s">
        <v>254</v>
      </c>
      <c r="FB94" s="685">
        <f t="shared" si="71"/>
        <v>0.27573867326805473</v>
      </c>
      <c r="FD94" s="676" t="s">
        <v>2</v>
      </c>
      <c r="FE94" s="628">
        <f>'Spécialité Fromagère'!H10</f>
        <v>0.45</v>
      </c>
      <c r="FF94" s="628">
        <f t="shared" si="72"/>
        <v>5.8679999999999994</v>
      </c>
      <c r="FG94" s="658" t="s">
        <v>254</v>
      </c>
      <c r="FH94" s="685">
        <f t="shared" si="73"/>
        <v>0.27915979106440525</v>
      </c>
      <c r="FJ94" s="676" t="s">
        <v>2</v>
      </c>
      <c r="FK94" s="628">
        <f>'Spécialité carnée'!H10</f>
        <v>0.45</v>
      </c>
      <c r="FL94" s="628">
        <f t="shared" si="74"/>
        <v>6.0179999999999998</v>
      </c>
      <c r="FM94" s="658" t="s">
        <v>254</v>
      </c>
      <c r="FN94" s="685">
        <f t="shared" si="75"/>
        <v>0.2878194796223808</v>
      </c>
    </row>
    <row r="95" spans="2:170" x14ac:dyDescent="0.7">
      <c r="J95" s="601" t="s">
        <v>17</v>
      </c>
      <c r="K95" s="553">
        <f>'Spécialité Autres'!B59</f>
        <v>0.2</v>
      </c>
      <c r="L95" s="657">
        <f>L94+K95</f>
        <v>6.0679999999999996</v>
      </c>
      <c r="M95" s="657" t="s">
        <v>254</v>
      </c>
      <c r="N95" s="700">
        <f t="shared" si="33"/>
        <v>0.12726856211978518</v>
      </c>
      <c r="P95" s="728" t="s">
        <v>17</v>
      </c>
      <c r="Q95" s="631">
        <f>'Haché Moyen'!P11</f>
        <v>0.25</v>
      </c>
      <c r="R95" s="732">
        <f>R94+Q95</f>
        <v>6.1179999999999994</v>
      </c>
      <c r="S95" s="657" t="s">
        <v>254</v>
      </c>
      <c r="T95" s="686">
        <f t="shared" si="34"/>
        <v>0.16005326572683387</v>
      </c>
      <c r="V95" s="728" t="s">
        <v>17</v>
      </c>
      <c r="W95" s="627">
        <f>'Haché Moyen'!P11</f>
        <v>0.25</v>
      </c>
      <c r="X95" s="732">
        <f>X94+W95</f>
        <v>6.1179999999999994</v>
      </c>
      <c r="Y95" s="657" t="s">
        <v>254</v>
      </c>
      <c r="Z95" s="686">
        <f t="shared" si="35"/>
        <v>0.16005326572683387</v>
      </c>
      <c r="AB95" s="728" t="s">
        <v>17</v>
      </c>
      <c r="AC95" s="631">
        <f>'Haché Moyen'!P11</f>
        <v>0.25</v>
      </c>
      <c r="AD95" s="732">
        <f>AD94+AC95</f>
        <v>6.1179999999999994</v>
      </c>
      <c r="AE95" s="657" t="s">
        <v>254</v>
      </c>
      <c r="AF95" s="700">
        <f t="shared" si="36"/>
        <v>0.16005326572683387</v>
      </c>
      <c r="AH95" s="728" t="s">
        <v>17</v>
      </c>
      <c r="AI95" s="631">
        <f>'Haché Moyen'!P11</f>
        <v>0.25</v>
      </c>
      <c r="AJ95" s="732">
        <f>AJ94+AI95</f>
        <v>6.1179999999999994</v>
      </c>
      <c r="AK95" s="657" t="s">
        <v>254</v>
      </c>
      <c r="AL95" s="700">
        <f t="shared" si="37"/>
        <v>0.16005326572683387</v>
      </c>
      <c r="AN95" s="750" t="s">
        <v>17</v>
      </c>
      <c r="AO95" s="631">
        <f>'Spécialité Autres'!N59</f>
        <v>0.25</v>
      </c>
      <c r="AP95" s="631">
        <f>AP94+AO95</f>
        <v>6.1179999999999994</v>
      </c>
      <c r="AQ95" s="657" t="s">
        <v>254</v>
      </c>
      <c r="AR95" s="700">
        <f t="shared" si="38"/>
        <v>0.15974645043387137</v>
      </c>
      <c r="AT95" s="601" t="s">
        <v>17</v>
      </c>
      <c r="AU95" s="631">
        <f>'Spécialité Fromagère'!B11</f>
        <v>0.25</v>
      </c>
      <c r="AV95" s="631">
        <f t="shared" si="56"/>
        <v>6.1179999999999994</v>
      </c>
      <c r="AW95" s="657" t="s">
        <v>254</v>
      </c>
      <c r="AX95" s="700">
        <f t="shared" si="39"/>
        <v>0.15508877281355848</v>
      </c>
      <c r="AZ95" s="601" t="s">
        <v>17</v>
      </c>
      <c r="BA95" s="631">
        <f>'Spécialité Autres'!B11</f>
        <v>0.25</v>
      </c>
      <c r="BB95" s="631">
        <f>BB94+BA95</f>
        <v>6.1179999999999994</v>
      </c>
      <c r="BC95" s="657" t="s">
        <v>254</v>
      </c>
      <c r="BD95" s="700">
        <f t="shared" si="40"/>
        <v>0.15508877281355848</v>
      </c>
      <c r="BF95" s="601" t="s">
        <v>17</v>
      </c>
      <c r="BG95" s="631">
        <f>'Spécialité Autres'!H11</f>
        <v>0.25</v>
      </c>
      <c r="BH95" s="631">
        <v>6.1179999999999994</v>
      </c>
      <c r="BI95" s="657" t="s">
        <v>254</v>
      </c>
      <c r="BJ95" s="686">
        <f t="shared" si="41"/>
        <v>0.15508877281355848</v>
      </c>
      <c r="BL95" s="601" t="s">
        <v>17</v>
      </c>
      <c r="BM95" s="631">
        <f>'Haché Moyen'!$P$11</f>
        <v>0.25</v>
      </c>
      <c r="BN95" s="631">
        <f>BN94+BM95</f>
        <v>6.1179999999999994</v>
      </c>
      <c r="BO95" s="657" t="s">
        <v>254</v>
      </c>
      <c r="BP95" s="700">
        <f t="shared" si="42"/>
        <v>0.16005326572683387</v>
      </c>
      <c r="BR95" s="708" t="s">
        <v>17</v>
      </c>
      <c r="BS95" s="631">
        <f>'Spécialité Autres'!B41</f>
        <v>0.25</v>
      </c>
      <c r="BT95" s="631">
        <f t="shared" si="57"/>
        <v>6.1179999999999994</v>
      </c>
      <c r="BU95" s="657" t="s">
        <v>254</v>
      </c>
      <c r="BV95" s="686">
        <f t="shared" si="43"/>
        <v>0.15802981074349864</v>
      </c>
      <c r="BX95" s="708" t="s">
        <v>17</v>
      </c>
      <c r="BY95" s="631">
        <f>'Spécialité Autres'!N11</f>
        <v>0.25</v>
      </c>
      <c r="BZ95" s="631">
        <f t="shared" si="58"/>
        <v>6.1179999999999994</v>
      </c>
      <c r="CA95" s="657" t="s">
        <v>254</v>
      </c>
      <c r="CB95" s="686">
        <f t="shared" si="44"/>
        <v>0.15703714870789834</v>
      </c>
      <c r="CD95" s="708" t="s">
        <v>17</v>
      </c>
      <c r="CE95" s="631">
        <f>'Spécialité Autres'!B25</f>
        <v>0.25</v>
      </c>
      <c r="CF95" s="631">
        <f t="shared" si="59"/>
        <v>6.1179999999999994</v>
      </c>
      <c r="CG95" s="657" t="s">
        <v>254</v>
      </c>
      <c r="CH95" s="686">
        <f t="shared" si="45"/>
        <v>0.15802981074349864</v>
      </c>
      <c r="CJ95" s="708" t="s">
        <v>17</v>
      </c>
      <c r="CK95" s="631">
        <f>'Spécialité Autres'!H41</f>
        <v>0.25</v>
      </c>
      <c r="CL95" s="631">
        <f t="shared" si="77"/>
        <v>6.1179999999999994</v>
      </c>
      <c r="CM95" s="657" t="s">
        <v>254</v>
      </c>
      <c r="CN95" s="686">
        <f t="shared" si="46"/>
        <v>0.14943394421929729</v>
      </c>
      <c r="CP95" s="708" t="s">
        <v>17</v>
      </c>
      <c r="CQ95" s="631">
        <f>'Spécialité Autres'!H25</f>
        <v>0.25</v>
      </c>
      <c r="CR95" s="631">
        <f t="shared" si="60"/>
        <v>6.1179999999999994</v>
      </c>
      <c r="CS95" s="657" t="s">
        <v>254</v>
      </c>
      <c r="CT95" s="686">
        <f t="shared" si="47"/>
        <v>0.1596954288780438</v>
      </c>
      <c r="CV95" s="708" t="s">
        <v>17</v>
      </c>
      <c r="CW95" s="631">
        <f>'Spécialité Autres'!H59</f>
        <v>0.25</v>
      </c>
      <c r="CX95" s="631">
        <f t="shared" si="61"/>
        <v>5.8179999999999996</v>
      </c>
      <c r="CY95" s="657" t="s">
        <v>254</v>
      </c>
      <c r="CZ95" s="686">
        <f t="shared" si="48"/>
        <v>0.1506950053647422</v>
      </c>
      <c r="DB95" s="708" t="s">
        <v>17</v>
      </c>
      <c r="DC95" s="631">
        <f>'Spécialité Autres'!N75</f>
        <v>0.25</v>
      </c>
      <c r="DD95" s="631">
        <f t="shared" si="62"/>
        <v>6.1179999999999994</v>
      </c>
      <c r="DE95" s="657" t="s">
        <v>254</v>
      </c>
      <c r="DF95" s="686">
        <f t="shared" si="49"/>
        <v>0.15843039835739361</v>
      </c>
      <c r="DH95" s="708" t="s">
        <v>17</v>
      </c>
      <c r="DI95" s="631">
        <f>'Spécialité Autres'!N25</f>
        <v>0.25</v>
      </c>
      <c r="DJ95" s="631">
        <f t="shared" si="63"/>
        <v>6.1179999999999994</v>
      </c>
      <c r="DK95" s="657" t="s">
        <v>254</v>
      </c>
      <c r="DL95" s="686">
        <f t="shared" si="50"/>
        <v>0.1596699303200424</v>
      </c>
      <c r="DN95" s="601" t="s">
        <v>17</v>
      </c>
      <c r="DO95" s="631">
        <f>'Haché Moyen'!$P$11</f>
        <v>0.25</v>
      </c>
      <c r="DP95" s="631">
        <f>DP94+DO95</f>
        <v>6.1179999999999994</v>
      </c>
      <c r="DQ95" s="657" t="s">
        <v>254</v>
      </c>
      <c r="DR95" s="686">
        <f t="shared" si="51"/>
        <v>0.16005326572683387</v>
      </c>
      <c r="DT95" s="708" t="s">
        <v>17</v>
      </c>
      <c r="DU95" s="631">
        <f>'Spécialité carnée'!B26</f>
        <v>0.25</v>
      </c>
      <c r="DV95" s="631">
        <f t="shared" si="64"/>
        <v>6.2679999999999998</v>
      </c>
      <c r="DW95" s="657" t="s">
        <v>254</v>
      </c>
      <c r="DX95" s="686">
        <f t="shared" si="52"/>
        <v>0.15989971090132268</v>
      </c>
      <c r="DZ95" s="708" t="s">
        <v>17</v>
      </c>
      <c r="EA95" s="631">
        <f>'Spécialité Fromagère'!B26</f>
        <v>0.25</v>
      </c>
      <c r="EB95" s="631">
        <f t="shared" si="65"/>
        <v>7.6179999999999994</v>
      </c>
      <c r="EC95" s="657" t="s">
        <v>254</v>
      </c>
      <c r="ED95" s="686">
        <f t="shared" si="53"/>
        <v>0.15460920976140707</v>
      </c>
      <c r="EF95" s="708" t="s">
        <v>17</v>
      </c>
      <c r="EG95" s="631">
        <f>'Spécialité carnée'!H26</f>
        <v>0.25</v>
      </c>
      <c r="EH95" s="631">
        <f t="shared" si="66"/>
        <v>6.2679999999999998</v>
      </c>
      <c r="EI95" s="657" t="s">
        <v>254</v>
      </c>
      <c r="EJ95" s="686">
        <f t="shared" si="54"/>
        <v>0.15989971090132268</v>
      </c>
      <c r="EL95" s="708" t="s">
        <v>17</v>
      </c>
      <c r="EM95" s="631">
        <f>'Spécialité Autres'!N41</f>
        <v>0.25</v>
      </c>
      <c r="EN95" s="631">
        <f t="shared" si="67"/>
        <v>6.1179999999999994</v>
      </c>
      <c r="EO95" s="657" t="s">
        <v>254</v>
      </c>
      <c r="EP95" s="686">
        <f t="shared" si="55"/>
        <v>0.15952219910922805</v>
      </c>
      <c r="ER95" s="708" t="s">
        <v>17</v>
      </c>
      <c r="ES95" s="631">
        <f>'Spécialité carnée'!B11</f>
        <v>0.25</v>
      </c>
      <c r="ET95" s="631">
        <f t="shared" si="68"/>
        <v>6.2679999999999998</v>
      </c>
      <c r="EU95" s="657" t="s">
        <v>254</v>
      </c>
      <c r="EV95" s="686">
        <f t="shared" si="69"/>
        <v>0.15989971090132268</v>
      </c>
      <c r="EX95" s="708" t="s">
        <v>17</v>
      </c>
      <c r="EY95" s="631">
        <f>'Spécialité Fromagère'!H26</f>
        <v>0.25</v>
      </c>
      <c r="EZ95" s="631">
        <f t="shared" si="70"/>
        <v>6.1179999999999994</v>
      </c>
      <c r="FA95" s="657" t="s">
        <v>254</v>
      </c>
      <c r="FB95" s="686">
        <f t="shared" si="71"/>
        <v>0.15318815181558595</v>
      </c>
      <c r="FD95" s="708" t="s">
        <v>17</v>
      </c>
      <c r="FE95" s="631">
        <f>'Spécialité Fromagère'!H11</f>
        <v>0.25</v>
      </c>
      <c r="FF95" s="631">
        <f t="shared" si="72"/>
        <v>6.1179999999999994</v>
      </c>
      <c r="FG95" s="657" t="s">
        <v>254</v>
      </c>
      <c r="FH95" s="686">
        <f t="shared" si="73"/>
        <v>0.15508877281355848</v>
      </c>
      <c r="FJ95" s="708" t="s">
        <v>17</v>
      </c>
      <c r="FK95" s="631">
        <f>'Spécialité carnée'!H11</f>
        <v>0.25</v>
      </c>
      <c r="FL95" s="631">
        <f t="shared" si="74"/>
        <v>6.2679999999999998</v>
      </c>
      <c r="FM95" s="657" t="s">
        <v>254</v>
      </c>
      <c r="FN95" s="686">
        <f t="shared" si="75"/>
        <v>0.15989971090132268</v>
      </c>
    </row>
    <row r="96" spans="2:170" ht="23.4" thickBot="1" x14ac:dyDescent="0.75">
      <c r="J96" s="624" t="s">
        <v>5</v>
      </c>
      <c r="K96" s="697">
        <f>'Spécialité Autres'!B60</f>
        <v>0.08</v>
      </c>
      <c r="L96" s="721">
        <f>L95+K96</f>
        <v>6.1479999999999997</v>
      </c>
      <c r="M96" s="698" t="s">
        <v>254</v>
      </c>
      <c r="N96" s="583">
        <f t="shared" si="33"/>
        <v>5.0907424847914072E-2</v>
      </c>
      <c r="P96" s="730" t="s">
        <v>5</v>
      </c>
      <c r="Q96" s="697">
        <f>'Haché Moyen'!P12</f>
        <v>0.08</v>
      </c>
      <c r="R96" s="734">
        <f>R95+Q96</f>
        <v>6.1979999999999995</v>
      </c>
      <c r="S96" s="698" t="s">
        <v>254</v>
      </c>
      <c r="T96" s="685">
        <f t="shared" si="34"/>
        <v>5.1217045032586846E-2</v>
      </c>
      <c r="V96" s="730" t="s">
        <v>5</v>
      </c>
      <c r="W96" s="745">
        <f>'Haché Moyen'!P12</f>
        <v>0.08</v>
      </c>
      <c r="X96" s="734">
        <f>X95+W96</f>
        <v>6.1979999999999995</v>
      </c>
      <c r="Y96" s="698" t="s">
        <v>254</v>
      </c>
      <c r="Z96" s="746">
        <f t="shared" si="35"/>
        <v>5.1217045032586846E-2</v>
      </c>
      <c r="AB96" s="730" t="s">
        <v>5</v>
      </c>
      <c r="AC96" s="697">
        <f>'Haché Moyen'!P12</f>
        <v>0.08</v>
      </c>
      <c r="AD96" s="734">
        <f>AD95+AC96</f>
        <v>6.1979999999999995</v>
      </c>
      <c r="AE96" s="698" t="s">
        <v>254</v>
      </c>
      <c r="AF96" s="583">
        <f t="shared" si="36"/>
        <v>5.1217045032586846E-2</v>
      </c>
      <c r="AH96" s="730" t="s">
        <v>5</v>
      </c>
      <c r="AI96" s="697">
        <f>'Haché Moyen'!P12</f>
        <v>0.08</v>
      </c>
      <c r="AJ96" s="734">
        <f>AJ95+AI96</f>
        <v>6.1979999999999995</v>
      </c>
      <c r="AK96" s="698" t="s">
        <v>254</v>
      </c>
      <c r="AL96" s="583">
        <f t="shared" si="37"/>
        <v>5.1217045032586846E-2</v>
      </c>
      <c r="AN96" s="755" t="s">
        <v>5</v>
      </c>
      <c r="AO96" s="697">
        <f>'Spécialité Autres'!N60</f>
        <v>0.08</v>
      </c>
      <c r="AP96" s="641">
        <f>AP95+AO96</f>
        <v>6.1979999999999995</v>
      </c>
      <c r="AQ96" s="698" t="s">
        <v>254</v>
      </c>
      <c r="AR96" s="583">
        <f t="shared" si="38"/>
        <v>5.1118864138838836E-2</v>
      </c>
      <c r="AT96" s="624" t="s">
        <v>5</v>
      </c>
      <c r="AU96" s="697">
        <f>'Spécialité Fromagère'!B12</f>
        <v>0.08</v>
      </c>
      <c r="AV96" s="641">
        <f t="shared" si="56"/>
        <v>6.1979999999999995</v>
      </c>
      <c r="AW96" s="698" t="s">
        <v>254</v>
      </c>
      <c r="AX96" s="583">
        <f t="shared" si="39"/>
        <v>4.9628407300338712E-2</v>
      </c>
      <c r="AZ96" s="624" t="s">
        <v>5</v>
      </c>
      <c r="BA96" s="697">
        <f>'Spécialité Autres'!B12</f>
        <v>0.08</v>
      </c>
      <c r="BB96" s="641">
        <f t="shared" si="76"/>
        <v>6.1979999999999995</v>
      </c>
      <c r="BC96" s="698" t="s">
        <v>254</v>
      </c>
      <c r="BD96" s="583">
        <f t="shared" si="40"/>
        <v>4.9628407300338712E-2</v>
      </c>
      <c r="BF96" s="624" t="s">
        <v>5</v>
      </c>
      <c r="BG96" s="697">
        <f>'Spécialité Autres'!H12</f>
        <v>0.08</v>
      </c>
      <c r="BH96" s="641">
        <v>6.1979999999999995</v>
      </c>
      <c r="BI96" s="698" t="s">
        <v>254</v>
      </c>
      <c r="BJ96" s="583">
        <f t="shared" si="41"/>
        <v>4.9628407300338712E-2</v>
      </c>
      <c r="BL96" s="624" t="s">
        <v>5</v>
      </c>
      <c r="BM96" s="697">
        <f>'Haché Moyen'!$P$12</f>
        <v>0.08</v>
      </c>
      <c r="BN96" s="641">
        <f>BN95+BM96</f>
        <v>6.1979999999999995</v>
      </c>
      <c r="BO96" s="698" t="s">
        <v>254</v>
      </c>
      <c r="BP96" s="583">
        <f t="shared" si="42"/>
        <v>5.1217045032586846E-2</v>
      </c>
      <c r="BR96" s="778" t="s">
        <v>5</v>
      </c>
      <c r="BS96" s="697">
        <f>'Spécialité Autres'!B42</f>
        <v>0.08</v>
      </c>
      <c r="BT96" s="641">
        <f>BT95+BS96</f>
        <v>6.1979999999999995</v>
      </c>
      <c r="BU96" s="698" t="s">
        <v>254</v>
      </c>
      <c r="BV96" s="746">
        <f t="shared" si="43"/>
        <v>5.0569539437919565E-2</v>
      </c>
      <c r="BX96" s="778" t="s">
        <v>5</v>
      </c>
      <c r="BY96" s="697">
        <f>'Spécialité Autres'!N12</f>
        <v>0.08</v>
      </c>
      <c r="BZ96" s="641">
        <f t="shared" si="58"/>
        <v>6.1979999999999995</v>
      </c>
      <c r="CA96" s="698" t="s">
        <v>254</v>
      </c>
      <c r="CB96" s="583">
        <f t="shared" si="44"/>
        <v>5.0251887586527468E-2</v>
      </c>
      <c r="CD96" s="778" t="s">
        <v>5</v>
      </c>
      <c r="CE96" s="697">
        <f>'Spécialité Autres'!B26</f>
        <v>0.08</v>
      </c>
      <c r="CF96" s="641">
        <f t="shared" si="59"/>
        <v>6.1979999999999995</v>
      </c>
      <c r="CG96" s="698" t="s">
        <v>254</v>
      </c>
      <c r="CH96" s="583">
        <f t="shared" si="45"/>
        <v>5.0569539437919565E-2</v>
      </c>
      <c r="CJ96" s="778" t="s">
        <v>5</v>
      </c>
      <c r="CK96" s="697">
        <f>'Spécialité Autres'!H42</f>
        <v>0.08</v>
      </c>
      <c r="CL96" s="641">
        <f t="shared" si="77"/>
        <v>6.1979999999999995</v>
      </c>
      <c r="CM96" s="698" t="s">
        <v>254</v>
      </c>
      <c r="CN96" s="583">
        <f t="shared" si="46"/>
        <v>4.7818862150175133E-2</v>
      </c>
      <c r="CP96" s="778" t="s">
        <v>5</v>
      </c>
      <c r="CQ96" s="697">
        <f>'Spécialité Autres'!H26</f>
        <v>0.08</v>
      </c>
      <c r="CR96" s="641">
        <f t="shared" si="60"/>
        <v>6.1979999999999995</v>
      </c>
      <c r="CS96" s="698" t="s">
        <v>254</v>
      </c>
      <c r="CT96" s="583">
        <f t="shared" si="47"/>
        <v>5.1102537240974015E-2</v>
      </c>
      <c r="CV96" s="778" t="s">
        <v>5</v>
      </c>
      <c r="CW96" s="697">
        <f>'Spécialité Autres'!H60</f>
        <v>0.08</v>
      </c>
      <c r="CX96" s="641">
        <f t="shared" si="61"/>
        <v>5.8979999999999997</v>
      </c>
      <c r="CY96" s="698" t="s">
        <v>254</v>
      </c>
      <c r="CZ96" s="685">
        <f t="shared" si="48"/>
        <v>4.8222401716717503E-2</v>
      </c>
      <c r="DB96" s="778" t="s">
        <v>5</v>
      </c>
      <c r="DC96" s="697">
        <f>'Spécialité Autres'!N76</f>
        <v>0.08</v>
      </c>
      <c r="DD96" s="641">
        <f t="shared" si="62"/>
        <v>6.1979999999999995</v>
      </c>
      <c r="DE96" s="698" t="s">
        <v>254</v>
      </c>
      <c r="DF96" s="583">
        <f t="shared" si="49"/>
        <v>5.0697727474365961E-2</v>
      </c>
      <c r="DH96" s="778" t="s">
        <v>5</v>
      </c>
      <c r="DI96" s="697">
        <f>'Spécialité Autres'!N26</f>
        <v>0.08</v>
      </c>
      <c r="DJ96" s="641">
        <f t="shared" si="63"/>
        <v>6.1979999999999995</v>
      </c>
      <c r="DK96" s="698" t="s">
        <v>254</v>
      </c>
      <c r="DL96" s="583">
        <f t="shared" si="50"/>
        <v>5.1094377702413568E-2</v>
      </c>
      <c r="DN96" s="624" t="s">
        <v>5</v>
      </c>
      <c r="DO96" s="697">
        <f>'Haché Moyen'!$P$12</f>
        <v>0.08</v>
      </c>
      <c r="DP96" s="641">
        <f>DP95+DO96</f>
        <v>6.1979999999999995</v>
      </c>
      <c r="DQ96" s="698" t="s">
        <v>254</v>
      </c>
      <c r="DR96" s="583">
        <f t="shared" si="51"/>
        <v>5.1217045032586846E-2</v>
      </c>
      <c r="DT96" s="778" t="s">
        <v>5</v>
      </c>
      <c r="DU96" s="697">
        <f>'Spécialité carnée'!B27</f>
        <v>0.08</v>
      </c>
      <c r="DV96" s="641">
        <f t="shared" si="64"/>
        <v>6.3479999999999999</v>
      </c>
      <c r="DW96" s="698" t="s">
        <v>254</v>
      </c>
      <c r="DX96" s="583">
        <f t="shared" si="52"/>
        <v>5.1167907488423259E-2</v>
      </c>
      <c r="DZ96" s="778" t="s">
        <v>5</v>
      </c>
      <c r="EA96" s="697">
        <f>'Spécialité Fromagère'!B27</f>
        <v>0.08</v>
      </c>
      <c r="EB96" s="641">
        <f t="shared" si="65"/>
        <v>7.6979999999999995</v>
      </c>
      <c r="EC96" s="698" t="s">
        <v>254</v>
      </c>
      <c r="ED96" s="583">
        <f t="shared" si="53"/>
        <v>4.9474947123650262E-2</v>
      </c>
      <c r="EF96" s="778" t="s">
        <v>5</v>
      </c>
      <c r="EG96" s="697">
        <f>'Spécialité carnée'!H27</f>
        <v>0.08</v>
      </c>
      <c r="EH96" s="641">
        <f t="shared" si="66"/>
        <v>6.3479999999999999</v>
      </c>
      <c r="EI96" s="698" t="s">
        <v>254</v>
      </c>
      <c r="EJ96" s="583">
        <f t="shared" si="54"/>
        <v>5.1167907488423259E-2</v>
      </c>
      <c r="EL96" s="778" t="s">
        <v>5</v>
      </c>
      <c r="EM96" s="697">
        <f>'Spécialité Autres'!N42</f>
        <v>0.08</v>
      </c>
      <c r="EN96" s="641">
        <f t="shared" si="67"/>
        <v>6.1979999999999995</v>
      </c>
      <c r="EO96" s="698" t="s">
        <v>254</v>
      </c>
      <c r="EP96" s="583">
        <f t="shared" si="55"/>
        <v>5.1047103714952975E-2</v>
      </c>
      <c r="ER96" s="778" t="s">
        <v>5</v>
      </c>
      <c r="ES96" s="697">
        <f>'Spécialité carnée'!B12</f>
        <v>0.08</v>
      </c>
      <c r="ET96" s="641">
        <f t="shared" si="68"/>
        <v>6.3479999999999999</v>
      </c>
      <c r="EU96" s="698" t="s">
        <v>254</v>
      </c>
      <c r="EV96" s="583">
        <f t="shared" si="69"/>
        <v>5.1167907488423259E-2</v>
      </c>
      <c r="EX96" s="778" t="s">
        <v>5</v>
      </c>
      <c r="EY96" s="697">
        <f>'Spécialité Fromagère'!H27</f>
        <v>0.08</v>
      </c>
      <c r="EZ96" s="641">
        <f t="shared" si="70"/>
        <v>6.1979999999999995</v>
      </c>
      <c r="FA96" s="698" t="s">
        <v>254</v>
      </c>
      <c r="FB96" s="583">
        <f t="shared" si="71"/>
        <v>4.9020208580987511E-2</v>
      </c>
      <c r="FD96" s="778" t="s">
        <v>5</v>
      </c>
      <c r="FE96" s="697">
        <f>'Spécialité Fromagère'!H12</f>
        <v>0.08</v>
      </c>
      <c r="FF96" s="641">
        <f t="shared" si="72"/>
        <v>6.1979999999999995</v>
      </c>
      <c r="FG96" s="698" t="s">
        <v>254</v>
      </c>
      <c r="FH96" s="583">
        <f t="shared" si="73"/>
        <v>4.9628407300338712E-2</v>
      </c>
      <c r="FJ96" s="778" t="s">
        <v>5</v>
      </c>
      <c r="FK96" s="697">
        <f>'Spécialité carnée'!H12</f>
        <v>0.08</v>
      </c>
      <c r="FL96" s="641">
        <f t="shared" si="74"/>
        <v>6.3479999999999999</v>
      </c>
      <c r="FM96" s="698" t="s">
        <v>254</v>
      </c>
      <c r="FN96" s="583">
        <f t="shared" si="75"/>
        <v>5.1167907488423259E-2</v>
      </c>
    </row>
    <row r="97" spans="2:170" ht="24" thickTop="1" thickBot="1" x14ac:dyDescent="0.75">
      <c r="J97" s="722" t="s">
        <v>25</v>
      </c>
      <c r="K97" s="723">
        <f>'Spécialité Autres'!B61</f>
        <v>1</v>
      </c>
      <c r="L97" s="724">
        <f>K97</f>
        <v>1</v>
      </c>
      <c r="M97" s="725" t="s">
        <v>421</v>
      </c>
      <c r="N97" s="726">
        <f t="shared" si="33"/>
        <v>0.63634281059892583</v>
      </c>
      <c r="P97" s="735" t="s">
        <v>25</v>
      </c>
      <c r="Q97" s="741">
        <f>'Haché Moyen'!P13</f>
        <v>1</v>
      </c>
      <c r="R97" s="736">
        <f>Q97</f>
        <v>1</v>
      </c>
      <c r="S97" s="737" t="s">
        <v>421</v>
      </c>
      <c r="T97" s="738"/>
      <c r="V97" s="743" t="s">
        <v>25</v>
      </c>
      <c r="W97" s="748">
        <f>'Haché Moyen'!P13</f>
        <v>1</v>
      </c>
      <c r="X97" s="744">
        <f>W97</f>
        <v>1</v>
      </c>
      <c r="Y97" s="692" t="s">
        <v>421</v>
      </c>
      <c r="Z97" s="695"/>
      <c r="AB97" s="743" t="s">
        <v>25</v>
      </c>
      <c r="AC97" s="748">
        <f>'Haché Moyen'!P13</f>
        <v>1</v>
      </c>
      <c r="AD97" s="744">
        <f>AC97</f>
        <v>1</v>
      </c>
      <c r="AE97" s="692" t="s">
        <v>421</v>
      </c>
      <c r="AF97" s="695"/>
      <c r="AH97" s="743" t="s">
        <v>25</v>
      </c>
      <c r="AI97" s="742">
        <f>'Haché Moyen'!P13</f>
        <v>1</v>
      </c>
      <c r="AJ97" s="744">
        <f>AI97</f>
        <v>1</v>
      </c>
      <c r="AK97" s="692" t="s">
        <v>421</v>
      </c>
      <c r="AL97" s="695"/>
      <c r="AN97" s="756" t="s">
        <v>25</v>
      </c>
      <c r="AO97" s="659">
        <f>'Spécialité Autres'!N61</f>
        <v>1</v>
      </c>
      <c r="AP97" s="762">
        <f>AO97</f>
        <v>1</v>
      </c>
      <c r="AQ97" s="537" t="s">
        <v>421</v>
      </c>
      <c r="AR97" s="582"/>
      <c r="AT97" s="758" t="s">
        <v>25</v>
      </c>
      <c r="AU97" s="759">
        <f>'Spécialité Fromagère'!B13</f>
        <v>1</v>
      </c>
      <c r="AV97" s="764">
        <f>AU97</f>
        <v>1</v>
      </c>
      <c r="AW97" s="537" t="s">
        <v>421</v>
      </c>
      <c r="AX97" s="582"/>
      <c r="AZ97" s="758" t="s">
        <v>25</v>
      </c>
      <c r="BA97" s="659">
        <f>'Spécialité Autres'!B13</f>
        <v>1</v>
      </c>
      <c r="BB97" s="762">
        <f>BA97</f>
        <v>1</v>
      </c>
      <c r="BC97" s="537" t="s">
        <v>421</v>
      </c>
      <c r="BD97" s="582"/>
      <c r="BF97" s="758" t="s">
        <v>25</v>
      </c>
      <c r="BG97" s="659">
        <f>'Spécialité Autres'!H13</f>
        <v>1</v>
      </c>
      <c r="BH97" s="762">
        <v>1</v>
      </c>
      <c r="BI97" s="537" t="s">
        <v>421</v>
      </c>
      <c r="BJ97" s="776"/>
      <c r="BL97" s="694" t="s">
        <v>25</v>
      </c>
      <c r="BM97" s="691">
        <f>'Haché Moyen'!$P$13</f>
        <v>1</v>
      </c>
      <c r="BN97" s="696">
        <f>BM97</f>
        <v>1</v>
      </c>
      <c r="BO97" s="692" t="s">
        <v>421</v>
      </c>
      <c r="BP97" s="695"/>
      <c r="BR97" s="779" t="s">
        <v>25</v>
      </c>
      <c r="BS97" s="723">
        <f>'Spécialité Autres'!B43</f>
        <v>1</v>
      </c>
      <c r="BT97" s="724">
        <f>BS97</f>
        <v>1</v>
      </c>
      <c r="BU97" s="725" t="s">
        <v>421</v>
      </c>
      <c r="BV97" s="776"/>
      <c r="BX97" s="779" t="s">
        <v>25</v>
      </c>
      <c r="BY97" s="723">
        <f>'Spécialité Autres'!N13</f>
        <v>1</v>
      </c>
      <c r="BZ97" s="724">
        <f>BY97</f>
        <v>1</v>
      </c>
      <c r="CA97" s="725" t="s">
        <v>421</v>
      </c>
      <c r="CB97" s="776"/>
      <c r="CD97" s="779" t="s">
        <v>25</v>
      </c>
      <c r="CE97" s="723">
        <f>'Spécialité Autres'!B27</f>
        <v>1</v>
      </c>
      <c r="CF97" s="724">
        <f>CE97</f>
        <v>1</v>
      </c>
      <c r="CG97" s="725" t="s">
        <v>421</v>
      </c>
      <c r="CH97" s="776"/>
      <c r="CJ97" s="779" t="s">
        <v>25</v>
      </c>
      <c r="CK97" s="723">
        <f>'Spécialité Autres'!H43</f>
        <v>1</v>
      </c>
      <c r="CL97" s="724">
        <v>1</v>
      </c>
      <c r="CM97" s="725" t="s">
        <v>421</v>
      </c>
      <c r="CN97" s="776"/>
      <c r="CP97" s="779" t="s">
        <v>25</v>
      </c>
      <c r="CQ97" s="723">
        <f>'Spécialité Autres'!H27</f>
        <v>1</v>
      </c>
      <c r="CR97" s="724">
        <f>CQ97</f>
        <v>1</v>
      </c>
      <c r="CS97" s="725" t="s">
        <v>421</v>
      </c>
      <c r="CT97" s="776"/>
      <c r="CV97" s="779" t="s">
        <v>25</v>
      </c>
      <c r="CW97" s="723">
        <f>'Spécialité Autres'!H61</f>
        <v>1</v>
      </c>
      <c r="CX97" s="724">
        <f>CW97</f>
        <v>1</v>
      </c>
      <c r="CY97" s="725" t="s">
        <v>421</v>
      </c>
      <c r="CZ97" s="776"/>
      <c r="DB97" s="779" t="s">
        <v>25</v>
      </c>
      <c r="DC97" s="723">
        <f>'Spécialité Autres'!N77</f>
        <v>1</v>
      </c>
      <c r="DD97" s="724">
        <f>DC97</f>
        <v>1</v>
      </c>
      <c r="DE97" s="725" t="s">
        <v>421</v>
      </c>
      <c r="DF97" s="776"/>
      <c r="DH97" s="779" t="s">
        <v>25</v>
      </c>
      <c r="DI97" s="723">
        <f>'Spécialité Autres'!N27</f>
        <v>1</v>
      </c>
      <c r="DJ97" s="724">
        <f>DI97</f>
        <v>1</v>
      </c>
      <c r="DK97" s="725" t="s">
        <v>421</v>
      </c>
      <c r="DL97" s="776"/>
      <c r="DN97" s="694" t="s">
        <v>25</v>
      </c>
      <c r="DO97" s="691">
        <f>'Haché Moyen'!$P$13</f>
        <v>1</v>
      </c>
      <c r="DP97" s="696">
        <f>DO97</f>
        <v>1</v>
      </c>
      <c r="DQ97" s="692" t="s">
        <v>421</v>
      </c>
      <c r="DR97" s="695"/>
      <c r="DT97" s="802" t="s">
        <v>25</v>
      </c>
      <c r="DU97" s="691">
        <f>'Spécialité carnée'!B28</f>
        <v>1</v>
      </c>
      <c r="DV97" s="696">
        <f>DU97</f>
        <v>1</v>
      </c>
      <c r="DW97" s="692" t="s">
        <v>421</v>
      </c>
      <c r="DX97" s="803"/>
      <c r="DZ97" s="779" t="s">
        <v>26</v>
      </c>
      <c r="EA97" s="801">
        <f>'Spécialité Fromagère'!B28</f>
        <v>1</v>
      </c>
      <c r="EB97" s="724">
        <f>EA97</f>
        <v>1</v>
      </c>
      <c r="EC97" s="725" t="s">
        <v>421</v>
      </c>
      <c r="ED97" s="776"/>
      <c r="EF97" s="802" t="s">
        <v>25</v>
      </c>
      <c r="EG97" s="691">
        <f>'Spécialité carnée'!H28</f>
        <v>1</v>
      </c>
      <c r="EH97" s="696">
        <f>EG97</f>
        <v>1</v>
      </c>
      <c r="EI97" s="692" t="s">
        <v>421</v>
      </c>
      <c r="EJ97" s="803"/>
      <c r="EL97" s="779" t="s">
        <v>25</v>
      </c>
      <c r="EM97" s="801">
        <f>'Spécialité Autres'!N43</f>
        <v>1</v>
      </c>
      <c r="EN97" s="804">
        <f>EM97</f>
        <v>1</v>
      </c>
      <c r="EO97" s="725" t="s">
        <v>421</v>
      </c>
      <c r="EP97" s="776"/>
      <c r="ER97" s="802" t="s">
        <v>25</v>
      </c>
      <c r="ES97" s="691">
        <f>'Spécialité carnée'!B13</f>
        <v>1</v>
      </c>
      <c r="ET97" s="696">
        <f>ES97</f>
        <v>1</v>
      </c>
      <c r="EU97" s="692" t="s">
        <v>421</v>
      </c>
      <c r="EV97" s="803"/>
      <c r="EX97" s="779" t="s">
        <v>25</v>
      </c>
      <c r="EY97" s="801">
        <f>'Spécialité Fromagère'!H28</f>
        <v>1</v>
      </c>
      <c r="EZ97" s="724">
        <f>EY97</f>
        <v>1</v>
      </c>
      <c r="FA97" s="725" t="s">
        <v>421</v>
      </c>
      <c r="FB97" s="776"/>
      <c r="FD97" s="779" t="s">
        <v>25</v>
      </c>
      <c r="FE97" s="801">
        <f>'Spécialité Fromagère'!H13</f>
        <v>1</v>
      </c>
      <c r="FF97" s="724">
        <f>FE97</f>
        <v>1</v>
      </c>
      <c r="FG97" s="725" t="s">
        <v>421</v>
      </c>
      <c r="FH97" s="776"/>
      <c r="FJ97" s="802" t="s">
        <v>25</v>
      </c>
      <c r="FK97" s="691">
        <f>'Spécialité carnée'!H13</f>
        <v>1</v>
      </c>
      <c r="FL97" s="696">
        <f>FK97</f>
        <v>1</v>
      </c>
      <c r="FM97" s="692" t="s">
        <v>421</v>
      </c>
      <c r="FN97" s="803"/>
    </row>
    <row r="98" spans="2:170" ht="25.5" customHeight="1" thickTop="1" thickBot="1" x14ac:dyDescent="0.75">
      <c r="J98" s="718" t="s">
        <v>78</v>
      </c>
      <c r="K98" s="719">
        <f>'Spécialité Autres'!B62</f>
        <v>0.7</v>
      </c>
      <c r="L98" s="719">
        <f>K98</f>
        <v>0.7</v>
      </c>
      <c r="M98" s="719" t="s">
        <v>254</v>
      </c>
      <c r="N98" s="720">
        <f t="shared" si="33"/>
        <v>0.44543996741924813</v>
      </c>
      <c r="P98" s="584" t="s">
        <v>427</v>
      </c>
      <c r="R98" s="498"/>
      <c r="S98" s="23"/>
      <c r="V98" s="584" t="s">
        <v>427</v>
      </c>
      <c r="X98" s="498"/>
      <c r="Y98" s="23"/>
      <c r="AB98" s="584" t="s">
        <v>427</v>
      </c>
      <c r="AD98" s="498"/>
      <c r="AE98" s="23"/>
      <c r="AH98" s="584" t="s">
        <v>427</v>
      </c>
      <c r="AJ98" s="498"/>
      <c r="AK98" s="23"/>
      <c r="AN98" s="752" t="s">
        <v>82</v>
      </c>
      <c r="AO98" s="757">
        <f>'Spécialité Autres'!N62</f>
        <v>0.3</v>
      </c>
      <c r="AP98" s="763">
        <f>AO98</f>
        <v>0.3</v>
      </c>
      <c r="AQ98" s="753" t="s">
        <v>254</v>
      </c>
      <c r="AR98" s="754">
        <f>AO98*100/($AO$85+SUM($AO$90:$AO$96,$AO$98))</f>
        <v>0.19169574052064564</v>
      </c>
      <c r="AT98" s="760" t="s">
        <v>54</v>
      </c>
      <c r="AU98" s="761">
        <f>'Spécialité Fromagère'!B14</f>
        <v>5</v>
      </c>
      <c r="AV98" s="765">
        <f>AU98</f>
        <v>5</v>
      </c>
      <c r="AW98" s="761" t="s">
        <v>254</v>
      </c>
      <c r="AX98" s="768">
        <f>AU98*100/($AU$85+SUM($AU$90:$AU$96,$AU$98))</f>
        <v>3.1017754562711697</v>
      </c>
      <c r="AZ98" s="678" t="s">
        <v>68</v>
      </c>
      <c r="BA98" s="766">
        <f>'Spécialité Autres'!B14</f>
        <v>5</v>
      </c>
      <c r="BB98" s="767">
        <f>BA98</f>
        <v>5</v>
      </c>
      <c r="BC98" s="766" t="s">
        <v>254</v>
      </c>
      <c r="BD98" s="754">
        <f>BA98*100/($BA$85+SUM($BA$90:$BA$96,$BA$98))</f>
        <v>3.1017754562711697</v>
      </c>
      <c r="BF98" s="678" t="s">
        <v>76</v>
      </c>
      <c r="BG98" s="766">
        <f>'Spécialité Autres'!H14</f>
        <v>5</v>
      </c>
      <c r="BH98" s="767">
        <v>5</v>
      </c>
      <c r="BI98" s="766" t="s">
        <v>254</v>
      </c>
      <c r="BJ98" s="754">
        <f>BG98*100/($BG$85+SUM($BG$90:$BG$96,$BG$98))</f>
        <v>3.1017754562711697</v>
      </c>
      <c r="BL98" s="1129" t="s">
        <v>570</v>
      </c>
      <c r="BM98" s="1130"/>
      <c r="BN98" s="1130"/>
      <c r="BO98" s="1130"/>
      <c r="BP98" s="1131"/>
      <c r="BR98" s="777" t="s">
        <v>70</v>
      </c>
      <c r="BS98" s="766">
        <v>2</v>
      </c>
      <c r="BT98" s="767">
        <f>BS98</f>
        <v>2</v>
      </c>
      <c r="BU98" s="766" t="s">
        <v>254</v>
      </c>
      <c r="BV98" s="754">
        <f>BS98*100/($BS$85+SUM($BS$90:$BS$96,$BS$98))</f>
        <v>1.2642384859479892</v>
      </c>
      <c r="BX98" s="777" t="s">
        <v>75</v>
      </c>
      <c r="BY98" s="766">
        <v>3</v>
      </c>
      <c r="BZ98" s="767">
        <f>BY98</f>
        <v>3</v>
      </c>
      <c r="CA98" s="766" t="s">
        <v>38</v>
      </c>
      <c r="CB98" s="754">
        <f>BY98*100/(BY85+SUM(BY90:BY96,BY98))</f>
        <v>1.88444578449478</v>
      </c>
      <c r="CD98" s="777" t="s">
        <v>77</v>
      </c>
      <c r="CE98" s="766">
        <f>'Spécialité Autres'!B28</f>
        <v>2</v>
      </c>
      <c r="CF98" s="767">
        <f>CE98</f>
        <v>2</v>
      </c>
      <c r="CG98" s="766" t="s">
        <v>254</v>
      </c>
      <c r="CH98" s="754">
        <f>CE98*100/($CE$85+SUM($CE$90:$CE$96,$CE$98))</f>
        <v>1.2642384859479892</v>
      </c>
      <c r="CJ98" s="780" t="s">
        <v>71</v>
      </c>
      <c r="CK98" s="785">
        <f>'Spécialité Autres'!H44</f>
        <v>10</v>
      </c>
      <c r="CL98" s="781">
        <f>CK98</f>
        <v>10</v>
      </c>
      <c r="CM98" s="781" t="s">
        <v>254</v>
      </c>
      <c r="CN98" s="782">
        <f>CK98*100/($CK$85+SUM($CK$90:$CK$96,$CK$98:$CK$100))</f>
        <v>5.977357768771892</v>
      </c>
      <c r="CP98" s="780" t="s">
        <v>69</v>
      </c>
      <c r="CQ98" s="790">
        <f>'Spécialité Autres'!H28</f>
        <v>0.35</v>
      </c>
      <c r="CR98" s="791">
        <f>CQ98</f>
        <v>0.35</v>
      </c>
      <c r="CS98" s="781" t="s">
        <v>254</v>
      </c>
      <c r="CT98" s="782">
        <f>CQ98*100/(CQ85+SUM(CQ90:CQ96,CQ98))</f>
        <v>0.2235736004292613</v>
      </c>
      <c r="CV98" s="780" t="s">
        <v>81</v>
      </c>
      <c r="CW98" s="790">
        <f>'Spécialité Autres'!H62</f>
        <v>10</v>
      </c>
      <c r="CX98" s="791">
        <f>CW98</f>
        <v>10</v>
      </c>
      <c r="CY98" s="781" t="s">
        <v>254</v>
      </c>
      <c r="CZ98" s="782">
        <f>CW98*100/(CW85+SUM(CW90:CW96,CW98))</f>
        <v>6.0278002145896874</v>
      </c>
      <c r="DB98" s="780" t="s">
        <v>348</v>
      </c>
      <c r="DC98" s="790">
        <f>'Spécialité Autres'!N78</f>
        <v>1.6</v>
      </c>
      <c r="DD98" s="791">
        <f>DC98</f>
        <v>1.6</v>
      </c>
      <c r="DE98" s="781" t="s">
        <v>254</v>
      </c>
      <c r="DF98" s="782">
        <f>DC98*100/(DC85+SUM(DC90:DC96,DC98))</f>
        <v>1.0139545494873192</v>
      </c>
      <c r="DH98" s="780" t="s">
        <v>74</v>
      </c>
      <c r="DI98" s="790">
        <f>'Spécialité Autres'!N28</f>
        <v>0.375</v>
      </c>
      <c r="DJ98" s="791">
        <f>DI98</f>
        <v>0.375</v>
      </c>
      <c r="DK98" s="781" t="s">
        <v>254</v>
      </c>
      <c r="DL98" s="782">
        <f>DI98*100/(DI85+SUM(DI90:DI96,DI98))</f>
        <v>0.2395048954800636</v>
      </c>
      <c r="DN98" s="584" t="s">
        <v>427</v>
      </c>
      <c r="DP98" s="498"/>
      <c r="DQ98" s="23"/>
      <c r="DT98" s="789" t="s">
        <v>427</v>
      </c>
      <c r="DU98" s="789"/>
      <c r="DV98" s="789"/>
      <c r="DW98" s="789"/>
      <c r="DX98" s="789"/>
      <c r="DZ98" s="780" t="s">
        <v>61</v>
      </c>
      <c r="EA98" s="785">
        <f>'Spécialité Fromagère'!B29</f>
        <v>4</v>
      </c>
      <c r="EB98" s="800">
        <f>EA98</f>
        <v>4</v>
      </c>
      <c r="EC98" s="781" t="s">
        <v>254</v>
      </c>
      <c r="ED98" s="782">
        <f>EA98*100/(EA85+SUM(EA90:EA96,EA98))</f>
        <v>2.4737473561825132</v>
      </c>
      <c r="EF98" s="805" t="s">
        <v>427</v>
      </c>
      <c r="EG98" s="805"/>
      <c r="EH98" s="805"/>
      <c r="EI98" s="805"/>
      <c r="EJ98" s="805"/>
      <c r="EL98" s="780" t="s">
        <v>504</v>
      </c>
      <c r="EM98" s="851">
        <f>'Spécialité Autres'!N44</f>
        <v>0.52</v>
      </c>
      <c r="EN98" s="852">
        <f>EM98</f>
        <v>0.52</v>
      </c>
      <c r="EO98" s="781" t="s">
        <v>254</v>
      </c>
      <c r="EP98" s="782">
        <f>EM98*100/(EM85+SUM(EM90:EM96,EM98))</f>
        <v>0.33180617414719432</v>
      </c>
      <c r="ER98" s="805" t="s">
        <v>427</v>
      </c>
      <c r="ES98" s="805"/>
      <c r="ET98" s="805"/>
      <c r="EU98" s="805"/>
      <c r="EV98" s="805"/>
      <c r="EX98" s="807" t="s">
        <v>509</v>
      </c>
      <c r="EY98" s="806">
        <f>'Spécialité Fromagère'!H29</f>
        <v>2</v>
      </c>
      <c r="EZ98" s="806">
        <f>EY98</f>
        <v>2</v>
      </c>
      <c r="FA98" s="719" t="s">
        <v>254</v>
      </c>
      <c r="FB98" s="720">
        <f>EY98*100/($EY$85+SUM($EY$90:$EY$96,$EY$98:$EY$99))</f>
        <v>1.2255052145246876</v>
      </c>
      <c r="FD98" s="780" t="s">
        <v>512</v>
      </c>
      <c r="FE98" s="785">
        <f>'Spécialité Fromagère'!H14</f>
        <v>5</v>
      </c>
      <c r="FF98" s="800">
        <f>FE98</f>
        <v>5</v>
      </c>
      <c r="FG98" s="781" t="s">
        <v>254</v>
      </c>
      <c r="FH98" s="782">
        <f>FE98*100/(FE85+SUM(FE90:FE96,FE98))</f>
        <v>3.1017754562711697</v>
      </c>
      <c r="FJ98" s="805" t="s">
        <v>427</v>
      </c>
      <c r="FK98" s="805"/>
      <c r="FL98" s="805"/>
      <c r="FM98" s="805"/>
      <c r="FN98" s="805"/>
    </row>
    <row r="99" spans="2:170" ht="23.4" thickBot="1" x14ac:dyDescent="0.75">
      <c r="J99" s="712" t="s">
        <v>79</v>
      </c>
      <c r="K99" s="711">
        <f>'Spécialité Autres'!B63</f>
        <v>0.1</v>
      </c>
      <c r="L99" s="711">
        <f>L98+K99</f>
        <v>0.79999999999999993</v>
      </c>
      <c r="M99" s="711" t="s">
        <v>254</v>
      </c>
      <c r="N99" s="713">
        <f t="shared" si="33"/>
        <v>6.3634281059892592E-2</v>
      </c>
      <c r="AN99" s="584" t="s">
        <v>427</v>
      </c>
      <c r="AT99" s="584" t="s">
        <v>427</v>
      </c>
      <c r="AZ99" s="584" t="s">
        <v>427</v>
      </c>
      <c r="BF99" s="584" t="s">
        <v>427</v>
      </c>
      <c r="BL99" s="584" t="s">
        <v>427</v>
      </c>
      <c r="BR99" s="584" t="s">
        <v>427</v>
      </c>
      <c r="BX99" s="584" t="s">
        <v>427</v>
      </c>
      <c r="CD99" s="584" t="s">
        <v>427</v>
      </c>
      <c r="CJ99" s="783" t="s">
        <v>72</v>
      </c>
      <c r="CK99" s="786">
        <f>'Spécialité Autres'!H45</f>
        <v>1</v>
      </c>
      <c r="CL99" s="711">
        <f>CL98+CK99</f>
        <v>11</v>
      </c>
      <c r="CM99" s="711" t="s">
        <v>135</v>
      </c>
      <c r="CN99" s="713">
        <f>CK99*100/($CK$85+SUM($CK$90:$CK$96,$CK$98:$CK$100))</f>
        <v>0.59773577687718915</v>
      </c>
      <c r="CP99" s="789" t="s">
        <v>427</v>
      </c>
      <c r="CV99" s="789" t="s">
        <v>427</v>
      </c>
      <c r="DB99" s="789" t="s">
        <v>427</v>
      </c>
      <c r="DH99" s="789" t="s">
        <v>427</v>
      </c>
      <c r="DZ99" s="789" t="s">
        <v>427</v>
      </c>
      <c r="EF99" s="1128"/>
      <c r="EG99" s="1128"/>
      <c r="EH99" s="1128"/>
      <c r="EI99" s="1128"/>
      <c r="EJ99" s="1128"/>
      <c r="EL99" s="789" t="s">
        <v>427</v>
      </c>
      <c r="ER99" s="1128"/>
      <c r="ES99" s="1128"/>
      <c r="ET99" s="1128"/>
      <c r="EU99" s="1128"/>
      <c r="EV99" s="1128"/>
      <c r="EX99" s="784" t="s">
        <v>508</v>
      </c>
      <c r="EY99" s="787">
        <f>'Spécialité Fromagère'!H30</f>
        <v>5</v>
      </c>
      <c r="EZ99" s="808">
        <f>EZ98+EY99</f>
        <v>7</v>
      </c>
      <c r="FA99" s="715" t="s">
        <v>254</v>
      </c>
      <c r="FB99" s="754">
        <f>EY99*100/($EY$85+SUM($EY$90:$EY$96,$EY$98:$EY$99))</f>
        <v>3.0637630363117192</v>
      </c>
      <c r="FD99" s="789" t="s">
        <v>427</v>
      </c>
      <c r="FJ99" s="1128"/>
      <c r="FK99" s="1128"/>
      <c r="FL99" s="1128"/>
      <c r="FM99" s="1128"/>
      <c r="FN99" s="1128"/>
    </row>
    <row r="100" spans="2:170" ht="23.4" thickBot="1" x14ac:dyDescent="0.75">
      <c r="J100" s="714" t="s">
        <v>470</v>
      </c>
      <c r="K100" s="715">
        <f>'Spécialité Autres'!B64</f>
        <v>0.2</v>
      </c>
      <c r="L100" s="716">
        <f>L99+K100</f>
        <v>1</v>
      </c>
      <c r="M100" s="715" t="s">
        <v>254</v>
      </c>
      <c r="N100" s="717">
        <f t="shared" si="33"/>
        <v>0.12726856211978518</v>
      </c>
      <c r="CJ100" s="784" t="s">
        <v>137</v>
      </c>
      <c r="CK100" s="788">
        <f>'Spécialité Autres'!H46</f>
        <v>0.1</v>
      </c>
      <c r="CL100" s="716">
        <f>CL99+CK100</f>
        <v>11.1</v>
      </c>
      <c r="CM100" s="715" t="s">
        <v>254</v>
      </c>
      <c r="CN100" s="717">
        <f>CK100*100/($CK$85+SUM($CK$90:$CK$96,$CK$98:$CK$100))</f>
        <v>5.9773577687718918E-2</v>
      </c>
      <c r="EX100" s="789" t="s">
        <v>427</v>
      </c>
    </row>
    <row r="101" spans="2:170" x14ac:dyDescent="0.7">
      <c r="J101" s="584" t="s">
        <v>427</v>
      </c>
      <c r="CJ101" s="789" t="s">
        <v>427</v>
      </c>
    </row>
    <row r="103" spans="2:170" ht="23.4" thickBot="1" x14ac:dyDescent="0.75"/>
    <row r="104" spans="2:170" ht="30.6" thickBot="1" x14ac:dyDescent="0.95">
      <c r="J104" s="809" t="s">
        <v>514</v>
      </c>
      <c r="L104" s="23"/>
      <c r="M104" s="1"/>
    </row>
    <row r="106" spans="2:170" ht="23.4" thickBot="1" x14ac:dyDescent="0.75">
      <c r="J106" s="585" t="s">
        <v>515</v>
      </c>
      <c r="P106" s="585" t="s">
        <v>517</v>
      </c>
      <c r="R106" s="498"/>
      <c r="S106" s="23"/>
      <c r="V106" s="585" t="s">
        <v>519</v>
      </c>
      <c r="X106" s="498"/>
      <c r="Y106" s="23"/>
      <c r="AB106" s="585" t="s">
        <v>520</v>
      </c>
      <c r="AD106" s="498"/>
      <c r="AE106" s="23"/>
    </row>
    <row r="107" spans="2:170" s="2" customFormat="1" ht="26.25" customHeight="1" thickBot="1" x14ac:dyDescent="0.35">
      <c r="B107" s="3"/>
      <c r="C107" s="17"/>
      <c r="D107" s="33"/>
      <c r="H107" s="32"/>
      <c r="J107" s="1141" t="s">
        <v>516</v>
      </c>
      <c r="K107" s="1142"/>
      <c r="L107" s="1142"/>
      <c r="M107" s="1142"/>
      <c r="N107" s="1143"/>
      <c r="P107" s="1141" t="s">
        <v>518</v>
      </c>
      <c r="Q107" s="1142"/>
      <c r="R107" s="1142"/>
      <c r="S107" s="1142"/>
      <c r="T107" s="1143"/>
      <c r="V107" s="1132" t="s">
        <v>532</v>
      </c>
      <c r="W107" s="1133"/>
      <c r="X107" s="1133"/>
      <c r="Y107" s="1133"/>
      <c r="Z107" s="1134"/>
      <c r="AB107" s="1135" t="s">
        <v>521</v>
      </c>
      <c r="AC107" s="1136"/>
      <c r="AD107" s="1136"/>
      <c r="AE107" s="1136"/>
      <c r="AF107" s="1137"/>
    </row>
    <row r="108" spans="2:170" ht="46.2" thickBot="1" x14ac:dyDescent="0.75">
      <c r="J108" s="500" t="s">
        <v>422</v>
      </c>
      <c r="K108" s="501" t="s">
        <v>320</v>
      </c>
      <c r="L108" s="501" t="s">
        <v>321</v>
      </c>
      <c r="M108" s="502" t="s">
        <v>420</v>
      </c>
      <c r="N108" s="542" t="s">
        <v>415</v>
      </c>
      <c r="P108" s="500" t="s">
        <v>422</v>
      </c>
      <c r="Q108" s="501" t="s">
        <v>320</v>
      </c>
      <c r="R108" s="501" t="s">
        <v>321</v>
      </c>
      <c r="S108" s="502" t="s">
        <v>420</v>
      </c>
      <c r="T108" s="542" t="s">
        <v>415</v>
      </c>
      <c r="V108" s="500" t="s">
        <v>422</v>
      </c>
      <c r="W108" s="501" t="s">
        <v>320</v>
      </c>
      <c r="X108" s="501" t="s">
        <v>321</v>
      </c>
      <c r="Y108" s="502" t="s">
        <v>420</v>
      </c>
      <c r="Z108" s="542" t="s">
        <v>415</v>
      </c>
      <c r="AB108" s="500" t="s">
        <v>422</v>
      </c>
      <c r="AC108" s="501" t="s">
        <v>320</v>
      </c>
      <c r="AD108" s="501" t="s">
        <v>321</v>
      </c>
      <c r="AE108" s="502" t="s">
        <v>420</v>
      </c>
      <c r="AF108" s="542" t="s">
        <v>415</v>
      </c>
    </row>
    <row r="109" spans="2:170" x14ac:dyDescent="0.7">
      <c r="J109" s="649" t="s">
        <v>456</v>
      </c>
      <c r="K109" s="650">
        <f>'Recette viandes'!$H$22</f>
        <v>105</v>
      </c>
      <c r="L109" s="651">
        <f>K109</f>
        <v>105</v>
      </c>
      <c r="M109" s="652" t="s">
        <v>254</v>
      </c>
      <c r="N109" s="507">
        <f>K109*100/K111</f>
        <v>70</v>
      </c>
      <c r="P109" s="649" t="s">
        <v>456</v>
      </c>
      <c r="Q109" s="650">
        <f>'Recette viandes'!$H$22</f>
        <v>105</v>
      </c>
      <c r="R109" s="651">
        <f>Q109</f>
        <v>105</v>
      </c>
      <c r="S109" s="652" t="s">
        <v>254</v>
      </c>
      <c r="T109" s="507">
        <f>Q109*100/Q111</f>
        <v>70</v>
      </c>
      <c r="V109" s="551" t="s">
        <v>456</v>
      </c>
      <c r="W109" s="511">
        <f>'Recette viandes'!N22</f>
        <v>30</v>
      </c>
      <c r="X109" s="512">
        <f>W109</f>
        <v>30</v>
      </c>
      <c r="Y109" s="513" t="s">
        <v>254</v>
      </c>
      <c r="Z109" s="825">
        <f>W109*100/$W$114</f>
        <v>20</v>
      </c>
      <c r="AB109" s="649" t="s">
        <v>444</v>
      </c>
      <c r="AC109" s="650">
        <f>'Recette viandes'!L21</f>
        <v>110</v>
      </c>
      <c r="AD109" s="651">
        <f>AC109</f>
        <v>110</v>
      </c>
      <c r="AE109" s="652" t="s">
        <v>254</v>
      </c>
      <c r="AF109" s="507">
        <f>AC109*100/AC111</f>
        <v>73.333333333333329</v>
      </c>
    </row>
    <row r="110" spans="2:170" ht="23.4" thickBot="1" x14ac:dyDescent="0.75">
      <c r="J110" s="554" t="s">
        <v>454</v>
      </c>
      <c r="K110" s="653">
        <f>'Recette viandes'!$H$23</f>
        <v>45</v>
      </c>
      <c r="L110" s="556">
        <f>L109+K110</f>
        <v>150</v>
      </c>
      <c r="M110" s="597" t="s">
        <v>254</v>
      </c>
      <c r="N110" s="654">
        <f>K110*100/K111</f>
        <v>30</v>
      </c>
      <c r="P110" s="554" t="s">
        <v>454</v>
      </c>
      <c r="Q110" s="653">
        <f>'Recette viandes'!$H$23</f>
        <v>45</v>
      </c>
      <c r="R110" s="556">
        <f>R109+Q110</f>
        <v>150</v>
      </c>
      <c r="S110" s="597" t="s">
        <v>254</v>
      </c>
      <c r="T110" s="654">
        <f>Q110*100/Q111</f>
        <v>30</v>
      </c>
      <c r="V110" s="552" t="s">
        <v>454</v>
      </c>
      <c r="W110" s="528">
        <f>'Recette viandes'!N23</f>
        <v>25</v>
      </c>
      <c r="X110" s="553">
        <f>X109+W110</f>
        <v>55</v>
      </c>
      <c r="Y110" s="529" t="s">
        <v>254</v>
      </c>
      <c r="Z110" s="689">
        <f>W110*100/$W$114</f>
        <v>16.666666666666668</v>
      </c>
      <c r="AB110" s="554" t="s">
        <v>454</v>
      </c>
      <c r="AC110" s="653">
        <f>'Recette viandes'!L23</f>
        <v>40</v>
      </c>
      <c r="AD110" s="556">
        <f>AD109+AC110</f>
        <v>150</v>
      </c>
      <c r="AE110" s="597" t="s">
        <v>254</v>
      </c>
      <c r="AF110" s="654">
        <f>AC110*100/AC111</f>
        <v>26.666666666666668</v>
      </c>
    </row>
    <row r="111" spans="2:170" ht="23.4" thickBot="1" x14ac:dyDescent="0.75">
      <c r="J111" s="500" t="s">
        <v>423</v>
      </c>
      <c r="K111" s="573">
        <f>SUM(K109:K110)</f>
        <v>150</v>
      </c>
      <c r="L111" s="574">
        <f>L110</f>
        <v>150</v>
      </c>
      <c r="M111" s="502" t="s">
        <v>254</v>
      </c>
      <c r="N111" s="575">
        <f>SUM(N109:N110)</f>
        <v>100</v>
      </c>
      <c r="P111" s="500" t="s">
        <v>423</v>
      </c>
      <c r="Q111" s="573">
        <f>SUM(Q109:Q110)</f>
        <v>150</v>
      </c>
      <c r="R111" s="574">
        <f>R110</f>
        <v>150</v>
      </c>
      <c r="S111" s="502" t="s">
        <v>254</v>
      </c>
      <c r="T111" s="575">
        <f>SUM(T109:T110)</f>
        <v>100</v>
      </c>
      <c r="V111" s="551" t="s">
        <v>118</v>
      </c>
      <c r="W111" s="511">
        <f>'Recette viandes'!N24</f>
        <v>60</v>
      </c>
      <c r="X111" s="512">
        <f>X110+W111</f>
        <v>115</v>
      </c>
      <c r="Y111" s="513" t="s">
        <v>254</v>
      </c>
      <c r="Z111" s="825">
        <f>W111*100/$W$114</f>
        <v>40</v>
      </c>
      <c r="AB111" s="500" t="s">
        <v>423</v>
      </c>
      <c r="AC111" s="573">
        <f>SUM(AC109:AC110)</f>
        <v>150</v>
      </c>
      <c r="AD111" s="574">
        <f>AD110</f>
        <v>150</v>
      </c>
      <c r="AE111" s="502" t="s">
        <v>254</v>
      </c>
      <c r="AF111" s="575">
        <f>SUM(AF109:AF110)</f>
        <v>100</v>
      </c>
    </row>
    <row r="112" spans="2:170" x14ac:dyDescent="0.7">
      <c r="J112" s="584" t="s">
        <v>426</v>
      </c>
      <c r="K112" s="674"/>
      <c r="L112" s="674"/>
      <c r="M112" s="674"/>
      <c r="N112" s="674"/>
      <c r="P112" s="584" t="s">
        <v>426</v>
      </c>
      <c r="Q112" s="674"/>
      <c r="R112" s="674"/>
      <c r="S112" s="674"/>
      <c r="T112" s="674"/>
      <c r="V112" s="552" t="s">
        <v>120</v>
      </c>
      <c r="W112" s="528">
        <f>'Recette viandes'!N26</f>
        <v>25</v>
      </c>
      <c r="X112" s="553">
        <f>X111+W112</f>
        <v>140</v>
      </c>
      <c r="Y112" s="529" t="s">
        <v>254</v>
      </c>
      <c r="Z112" s="689">
        <f>W112*100/$W$114</f>
        <v>16.666666666666668</v>
      </c>
      <c r="AB112" s="584" t="s">
        <v>426</v>
      </c>
      <c r="AC112" s="674"/>
      <c r="AD112" s="674"/>
      <c r="AE112" s="674"/>
      <c r="AF112" s="674"/>
    </row>
    <row r="113" spans="10:32" ht="23.4" thickBot="1" x14ac:dyDescent="0.75">
      <c r="R113" s="498"/>
      <c r="S113" s="23"/>
      <c r="V113" s="554" t="s">
        <v>298</v>
      </c>
      <c r="W113" s="653">
        <f>'Recette viandes'!N27</f>
        <v>10</v>
      </c>
      <c r="X113" s="556">
        <f>X112+W113</f>
        <v>150</v>
      </c>
      <c r="Y113" s="597" t="s">
        <v>254</v>
      </c>
      <c r="Z113" s="690">
        <f>W113*100/$W$114</f>
        <v>6.666666666666667</v>
      </c>
    </row>
    <row r="114" spans="10:32" ht="23.4" thickBot="1" x14ac:dyDescent="0.75">
      <c r="V114" s="500" t="s">
        <v>423</v>
      </c>
      <c r="W114" s="573">
        <f>SUM(W109:W113)</f>
        <v>150</v>
      </c>
      <c r="X114" s="574">
        <f>X113</f>
        <v>150</v>
      </c>
      <c r="Y114" s="502" t="s">
        <v>254</v>
      </c>
      <c r="Z114" s="826">
        <f>SUM(Z109:Z113)</f>
        <v>100.00000000000001</v>
      </c>
    </row>
    <row r="115" spans="10:32" x14ac:dyDescent="0.7">
      <c r="V115" s="584" t="s">
        <v>426</v>
      </c>
      <c r="W115" s="674"/>
      <c r="X115" s="674"/>
      <c r="Y115" s="674"/>
      <c r="Z115" s="674"/>
    </row>
    <row r="116" spans="10:32" ht="25.5" customHeight="1" thickBot="1" x14ac:dyDescent="0.75"/>
    <row r="117" spans="10:32" ht="46.2" thickBot="1" x14ac:dyDescent="0.75">
      <c r="J117" s="500" t="s">
        <v>0</v>
      </c>
      <c r="K117" s="655" t="s">
        <v>23</v>
      </c>
      <c r="L117" s="655" t="s">
        <v>321</v>
      </c>
      <c r="M117" s="502" t="s">
        <v>420</v>
      </c>
      <c r="N117" s="542" t="s">
        <v>415</v>
      </c>
      <c r="P117" s="500" t="s">
        <v>0</v>
      </c>
      <c r="Q117" s="655" t="s">
        <v>23</v>
      </c>
      <c r="R117" s="655" t="s">
        <v>321</v>
      </c>
      <c r="S117" s="502" t="s">
        <v>420</v>
      </c>
      <c r="T117" s="542" t="s">
        <v>415</v>
      </c>
      <c r="V117" s="500" t="s">
        <v>0</v>
      </c>
      <c r="W117" s="655" t="s">
        <v>23</v>
      </c>
      <c r="X117" s="655" t="s">
        <v>321</v>
      </c>
      <c r="Y117" s="502" t="s">
        <v>420</v>
      </c>
      <c r="Z117" s="542" t="s">
        <v>415</v>
      </c>
      <c r="AB117" s="500" t="s">
        <v>0</v>
      </c>
      <c r="AC117" s="655" t="s">
        <v>23</v>
      </c>
      <c r="AD117" s="655" t="s">
        <v>321</v>
      </c>
      <c r="AE117" s="502" t="s">
        <v>420</v>
      </c>
      <c r="AF117" s="542" t="s">
        <v>415</v>
      </c>
    </row>
    <row r="118" spans="10:32" x14ac:dyDescent="0.7">
      <c r="J118" s="672" t="s">
        <v>20</v>
      </c>
      <c r="K118" s="630">
        <f>'A cuire'!H6</f>
        <v>3</v>
      </c>
      <c r="L118" s="630">
        <f>K118</f>
        <v>3</v>
      </c>
      <c r="M118" s="656" t="s">
        <v>254</v>
      </c>
      <c r="N118" s="685">
        <f t="shared" ref="N118:N123" si="86">K118*100/($K$111+SUM($K$118:$K$123,$K$125))</f>
        <v>1.8841262364578428</v>
      </c>
      <c r="P118" s="671" t="s">
        <v>20</v>
      </c>
      <c r="Q118" s="662">
        <f>'A cuire'!B6</f>
        <v>3</v>
      </c>
      <c r="R118" s="662">
        <f>Q118</f>
        <v>3</v>
      </c>
      <c r="S118" s="663" t="s">
        <v>254</v>
      </c>
      <c r="T118" s="699">
        <f t="shared" ref="T118:T123" si="87">Q118*100/($Q$111+SUM($Q$118:$Q$123))</f>
        <v>1.9389238972370335</v>
      </c>
      <c r="V118" s="672" t="s">
        <v>20</v>
      </c>
      <c r="W118" s="630">
        <f>'A cuire'!B19</f>
        <v>3</v>
      </c>
      <c r="X118" s="630">
        <f>W118</f>
        <v>3</v>
      </c>
      <c r="Y118" s="656" t="s">
        <v>254</v>
      </c>
      <c r="Z118" s="685">
        <f t="shared" ref="Z118:Z123" si="88">W118*100/($W$114+SUM($W$118:$W$123,$W$124))</f>
        <v>1.9264729491090062</v>
      </c>
      <c r="AB118" s="672" t="s">
        <v>16</v>
      </c>
      <c r="AC118" s="630">
        <f>'A cuire'!H19</f>
        <v>3</v>
      </c>
      <c r="AD118" s="630">
        <f>AC118</f>
        <v>3</v>
      </c>
      <c r="AE118" s="656" t="s">
        <v>254</v>
      </c>
      <c r="AF118" s="685">
        <f>AC118*100/($AC$111+SUM($AC$118:$AC$123,$AC$125:$AC$127))</f>
        <v>1.8492834026814611</v>
      </c>
    </row>
    <row r="119" spans="10:32" ht="25.5" customHeight="1" x14ac:dyDescent="0.7">
      <c r="J119" s="601" t="s">
        <v>312</v>
      </c>
      <c r="K119" s="631">
        <f>'A cuire'!H7</f>
        <v>4.4999999999999998E-2</v>
      </c>
      <c r="L119" s="631">
        <f>L118+K119</f>
        <v>3.0449999999999999</v>
      </c>
      <c r="M119" s="657" t="s">
        <v>254</v>
      </c>
      <c r="N119" s="700">
        <f t="shared" si="86"/>
        <v>2.8261893546867641E-2</v>
      </c>
      <c r="P119" s="601" t="s">
        <v>312</v>
      </c>
      <c r="Q119" s="631">
        <f>'A cuire'!B7</f>
        <v>4.4999999999999998E-2</v>
      </c>
      <c r="R119" s="631">
        <f>R118+Q119</f>
        <v>3.0449999999999999</v>
      </c>
      <c r="S119" s="657" t="s">
        <v>254</v>
      </c>
      <c r="T119" s="686">
        <f t="shared" si="87"/>
        <v>2.9083858458555503E-2</v>
      </c>
      <c r="V119" s="601" t="s">
        <v>312</v>
      </c>
      <c r="W119" s="631">
        <f>'A cuire'!B20</f>
        <v>4.4999999999999998E-2</v>
      </c>
      <c r="X119" s="631">
        <f>X118+W119</f>
        <v>3.0449999999999999</v>
      </c>
      <c r="Y119" s="657" t="s">
        <v>254</v>
      </c>
      <c r="Z119" s="686">
        <f t="shared" si="88"/>
        <v>2.8897094236635095E-2</v>
      </c>
      <c r="AB119" s="601" t="s">
        <v>312</v>
      </c>
      <c r="AC119" s="631">
        <f>'A cuire'!H20</f>
        <v>4.4999999999999998E-2</v>
      </c>
      <c r="AD119" s="631">
        <f>AD118+AC119</f>
        <v>3.0449999999999999</v>
      </c>
      <c r="AE119" s="657" t="s">
        <v>254</v>
      </c>
      <c r="AF119" s="686">
        <f t="shared" ref="AF119:AF123" si="89">AC119*100/($AC$111+SUM($AC$118:$AC$123,$AC$125:$AC$127))</f>
        <v>2.7739251040221916E-2</v>
      </c>
    </row>
    <row r="120" spans="10:32" x14ac:dyDescent="0.7">
      <c r="J120" s="510" t="s">
        <v>3</v>
      </c>
      <c r="K120" s="628">
        <f>'A cuire'!H8</f>
        <v>0.9</v>
      </c>
      <c r="L120" s="628">
        <f>L119+K120</f>
        <v>3.9449999999999998</v>
      </c>
      <c r="M120" s="658" t="s">
        <v>254</v>
      </c>
      <c r="N120" s="701">
        <f t="shared" si="86"/>
        <v>0.56523787093735278</v>
      </c>
      <c r="P120" s="510" t="s">
        <v>3</v>
      </c>
      <c r="Q120" s="628">
        <f>'A cuire'!B8</f>
        <v>0.9</v>
      </c>
      <c r="R120" s="628">
        <f>R119+Q120</f>
        <v>3.9449999999999998</v>
      </c>
      <c r="S120" s="658" t="s">
        <v>254</v>
      </c>
      <c r="T120" s="685">
        <f t="shared" si="87"/>
        <v>0.58167716917111001</v>
      </c>
      <c r="V120" s="510" t="s">
        <v>3</v>
      </c>
      <c r="W120" s="628">
        <f>'A cuire'!B21</f>
        <v>0.9</v>
      </c>
      <c r="X120" s="628">
        <f>X119+W120</f>
        <v>3.9449999999999998</v>
      </c>
      <c r="Y120" s="658" t="s">
        <v>254</v>
      </c>
      <c r="Z120" s="685">
        <f t="shared" si="88"/>
        <v>0.57794188473270192</v>
      </c>
      <c r="AB120" s="510" t="s">
        <v>3</v>
      </c>
      <c r="AC120" s="628">
        <f>'A cuire'!H21</f>
        <v>0.9</v>
      </c>
      <c r="AD120" s="628">
        <f>AD119+AC120</f>
        <v>3.9449999999999998</v>
      </c>
      <c r="AE120" s="658" t="s">
        <v>254</v>
      </c>
      <c r="AF120" s="685">
        <f t="shared" si="89"/>
        <v>0.55478502080443826</v>
      </c>
    </row>
    <row r="121" spans="10:32" x14ac:dyDescent="0.7">
      <c r="J121" s="526" t="s">
        <v>2</v>
      </c>
      <c r="K121" s="631">
        <f>'A cuire'!H9</f>
        <v>0.45</v>
      </c>
      <c r="L121" s="631">
        <f t="shared" ref="L121:L122" si="90">L120+K121</f>
        <v>4.3949999999999996</v>
      </c>
      <c r="M121" s="657" t="s">
        <v>254</v>
      </c>
      <c r="N121" s="700">
        <f t="shared" si="86"/>
        <v>0.28261893546867639</v>
      </c>
      <c r="P121" s="526" t="s">
        <v>2</v>
      </c>
      <c r="Q121" s="631">
        <f>'A cuire'!B9</f>
        <v>0.45</v>
      </c>
      <c r="R121" s="631">
        <f>R120+Q121</f>
        <v>4.3949999999999996</v>
      </c>
      <c r="S121" s="657" t="s">
        <v>254</v>
      </c>
      <c r="T121" s="686">
        <f t="shared" si="87"/>
        <v>0.290838584585555</v>
      </c>
      <c r="V121" s="526" t="s">
        <v>2</v>
      </c>
      <c r="W121" s="631">
        <f>'A cuire'!B22</f>
        <v>0.45</v>
      </c>
      <c r="X121" s="631">
        <f>X120+W121</f>
        <v>4.3949999999999996</v>
      </c>
      <c r="Y121" s="657" t="s">
        <v>254</v>
      </c>
      <c r="Z121" s="686">
        <f t="shared" si="88"/>
        <v>0.28897094236635096</v>
      </c>
      <c r="AB121" s="526" t="s">
        <v>2</v>
      </c>
      <c r="AC121" s="631">
        <f>'A cuire'!H22</f>
        <v>0.45</v>
      </c>
      <c r="AD121" s="631">
        <f>AD120+AC121</f>
        <v>4.3949999999999996</v>
      </c>
      <c r="AE121" s="657" t="s">
        <v>254</v>
      </c>
      <c r="AF121" s="686">
        <f t="shared" si="89"/>
        <v>0.27739251040221913</v>
      </c>
    </row>
    <row r="122" spans="10:32" x14ac:dyDescent="0.7">
      <c r="J122" s="510" t="s">
        <v>17</v>
      </c>
      <c r="K122" s="628">
        <f>'A cuire'!H10</f>
        <v>0.25</v>
      </c>
      <c r="L122" s="628">
        <f t="shared" si="90"/>
        <v>4.6449999999999996</v>
      </c>
      <c r="M122" s="658" t="s">
        <v>254</v>
      </c>
      <c r="N122" s="701">
        <f t="shared" si="86"/>
        <v>0.15701051970482022</v>
      </c>
      <c r="P122" s="510" t="s">
        <v>17</v>
      </c>
      <c r="Q122" s="628">
        <f>'A cuire'!B10</f>
        <v>0.25</v>
      </c>
      <c r="R122" s="628">
        <f>R121+Q122</f>
        <v>4.6449999999999996</v>
      </c>
      <c r="S122" s="658" t="s">
        <v>254</v>
      </c>
      <c r="T122" s="685">
        <f t="shared" si="87"/>
        <v>0.16157699143641946</v>
      </c>
      <c r="V122" s="510" t="s">
        <v>17</v>
      </c>
      <c r="W122" s="628">
        <f>'A cuire'!B23</f>
        <v>0.25</v>
      </c>
      <c r="X122" s="628">
        <f>X121+W122</f>
        <v>4.6449999999999996</v>
      </c>
      <c r="Y122" s="658" t="s">
        <v>254</v>
      </c>
      <c r="Z122" s="685">
        <f t="shared" si="88"/>
        <v>0.16053941242575054</v>
      </c>
      <c r="AB122" s="510" t="s">
        <v>17</v>
      </c>
      <c r="AC122" s="628">
        <f>'A cuire'!H23</f>
        <v>0.25</v>
      </c>
      <c r="AD122" s="628">
        <f>AD121+AC122</f>
        <v>4.6449999999999996</v>
      </c>
      <c r="AE122" s="658" t="s">
        <v>254</v>
      </c>
      <c r="AF122" s="685">
        <f t="shared" si="89"/>
        <v>0.15410695022345508</v>
      </c>
    </row>
    <row r="123" spans="10:32" ht="23.4" thickBot="1" x14ac:dyDescent="0.75">
      <c r="J123" s="517" t="s">
        <v>5</v>
      </c>
      <c r="K123" s="629">
        <f>'A cuire'!H11</f>
        <v>0.08</v>
      </c>
      <c r="L123" s="638">
        <f>L122+K123</f>
        <v>4.7249999999999996</v>
      </c>
      <c r="M123" s="659" t="s">
        <v>254</v>
      </c>
      <c r="N123" s="582">
        <f t="shared" si="86"/>
        <v>5.0243366305542471E-2</v>
      </c>
      <c r="P123" s="517" t="s">
        <v>5</v>
      </c>
      <c r="Q123" s="629">
        <f>'A cuire'!B11</f>
        <v>0.08</v>
      </c>
      <c r="R123" s="638">
        <f>R122+Q123</f>
        <v>4.7249999999999996</v>
      </c>
      <c r="S123" s="659" t="s">
        <v>254</v>
      </c>
      <c r="T123" s="582">
        <f t="shared" si="87"/>
        <v>5.1704637259654226E-2</v>
      </c>
      <c r="V123" s="517" t="s">
        <v>5</v>
      </c>
      <c r="W123" s="629">
        <f>'A cuire'!B24</f>
        <v>0.08</v>
      </c>
      <c r="X123" s="638">
        <f>X122+W123</f>
        <v>4.7249999999999996</v>
      </c>
      <c r="Y123" s="659" t="s">
        <v>254</v>
      </c>
      <c r="Z123" s="582">
        <f t="shared" si="88"/>
        <v>5.1372611976240171E-2</v>
      </c>
      <c r="AB123" s="517" t="s">
        <v>5</v>
      </c>
      <c r="AC123" s="629">
        <f>'A cuire'!H24</f>
        <v>0.08</v>
      </c>
      <c r="AD123" s="638">
        <f>AD122+AC123</f>
        <v>4.7249999999999996</v>
      </c>
      <c r="AE123" s="659" t="s">
        <v>254</v>
      </c>
      <c r="AF123" s="686">
        <f t="shared" si="89"/>
        <v>4.9314224071505625E-2</v>
      </c>
    </row>
    <row r="124" spans="10:32" ht="24" thickTop="1" thickBot="1" x14ac:dyDescent="0.75">
      <c r="J124" s="813" t="s">
        <v>22</v>
      </c>
      <c r="K124" s="814">
        <f>'A cuire'!H12</f>
        <v>1</v>
      </c>
      <c r="L124" s="815">
        <f>K124</f>
        <v>1</v>
      </c>
      <c r="M124" s="698" t="s">
        <v>421</v>
      </c>
      <c r="N124" s="816"/>
      <c r="P124" s="821" t="s">
        <v>22</v>
      </c>
      <c r="Q124" s="822">
        <f>'A cuire'!B12</f>
        <v>1</v>
      </c>
      <c r="R124" s="823">
        <f>Q124</f>
        <v>1</v>
      </c>
      <c r="S124" s="824" t="s">
        <v>421</v>
      </c>
      <c r="T124" s="703"/>
      <c r="V124" s="812" t="s">
        <v>52</v>
      </c>
      <c r="W124" s="828">
        <f>'A cuire'!B25</f>
        <v>1</v>
      </c>
      <c r="X124" s="829">
        <f>W124</f>
        <v>1</v>
      </c>
      <c r="Y124" s="819" t="s">
        <v>530</v>
      </c>
      <c r="Z124" s="820">
        <f>W124*100/(W114+SUM(W118:W123,W124))</f>
        <v>0.64215764970300215</v>
      </c>
      <c r="AB124" s="838" t="s">
        <v>22</v>
      </c>
      <c r="AC124" s="839">
        <f>'A cuire'!H25</f>
        <v>1</v>
      </c>
      <c r="AD124" s="840">
        <f>AC124</f>
        <v>1</v>
      </c>
      <c r="AE124" s="841" t="s">
        <v>421</v>
      </c>
      <c r="AF124" s="842"/>
    </row>
    <row r="125" spans="10:32" ht="24" thickTop="1" thickBot="1" x14ac:dyDescent="0.75">
      <c r="J125" s="812" t="s">
        <v>53</v>
      </c>
      <c r="K125" s="817">
        <f>'A cuire'!H13</f>
        <v>4.5</v>
      </c>
      <c r="L125" s="818">
        <f>K125</f>
        <v>4.5</v>
      </c>
      <c r="M125" s="819" t="s">
        <v>254</v>
      </c>
      <c r="N125" s="820">
        <f>K125*100/($K$111+SUM($K$118:$K$123,$K$125))</f>
        <v>2.8261893546867642</v>
      </c>
      <c r="P125" s="584" t="s">
        <v>427</v>
      </c>
      <c r="R125" s="498"/>
      <c r="S125" s="23"/>
      <c r="V125" s="584" t="s">
        <v>427</v>
      </c>
      <c r="X125" s="498"/>
      <c r="Y125" s="23"/>
      <c r="AB125" s="811" t="s">
        <v>307</v>
      </c>
      <c r="AC125" s="837">
        <f>'A cuire'!H26</f>
        <v>4.5</v>
      </c>
      <c r="AD125" s="837">
        <f>AC125</f>
        <v>4.5</v>
      </c>
      <c r="AE125" s="836" t="s">
        <v>254</v>
      </c>
      <c r="AF125" s="837">
        <f>AC125*100/($AC$111+SUM($AC$118:$AC$123,$AC$125:$AC$127))</f>
        <v>2.7739251040221915</v>
      </c>
    </row>
    <row r="126" spans="10:32" x14ac:dyDescent="0.7">
      <c r="J126" s="584" t="s">
        <v>427</v>
      </c>
      <c r="Q126" s="810"/>
      <c r="AB126" s="843" t="s">
        <v>306</v>
      </c>
      <c r="AC126" s="844">
        <f>'A cuire'!H27</f>
        <v>2</v>
      </c>
      <c r="AD126" s="844">
        <f>AD125+AC126</f>
        <v>6.5</v>
      </c>
      <c r="AE126" s="845" t="s">
        <v>254</v>
      </c>
      <c r="AF126" s="846">
        <f>AC126*100/($AC$111+SUM($AC$118:$AC$123,$AC$125:$AC$127))</f>
        <v>1.2328556017876406</v>
      </c>
    </row>
    <row r="127" spans="10:32" x14ac:dyDescent="0.7">
      <c r="AB127" s="811" t="s">
        <v>308</v>
      </c>
      <c r="AC127" s="834">
        <f>'A cuire'!H28</f>
        <v>1</v>
      </c>
      <c r="AD127" s="835">
        <f>AD126+AC127</f>
        <v>7.5</v>
      </c>
      <c r="AE127" s="836" t="s">
        <v>530</v>
      </c>
      <c r="AF127" s="837">
        <f>AC127*100/(AC114+SUM(AC118:AC123,AC127))</f>
        <v>17.467248908296945</v>
      </c>
    </row>
    <row r="128" spans="10:32" x14ac:dyDescent="0.7">
      <c r="AB128" s="584" t="s">
        <v>427</v>
      </c>
      <c r="AC128" s="830"/>
      <c r="AD128" s="831"/>
      <c r="AE128" s="832"/>
      <c r="AF128" s="833"/>
    </row>
    <row r="129" spans="10:31" x14ac:dyDescent="0.7">
      <c r="AB129" s="584"/>
      <c r="AD129" s="498"/>
      <c r="AE129" s="23"/>
    </row>
    <row r="130" spans="10:31" ht="23.4" thickBot="1" x14ac:dyDescent="0.75"/>
    <row r="131" spans="10:31" ht="30.6" thickBot="1" x14ac:dyDescent="0.95">
      <c r="J131" s="847" t="s">
        <v>522</v>
      </c>
    </row>
    <row r="133" spans="10:31" ht="23.4" thickBot="1" x14ac:dyDescent="0.75">
      <c r="J133" s="585" t="s">
        <v>531</v>
      </c>
    </row>
    <row r="134" spans="10:31" ht="23.4" thickBot="1" x14ac:dyDescent="0.75">
      <c r="J134" s="1138" t="s">
        <v>31</v>
      </c>
      <c r="K134" s="1139"/>
      <c r="L134" s="1139"/>
      <c r="M134" s="1139"/>
      <c r="N134" s="1140"/>
    </row>
    <row r="135" spans="10:31" ht="46.2" thickBot="1" x14ac:dyDescent="0.75">
      <c r="J135" s="500" t="s">
        <v>422</v>
      </c>
      <c r="K135" s="501" t="s">
        <v>320</v>
      </c>
      <c r="L135" s="501" t="s">
        <v>321</v>
      </c>
      <c r="M135" s="502" t="s">
        <v>420</v>
      </c>
      <c r="N135" s="542" t="s">
        <v>415</v>
      </c>
    </row>
    <row r="136" spans="10:31" ht="23.4" thickBot="1" x14ac:dyDescent="0.75">
      <c r="J136" s="649" t="s">
        <v>523</v>
      </c>
      <c r="K136" s="650">
        <f>'Recette viandes'!F20</f>
        <v>150</v>
      </c>
      <c r="L136" s="651">
        <f>K136</f>
        <v>150</v>
      </c>
      <c r="M136" s="652" t="s">
        <v>254</v>
      </c>
      <c r="N136" s="507">
        <f>K136*100/K137</f>
        <v>100</v>
      </c>
    </row>
    <row r="137" spans="10:31" ht="23.4" thickBot="1" x14ac:dyDescent="0.75">
      <c r="J137" s="500" t="s">
        <v>423</v>
      </c>
      <c r="K137" s="573">
        <f>K136</f>
        <v>150</v>
      </c>
      <c r="L137" s="574">
        <f>L136</f>
        <v>150</v>
      </c>
      <c r="M137" s="502" t="s">
        <v>254</v>
      </c>
      <c r="N137" s="575">
        <f>SUM(N136:N136)</f>
        <v>100</v>
      </c>
    </row>
    <row r="138" spans="10:31" x14ac:dyDescent="0.7">
      <c r="J138" s="584" t="s">
        <v>426</v>
      </c>
      <c r="K138" s="674"/>
      <c r="L138" s="674"/>
      <c r="M138" s="674"/>
      <c r="N138" s="674"/>
    </row>
    <row r="139" spans="10:31" ht="23.4" thickBot="1" x14ac:dyDescent="0.75"/>
    <row r="140" spans="10:31" ht="46.2" thickBot="1" x14ac:dyDescent="0.75">
      <c r="J140" s="500" t="s">
        <v>0</v>
      </c>
      <c r="K140" s="655" t="s">
        <v>23</v>
      </c>
      <c r="L140" s="655" t="s">
        <v>321</v>
      </c>
      <c r="M140" s="502" t="s">
        <v>420</v>
      </c>
      <c r="N140" s="542" t="s">
        <v>415</v>
      </c>
    </row>
    <row r="141" spans="10:31" x14ac:dyDescent="0.7">
      <c r="J141" s="672" t="s">
        <v>1</v>
      </c>
      <c r="K141" s="630">
        <f>SAG!C6</f>
        <v>2.4</v>
      </c>
      <c r="L141" s="630">
        <f>K141</f>
        <v>2.4</v>
      </c>
      <c r="M141" s="656" t="s">
        <v>254</v>
      </c>
      <c r="N141" s="685">
        <f>K141*100/($K$137+SUM($K$141:$K$146,$K$148))</f>
        <v>1.5273976961751417</v>
      </c>
    </row>
    <row r="142" spans="10:31" x14ac:dyDescent="0.7">
      <c r="J142" s="601" t="s">
        <v>20</v>
      </c>
      <c r="K142" s="631">
        <f>SAG!C7</f>
        <v>1.5</v>
      </c>
      <c r="L142" s="631">
        <f>L141+K142</f>
        <v>3.9</v>
      </c>
      <c r="M142" s="657" t="s">
        <v>254</v>
      </c>
      <c r="N142" s="686">
        <f t="shared" ref="N142:N146" si="91">K142*100/($K$137+SUM($K$141:$K$146,$K$148))</f>
        <v>0.95462356010946348</v>
      </c>
    </row>
    <row r="143" spans="10:31" x14ac:dyDescent="0.7">
      <c r="J143" s="510" t="s">
        <v>3</v>
      </c>
      <c r="K143" s="628">
        <f>SAG!C8</f>
        <v>1.5</v>
      </c>
      <c r="L143" s="628">
        <f>L142+K143</f>
        <v>5.4</v>
      </c>
      <c r="M143" s="658" t="s">
        <v>254</v>
      </c>
      <c r="N143" s="685">
        <f t="shared" si="91"/>
        <v>0.95462356010946348</v>
      </c>
    </row>
    <row r="144" spans="10:31" x14ac:dyDescent="0.7">
      <c r="J144" s="526" t="s">
        <v>2</v>
      </c>
      <c r="K144" s="631">
        <f>SAG!C9</f>
        <v>0.45</v>
      </c>
      <c r="L144" s="631">
        <f t="shared" ref="L144:L145" si="92">L143+K144</f>
        <v>5.8500000000000005</v>
      </c>
      <c r="M144" s="657" t="s">
        <v>254</v>
      </c>
      <c r="N144" s="686">
        <f t="shared" si="91"/>
        <v>0.28638706803283903</v>
      </c>
    </row>
    <row r="145" spans="10:14" x14ac:dyDescent="0.7">
      <c r="J145" s="510" t="s">
        <v>17</v>
      </c>
      <c r="K145" s="628">
        <f>SAG!C10</f>
        <v>0.2</v>
      </c>
      <c r="L145" s="628">
        <f t="shared" si="92"/>
        <v>6.0500000000000007</v>
      </c>
      <c r="M145" s="658" t="s">
        <v>254</v>
      </c>
      <c r="N145" s="685">
        <f t="shared" si="91"/>
        <v>0.12728314134792848</v>
      </c>
    </row>
    <row r="146" spans="10:14" ht="23.4" thickBot="1" x14ac:dyDescent="0.75">
      <c r="J146" s="517" t="s">
        <v>5</v>
      </c>
      <c r="K146" s="629">
        <f>SAG!C11</f>
        <v>0.08</v>
      </c>
      <c r="L146" s="638">
        <f>L145+K146</f>
        <v>6.1300000000000008</v>
      </c>
      <c r="M146" s="659" t="s">
        <v>254</v>
      </c>
      <c r="N146" s="582">
        <f t="shared" si="91"/>
        <v>5.0913256539171385E-2</v>
      </c>
    </row>
    <row r="147" spans="10:14" ht="24" thickTop="1" thickBot="1" x14ac:dyDescent="0.75">
      <c r="J147" s="813" t="s">
        <v>25</v>
      </c>
      <c r="K147" s="814">
        <f>SAG!C13</f>
        <v>1</v>
      </c>
      <c r="L147" s="815">
        <f>K147</f>
        <v>1</v>
      </c>
      <c r="M147" s="698" t="s">
        <v>421</v>
      </c>
      <c r="N147" s="827"/>
    </row>
    <row r="148" spans="10:14" ht="24" thickTop="1" thickBot="1" x14ac:dyDescent="0.75">
      <c r="J148" s="812" t="s">
        <v>308</v>
      </c>
      <c r="K148" s="828">
        <f>SAG!C12</f>
        <v>1</v>
      </c>
      <c r="L148" s="829">
        <f>K148</f>
        <v>1</v>
      </c>
      <c r="M148" s="819" t="s">
        <v>530</v>
      </c>
      <c r="N148" s="820">
        <f>K148*100/(K137+SUM(K141:K146,K148))</f>
        <v>0.63641570673964232</v>
      </c>
    </row>
    <row r="149" spans="10:14" x14ac:dyDescent="0.7">
      <c r="J149" s="584" t="s">
        <v>427</v>
      </c>
    </row>
    <row r="151" spans="10:14" ht="23.4" thickBot="1" x14ac:dyDescent="0.75"/>
    <row r="152" spans="10:14" ht="27.6" thickBot="1" x14ac:dyDescent="0.85">
      <c r="J152" s="848" t="s">
        <v>524</v>
      </c>
    </row>
    <row r="154" spans="10:14" ht="23.4" thickBot="1" x14ac:dyDescent="0.75">
      <c r="J154" s="585" t="s">
        <v>525</v>
      </c>
    </row>
    <row r="155" spans="10:14" ht="23.4" thickBot="1" x14ac:dyDescent="0.75">
      <c r="J155" s="1107" t="s">
        <v>526</v>
      </c>
      <c r="K155" s="1108"/>
      <c r="L155" s="1108"/>
      <c r="M155" s="1108"/>
      <c r="N155" s="1109"/>
    </row>
    <row r="156" spans="10:14" ht="46.2" thickBot="1" x14ac:dyDescent="0.75">
      <c r="J156" s="500" t="s">
        <v>422</v>
      </c>
      <c r="K156" s="501" t="s">
        <v>320</v>
      </c>
      <c r="L156" s="501" t="s">
        <v>321</v>
      </c>
      <c r="M156" s="502" t="s">
        <v>420</v>
      </c>
      <c r="N156" s="542" t="s">
        <v>415</v>
      </c>
    </row>
    <row r="157" spans="10:14" x14ac:dyDescent="0.7">
      <c r="J157" s="649" t="s">
        <v>444</v>
      </c>
      <c r="K157" s="650">
        <f>'Recette viandes'!D21</f>
        <v>125</v>
      </c>
      <c r="L157" s="651">
        <f>K157</f>
        <v>125</v>
      </c>
      <c r="M157" s="652" t="s">
        <v>254</v>
      </c>
      <c r="N157" s="507">
        <f>K157*100/K159</f>
        <v>83.333333333333329</v>
      </c>
    </row>
    <row r="158" spans="10:14" ht="23.4" thickBot="1" x14ac:dyDescent="0.75">
      <c r="J158" s="554" t="s">
        <v>454</v>
      </c>
      <c r="K158" s="653">
        <f>'Recette viandes'!D23</f>
        <v>25</v>
      </c>
      <c r="L158" s="556">
        <f>L157+K158</f>
        <v>150</v>
      </c>
      <c r="M158" s="597" t="s">
        <v>254</v>
      </c>
      <c r="N158" s="654">
        <f>K158*100/K159</f>
        <v>16.666666666666668</v>
      </c>
    </row>
    <row r="159" spans="10:14" ht="23.4" thickBot="1" x14ac:dyDescent="0.75">
      <c r="J159" s="500" t="s">
        <v>423</v>
      </c>
      <c r="K159" s="573">
        <f>SUM(K157:K158)</f>
        <v>150</v>
      </c>
      <c r="L159" s="574">
        <f>L158</f>
        <v>150</v>
      </c>
      <c r="M159" s="502" t="s">
        <v>254</v>
      </c>
      <c r="N159" s="575">
        <f>SUM(N157:N158)</f>
        <v>100</v>
      </c>
    </row>
    <row r="160" spans="10:14" x14ac:dyDescent="0.7">
      <c r="J160" s="584" t="s">
        <v>426</v>
      </c>
      <c r="K160" s="674"/>
      <c r="L160" s="674"/>
      <c r="M160" s="674"/>
      <c r="N160" s="674"/>
    </row>
    <row r="161" spans="10:14" ht="23.4" thickBot="1" x14ac:dyDescent="0.75"/>
    <row r="162" spans="10:14" ht="46.2" thickBot="1" x14ac:dyDescent="0.75">
      <c r="J162" s="500" t="s">
        <v>0</v>
      </c>
      <c r="K162" s="655" t="s">
        <v>23</v>
      </c>
      <c r="L162" s="655" t="s">
        <v>321</v>
      </c>
      <c r="M162" s="502" t="s">
        <v>420</v>
      </c>
      <c r="N162" s="503" t="s">
        <v>415</v>
      </c>
    </row>
    <row r="163" spans="10:14" x14ac:dyDescent="0.7">
      <c r="J163" s="739" t="s">
        <v>20</v>
      </c>
      <c r="K163" s="630">
        <f>' Snaking'!B7</f>
        <v>2</v>
      </c>
      <c r="L163" s="740">
        <f>K163</f>
        <v>2</v>
      </c>
      <c r="M163" s="656" t="s">
        <v>254</v>
      </c>
      <c r="N163" s="685">
        <f>K163*100/($K$159+SUM($K$163:$K$169))</f>
        <v>1.2634398413119559</v>
      </c>
    </row>
    <row r="164" spans="10:14" ht="25.5" customHeight="1" x14ac:dyDescent="0.7">
      <c r="J164" s="728" t="s">
        <v>1</v>
      </c>
      <c r="K164" s="631">
        <f>' Snaking'!B8</f>
        <v>2.2000000000000002</v>
      </c>
      <c r="L164" s="732">
        <f>L163+K164</f>
        <v>4.2</v>
      </c>
      <c r="M164" s="657" t="s">
        <v>254</v>
      </c>
      <c r="N164" s="686">
        <f t="shared" ref="N164:N169" si="93">K164*100/($K$159+SUM($K$163:$K$169))</f>
        <v>1.3897838254431516</v>
      </c>
    </row>
    <row r="165" spans="10:14" x14ac:dyDescent="0.7">
      <c r="J165" s="729" t="s">
        <v>21</v>
      </c>
      <c r="K165" s="628">
        <f>' Snaking'!B9</f>
        <v>1.7999999999999999E-2</v>
      </c>
      <c r="L165" s="733">
        <f>L164+K165</f>
        <v>4.218</v>
      </c>
      <c r="M165" s="658" t="s">
        <v>254</v>
      </c>
      <c r="N165" s="685">
        <f t="shared" si="93"/>
        <v>1.1370958571807602E-2</v>
      </c>
    </row>
    <row r="166" spans="10:14" x14ac:dyDescent="0.7">
      <c r="J166" s="728" t="s">
        <v>3</v>
      </c>
      <c r="K166" s="631">
        <f>' Snaking'!B10</f>
        <v>3</v>
      </c>
      <c r="L166" s="732">
        <f>L165+K166</f>
        <v>7.218</v>
      </c>
      <c r="M166" s="657" t="s">
        <v>254</v>
      </c>
      <c r="N166" s="686">
        <f t="shared" si="93"/>
        <v>1.8951597619679339</v>
      </c>
    </row>
    <row r="167" spans="10:14" x14ac:dyDescent="0.7">
      <c r="J167" s="729" t="s">
        <v>2</v>
      </c>
      <c r="K167" s="628">
        <f>' Snaking'!B11</f>
        <v>0.75</v>
      </c>
      <c r="L167" s="733">
        <f t="shared" ref="L167" si="94">L166+K167</f>
        <v>7.968</v>
      </c>
      <c r="M167" s="658" t="s">
        <v>254</v>
      </c>
      <c r="N167" s="685">
        <f>K167*100/($K$159+SUM($K$163:$K$169))</f>
        <v>0.47378994049198347</v>
      </c>
    </row>
    <row r="168" spans="10:14" x14ac:dyDescent="0.7">
      <c r="J168" s="728" t="s">
        <v>17</v>
      </c>
      <c r="K168" s="631">
        <f>' Snaking'!B12</f>
        <v>0.25</v>
      </c>
      <c r="L168" s="732">
        <f>L167+K168</f>
        <v>8.218</v>
      </c>
      <c r="M168" s="657" t="s">
        <v>254</v>
      </c>
      <c r="N168" s="686">
        <f t="shared" si="93"/>
        <v>0.15792998016399448</v>
      </c>
    </row>
    <row r="169" spans="10:14" ht="23.4" thickBot="1" x14ac:dyDescent="0.75">
      <c r="J169" s="730" t="s">
        <v>5</v>
      </c>
      <c r="K169" s="697">
        <f>' Snaking'!B13</f>
        <v>0.08</v>
      </c>
      <c r="L169" s="734">
        <f>L168+K169</f>
        <v>8.298</v>
      </c>
      <c r="M169" s="698" t="s">
        <v>254</v>
      </c>
      <c r="N169" s="685">
        <f t="shared" si="93"/>
        <v>5.0537593652478237E-2</v>
      </c>
    </row>
    <row r="170" spans="10:14" ht="24" thickTop="1" thickBot="1" x14ac:dyDescent="0.75">
      <c r="J170" s="735" t="s">
        <v>28</v>
      </c>
      <c r="K170" s="741">
        <f>' Snaking'!B14</f>
        <v>1</v>
      </c>
      <c r="L170" s="849">
        <f>K170</f>
        <v>1</v>
      </c>
      <c r="M170" s="737" t="s">
        <v>421</v>
      </c>
      <c r="N170" s="738"/>
    </row>
    <row r="171" spans="10:14" x14ac:dyDescent="0.7">
      <c r="J171" s="584" t="s">
        <v>427</v>
      </c>
    </row>
  </sheetData>
  <mergeCells count="71">
    <mergeCell ref="BL98:BP98"/>
    <mergeCell ref="V107:Z107"/>
    <mergeCell ref="AB107:AF107"/>
    <mergeCell ref="J134:N134"/>
    <mergeCell ref="J155:N155"/>
    <mergeCell ref="P107:T107"/>
    <mergeCell ref="J107:N107"/>
    <mergeCell ref="FJ80:FN80"/>
    <mergeCell ref="FJ99:FN99"/>
    <mergeCell ref="ER80:EV80"/>
    <mergeCell ref="ER99:EV99"/>
    <mergeCell ref="EX80:FB80"/>
    <mergeCell ref="FD80:FH80"/>
    <mergeCell ref="EF80:EJ80"/>
    <mergeCell ref="EF99:EJ99"/>
    <mergeCell ref="EL80:EP80"/>
    <mergeCell ref="DH80:DL80"/>
    <mergeCell ref="DN80:DR80"/>
    <mergeCell ref="DT80:DX80"/>
    <mergeCell ref="DZ80:ED80"/>
    <mergeCell ref="CP80:CT80"/>
    <mergeCell ref="CV80:CZ80"/>
    <mergeCell ref="DB80:DF80"/>
    <mergeCell ref="F10:I11"/>
    <mergeCell ref="F12:I14"/>
    <mergeCell ref="F16:I16"/>
    <mergeCell ref="F18:F19"/>
    <mergeCell ref="G18:G19"/>
    <mergeCell ref="H18:H19"/>
    <mergeCell ref="AH35:AL35"/>
    <mergeCell ref="AB35:AF35"/>
    <mergeCell ref="J77:K77"/>
    <mergeCell ref="J80:N80"/>
    <mergeCell ref="AT57:AX57"/>
    <mergeCell ref="AN57:AR57"/>
    <mergeCell ref="AH57:AL57"/>
    <mergeCell ref="A3:D3"/>
    <mergeCell ref="F3:I3"/>
    <mergeCell ref="A4:A5"/>
    <mergeCell ref="B4:B5"/>
    <mergeCell ref="C4:C5"/>
    <mergeCell ref="F4:F5"/>
    <mergeCell ref="G4:G5"/>
    <mergeCell ref="H4:H5"/>
    <mergeCell ref="AH80:AL80"/>
    <mergeCell ref="AN80:AR80"/>
    <mergeCell ref="AN4:AR4"/>
    <mergeCell ref="J35:N35"/>
    <mergeCell ref="P35:T35"/>
    <mergeCell ref="V35:Z35"/>
    <mergeCell ref="AB4:AF4"/>
    <mergeCell ref="V4:Z4"/>
    <mergeCell ref="AH4:AL4"/>
    <mergeCell ref="J4:N4"/>
    <mergeCell ref="P4:T4"/>
    <mergeCell ref="L1:AC1"/>
    <mergeCell ref="CJ80:CN80"/>
    <mergeCell ref="BX80:CB80"/>
    <mergeCell ref="CD80:CH80"/>
    <mergeCell ref="BL80:BP80"/>
    <mergeCell ref="BR80:BV80"/>
    <mergeCell ref="AB57:AF57"/>
    <mergeCell ref="V57:Z57"/>
    <mergeCell ref="P57:T57"/>
    <mergeCell ref="J57:N57"/>
    <mergeCell ref="BF80:BJ80"/>
    <mergeCell ref="AZ80:BD80"/>
    <mergeCell ref="AT80:AX80"/>
    <mergeCell ref="P80:T80"/>
    <mergeCell ref="V80:Z80"/>
    <mergeCell ref="AB80:AF80"/>
  </mergeCells>
  <pageMargins left="0.7" right="0.7" top="0.75" bottom="0.75" header="0.3" footer="0.3"/>
  <pageSetup paperSize="9" orientation="portrait" r:id="rId1"/>
  <ignoredErrors>
    <ignoredError sqref="L16 AD16" formula="1"/>
  </ignoredErrors>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7C51E-596D-42ED-806A-844068C2DE94}">
  <sheetPr codeName="Sheet16"/>
  <dimension ref="A1:K21"/>
  <sheetViews>
    <sheetView zoomScale="70" zoomScaleNormal="70" workbookViewId="0">
      <selection activeCell="Q20" sqref="Q20"/>
    </sheetView>
  </sheetViews>
  <sheetFormatPr defaultColWidth="11.5546875" defaultRowHeight="14.4" x14ac:dyDescent="0.3"/>
  <cols>
    <col min="1" max="1" width="40.109375" customWidth="1"/>
    <col min="2" max="2" width="15.109375" customWidth="1"/>
    <col min="3" max="3" width="14.109375" customWidth="1"/>
    <col min="4" max="4" width="7" customWidth="1"/>
    <col min="5" max="5" width="9.88671875" customWidth="1"/>
    <col min="7" max="7" width="40.109375" customWidth="1"/>
    <col min="8" max="8" width="15.109375" customWidth="1"/>
    <col min="9" max="9" width="14.109375" customWidth="1"/>
    <col min="10" max="10" width="7" customWidth="1"/>
    <col min="11" max="11" width="9.88671875" customWidth="1"/>
  </cols>
  <sheetData>
    <row r="1" spans="1:11" ht="28.8" x14ac:dyDescent="0.55000000000000004">
      <c r="A1" s="856" t="s">
        <v>567</v>
      </c>
      <c r="G1" s="856"/>
    </row>
    <row r="3" spans="1:11" ht="23.4" thickBot="1" x14ac:dyDescent="0.75">
      <c r="A3" s="585"/>
      <c r="B3" s="1"/>
      <c r="C3" s="498"/>
      <c r="D3" s="23"/>
      <c r="E3" s="1"/>
      <c r="G3" s="585"/>
      <c r="H3" s="1"/>
      <c r="I3" s="498"/>
      <c r="J3" s="23"/>
      <c r="K3" s="1"/>
    </row>
    <row r="4" spans="1:11" ht="23.25" customHeight="1" thickBot="1" x14ac:dyDescent="0.35">
      <c r="A4" s="1098" t="s">
        <v>566</v>
      </c>
      <c r="B4" s="1099"/>
      <c r="C4" s="1099"/>
      <c r="D4" s="1099"/>
      <c r="E4" s="1100"/>
      <c r="G4" s="1098" t="s">
        <v>568</v>
      </c>
      <c r="H4" s="1099"/>
      <c r="I4" s="1099"/>
      <c r="J4" s="1099"/>
      <c r="K4" s="1100"/>
    </row>
    <row r="5" spans="1:11" ht="46.2" thickBot="1" x14ac:dyDescent="0.35">
      <c r="A5" s="500" t="s">
        <v>422</v>
      </c>
      <c r="B5" s="501" t="s">
        <v>320</v>
      </c>
      <c r="C5" s="501" t="s">
        <v>321</v>
      </c>
      <c r="D5" s="502" t="s">
        <v>420</v>
      </c>
      <c r="E5" s="542" t="s">
        <v>415</v>
      </c>
      <c r="G5" s="500" t="s">
        <v>422</v>
      </c>
      <c r="H5" s="501" t="s">
        <v>320</v>
      </c>
      <c r="I5" s="501" t="s">
        <v>321</v>
      </c>
      <c r="J5" s="502" t="s">
        <v>420</v>
      </c>
      <c r="K5" s="542" t="s">
        <v>415</v>
      </c>
    </row>
    <row r="6" spans="1:11" ht="22.8" x14ac:dyDescent="0.3">
      <c r="A6" s="548" t="s">
        <v>456</v>
      </c>
      <c r="B6" s="522">
        <f>'Recette viandes'!$S$6</f>
        <v>69</v>
      </c>
      <c r="C6" s="549">
        <f>B6</f>
        <v>69</v>
      </c>
      <c r="D6" s="523" t="s">
        <v>254</v>
      </c>
      <c r="E6" s="521">
        <f>B6*100/B9</f>
        <v>46</v>
      </c>
      <c r="G6" s="548" t="s">
        <v>456</v>
      </c>
      <c r="H6" s="522">
        <f>'Recette viandes'!$S$6</f>
        <v>69</v>
      </c>
      <c r="I6" s="549">
        <f>H6</f>
        <v>69</v>
      </c>
      <c r="J6" s="523" t="s">
        <v>254</v>
      </c>
      <c r="K6" s="521">
        <f>H6*100/H9</f>
        <v>46</v>
      </c>
    </row>
    <row r="7" spans="1:11" ht="22.8" x14ac:dyDescent="0.3">
      <c r="A7" s="552" t="s">
        <v>454</v>
      </c>
      <c r="B7" s="528">
        <f>'Recette viandes'!$S$9</f>
        <v>34</v>
      </c>
      <c r="C7" s="553">
        <f>C6+B7</f>
        <v>103</v>
      </c>
      <c r="D7" s="529" t="s">
        <v>254</v>
      </c>
      <c r="E7" s="689">
        <f>B7*100/B9</f>
        <v>22.666666666666668</v>
      </c>
      <c r="G7" s="552" t="s">
        <v>454</v>
      </c>
      <c r="H7" s="528">
        <f>'Recette viandes'!$S$9</f>
        <v>34</v>
      </c>
      <c r="I7" s="553">
        <f>I6+H7</f>
        <v>103</v>
      </c>
      <c r="J7" s="529" t="s">
        <v>254</v>
      </c>
      <c r="K7" s="689">
        <f>H7*100/H9</f>
        <v>22.666666666666668</v>
      </c>
    </row>
    <row r="8" spans="1:11" ht="23.4" thickBot="1" x14ac:dyDescent="0.35">
      <c r="A8" s="554" t="s">
        <v>118</v>
      </c>
      <c r="B8" s="653">
        <f>'Recette viandes'!$S$7</f>
        <v>47</v>
      </c>
      <c r="C8" s="556">
        <f>C7+B8</f>
        <v>150</v>
      </c>
      <c r="D8" s="597" t="s">
        <v>254</v>
      </c>
      <c r="E8" s="690">
        <f>B8*100/B9</f>
        <v>31.333333333333332</v>
      </c>
      <c r="G8" s="554" t="s">
        <v>118</v>
      </c>
      <c r="H8" s="653">
        <f>'Recette viandes'!$S$7</f>
        <v>47</v>
      </c>
      <c r="I8" s="556">
        <f>I7+H8</f>
        <v>150</v>
      </c>
      <c r="J8" s="597" t="s">
        <v>254</v>
      </c>
      <c r="K8" s="690">
        <f>H8*100/H9</f>
        <v>31.333333333333332</v>
      </c>
    </row>
    <row r="9" spans="1:11" ht="23.4" thickBot="1" x14ac:dyDescent="0.35">
      <c r="A9" s="500" t="s">
        <v>423</v>
      </c>
      <c r="B9" s="573">
        <f>SUM(B6:B8)</f>
        <v>150</v>
      </c>
      <c r="C9" s="574">
        <f>C8</f>
        <v>150</v>
      </c>
      <c r="D9" s="502" t="s">
        <v>254</v>
      </c>
      <c r="E9" s="575">
        <f>SUM(E6:E8)</f>
        <v>100</v>
      </c>
      <c r="G9" s="500" t="s">
        <v>423</v>
      </c>
      <c r="H9" s="573">
        <f>SUM(H6:H8)</f>
        <v>150</v>
      </c>
      <c r="I9" s="574">
        <f>I8</f>
        <v>150</v>
      </c>
      <c r="J9" s="502" t="s">
        <v>254</v>
      </c>
      <c r="K9" s="575">
        <f>SUM(K6:K8)</f>
        <v>100</v>
      </c>
    </row>
    <row r="10" spans="1:11" ht="23.4" thickBot="1" x14ac:dyDescent="0.35">
      <c r="A10" s="584" t="s">
        <v>426</v>
      </c>
      <c r="B10" s="674"/>
      <c r="C10" s="674"/>
      <c r="D10" s="674"/>
      <c r="E10" s="674"/>
      <c r="G10" s="584" t="s">
        <v>426</v>
      </c>
      <c r="H10" s="674"/>
      <c r="I10" s="674"/>
      <c r="J10" s="674"/>
      <c r="K10" s="674"/>
    </row>
    <row r="11" spans="1:11" ht="46.2" thickBot="1" x14ac:dyDescent="0.35">
      <c r="A11" s="500" t="s">
        <v>0</v>
      </c>
      <c r="B11" s="655" t="s">
        <v>23</v>
      </c>
      <c r="C11" s="655" t="s">
        <v>321</v>
      </c>
      <c r="D11" s="502" t="s">
        <v>420</v>
      </c>
      <c r="E11" s="542" t="s">
        <v>415</v>
      </c>
      <c r="G11" s="500" t="s">
        <v>0</v>
      </c>
      <c r="H11" s="655" t="s">
        <v>23</v>
      </c>
      <c r="I11" s="655" t="s">
        <v>321</v>
      </c>
      <c r="J11" s="502" t="s">
        <v>420</v>
      </c>
      <c r="K11" s="542" t="s">
        <v>415</v>
      </c>
    </row>
    <row r="12" spans="1:11" ht="22.8" x14ac:dyDescent="0.3">
      <c r="A12" s="677" t="s">
        <v>20</v>
      </c>
      <c r="B12" s="630">
        <v>1.5</v>
      </c>
      <c r="C12" s="630">
        <f>B12</f>
        <v>1.5</v>
      </c>
      <c r="D12" s="656" t="s">
        <v>254</v>
      </c>
      <c r="E12" s="685" t="e">
        <f>B12*100/($BY$83+SUM($BY$88:$BY$94,$BY$96))</f>
        <v>#DIV/0!</v>
      </c>
      <c r="G12" s="677" t="s">
        <v>20</v>
      </c>
      <c r="H12" s="630">
        <v>1.5</v>
      </c>
      <c r="I12" s="630">
        <f>H12</f>
        <v>1.5</v>
      </c>
      <c r="J12" s="656" t="s">
        <v>254</v>
      </c>
      <c r="K12" s="685" t="e">
        <f>H12*100/($BY$83+SUM($BY$88:$BY$94,$BY$96))</f>
        <v>#DIV/0!</v>
      </c>
    </row>
    <row r="13" spans="1:11" ht="22.8" x14ac:dyDescent="0.3">
      <c r="A13" s="708" t="s">
        <v>1</v>
      </c>
      <c r="B13" s="631">
        <v>2.4</v>
      </c>
      <c r="C13" s="631">
        <f t="shared" ref="C13:C18" si="0">C12+B13</f>
        <v>3.9</v>
      </c>
      <c r="D13" s="657" t="s">
        <v>254</v>
      </c>
      <c r="E13" s="686" t="e">
        <f t="shared" ref="E13:E18" si="1">B13*100/($BY$83+SUM($BY$88:$BY$94,$BY$96))</f>
        <v>#DIV/0!</v>
      </c>
      <c r="G13" s="708" t="s">
        <v>1</v>
      </c>
      <c r="H13" s="631">
        <v>2.4</v>
      </c>
      <c r="I13" s="631">
        <f t="shared" ref="I13:I18" si="2">I12+H13</f>
        <v>3.9</v>
      </c>
      <c r="J13" s="657" t="s">
        <v>254</v>
      </c>
      <c r="K13" s="686" t="e">
        <f t="shared" ref="K13:K18" si="3">H13*100/($BY$83+SUM($BY$88:$BY$94,$BY$96))</f>
        <v>#DIV/0!</v>
      </c>
    </row>
    <row r="14" spans="1:11" ht="22.8" x14ac:dyDescent="0.3">
      <c r="A14" s="676" t="s">
        <v>21</v>
      </c>
      <c r="B14" s="628">
        <v>1.7999999999999999E-2</v>
      </c>
      <c r="C14" s="628">
        <f t="shared" si="0"/>
        <v>3.9179999999999997</v>
      </c>
      <c r="D14" s="658" t="s">
        <v>254</v>
      </c>
      <c r="E14" s="685" t="e">
        <f t="shared" si="1"/>
        <v>#DIV/0!</v>
      </c>
      <c r="G14" s="676" t="s">
        <v>21</v>
      </c>
      <c r="H14" s="628">
        <v>1.7999999999999999E-2</v>
      </c>
      <c r="I14" s="628">
        <f t="shared" si="2"/>
        <v>3.9179999999999997</v>
      </c>
      <c r="J14" s="658" t="s">
        <v>254</v>
      </c>
      <c r="K14" s="685" t="e">
        <f t="shared" si="3"/>
        <v>#DIV/0!</v>
      </c>
    </row>
    <row r="15" spans="1:11" ht="22.8" x14ac:dyDescent="0.3">
      <c r="A15" s="708" t="s">
        <v>3</v>
      </c>
      <c r="B15" s="631">
        <v>1.5</v>
      </c>
      <c r="C15" s="631">
        <f t="shared" si="0"/>
        <v>5.4179999999999993</v>
      </c>
      <c r="D15" s="657" t="s">
        <v>254</v>
      </c>
      <c r="E15" s="686" t="e">
        <f t="shared" si="1"/>
        <v>#DIV/0!</v>
      </c>
      <c r="G15" s="708" t="s">
        <v>3</v>
      </c>
      <c r="H15" s="631">
        <v>1.5</v>
      </c>
      <c r="I15" s="631">
        <f t="shared" si="2"/>
        <v>5.4179999999999993</v>
      </c>
      <c r="J15" s="657" t="s">
        <v>254</v>
      </c>
      <c r="K15" s="686" t="e">
        <f t="shared" si="3"/>
        <v>#DIV/0!</v>
      </c>
    </row>
    <row r="16" spans="1:11" ht="22.8" x14ac:dyDescent="0.3">
      <c r="A16" s="676" t="s">
        <v>2</v>
      </c>
      <c r="B16" s="628">
        <v>0.45</v>
      </c>
      <c r="C16" s="628">
        <f t="shared" si="0"/>
        <v>5.8679999999999994</v>
      </c>
      <c r="D16" s="658" t="s">
        <v>254</v>
      </c>
      <c r="E16" s="685" t="e">
        <f t="shared" si="1"/>
        <v>#DIV/0!</v>
      </c>
      <c r="G16" s="676" t="s">
        <v>2</v>
      </c>
      <c r="H16" s="628">
        <v>0.45</v>
      </c>
      <c r="I16" s="628">
        <f t="shared" si="2"/>
        <v>5.8679999999999994</v>
      </c>
      <c r="J16" s="658" t="s">
        <v>254</v>
      </c>
      <c r="K16" s="685" t="e">
        <f t="shared" si="3"/>
        <v>#DIV/0!</v>
      </c>
    </row>
    <row r="17" spans="1:11" ht="22.8" x14ac:dyDescent="0.3">
      <c r="A17" s="708" t="s">
        <v>17</v>
      </c>
      <c r="B17" s="631">
        <v>0.25</v>
      </c>
      <c r="C17" s="631">
        <f t="shared" si="0"/>
        <v>6.1179999999999994</v>
      </c>
      <c r="D17" s="657" t="s">
        <v>254</v>
      </c>
      <c r="E17" s="686" t="e">
        <f t="shared" si="1"/>
        <v>#DIV/0!</v>
      </c>
      <c r="G17" s="708" t="s">
        <v>17</v>
      </c>
      <c r="H17" s="631">
        <v>0.25</v>
      </c>
      <c r="I17" s="631">
        <f t="shared" si="2"/>
        <v>6.1179999999999994</v>
      </c>
      <c r="J17" s="657" t="s">
        <v>254</v>
      </c>
      <c r="K17" s="686" t="e">
        <f t="shared" si="3"/>
        <v>#DIV/0!</v>
      </c>
    </row>
    <row r="18" spans="1:11" ht="23.4" thickBot="1" x14ac:dyDescent="0.35">
      <c r="A18" s="778" t="s">
        <v>5</v>
      </c>
      <c r="B18" s="697">
        <v>0.08</v>
      </c>
      <c r="C18" s="641">
        <f t="shared" si="0"/>
        <v>6.1979999999999995</v>
      </c>
      <c r="D18" s="698" t="s">
        <v>254</v>
      </c>
      <c r="E18" s="583" t="e">
        <f t="shared" si="1"/>
        <v>#DIV/0!</v>
      </c>
      <c r="G18" s="778" t="s">
        <v>5</v>
      </c>
      <c r="H18" s="697">
        <v>0.08</v>
      </c>
      <c r="I18" s="641">
        <f t="shared" si="2"/>
        <v>6.1979999999999995</v>
      </c>
      <c r="J18" s="698" t="s">
        <v>254</v>
      </c>
      <c r="K18" s="583" t="e">
        <f t="shared" si="3"/>
        <v>#DIV/0!</v>
      </c>
    </row>
    <row r="19" spans="1:11" ht="24" thickTop="1" thickBot="1" x14ac:dyDescent="0.35">
      <c r="A19" s="779" t="s">
        <v>25</v>
      </c>
      <c r="B19" s="723">
        <v>1</v>
      </c>
      <c r="C19" s="724">
        <f>B19</f>
        <v>1</v>
      </c>
      <c r="D19" s="725" t="s">
        <v>421</v>
      </c>
      <c r="E19" s="776"/>
      <c r="G19" s="779" t="s">
        <v>25</v>
      </c>
      <c r="H19" s="723">
        <v>1</v>
      </c>
      <c r="I19" s="724">
        <f>H19</f>
        <v>1</v>
      </c>
      <c r="J19" s="725" t="s">
        <v>421</v>
      </c>
      <c r="K19" s="776"/>
    </row>
    <row r="20" spans="1:11" ht="24" thickTop="1" thickBot="1" x14ac:dyDescent="0.35">
      <c r="A20" s="777" t="s">
        <v>565</v>
      </c>
      <c r="B20" s="766">
        <v>1.5</v>
      </c>
      <c r="C20" s="767">
        <f>B20</f>
        <v>1.5</v>
      </c>
      <c r="D20" s="766" t="s">
        <v>38</v>
      </c>
      <c r="E20" s="754">
        <f>B20*100/(B9+SUM(B12:B18,B20))</f>
        <v>0.95118517673020575</v>
      </c>
      <c r="G20" s="777" t="s">
        <v>569</v>
      </c>
      <c r="H20" s="766">
        <v>3</v>
      </c>
      <c r="I20" s="767">
        <f>H20</f>
        <v>3</v>
      </c>
      <c r="J20" s="766" t="s">
        <v>38</v>
      </c>
      <c r="K20" s="754">
        <f>H20*100/(H9+SUM(H12:H18,H20))</f>
        <v>1.88444578449478</v>
      </c>
    </row>
    <row r="21" spans="1:11" ht="22.8" x14ac:dyDescent="0.7">
      <c r="A21" s="584" t="s">
        <v>427</v>
      </c>
      <c r="B21" s="1"/>
      <c r="C21" s="1"/>
      <c r="D21" s="1"/>
      <c r="E21" s="1"/>
      <c r="G21" s="584" t="s">
        <v>427</v>
      </c>
      <c r="H21" s="1"/>
      <c r="I21" s="1"/>
      <c r="J21" s="1"/>
      <c r="K21" s="1"/>
    </row>
  </sheetData>
  <mergeCells count="2">
    <mergeCell ref="A4:E4"/>
    <mergeCell ref="G4:K4"/>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F4BC5-8ADE-4E32-9638-1FD7997ED0A8}">
  <sheetPr codeName="Sheet17"/>
  <dimension ref="A2:AC27"/>
  <sheetViews>
    <sheetView workbookViewId="0">
      <selection activeCell="P19" sqref="P19"/>
    </sheetView>
  </sheetViews>
  <sheetFormatPr defaultColWidth="11.5546875" defaultRowHeight="14.4" x14ac:dyDescent="0.3"/>
  <cols>
    <col min="26" max="26" width="42.6640625" customWidth="1"/>
    <col min="27" max="27" width="16.88671875" customWidth="1"/>
    <col min="28" max="28" width="6" style="63" customWidth="1"/>
    <col min="29" max="29" width="13.5546875" customWidth="1"/>
  </cols>
  <sheetData>
    <row r="2" spans="1:29" ht="20.399999999999999" thickBot="1" x14ac:dyDescent="0.35">
      <c r="Z2" s="1147" t="s">
        <v>30</v>
      </c>
      <c r="AA2" s="1148"/>
      <c r="AB2" s="1148"/>
      <c r="AC2" s="1148"/>
    </row>
    <row r="3" spans="1:29" ht="35.25" customHeight="1" thickTop="1" thickBot="1" x14ac:dyDescent="0.35">
      <c r="A3" s="1144" t="s">
        <v>85</v>
      </c>
      <c r="B3" s="1061"/>
      <c r="C3" s="1061"/>
      <c r="D3" s="1061"/>
      <c r="E3" s="424"/>
      <c r="G3" s="1144" t="s">
        <v>130</v>
      </c>
      <c r="H3" s="1061"/>
      <c r="I3" s="1061"/>
      <c r="J3" s="1061"/>
      <c r="K3" s="424"/>
      <c r="M3" s="1145" t="s">
        <v>345</v>
      </c>
      <c r="N3" s="1068"/>
      <c r="O3" s="1068"/>
      <c r="P3" s="1068"/>
      <c r="Q3" s="436"/>
      <c r="T3" s="1146" t="s">
        <v>133</v>
      </c>
      <c r="U3" s="1070"/>
      <c r="V3" s="1070"/>
      <c r="W3" s="1070"/>
      <c r="X3" s="440"/>
      <c r="Z3" s="10"/>
      <c r="AA3" s="9"/>
    </row>
    <row r="4" spans="1:29" ht="16.5" customHeight="1" thickTop="1" thickBot="1" x14ac:dyDescent="0.35">
      <c r="A4" s="10"/>
      <c r="B4" s="9"/>
      <c r="C4" s="9"/>
      <c r="D4" s="63"/>
      <c r="G4" s="10"/>
      <c r="H4" s="9"/>
      <c r="I4" s="9"/>
      <c r="J4" s="63"/>
      <c r="M4" s="10"/>
      <c r="N4" s="9"/>
      <c r="O4" s="9"/>
      <c r="P4" s="63"/>
      <c r="T4" s="10"/>
      <c r="U4" s="9"/>
      <c r="V4" s="9"/>
      <c r="W4" s="63"/>
      <c r="Z4" s="1151" t="s">
        <v>0</v>
      </c>
      <c r="AA4" s="1153" t="s">
        <v>23</v>
      </c>
      <c r="AB4" s="1149" t="s">
        <v>35</v>
      </c>
      <c r="AC4" s="92" t="s">
        <v>47</v>
      </c>
    </row>
    <row r="5" spans="1:29" ht="34.5" customHeight="1" thickBot="1" x14ac:dyDescent="0.35">
      <c r="A5" s="1024" t="s">
        <v>0</v>
      </c>
      <c r="B5" s="1024" t="s">
        <v>23</v>
      </c>
      <c r="C5" s="1024" t="s">
        <v>321</v>
      </c>
      <c r="D5" s="1026" t="s">
        <v>35</v>
      </c>
      <c r="E5" s="398" t="s">
        <v>47</v>
      </c>
      <c r="G5" s="1024" t="s">
        <v>0</v>
      </c>
      <c r="H5" s="1024" t="s">
        <v>23</v>
      </c>
      <c r="I5" s="1024" t="s">
        <v>321</v>
      </c>
      <c r="J5" s="1026" t="s">
        <v>35</v>
      </c>
      <c r="K5" s="398" t="s">
        <v>47</v>
      </c>
      <c r="M5" s="1024" t="s">
        <v>0</v>
      </c>
      <c r="N5" s="1025" t="s">
        <v>23</v>
      </c>
      <c r="O5" s="1025" t="s">
        <v>321</v>
      </c>
      <c r="P5" s="1026" t="s">
        <v>35</v>
      </c>
      <c r="Q5" s="398" t="s">
        <v>47</v>
      </c>
      <c r="T5" s="1013" t="s">
        <v>0</v>
      </c>
      <c r="U5" s="1072" t="s">
        <v>23</v>
      </c>
      <c r="V5" s="1072" t="s">
        <v>321</v>
      </c>
      <c r="W5" s="1081" t="s">
        <v>35</v>
      </c>
      <c r="X5" s="92" t="s">
        <v>47</v>
      </c>
      <c r="Z5" s="1152"/>
      <c r="AA5" s="1074"/>
      <c r="AB5" s="1150"/>
      <c r="AC5" s="34">
        <f>'PLANNING DE FABRICATION'!E94</f>
        <v>0</v>
      </c>
    </row>
    <row r="6" spans="1:29" ht="34.5" customHeight="1" thickBot="1" x14ac:dyDescent="0.35">
      <c r="A6" s="1024"/>
      <c r="B6" s="1024"/>
      <c r="C6" s="1024"/>
      <c r="D6" s="1026"/>
      <c r="E6" s="353">
        <f>0</f>
        <v>0</v>
      </c>
      <c r="G6" s="1024"/>
      <c r="H6" s="1024"/>
      <c r="I6" s="1024"/>
      <c r="J6" s="1026"/>
      <c r="K6" s="353">
        <f>'PLANNING DE FABRICATION'!E36</f>
        <v>0</v>
      </c>
      <c r="M6" s="1024"/>
      <c r="N6" s="1025"/>
      <c r="O6" s="1025"/>
      <c r="P6" s="1026"/>
      <c r="Q6" s="353">
        <f>'PLANNING DE FABRICATION'!E40</f>
        <v>0</v>
      </c>
      <c r="T6" s="1075"/>
      <c r="U6" s="1076"/>
      <c r="V6" s="1074"/>
      <c r="W6" s="1082"/>
      <c r="X6" s="34">
        <f>'PLANNING DE FABRICATION'!E62</f>
        <v>0</v>
      </c>
      <c r="Z6" s="120" t="s">
        <v>1</v>
      </c>
      <c r="AA6" s="111">
        <v>3.9</v>
      </c>
      <c r="AB6" s="314" t="s">
        <v>254</v>
      </c>
      <c r="AC6" s="72">
        <f t="shared" ref="AC6:AC12" si="0">AA6*$AC$5</f>
        <v>0</v>
      </c>
    </row>
    <row r="7" spans="1:29" ht="35.25" customHeight="1" x14ac:dyDescent="0.3">
      <c r="A7" s="381" t="s">
        <v>20</v>
      </c>
      <c r="B7" s="78">
        <v>2</v>
      </c>
      <c r="C7" s="78">
        <f>B7</f>
        <v>2</v>
      </c>
      <c r="D7" s="359" t="s">
        <v>254</v>
      </c>
      <c r="E7" s="79">
        <f t="shared" ref="E7:E15" si="1">B7*$E$6</f>
        <v>0</v>
      </c>
      <c r="G7" s="381" t="s">
        <v>1</v>
      </c>
      <c r="H7" s="78">
        <v>4</v>
      </c>
      <c r="I7" s="78">
        <f>H7</f>
        <v>4</v>
      </c>
      <c r="J7" s="359" t="s">
        <v>254</v>
      </c>
      <c r="K7" s="79">
        <f t="shared" ref="K7:K13" si="2">H7*$K$6</f>
        <v>0</v>
      </c>
      <c r="M7" s="381" t="s">
        <v>1</v>
      </c>
      <c r="N7" s="78">
        <v>3.9</v>
      </c>
      <c r="O7" s="78">
        <f>N7</f>
        <v>3.9</v>
      </c>
      <c r="P7" s="359" t="s">
        <v>254</v>
      </c>
      <c r="Q7" s="79">
        <f t="shared" ref="Q7:Q13" si="3">N7*$Q$6</f>
        <v>0</v>
      </c>
      <c r="T7" s="123" t="s">
        <v>20</v>
      </c>
      <c r="U7" s="54">
        <v>1.5</v>
      </c>
      <c r="V7" s="54">
        <f>U7</f>
        <v>1.5</v>
      </c>
      <c r="W7" s="64" t="s">
        <v>254</v>
      </c>
      <c r="X7" s="72">
        <f t="shared" ref="X7:X14" si="4">U7*$X$6</f>
        <v>0</v>
      </c>
      <c r="Z7" s="121" t="s">
        <v>21</v>
      </c>
      <c r="AA7" s="13">
        <v>1.2E-2</v>
      </c>
      <c r="AB7" s="65" t="s">
        <v>254</v>
      </c>
      <c r="AC7" s="56">
        <f t="shared" si="0"/>
        <v>0</v>
      </c>
    </row>
    <row r="8" spans="1:29" ht="35.25" customHeight="1" x14ac:dyDescent="0.3">
      <c r="A8" s="380" t="s">
        <v>1</v>
      </c>
      <c r="B8" s="80">
        <v>2.2000000000000002</v>
      </c>
      <c r="C8" s="80">
        <f t="shared" ref="C8:C13" si="5">C7+B8</f>
        <v>4.2</v>
      </c>
      <c r="D8" s="357" t="s">
        <v>254</v>
      </c>
      <c r="E8" s="79">
        <f t="shared" si="1"/>
        <v>0</v>
      </c>
      <c r="G8" s="380" t="s">
        <v>21</v>
      </c>
      <c r="H8" s="80">
        <v>0.03</v>
      </c>
      <c r="I8" s="80">
        <f>I7+H8</f>
        <v>4.03</v>
      </c>
      <c r="J8" s="357" t="s">
        <v>254</v>
      </c>
      <c r="K8" s="79">
        <f t="shared" si="2"/>
        <v>0</v>
      </c>
      <c r="M8" s="380" t="s">
        <v>21</v>
      </c>
      <c r="N8" s="80">
        <v>0.03</v>
      </c>
      <c r="O8" s="80">
        <f>O7+N8</f>
        <v>3.9299999999999997</v>
      </c>
      <c r="P8" s="357" t="s">
        <v>254</v>
      </c>
      <c r="Q8" s="79">
        <f t="shared" si="3"/>
        <v>0</v>
      </c>
      <c r="T8" s="122" t="s">
        <v>1</v>
      </c>
      <c r="U8" s="84">
        <v>2.4</v>
      </c>
      <c r="V8" s="84">
        <f t="shared" ref="V8:V13" si="6">V7+U8</f>
        <v>3.9</v>
      </c>
      <c r="W8" s="81" t="s">
        <v>254</v>
      </c>
      <c r="X8" s="56">
        <f t="shared" si="4"/>
        <v>0</v>
      </c>
      <c r="Z8" s="122" t="s">
        <v>3</v>
      </c>
      <c r="AA8" s="55">
        <v>1.5</v>
      </c>
      <c r="AB8" s="81" t="s">
        <v>254</v>
      </c>
      <c r="AC8" s="56">
        <f t="shared" si="0"/>
        <v>0</v>
      </c>
    </row>
    <row r="9" spans="1:29" ht="35.25" customHeight="1" x14ac:dyDescent="0.3">
      <c r="A9" s="381" t="s">
        <v>21</v>
      </c>
      <c r="B9" s="78">
        <v>1.7999999999999999E-2</v>
      </c>
      <c r="C9" s="78">
        <f t="shared" si="5"/>
        <v>4.218</v>
      </c>
      <c r="D9" s="359" t="s">
        <v>254</v>
      </c>
      <c r="E9" s="79">
        <f t="shared" si="1"/>
        <v>0</v>
      </c>
      <c r="G9" s="381" t="s">
        <v>3</v>
      </c>
      <c r="H9" s="78">
        <v>1.5</v>
      </c>
      <c r="I9" s="78">
        <f>I8+H9</f>
        <v>5.53</v>
      </c>
      <c r="J9" s="359" t="s">
        <v>254</v>
      </c>
      <c r="K9" s="79">
        <f t="shared" si="2"/>
        <v>0</v>
      </c>
      <c r="M9" s="381" t="s">
        <v>3</v>
      </c>
      <c r="N9" s="78">
        <v>1.5</v>
      </c>
      <c r="O9" s="78">
        <f>O8+N9</f>
        <v>5.43</v>
      </c>
      <c r="P9" s="359" t="s">
        <v>254</v>
      </c>
      <c r="Q9" s="79">
        <f t="shared" si="3"/>
        <v>0</v>
      </c>
      <c r="T9" s="121" t="s">
        <v>21</v>
      </c>
      <c r="U9" s="15">
        <v>1.7999999999999999E-2</v>
      </c>
      <c r="V9" s="15">
        <f t="shared" si="6"/>
        <v>3.9179999999999997</v>
      </c>
      <c r="W9" s="65" t="s">
        <v>254</v>
      </c>
      <c r="X9" s="56">
        <f t="shared" si="4"/>
        <v>0</v>
      </c>
      <c r="Z9" s="121" t="s">
        <v>2</v>
      </c>
      <c r="AA9" s="13">
        <v>0.45</v>
      </c>
      <c r="AB9" s="65" t="s">
        <v>254</v>
      </c>
      <c r="AC9" s="56">
        <f t="shared" si="0"/>
        <v>0</v>
      </c>
    </row>
    <row r="10" spans="1:29" ht="35.25" customHeight="1" x14ac:dyDescent="0.3">
      <c r="A10" s="380" t="s">
        <v>3</v>
      </c>
      <c r="B10" s="80">
        <v>3</v>
      </c>
      <c r="C10" s="80">
        <f t="shared" si="5"/>
        <v>7.218</v>
      </c>
      <c r="D10" s="357" t="s">
        <v>254</v>
      </c>
      <c r="E10" s="79">
        <f t="shared" si="1"/>
        <v>0</v>
      </c>
      <c r="G10" s="380" t="s">
        <v>2</v>
      </c>
      <c r="H10" s="80">
        <v>0.5</v>
      </c>
      <c r="I10" s="80">
        <f>I9+H10</f>
        <v>6.03</v>
      </c>
      <c r="J10" s="357" t="s">
        <v>254</v>
      </c>
      <c r="K10" s="79">
        <f t="shared" si="2"/>
        <v>0</v>
      </c>
      <c r="M10" s="380" t="s">
        <v>2</v>
      </c>
      <c r="N10" s="80">
        <v>0.45</v>
      </c>
      <c r="O10" s="80">
        <f>O9+N10</f>
        <v>5.88</v>
      </c>
      <c r="P10" s="357" t="s">
        <v>254</v>
      </c>
      <c r="Q10" s="79">
        <f t="shared" si="3"/>
        <v>0</v>
      </c>
      <c r="T10" s="122" t="s">
        <v>3</v>
      </c>
      <c r="U10" s="84">
        <v>1.5</v>
      </c>
      <c r="V10" s="84">
        <f t="shared" si="6"/>
        <v>5.4179999999999993</v>
      </c>
      <c r="W10" s="81" t="s">
        <v>254</v>
      </c>
      <c r="X10" s="56">
        <f t="shared" si="4"/>
        <v>0</v>
      </c>
      <c r="Z10" s="122" t="s">
        <v>17</v>
      </c>
      <c r="AA10" s="55">
        <v>0.25</v>
      </c>
      <c r="AB10" s="81" t="s">
        <v>254</v>
      </c>
      <c r="AC10" s="56">
        <f t="shared" si="0"/>
        <v>0</v>
      </c>
    </row>
    <row r="11" spans="1:29" ht="35.25" customHeight="1" thickBot="1" x14ac:dyDescent="0.35">
      <c r="A11" s="381" t="s">
        <v>2</v>
      </c>
      <c r="B11" s="78">
        <v>0.75</v>
      </c>
      <c r="C11" s="78">
        <f t="shared" si="5"/>
        <v>7.968</v>
      </c>
      <c r="D11" s="359" t="s">
        <v>254</v>
      </c>
      <c r="E11" s="79">
        <f t="shared" si="1"/>
        <v>0</v>
      </c>
      <c r="G11" s="381" t="s">
        <v>17</v>
      </c>
      <c r="H11" s="78">
        <v>0.25</v>
      </c>
      <c r="I11" s="78">
        <f>I10+H11</f>
        <v>6.28</v>
      </c>
      <c r="J11" s="359" t="s">
        <v>254</v>
      </c>
      <c r="K11" s="79">
        <f t="shared" si="2"/>
        <v>0</v>
      </c>
      <c r="M11" s="381" t="s">
        <v>17</v>
      </c>
      <c r="N11" s="78">
        <v>0.2</v>
      </c>
      <c r="O11" s="78">
        <f>O10+N11</f>
        <v>6.08</v>
      </c>
      <c r="P11" s="359" t="s">
        <v>254</v>
      </c>
      <c r="Q11" s="79">
        <f t="shared" si="3"/>
        <v>0</v>
      </c>
      <c r="T11" s="121" t="s">
        <v>2</v>
      </c>
      <c r="U11" s="15">
        <v>0.45</v>
      </c>
      <c r="V11" s="15">
        <f t="shared" si="6"/>
        <v>5.8679999999999994</v>
      </c>
      <c r="W11" s="65" t="s">
        <v>254</v>
      </c>
      <c r="X11" s="56">
        <f t="shared" si="4"/>
        <v>0</v>
      </c>
      <c r="Z11" s="126" t="s">
        <v>5</v>
      </c>
      <c r="AA11" s="75">
        <v>0.08</v>
      </c>
      <c r="AB11" s="71" t="s">
        <v>254</v>
      </c>
      <c r="AC11" s="58">
        <f t="shared" si="0"/>
        <v>0</v>
      </c>
    </row>
    <row r="12" spans="1:29" ht="35.25" customHeight="1" thickTop="1" thickBot="1" x14ac:dyDescent="0.35">
      <c r="A12" s="380" t="s">
        <v>17</v>
      </c>
      <c r="B12" s="80">
        <v>0.25</v>
      </c>
      <c r="C12" s="80">
        <f t="shared" si="5"/>
        <v>8.218</v>
      </c>
      <c r="D12" s="357" t="s">
        <v>254</v>
      </c>
      <c r="E12" s="79">
        <f t="shared" si="1"/>
        <v>0</v>
      </c>
      <c r="G12" s="383" t="s">
        <v>5</v>
      </c>
      <c r="H12" s="364">
        <v>0.08</v>
      </c>
      <c r="I12" s="364">
        <f>I11+H12</f>
        <v>6.36</v>
      </c>
      <c r="J12" s="365" t="s">
        <v>254</v>
      </c>
      <c r="K12" s="82">
        <f t="shared" si="2"/>
        <v>0</v>
      </c>
      <c r="M12" s="383" t="s">
        <v>5</v>
      </c>
      <c r="N12" s="364">
        <v>0.08</v>
      </c>
      <c r="O12" s="364">
        <f>O11+N12</f>
        <v>6.16</v>
      </c>
      <c r="P12" s="365" t="s">
        <v>254</v>
      </c>
      <c r="Q12" s="82">
        <f t="shared" si="3"/>
        <v>0</v>
      </c>
      <c r="T12" s="122" t="s">
        <v>17</v>
      </c>
      <c r="U12" s="84">
        <v>0.25</v>
      </c>
      <c r="V12" s="84">
        <f t="shared" si="6"/>
        <v>6.1179999999999994</v>
      </c>
      <c r="W12" s="81" t="s">
        <v>254</v>
      </c>
      <c r="X12" s="56">
        <f t="shared" si="4"/>
        <v>0</v>
      </c>
      <c r="Z12" s="445" t="s">
        <v>29</v>
      </c>
      <c r="AA12" s="446">
        <v>1</v>
      </c>
      <c r="AB12" s="447" t="s">
        <v>34</v>
      </c>
      <c r="AC12" s="72">
        <f t="shared" si="0"/>
        <v>0</v>
      </c>
    </row>
    <row r="13" spans="1:29" ht="35.25" customHeight="1" thickTop="1" thickBot="1" x14ac:dyDescent="0.35">
      <c r="A13" s="396" t="s">
        <v>5</v>
      </c>
      <c r="B13" s="371">
        <v>0.08</v>
      </c>
      <c r="C13" s="371">
        <f t="shared" si="5"/>
        <v>8.298</v>
      </c>
      <c r="D13" s="372" t="s">
        <v>254</v>
      </c>
      <c r="E13" s="82">
        <f t="shared" si="1"/>
        <v>0</v>
      </c>
      <c r="G13" s="421" t="s">
        <v>28</v>
      </c>
      <c r="H13" s="422">
        <v>1</v>
      </c>
      <c r="I13" s="422">
        <f>H13</f>
        <v>1</v>
      </c>
      <c r="J13" s="51" t="s">
        <v>34</v>
      </c>
      <c r="K13" s="38">
        <f t="shared" si="2"/>
        <v>0</v>
      </c>
      <c r="M13" s="421" t="s">
        <v>25</v>
      </c>
      <c r="N13" s="422">
        <v>1</v>
      </c>
      <c r="O13" s="422">
        <f>N13</f>
        <v>1</v>
      </c>
      <c r="P13" s="51" t="s">
        <v>34</v>
      </c>
      <c r="Q13" s="38">
        <f t="shared" si="3"/>
        <v>0</v>
      </c>
      <c r="T13" s="126" t="s">
        <v>5</v>
      </c>
      <c r="U13" s="57">
        <v>0.08</v>
      </c>
      <c r="V13" s="321">
        <f t="shared" si="6"/>
        <v>6.1979999999999995</v>
      </c>
      <c r="W13" s="71" t="s">
        <v>254</v>
      </c>
      <c r="X13" s="60">
        <f t="shared" si="4"/>
        <v>0</v>
      </c>
      <c r="AC13" s="83"/>
    </row>
    <row r="14" spans="1:29" ht="35.25" customHeight="1" thickBot="1" x14ac:dyDescent="0.35">
      <c r="A14" s="385" t="s">
        <v>28</v>
      </c>
      <c r="B14" s="400">
        <v>1</v>
      </c>
      <c r="C14" s="77">
        <f>B14</f>
        <v>1</v>
      </c>
      <c r="D14" s="43" t="s">
        <v>34</v>
      </c>
      <c r="E14" s="38">
        <f t="shared" si="1"/>
        <v>0</v>
      </c>
      <c r="P14" s="63"/>
      <c r="Q14" s="91"/>
      <c r="T14" s="315" t="s">
        <v>25</v>
      </c>
      <c r="U14" s="316">
        <v>1</v>
      </c>
      <c r="V14" s="312">
        <f>U14</f>
        <v>1</v>
      </c>
      <c r="W14" s="323" t="s">
        <v>34</v>
      </c>
      <c r="X14" s="62">
        <f t="shared" si="4"/>
        <v>0</v>
      </c>
    </row>
    <row r="15" spans="1:29" ht="35.25" customHeight="1" x14ac:dyDescent="0.3">
      <c r="A15" s="389" t="s">
        <v>83</v>
      </c>
      <c r="B15" s="387">
        <v>4.5</v>
      </c>
      <c r="C15" s="387">
        <f>B15</f>
        <v>4.5</v>
      </c>
      <c r="D15" s="402" t="s">
        <v>254</v>
      </c>
      <c r="E15" s="38">
        <f t="shared" si="1"/>
        <v>0</v>
      </c>
      <c r="J15" s="63"/>
      <c r="K15" s="91"/>
    </row>
    <row r="16" spans="1:29" ht="35.25" customHeight="1" x14ac:dyDescent="0.3">
      <c r="D16" s="63"/>
      <c r="E16" s="91"/>
      <c r="Z16" s="1147" t="s">
        <v>197</v>
      </c>
      <c r="AA16" s="1148"/>
      <c r="AB16" s="1148"/>
      <c r="AC16" s="1148"/>
    </row>
    <row r="17" spans="26:29" ht="21.6" thickBot="1" x14ac:dyDescent="0.35">
      <c r="Z17" s="10"/>
      <c r="AA17" s="9"/>
    </row>
    <row r="18" spans="26:29" ht="21.6" thickBot="1" x14ac:dyDescent="0.35">
      <c r="Z18" s="1151" t="s">
        <v>0</v>
      </c>
      <c r="AA18" s="1153" t="s">
        <v>23</v>
      </c>
      <c r="AB18" s="1149" t="s">
        <v>35</v>
      </c>
      <c r="AC18" s="92" t="s">
        <v>47</v>
      </c>
    </row>
    <row r="19" spans="26:29" ht="20.399999999999999" thickBot="1" x14ac:dyDescent="0.35">
      <c r="Z19" s="1152"/>
      <c r="AA19" s="1074"/>
      <c r="AB19" s="1150"/>
      <c r="AC19" s="34">
        <f>'PLANNING DE FABRICATION'!E108</f>
        <v>0</v>
      </c>
    </row>
    <row r="20" spans="26:29" ht="21" x14ac:dyDescent="0.3">
      <c r="Z20" s="120" t="s">
        <v>1</v>
      </c>
      <c r="AA20" s="111">
        <v>0.6</v>
      </c>
      <c r="AB20" s="314" t="s">
        <v>254</v>
      </c>
      <c r="AC20" s="72">
        <f t="shared" ref="AC20:AC26" si="7">AA20*$AC$19</f>
        <v>0</v>
      </c>
    </row>
    <row r="21" spans="26:29" ht="21" x14ac:dyDescent="0.3">
      <c r="Z21" s="121" t="s">
        <v>21</v>
      </c>
      <c r="AA21" s="13">
        <v>2.4</v>
      </c>
      <c r="AB21" s="65" t="s">
        <v>254</v>
      </c>
      <c r="AC21" s="72">
        <f t="shared" si="7"/>
        <v>0</v>
      </c>
    </row>
    <row r="22" spans="26:29" ht="21" x14ac:dyDescent="0.3">
      <c r="Z22" s="122" t="s">
        <v>3</v>
      </c>
      <c r="AA22" s="55">
        <v>0.9</v>
      </c>
      <c r="AB22" s="81" t="s">
        <v>254</v>
      </c>
      <c r="AC22" s="72">
        <f t="shared" si="7"/>
        <v>0</v>
      </c>
    </row>
    <row r="23" spans="26:29" ht="21" x14ac:dyDescent="0.3">
      <c r="Z23" s="121" t="s">
        <v>2</v>
      </c>
      <c r="AA23" s="13">
        <v>0.45</v>
      </c>
      <c r="AB23" s="65" t="s">
        <v>254</v>
      </c>
      <c r="AC23" s="72">
        <f t="shared" si="7"/>
        <v>0</v>
      </c>
    </row>
    <row r="24" spans="26:29" ht="21" x14ac:dyDescent="0.3">
      <c r="Z24" s="122" t="s">
        <v>17</v>
      </c>
      <c r="AA24" s="55">
        <v>0.25</v>
      </c>
      <c r="AB24" s="81" t="s">
        <v>254</v>
      </c>
      <c r="AC24" s="72">
        <f t="shared" si="7"/>
        <v>0</v>
      </c>
    </row>
    <row r="25" spans="26:29" ht="21.6" thickBot="1" x14ac:dyDescent="0.35">
      <c r="Z25" s="128" t="s">
        <v>5</v>
      </c>
      <c r="AA25" s="59">
        <v>0.08</v>
      </c>
      <c r="AB25" s="66" t="s">
        <v>254</v>
      </c>
      <c r="AC25" s="93">
        <f t="shared" si="7"/>
        <v>0</v>
      </c>
    </row>
    <row r="26" spans="26:29" ht="21.6" thickBot="1" x14ac:dyDescent="0.35">
      <c r="Z26" s="311" t="s">
        <v>22</v>
      </c>
      <c r="AA26" s="312">
        <v>1</v>
      </c>
      <c r="AB26" s="433" t="s">
        <v>34</v>
      </c>
      <c r="AC26" s="62">
        <f t="shared" si="7"/>
        <v>0</v>
      </c>
    </row>
    <row r="27" spans="26:29" ht="19.8" x14ac:dyDescent="0.3">
      <c r="AC27" s="83"/>
    </row>
  </sheetData>
  <sheetProtection algorithmName="SHA-512" hashValue="V4wRo+wA5FJf09/xj0c4yIQpPKLwdy0/BzfK4NjkVYohQFOEHxuNZPpF/OTPV5LU//oLlaReAjztJ2i2CLfruQ==" saltValue="GpUW6OHTusY6yq4m7NB6jw==" spinCount="100000" sheet="1" objects="1" scenarios="1"/>
  <mergeCells count="28">
    <mergeCell ref="Z18:Z19"/>
    <mergeCell ref="AA18:AA19"/>
    <mergeCell ref="AB18:AB19"/>
    <mergeCell ref="AA4:AA5"/>
    <mergeCell ref="W5:W6"/>
    <mergeCell ref="T3:W3"/>
    <mergeCell ref="Z2:AC2"/>
    <mergeCell ref="AB4:AB5"/>
    <mergeCell ref="Z4:Z5"/>
    <mergeCell ref="Z16:AC16"/>
    <mergeCell ref="V5:V6"/>
    <mergeCell ref="T5:T6"/>
    <mergeCell ref="U5:U6"/>
    <mergeCell ref="O5:O6"/>
    <mergeCell ref="N5:N6"/>
    <mergeCell ref="M5:M6"/>
    <mergeCell ref="P5:P6"/>
    <mergeCell ref="M3:P3"/>
    <mergeCell ref="A3:D3"/>
    <mergeCell ref="G3:J3"/>
    <mergeCell ref="A5:A6"/>
    <mergeCell ref="B5:B6"/>
    <mergeCell ref="D5:D6"/>
    <mergeCell ref="C5:C6"/>
    <mergeCell ref="H5:H6"/>
    <mergeCell ref="J5:J6"/>
    <mergeCell ref="I5:I6"/>
    <mergeCell ref="G5:G6"/>
  </mergeCell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340C5-A0A1-4B62-94AA-9E5846F10F30}">
  <sheetPr codeName="Sheet18"/>
  <dimension ref="A1:E31"/>
  <sheetViews>
    <sheetView workbookViewId="0">
      <selection activeCell="E8" sqref="E8"/>
    </sheetView>
  </sheetViews>
  <sheetFormatPr defaultColWidth="11.5546875" defaultRowHeight="14.4" x14ac:dyDescent="0.3"/>
  <cols>
    <col min="1" max="1" width="19.6640625" bestFit="1" customWidth="1"/>
    <col min="2" max="2" width="19.6640625" customWidth="1"/>
    <col min="5" max="5" width="21" bestFit="1" customWidth="1"/>
  </cols>
  <sheetData>
    <row r="1" spans="1:5" ht="51.6" x14ac:dyDescent="0.3">
      <c r="A1" s="854" t="s">
        <v>536</v>
      </c>
      <c r="B1" s="854" t="s">
        <v>556</v>
      </c>
      <c r="C1" s="855" t="s">
        <v>552</v>
      </c>
      <c r="D1" s="855" t="s">
        <v>553</v>
      </c>
      <c r="E1" s="854"/>
    </row>
    <row r="2" spans="1:5" x14ac:dyDescent="0.3">
      <c r="A2" s="854" t="s">
        <v>113</v>
      </c>
    </row>
    <row r="3" spans="1:5" x14ac:dyDescent="0.3">
      <c r="A3" t="s">
        <v>198</v>
      </c>
    </row>
    <row r="4" spans="1:5" x14ac:dyDescent="0.3">
      <c r="A4" t="s">
        <v>557</v>
      </c>
    </row>
    <row r="5" spans="1:5" x14ac:dyDescent="0.3">
      <c r="A5" t="s">
        <v>558</v>
      </c>
    </row>
    <row r="6" spans="1:5" x14ac:dyDescent="0.3">
      <c r="A6" t="s">
        <v>559</v>
      </c>
    </row>
    <row r="7" spans="1:5" x14ac:dyDescent="0.3">
      <c r="A7" t="s">
        <v>560</v>
      </c>
      <c r="B7">
        <f>SUM(C7:D7)</f>
        <v>118</v>
      </c>
      <c r="C7">
        <v>58</v>
      </c>
      <c r="D7">
        <v>60</v>
      </c>
    </row>
    <row r="8" spans="1:5" x14ac:dyDescent="0.3">
      <c r="A8" t="s">
        <v>561</v>
      </c>
      <c r="B8">
        <f>SUM(C8:D8)</f>
        <v>182</v>
      </c>
      <c r="C8">
        <v>92</v>
      </c>
      <c r="D8">
        <v>90</v>
      </c>
    </row>
    <row r="11" spans="1:5" x14ac:dyDescent="0.3">
      <c r="A11" s="854" t="s">
        <v>0</v>
      </c>
      <c r="C11" s="455"/>
    </row>
    <row r="12" spans="1:5" x14ac:dyDescent="0.3">
      <c r="A12" t="s">
        <v>537</v>
      </c>
      <c r="B12">
        <f t="shared" ref="B12:B29" si="0">SUM(C12:D12)</f>
        <v>7.5</v>
      </c>
      <c r="C12" s="455">
        <v>3.75</v>
      </c>
      <c r="D12" s="455">
        <v>3.75</v>
      </c>
    </row>
    <row r="13" spans="1:5" x14ac:dyDescent="0.3">
      <c r="A13" t="s">
        <v>40</v>
      </c>
      <c r="B13">
        <f t="shared" si="0"/>
        <v>1.5</v>
      </c>
      <c r="C13" s="455">
        <v>0.75</v>
      </c>
      <c r="D13" s="455">
        <v>0.75</v>
      </c>
    </row>
    <row r="14" spans="1:5" x14ac:dyDescent="0.3">
      <c r="A14" t="s">
        <v>538</v>
      </c>
      <c r="B14">
        <f t="shared" si="0"/>
        <v>0.04</v>
      </c>
      <c r="C14" s="455">
        <v>0.02</v>
      </c>
      <c r="D14" s="455">
        <v>0.02</v>
      </c>
    </row>
    <row r="15" spans="1:5" x14ac:dyDescent="0.3">
      <c r="A15" t="s">
        <v>539</v>
      </c>
      <c r="B15">
        <f t="shared" si="0"/>
        <v>0.9</v>
      </c>
      <c r="C15" s="455">
        <v>0.45</v>
      </c>
      <c r="D15" s="455">
        <v>0.45</v>
      </c>
    </row>
    <row r="16" spans="1:5" x14ac:dyDescent="0.3">
      <c r="A16" t="s">
        <v>540</v>
      </c>
      <c r="B16">
        <f t="shared" si="0"/>
        <v>0.6</v>
      </c>
      <c r="C16" s="455">
        <v>0.3</v>
      </c>
      <c r="D16" s="455">
        <v>0.3</v>
      </c>
    </row>
    <row r="17" spans="1:4" x14ac:dyDescent="0.3">
      <c r="A17" t="s">
        <v>541</v>
      </c>
      <c r="B17">
        <f t="shared" si="0"/>
        <v>6</v>
      </c>
      <c r="C17" s="455">
        <v>3</v>
      </c>
      <c r="D17" s="455">
        <v>3</v>
      </c>
    </row>
    <row r="18" spans="1:4" x14ac:dyDescent="0.3">
      <c r="A18" t="s">
        <v>542</v>
      </c>
      <c r="B18">
        <f t="shared" si="0"/>
        <v>0.6</v>
      </c>
      <c r="C18" s="455">
        <v>0.3</v>
      </c>
      <c r="D18" s="455">
        <v>0.3</v>
      </c>
    </row>
    <row r="19" spans="1:4" x14ac:dyDescent="0.3">
      <c r="A19" t="s">
        <v>543</v>
      </c>
      <c r="B19">
        <f t="shared" si="0"/>
        <v>0.16</v>
      </c>
      <c r="C19" s="455">
        <v>0.08</v>
      </c>
      <c r="D19" s="455">
        <v>0.08</v>
      </c>
    </row>
    <row r="20" spans="1:4" x14ac:dyDescent="0.3">
      <c r="A20" t="s">
        <v>544</v>
      </c>
      <c r="B20">
        <f t="shared" si="0"/>
        <v>1.5</v>
      </c>
      <c r="C20" s="455">
        <v>0.75</v>
      </c>
      <c r="D20" s="455">
        <v>0.75</v>
      </c>
    </row>
    <row r="21" spans="1:4" x14ac:dyDescent="0.3">
      <c r="A21" t="s">
        <v>545</v>
      </c>
      <c r="B21">
        <f t="shared" si="0"/>
        <v>1.5</v>
      </c>
      <c r="C21" s="455">
        <v>0.75</v>
      </c>
      <c r="D21" s="455">
        <v>0.75</v>
      </c>
    </row>
    <row r="22" spans="1:4" x14ac:dyDescent="0.3">
      <c r="A22" t="s">
        <v>546</v>
      </c>
      <c r="B22">
        <f t="shared" si="0"/>
        <v>12</v>
      </c>
      <c r="C22" s="455">
        <v>6</v>
      </c>
      <c r="D22" s="455">
        <v>6</v>
      </c>
    </row>
    <row r="23" spans="1:4" x14ac:dyDescent="0.3">
      <c r="A23" t="s">
        <v>554</v>
      </c>
      <c r="B23">
        <f t="shared" si="0"/>
        <v>0.4</v>
      </c>
      <c r="C23" s="455">
        <v>0.2</v>
      </c>
      <c r="D23" s="455">
        <v>0.2</v>
      </c>
    </row>
    <row r="24" spans="1:4" x14ac:dyDescent="0.3">
      <c r="A24" t="s">
        <v>547</v>
      </c>
      <c r="B24">
        <f t="shared" si="0"/>
        <v>0.4</v>
      </c>
      <c r="C24" s="455">
        <v>0.2</v>
      </c>
      <c r="D24" s="455">
        <v>0.2</v>
      </c>
    </row>
    <row r="25" spans="1:4" x14ac:dyDescent="0.3">
      <c r="A25" t="s">
        <v>548</v>
      </c>
      <c r="B25">
        <f t="shared" si="0"/>
        <v>0.35</v>
      </c>
      <c r="C25" s="455">
        <v>0.2</v>
      </c>
      <c r="D25" s="455">
        <v>0.15</v>
      </c>
    </row>
    <row r="26" spans="1:4" x14ac:dyDescent="0.3">
      <c r="A26" t="s">
        <v>549</v>
      </c>
      <c r="B26">
        <f t="shared" si="0"/>
        <v>0.22499999999999998</v>
      </c>
      <c r="C26" s="455">
        <v>0.15</v>
      </c>
      <c r="D26" s="455">
        <v>7.4999999999999997E-2</v>
      </c>
    </row>
    <row r="27" spans="1:4" x14ac:dyDescent="0.3">
      <c r="C27" s="455"/>
    </row>
    <row r="28" spans="1:4" x14ac:dyDescent="0.3">
      <c r="A28" s="854" t="s">
        <v>550</v>
      </c>
      <c r="C28" s="455"/>
    </row>
    <row r="29" spans="1:4" x14ac:dyDescent="0.3">
      <c r="A29" t="s">
        <v>551</v>
      </c>
      <c r="B29">
        <f t="shared" si="0"/>
        <v>2</v>
      </c>
      <c r="C29" s="471">
        <v>2</v>
      </c>
    </row>
    <row r="30" spans="1:4" x14ac:dyDescent="0.3">
      <c r="C30" s="455"/>
    </row>
    <row r="31" spans="1:4" x14ac:dyDescent="0.3">
      <c r="A31" s="854" t="s">
        <v>555</v>
      </c>
      <c r="B31" s="85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워크시트</vt:lpstr>
      </vt:variant>
      <vt:variant>
        <vt:i4>18</vt:i4>
      </vt:variant>
      <vt:variant>
        <vt:lpstr>이름 지정된 범위</vt:lpstr>
      </vt:variant>
      <vt:variant>
        <vt:i4>12</vt:i4>
      </vt:variant>
    </vt:vector>
  </HeadingPairs>
  <TitlesOfParts>
    <vt:vector size="30" baseType="lpstr">
      <vt:lpstr>PLANNING DE FABRICATION</vt:lpstr>
      <vt:lpstr>Récap Besoin matières premières</vt:lpstr>
      <vt:lpstr>Recette viandes</vt:lpstr>
      <vt:lpstr>Halrizo 200 + GP </vt:lpstr>
      <vt:lpstr>Halal 350 BN Pimenté</vt:lpstr>
      <vt:lpstr>Halal G.P - 200 et BN </vt:lpstr>
      <vt:lpstr>A cuire</vt:lpstr>
      <vt:lpstr>Spécialité Fromagère</vt:lpstr>
      <vt:lpstr>Spécialité carnée</vt:lpstr>
      <vt:lpstr>Spécialité Autres</vt:lpstr>
      <vt:lpstr> Snaking</vt:lpstr>
      <vt:lpstr>Viande francaise</vt:lpstr>
      <vt:lpstr>Haché Moyen</vt:lpstr>
      <vt:lpstr>SAG</vt:lpstr>
      <vt:lpstr>% MP</vt:lpstr>
      <vt:lpstr>Recettes ponctuelles</vt:lpstr>
      <vt:lpstr>ANCIENNCES RECETTES</vt:lpstr>
      <vt:lpstr>Brouillon</vt:lpstr>
      <vt:lpstr>' Snaking'!Print_Area</vt:lpstr>
      <vt:lpstr>'A cuire'!Print_Area</vt:lpstr>
      <vt:lpstr>'Halal 350 BN Pimenté'!Print_Area</vt:lpstr>
      <vt:lpstr>'Halal G.P - 200 et BN '!Print_Area</vt:lpstr>
      <vt:lpstr>'Halrizo 200 + GP '!Print_Area</vt:lpstr>
      <vt:lpstr>'PLANNING DE FABRICATION'!Print_Area</vt:lpstr>
      <vt:lpstr>'Récap Besoin matières premières'!Print_Area</vt:lpstr>
      <vt:lpstr>SAG!Print_Area</vt:lpstr>
      <vt:lpstr>'Spécialité Autres'!Print_Area</vt:lpstr>
      <vt:lpstr>'Spécialité carnée'!Print_Area</vt:lpstr>
      <vt:lpstr>'Spécialité Fromagère'!Print_Area</vt:lpstr>
      <vt:lpstr>'Viande francaise'!Print_Area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marjolaine</dc:creator>
  <cp:lastModifiedBy>rlawl</cp:lastModifiedBy>
  <cp:lastPrinted>2023-07-13T08:04:57Z</cp:lastPrinted>
  <dcterms:created xsi:type="dcterms:W3CDTF">2019-09-26T08:58:14Z</dcterms:created>
  <dcterms:modified xsi:type="dcterms:W3CDTF">2023-07-25T08:52:00Z</dcterms:modified>
</cp:coreProperties>
</file>